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_ts\"/>
    </mc:Choice>
  </mc:AlternateContent>
  <xr:revisionPtr revIDLastSave="0" documentId="13_ncr:1_{F7DFAB2E-CDD0-40A5-98DE-9DA52CE49F79}" xr6:coauthVersionLast="47" xr6:coauthVersionMax="47" xr10:uidLastSave="{00000000-0000-0000-0000-000000000000}"/>
  <bookViews>
    <workbookView xWindow="-120" yWindow="-120" windowWidth="38640" windowHeight="21240" tabRatio="928" firstSheet="5" activeTab="5" xr2:uid="{00000000-000D-0000-FFFF-FFFF00000000}"/>
  </bookViews>
  <sheets>
    <sheet name="INFO" sheetId="24" r:id="rId1"/>
    <sheet name="Short-Cuts" sheetId="49" r:id="rId2"/>
    <sheet name="References" sheetId="47" r:id="rId3"/>
    <sheet name="T_Stock_TOTAL_&amp;_City" sheetId="45" state="hidden" r:id="rId4"/>
    <sheet name="Pkm_Age_Gender" sheetId="58" state="hidden" r:id="rId5"/>
    <sheet name="T_Stock_Private" sheetId="35" r:id="rId6"/>
    <sheet name="STAT_TRA_Mileage" sheetId="6" r:id="rId7"/>
    <sheet name="STAT_TRA_Survey_Tkm" sheetId="54" r:id="rId8"/>
    <sheet name="STAT_TRA_Survey_Pkm" sheetId="51"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state="hidden" r:id="rId23"/>
    <sheet name="TC_City" sheetId="25" state="hidden" r:id="rId24"/>
    <sheet name="TC_Pool" sheetId="55" state="hidden" r:id="rId25"/>
    <sheet name="TMO" sheetId="4" state="hidden" r:id="rId26"/>
    <sheet name="TT" sheetId="7" state="hidden" r:id="rId27"/>
    <sheet name="TNA" sheetId="32" state="hidden" r:id="rId28"/>
    <sheet name="TF_City" sheetId="29" state="hidden" r:id="rId29"/>
    <sheet name="TAV" sheetId="23" state="hidden" r:id="rId30"/>
    <sheet name="TOV" sheetId="57" state="hidden" r:id="rId31"/>
  </sheets>
  <externalReferences>
    <externalReference r:id="rId32"/>
    <externalReference r:id="rId33"/>
    <externalReference r:id="rId34"/>
    <externalReference r:id="rId35"/>
    <externalReference r:id="rId36"/>
  </externalReferences>
  <definedNames>
    <definedName name="_xlnm._FilterDatabase" localSheetId="6"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 i="35" l="1"/>
  <c r="D110" i="46"/>
  <c r="D95" i="46"/>
  <c r="D122" i="35"/>
  <c r="D123" i="35"/>
  <c r="D90" i="35"/>
  <c r="D91" i="35"/>
  <c r="D74" i="35"/>
  <c r="D75" i="35"/>
  <c r="D58" i="35"/>
  <c r="D59" i="35"/>
  <c r="D10" i="35"/>
  <c r="D11" i="35"/>
  <c r="U75" i="35"/>
  <c r="U76" i="35"/>
  <c r="U77" i="35"/>
  <c r="U78" i="35"/>
  <c r="U79" i="35"/>
  <c r="U80" i="35"/>
  <c r="U81" i="35"/>
  <c r="U82" i="35"/>
  <c r="U83" i="35"/>
  <c r="U84" i="35"/>
  <c r="U85" i="35"/>
  <c r="U59" i="35"/>
  <c r="U60" i="35"/>
  <c r="U61" i="35"/>
  <c r="U62" i="35"/>
  <c r="U63" i="35"/>
  <c r="U64" i="35"/>
  <c r="U65" i="35"/>
  <c r="U66" i="35"/>
  <c r="U67" i="35"/>
  <c r="U68" i="35"/>
  <c r="U69" i="35"/>
  <c r="D120" i="46"/>
  <c r="D119" i="46"/>
  <c r="D117" i="46"/>
  <c r="D116" i="46"/>
  <c r="D115" i="46"/>
  <c r="D114" i="46"/>
  <c r="D113" i="46"/>
  <c r="D112" i="46"/>
  <c r="D111" i="46"/>
  <c r="D105" i="46"/>
  <c r="D104" i="46"/>
  <c r="D102" i="46"/>
  <c r="D101" i="46"/>
  <c r="D100" i="46"/>
  <c r="D99" i="46"/>
  <c r="D98" i="46"/>
  <c r="D97" i="46"/>
  <c r="D96" i="46"/>
  <c r="D14" i="46" l="1"/>
  <c r="D15" i="46"/>
  <c r="D12" i="46"/>
  <c r="D11" i="46"/>
  <c r="D10" i="54" l="1"/>
  <c r="D9" i="54"/>
  <c r="D14" i="54"/>
  <c r="D13" i="54"/>
  <c r="D20" i="51"/>
  <c r="D19" i="51"/>
  <c r="B67" i="35"/>
  <c r="B66" i="35"/>
  <c r="B65" i="35"/>
  <c r="B64" i="35"/>
  <c r="D67" i="35"/>
  <c r="D66" i="35"/>
  <c r="D65" i="35"/>
  <c r="D64" i="35"/>
  <c r="D63" i="35"/>
  <c r="D62" i="35"/>
  <c r="D61" i="35"/>
  <c r="D60" i="35"/>
  <c r="D68" i="35"/>
  <c r="D82" i="35"/>
  <c r="D83" i="35"/>
  <c r="D81" i="35"/>
  <c r="D80" i="35"/>
  <c r="D79" i="35"/>
  <c r="D78" i="35"/>
  <c r="D77" i="35"/>
  <c r="D76" i="35"/>
  <c r="D84" i="35"/>
  <c r="X265" i="34" l="1"/>
  <c r="X266" i="34" s="1"/>
  <c r="X267" i="34" s="1"/>
  <c r="W265" i="34"/>
  <c r="W266" i="34" s="1"/>
  <c r="W267" i="34" s="1"/>
  <c r="T265" i="34"/>
  <c r="T266" i="34" s="1"/>
  <c r="T267" i="34" s="1"/>
  <c r="S265" i="34"/>
  <c r="S266" i="34" s="1"/>
  <c r="S267" i="34" s="1"/>
  <c r="P265" i="34"/>
  <c r="P266" i="34" s="1"/>
  <c r="P267" i="34" s="1"/>
  <c r="O265" i="34"/>
  <c r="O266" i="34" s="1"/>
  <c r="O267" i="34" s="1"/>
  <c r="Z264" i="34"/>
  <c r="Z265" i="34" s="1"/>
  <c r="Z266" i="34" s="1"/>
  <c r="Z267" i="34" s="1"/>
  <c r="Y264" i="34"/>
  <c r="Y265" i="34" s="1"/>
  <c r="Y266" i="34" s="1"/>
  <c r="Y267" i="34" s="1"/>
  <c r="X264" i="34"/>
  <c r="W264" i="34"/>
  <c r="V264" i="34"/>
  <c r="V265" i="34" s="1"/>
  <c r="V266" i="34" s="1"/>
  <c r="V267" i="34" s="1"/>
  <c r="U264" i="34"/>
  <c r="U265" i="34" s="1"/>
  <c r="U266" i="34" s="1"/>
  <c r="U267" i="34" s="1"/>
  <c r="T264" i="34"/>
  <c r="S264" i="34"/>
  <c r="R264" i="34"/>
  <c r="R265" i="34" s="1"/>
  <c r="R266" i="34" s="1"/>
  <c r="R267" i="34" s="1"/>
  <c r="Q264" i="34"/>
  <c r="Q265" i="34" s="1"/>
  <c r="Q266" i="34" s="1"/>
  <c r="Q267" i="34" s="1"/>
  <c r="P264" i="34"/>
  <c r="O264" i="34"/>
  <c r="N264" i="34"/>
  <c r="N265" i="34" s="1"/>
  <c r="N266" i="34" s="1"/>
  <c r="N267" i="34" s="1"/>
  <c r="M264" i="34"/>
  <c r="M265" i="34" s="1"/>
  <c r="M266" i="34" s="1"/>
  <c r="M267" i="34" s="1"/>
  <c r="L264" i="34"/>
  <c r="L265" i="34" s="1"/>
  <c r="L266" i="34" s="1"/>
  <c r="L267" i="34" s="1"/>
  <c r="AB265" i="34"/>
  <c r="AB264" i="34"/>
  <c r="C47" i="47" l="1"/>
  <c r="C46" i="47"/>
  <c r="C45" i="47"/>
  <c r="C44" i="47"/>
  <c r="C43" i="47"/>
  <c r="C42" i="47"/>
  <c r="C41" i="47"/>
  <c r="C40" i="47"/>
  <c r="C39" i="47"/>
  <c r="C38" i="47"/>
  <c r="C37" i="47"/>
  <c r="C36" i="47"/>
  <c r="C35" i="47"/>
  <c r="C34" i="47"/>
  <c r="C33" i="47"/>
  <c r="C32" i="47"/>
  <c r="C31" i="47"/>
  <c r="C30" i="47"/>
  <c r="C29" i="47"/>
  <c r="C28" i="47"/>
  <c r="C27" i="47"/>
  <c r="C26" i="47"/>
  <c r="C25" i="47"/>
  <c r="C24" i="47"/>
  <c r="O195" i="31" l="1"/>
  <c r="P195" i="31"/>
  <c r="Q195" i="31" s="1"/>
  <c r="O196" i="31"/>
  <c r="P196" i="31" s="1"/>
  <c r="AD198" i="31"/>
  <c r="AE199" i="31"/>
  <c r="B201" i="31"/>
  <c r="N201" i="31"/>
  <c r="Y201" i="31" s="1"/>
  <c r="O201" i="31"/>
  <c r="R201" i="31"/>
  <c r="V201" i="31"/>
  <c r="W201" i="31"/>
  <c r="X201" i="31"/>
  <c r="Z201" i="31"/>
  <c r="AA201" i="31"/>
  <c r="AD201" i="31"/>
  <c r="AV201" i="31"/>
  <c r="AW201" i="31"/>
  <c r="B202" i="31"/>
  <c r="B203" i="31" s="1"/>
  <c r="B204" i="31" s="1"/>
  <c r="B205" i="31" s="1"/>
  <c r="B206" i="31" s="1"/>
  <c r="B207" i="31" s="1"/>
  <c r="B208" i="31" s="1"/>
  <c r="B209" i="31" s="1"/>
  <c r="B210" i="31" s="1"/>
  <c r="B211" i="31" s="1"/>
  <c r="B212" i="31" s="1"/>
  <c r="N202" i="31"/>
  <c r="O202" i="31"/>
  <c r="P202" i="31"/>
  <c r="Q202" i="31"/>
  <c r="R202" i="31"/>
  <c r="S202" i="31"/>
  <c r="T202" i="31"/>
  <c r="U202" i="31"/>
  <c r="V202" i="31"/>
  <c r="W202" i="31"/>
  <c r="X202" i="31"/>
  <c r="Y202" i="31"/>
  <c r="Z202" i="31"/>
  <c r="AA202" i="31"/>
  <c r="AB202" i="31"/>
  <c r="AV202" i="31"/>
  <c r="N203" i="31"/>
  <c r="O203" i="31"/>
  <c r="P203" i="31"/>
  <c r="Q203" i="31"/>
  <c r="R203" i="31"/>
  <c r="S203" i="31"/>
  <c r="T203" i="31"/>
  <c r="U203" i="31"/>
  <c r="V203" i="31"/>
  <c r="W203" i="31"/>
  <c r="X203" i="31"/>
  <c r="Y203" i="31"/>
  <c r="Z203" i="31"/>
  <c r="AA203" i="31"/>
  <c r="AB203" i="31"/>
  <c r="N205" i="31"/>
  <c r="O205" i="31"/>
  <c r="P205" i="31"/>
  <c r="B213" i="31"/>
  <c r="B214" i="31" s="1"/>
  <c r="B216" i="31" s="1"/>
  <c r="B217" i="31" s="1"/>
  <c r="B218" i="31" s="1"/>
  <c r="B219" i="31" s="1"/>
  <c r="B220" i="31" s="1"/>
  <c r="B221" i="31" s="1"/>
  <c r="B222" i="31" s="1"/>
  <c r="B223" i="31" s="1"/>
  <c r="B224" i="31" s="1"/>
  <c r="B225" i="31" s="1"/>
  <c r="B226" i="31" s="1"/>
  <c r="N213" i="31"/>
  <c r="O213" i="31"/>
  <c r="P213" i="31"/>
  <c r="Q213" i="31"/>
  <c r="R213" i="31"/>
  <c r="S213" i="31"/>
  <c r="T213" i="31"/>
  <c r="U213" i="31"/>
  <c r="V213" i="31"/>
  <c r="W213" i="31"/>
  <c r="X213" i="31"/>
  <c r="Y213" i="31"/>
  <c r="Z213" i="31"/>
  <c r="AA213" i="31"/>
  <c r="AB213" i="31"/>
  <c r="AD213" i="31"/>
  <c r="AV213" i="31"/>
  <c r="AV214" i="31"/>
  <c r="AV215" i="31"/>
  <c r="N216" i="31"/>
  <c r="O216" i="31"/>
  <c r="P216" i="31"/>
  <c r="Q216" i="31"/>
  <c r="R216" i="31"/>
  <c r="S216" i="31"/>
  <c r="T216" i="31"/>
  <c r="U216" i="31"/>
  <c r="V216" i="31"/>
  <c r="W216" i="31"/>
  <c r="X216" i="31"/>
  <c r="Y216" i="31"/>
  <c r="Z216" i="31"/>
  <c r="AA216" i="31"/>
  <c r="AB216" i="31"/>
  <c r="AV216" i="31"/>
  <c r="N217" i="31"/>
  <c r="O217" i="31"/>
  <c r="P217" i="31"/>
  <c r="Q217" i="31"/>
  <c r="R217" i="31"/>
  <c r="S217" i="31"/>
  <c r="T217" i="31"/>
  <c r="U217" i="31"/>
  <c r="V217" i="31"/>
  <c r="W217" i="31"/>
  <c r="X217" i="31"/>
  <c r="Y217" i="31"/>
  <c r="Z217" i="31"/>
  <c r="AA217" i="31"/>
  <c r="AB217" i="31"/>
  <c r="N219" i="31"/>
  <c r="O219" i="31"/>
  <c r="P219" i="31"/>
  <c r="B227" i="31"/>
  <c r="B228" i="31" s="1"/>
  <c r="B229" i="31" s="1"/>
  <c r="B230" i="31" s="1"/>
  <c r="B231" i="31" s="1"/>
  <c r="B232" i="31" s="1"/>
  <c r="B233" i="31" s="1"/>
  <c r="B234" i="31" s="1"/>
  <c r="B235" i="31" s="1"/>
  <c r="B236" i="31" s="1"/>
  <c r="B237" i="31" s="1"/>
  <c r="B238" i="31" s="1"/>
  <c r="AD227" i="31"/>
  <c r="AD228" i="31" s="1"/>
  <c r="AV227" i="31"/>
  <c r="AW227" i="31"/>
  <c r="N228" i="31"/>
  <c r="O228" i="31"/>
  <c r="P228" i="31"/>
  <c r="Q228" i="31"/>
  <c r="R228" i="31"/>
  <c r="S228" i="31"/>
  <c r="T228" i="31"/>
  <c r="U228" i="31"/>
  <c r="V228" i="31"/>
  <c r="W228" i="31"/>
  <c r="X228" i="31"/>
  <c r="Y228" i="31"/>
  <c r="Z228" i="31"/>
  <c r="AA228" i="31"/>
  <c r="AB228" i="31"/>
  <c r="AV228" i="31"/>
  <c r="N229" i="31"/>
  <c r="O229" i="31"/>
  <c r="P229" i="31"/>
  <c r="Q229" i="31"/>
  <c r="R229" i="31"/>
  <c r="S229" i="31"/>
  <c r="T229" i="31"/>
  <c r="U229" i="31"/>
  <c r="V229" i="31"/>
  <c r="W229" i="31"/>
  <c r="X229" i="31"/>
  <c r="Y229" i="31"/>
  <c r="Z229" i="31"/>
  <c r="AA229" i="31"/>
  <c r="AB229" i="31"/>
  <c r="AV229" i="31"/>
  <c r="N231" i="31"/>
  <c r="O231" i="31"/>
  <c r="P231" i="31"/>
  <c r="B239" i="31"/>
  <c r="B240" i="31" s="1"/>
  <c r="AD239" i="31"/>
  <c r="AV239" i="31"/>
  <c r="AW239" i="31"/>
  <c r="N240" i="31"/>
  <c r="O240" i="31"/>
  <c r="P240" i="31"/>
  <c r="Q240" i="31"/>
  <c r="R240" i="31"/>
  <c r="S240" i="31"/>
  <c r="T240" i="31"/>
  <c r="U240" i="31"/>
  <c r="V240" i="31"/>
  <c r="W240" i="31"/>
  <c r="X240" i="31"/>
  <c r="Y240" i="31"/>
  <c r="Z240" i="31"/>
  <c r="AA240" i="31"/>
  <c r="AB240" i="31"/>
  <c r="AV240" i="31"/>
  <c r="B241" i="31"/>
  <c r="B242" i="31" s="1"/>
  <c r="B243" i="31" s="1"/>
  <c r="B244" i="31" s="1"/>
  <c r="B245" i="31" s="1"/>
  <c r="B246" i="31" s="1"/>
  <c r="B247" i="31" s="1"/>
  <c r="B248" i="31" s="1"/>
  <c r="B249" i="31" s="1"/>
  <c r="B250" i="31" s="1"/>
  <c r="N241" i="31"/>
  <c r="O241" i="31"/>
  <c r="P241" i="31"/>
  <c r="Q241" i="31"/>
  <c r="R241" i="31"/>
  <c r="S241" i="31"/>
  <c r="T241" i="31"/>
  <c r="U241" i="31"/>
  <c r="V241" i="31"/>
  <c r="W241" i="31"/>
  <c r="X241" i="31"/>
  <c r="Y241" i="31"/>
  <c r="Z241" i="31"/>
  <c r="AA241" i="31"/>
  <c r="AB241" i="31"/>
  <c r="AV241" i="31"/>
  <c r="N243" i="31"/>
  <c r="O243" i="31"/>
  <c r="P243" i="31"/>
  <c r="B251" i="31"/>
  <c r="B252" i="31" s="1"/>
  <c r="B253" i="31" s="1"/>
  <c r="B254" i="31" s="1"/>
  <c r="B255" i="31" s="1"/>
  <c r="B256" i="31" s="1"/>
  <c r="B257" i="31" s="1"/>
  <c r="B258" i="31" s="1"/>
  <c r="B259" i="31" s="1"/>
  <c r="B260" i="31" s="1"/>
  <c r="B261" i="31" s="1"/>
  <c r="B262" i="31" s="1"/>
  <c r="B263" i="31" s="1"/>
  <c r="AD251" i="31"/>
  <c r="AD252" i="31" s="1"/>
  <c r="AV251" i="31"/>
  <c r="AV252" i="31"/>
  <c r="N253" i="31"/>
  <c r="O253" i="31"/>
  <c r="P253" i="31"/>
  <c r="Q253" i="31"/>
  <c r="R253" i="31"/>
  <c r="S253" i="31"/>
  <c r="T253" i="31"/>
  <c r="U253" i="31"/>
  <c r="V253" i="31"/>
  <c r="W253" i="31"/>
  <c r="X253" i="31"/>
  <c r="Y253" i="31"/>
  <c r="Z253" i="31"/>
  <c r="AA253" i="31"/>
  <c r="AB253" i="31"/>
  <c r="AV253" i="31"/>
  <c r="N254" i="31"/>
  <c r="O254" i="31"/>
  <c r="P254" i="31"/>
  <c r="Q254" i="31"/>
  <c r="R254" i="31"/>
  <c r="S254" i="31"/>
  <c r="T254" i="31"/>
  <c r="U254" i="31"/>
  <c r="V254" i="31"/>
  <c r="W254" i="31"/>
  <c r="X254" i="31"/>
  <c r="Y254" i="31"/>
  <c r="Z254" i="31"/>
  <c r="AA254" i="31"/>
  <c r="AB254" i="31"/>
  <c r="AV254" i="31"/>
  <c r="N256" i="31"/>
  <c r="O256" i="31"/>
  <c r="P256" i="31"/>
  <c r="B264" i="31"/>
  <c r="B265" i="31" s="1"/>
  <c r="B266" i="31" s="1"/>
  <c r="B267" i="31" s="1"/>
  <c r="B268" i="31" s="1"/>
  <c r="B269" i="31" s="1"/>
  <c r="B270" i="31" s="1"/>
  <c r="B271" i="31" s="1"/>
  <c r="B272" i="31" s="1"/>
  <c r="B273" i="31" s="1"/>
  <c r="B274" i="31" s="1"/>
  <c r="B275" i="31" s="1"/>
  <c r="B276" i="31" s="1"/>
  <c r="AD264" i="31"/>
  <c r="AV264" i="31"/>
  <c r="AW264" i="31"/>
  <c r="AV265" i="31"/>
  <c r="AW265" i="31"/>
  <c r="N266" i="31"/>
  <c r="O266" i="31"/>
  <c r="P266" i="31"/>
  <c r="Q266" i="31"/>
  <c r="R266" i="31"/>
  <c r="S266" i="31"/>
  <c r="T266" i="31"/>
  <c r="U266" i="31"/>
  <c r="V266" i="31"/>
  <c r="W266" i="31"/>
  <c r="X266" i="31"/>
  <c r="Y266" i="31"/>
  <c r="Z266" i="31"/>
  <c r="AA266" i="31"/>
  <c r="AB266" i="31"/>
  <c r="AV266" i="31"/>
  <c r="N267" i="31"/>
  <c r="O267" i="31"/>
  <c r="P267" i="31"/>
  <c r="Q267" i="31"/>
  <c r="R267" i="31"/>
  <c r="S267" i="31"/>
  <c r="T267" i="31"/>
  <c r="U267" i="31"/>
  <c r="V267" i="31"/>
  <c r="W267" i="31"/>
  <c r="X267" i="31"/>
  <c r="Y267" i="31"/>
  <c r="Z267" i="31"/>
  <c r="AA267" i="31"/>
  <c r="AB267" i="31"/>
  <c r="AV267" i="31"/>
  <c r="AV268" i="31"/>
  <c r="N269" i="31"/>
  <c r="O269" i="31"/>
  <c r="P269" i="31"/>
  <c r="B277" i="31"/>
  <c r="B278" i="31" s="1"/>
  <c r="B279" i="31" s="1"/>
  <c r="B280" i="31" s="1"/>
  <c r="B281" i="31" s="1"/>
  <c r="B282" i="31" s="1"/>
  <c r="B283" i="31" s="1"/>
  <c r="B284" i="31" s="1"/>
  <c r="B285" i="31" s="1"/>
  <c r="B286" i="31" s="1"/>
  <c r="B287" i="31" s="1"/>
  <c r="B288" i="31" s="1"/>
  <c r="B289" i="31" s="1"/>
  <c r="AD277" i="31"/>
  <c r="AV277" i="31"/>
  <c r="AW277" i="31"/>
  <c r="J278" i="31"/>
  <c r="AV278" i="31"/>
  <c r="AW278" i="31"/>
  <c r="N280" i="31"/>
  <c r="O280" i="31"/>
  <c r="P280" i="31"/>
  <c r="Q280" i="31"/>
  <c r="R280" i="31"/>
  <c r="S280" i="31"/>
  <c r="T280" i="31"/>
  <c r="U280" i="31"/>
  <c r="V280" i="31"/>
  <c r="W280" i="31"/>
  <c r="X280" i="31"/>
  <c r="Y280" i="31"/>
  <c r="Z280" i="31"/>
  <c r="AA280" i="31"/>
  <c r="AB280" i="31"/>
  <c r="AV280" i="31"/>
  <c r="AV281" i="31"/>
  <c r="N282" i="31"/>
  <c r="O282" i="31"/>
  <c r="P282" i="31"/>
  <c r="B290" i="31"/>
  <c r="B291" i="31" s="1"/>
  <c r="B292" i="31" s="1"/>
  <c r="B293" i="31" s="1"/>
  <c r="B294" i="31" s="1"/>
  <c r="B295" i="31" s="1"/>
  <c r="B296" i="31" s="1"/>
  <c r="B297" i="31" s="1"/>
  <c r="B298" i="31" s="1"/>
  <c r="B299" i="31" s="1"/>
  <c r="B300" i="31" s="1"/>
  <c r="B301" i="31" s="1"/>
  <c r="B302" i="31" s="1"/>
  <c r="AD290" i="31"/>
  <c r="AD291" i="31" s="1"/>
  <c r="AV290" i="31"/>
  <c r="AW290" i="31"/>
  <c r="AV291" i="31"/>
  <c r="AW291" i="31"/>
  <c r="N292" i="31"/>
  <c r="O292" i="31"/>
  <c r="P292" i="31"/>
  <c r="Q292" i="31"/>
  <c r="R292" i="31"/>
  <c r="S292" i="31"/>
  <c r="T292" i="31"/>
  <c r="U292" i="31"/>
  <c r="V292" i="31"/>
  <c r="W292" i="31"/>
  <c r="X292" i="31"/>
  <c r="Y292" i="31"/>
  <c r="Z292" i="31"/>
  <c r="AA292" i="31"/>
  <c r="AB292" i="31"/>
  <c r="AV292" i="31"/>
  <c r="N293" i="31"/>
  <c r="O293" i="31"/>
  <c r="P293" i="31"/>
  <c r="Q293" i="31"/>
  <c r="R293" i="31"/>
  <c r="S293" i="31"/>
  <c r="T293" i="31"/>
  <c r="U293" i="31"/>
  <c r="V293" i="31"/>
  <c r="W293" i="31"/>
  <c r="X293" i="31"/>
  <c r="Y293" i="31"/>
  <c r="Z293" i="31"/>
  <c r="AA293" i="31"/>
  <c r="AB293" i="31"/>
  <c r="AV293" i="31"/>
  <c r="AV294" i="31"/>
  <c r="N295" i="31"/>
  <c r="O295" i="31"/>
  <c r="P295" i="31"/>
  <c r="B303" i="31"/>
  <c r="B304" i="31" s="1"/>
  <c r="B305" i="31" s="1"/>
  <c r="B306" i="31" s="1"/>
  <c r="B307" i="31" s="1"/>
  <c r="B308" i="31" s="1"/>
  <c r="B309" i="31" s="1"/>
  <c r="B310" i="31" s="1"/>
  <c r="B311" i="31" s="1"/>
  <c r="B312" i="31" s="1"/>
  <c r="B313" i="31" s="1"/>
  <c r="B314" i="31" s="1"/>
  <c r="AD303" i="31"/>
  <c r="AV303" i="31"/>
  <c r="AW303" i="31"/>
  <c r="N304" i="31"/>
  <c r="O304" i="31"/>
  <c r="P304" i="31"/>
  <c r="Q304" i="31"/>
  <c r="R304" i="31"/>
  <c r="S304" i="31"/>
  <c r="T304" i="31"/>
  <c r="U304" i="31"/>
  <c r="V304" i="31"/>
  <c r="W304" i="31"/>
  <c r="X304" i="31"/>
  <c r="Y304" i="31"/>
  <c r="Z304" i="31"/>
  <c r="AA304" i="31"/>
  <c r="AB304" i="31"/>
  <c r="AD304" i="31"/>
  <c r="AV304" i="31"/>
  <c r="N305" i="31"/>
  <c r="O305" i="31"/>
  <c r="P305" i="31"/>
  <c r="Q305" i="31"/>
  <c r="R305" i="31"/>
  <c r="S305" i="31"/>
  <c r="T305" i="31"/>
  <c r="U305" i="31"/>
  <c r="V305" i="31"/>
  <c r="W305" i="31"/>
  <c r="X305" i="31"/>
  <c r="Y305" i="31"/>
  <c r="Z305" i="31"/>
  <c r="AA305" i="31"/>
  <c r="AB305" i="31"/>
  <c r="AV305" i="31"/>
  <c r="AV306" i="31"/>
  <c r="N307" i="31"/>
  <c r="O307" i="31"/>
  <c r="P307" i="31"/>
  <c r="AV307" i="31"/>
  <c r="B315" i="31"/>
  <c r="B316" i="31" s="1"/>
  <c r="AD315" i="31"/>
  <c r="AV315" i="31"/>
  <c r="AW315" i="31"/>
  <c r="J316" i="31"/>
  <c r="AD316" i="31"/>
  <c r="AV316" i="31"/>
  <c r="AW316" i="31"/>
  <c r="N318" i="31"/>
  <c r="O318" i="31"/>
  <c r="P318" i="31"/>
  <c r="Q318" i="31"/>
  <c r="R318" i="31"/>
  <c r="S318" i="31"/>
  <c r="T318" i="31"/>
  <c r="U318" i="31"/>
  <c r="V318" i="31"/>
  <c r="W318" i="31"/>
  <c r="X318" i="31"/>
  <c r="Y318" i="31"/>
  <c r="Z318" i="31"/>
  <c r="AA318" i="31"/>
  <c r="AB318" i="31"/>
  <c r="AV318" i="31"/>
  <c r="N319" i="31"/>
  <c r="O319" i="31"/>
  <c r="P319" i="31"/>
  <c r="Q319" i="31"/>
  <c r="R319" i="31"/>
  <c r="S319" i="31"/>
  <c r="T319" i="31"/>
  <c r="U319" i="31"/>
  <c r="V319" i="31"/>
  <c r="W319" i="31"/>
  <c r="X319" i="31"/>
  <c r="Y319" i="31"/>
  <c r="Z319" i="31"/>
  <c r="AA319" i="31"/>
  <c r="AB319" i="31"/>
  <c r="AV319" i="31"/>
  <c r="AV320" i="31"/>
  <c r="N321" i="31"/>
  <c r="O321" i="31"/>
  <c r="P321" i="31"/>
  <c r="B329" i="31"/>
  <c r="B330" i="31" s="1"/>
  <c r="B331" i="31" s="1"/>
  <c r="B332" i="31" s="1"/>
  <c r="B333" i="31" s="1"/>
  <c r="B334" i="31" s="1"/>
  <c r="B335" i="31" s="1"/>
  <c r="B336" i="31" s="1"/>
  <c r="B337" i="31" s="1"/>
  <c r="B338" i="31" s="1"/>
  <c r="B339" i="31" s="1"/>
  <c r="B340" i="31" s="1"/>
  <c r="B341" i="31" s="1"/>
  <c r="AD329" i="31"/>
  <c r="AV329" i="31"/>
  <c r="AW329" i="31"/>
  <c r="AD330" i="31"/>
  <c r="AV330" i="31"/>
  <c r="AW330" i="31"/>
  <c r="N331" i="31"/>
  <c r="O331" i="31"/>
  <c r="P331" i="31"/>
  <c r="Q331" i="31"/>
  <c r="R331" i="31"/>
  <c r="S331" i="31"/>
  <c r="T331" i="31"/>
  <c r="U331" i="31"/>
  <c r="V331" i="31"/>
  <c r="W331" i="31"/>
  <c r="X331" i="31"/>
  <c r="Y331" i="31"/>
  <c r="Z331" i="31"/>
  <c r="AA331" i="31"/>
  <c r="AB331" i="31"/>
  <c r="AV331" i="31"/>
  <c r="N332" i="31"/>
  <c r="O332" i="31"/>
  <c r="P332" i="31"/>
  <c r="Q332" i="31"/>
  <c r="R332" i="31"/>
  <c r="S332" i="31"/>
  <c r="T332" i="31"/>
  <c r="U332" i="31"/>
  <c r="V332" i="31"/>
  <c r="W332" i="31"/>
  <c r="X332" i="31"/>
  <c r="Y332" i="31"/>
  <c r="Z332" i="31"/>
  <c r="AA332" i="31"/>
  <c r="AB332" i="31"/>
  <c r="AV332" i="31"/>
  <c r="AV333" i="31"/>
  <c r="N334" i="31"/>
  <c r="O334" i="31"/>
  <c r="P334" i="31"/>
  <c r="R195" i="31" l="1"/>
  <c r="R231" i="31" s="1"/>
  <c r="Q269" i="31"/>
  <c r="Q321" i="31"/>
  <c r="Q334" i="31"/>
  <c r="Q295" i="31"/>
  <c r="Q205" i="31"/>
  <c r="Q243" i="31"/>
  <c r="Q231" i="31"/>
  <c r="Q282" i="31"/>
  <c r="Q219" i="31"/>
  <c r="Q307" i="31"/>
  <c r="Q256" i="31"/>
  <c r="B317" i="31"/>
  <c r="B318" i="31"/>
  <c r="B319" i="31" s="1"/>
  <c r="B320" i="31" s="1"/>
  <c r="B321" i="31" s="1"/>
  <c r="B322" i="31" s="1"/>
  <c r="B323" i="31" s="1"/>
  <c r="B324" i="31" s="1"/>
  <c r="B325" i="31" s="1"/>
  <c r="B326" i="31" s="1"/>
  <c r="B327" i="31" s="1"/>
  <c r="B328" i="31" s="1"/>
  <c r="AD265" i="31"/>
  <c r="AD278" i="31"/>
  <c r="AD214" i="31"/>
  <c r="B215" i="31"/>
  <c r="Q196" i="31"/>
  <c r="S195" i="31"/>
  <c r="R205" i="31"/>
  <c r="R219" i="31"/>
  <c r="R256" i="31"/>
  <c r="U201" i="31"/>
  <c r="T201" i="31"/>
  <c r="S201" i="31"/>
  <c r="Q201" i="31"/>
  <c r="AB201" i="31"/>
  <c r="P201" i="31"/>
  <c r="R269" i="31" l="1"/>
  <c r="R334" i="31"/>
  <c r="R295" i="31"/>
  <c r="R321" i="31"/>
  <c r="R243" i="31"/>
  <c r="R307" i="31"/>
  <c r="R282" i="31"/>
  <c r="T195" i="31"/>
  <c r="S205" i="31"/>
  <c r="S219" i="31"/>
  <c r="S243" i="31"/>
  <c r="S231" i="31"/>
  <c r="S307" i="31"/>
  <c r="S295" i="31"/>
  <c r="S269" i="31"/>
  <c r="S282" i="31"/>
  <c r="S321" i="31"/>
  <c r="S256" i="31"/>
  <c r="S334" i="31"/>
  <c r="R196" i="31"/>
  <c r="S196" i="31" l="1"/>
  <c r="U195" i="31"/>
  <c r="T205" i="31"/>
  <c r="T219" i="31"/>
  <c r="T256" i="31"/>
  <c r="T243" i="31"/>
  <c r="T231" i="31"/>
  <c r="T307" i="31"/>
  <c r="T295" i="31"/>
  <c r="T321" i="31"/>
  <c r="T269" i="31"/>
  <c r="T282" i="31"/>
  <c r="T334" i="31"/>
  <c r="V195" i="31" l="1"/>
  <c r="U205" i="31"/>
  <c r="U231" i="31"/>
  <c r="U269" i="31"/>
  <c r="U243" i="31"/>
  <c r="U219" i="31"/>
  <c r="U256" i="31"/>
  <c r="U282" i="31"/>
  <c r="U321" i="31"/>
  <c r="U334" i="31"/>
  <c r="U307" i="31"/>
  <c r="U295" i="31"/>
  <c r="T196" i="31"/>
  <c r="W195" i="31" l="1"/>
  <c r="V243" i="31"/>
  <c r="V231" i="31"/>
  <c r="V205" i="31"/>
  <c r="V219" i="31"/>
  <c r="V269" i="31"/>
  <c r="V307" i="31"/>
  <c r="V256" i="31"/>
  <c r="V282" i="31"/>
  <c r="V321" i="31"/>
  <c r="V334" i="31"/>
  <c r="V295" i="31"/>
  <c r="U196" i="31"/>
  <c r="W243" i="31" l="1"/>
  <c r="W256" i="31"/>
  <c r="W269" i="31"/>
  <c r="X195" i="31"/>
  <c r="W307" i="31"/>
  <c r="W231" i="31"/>
  <c r="W205" i="31"/>
  <c r="W219" i="31"/>
  <c r="W334" i="31"/>
  <c r="W282" i="31"/>
  <c r="W295" i="31"/>
  <c r="W321" i="31"/>
  <c r="V196" i="31"/>
  <c r="W196" i="31" l="1"/>
  <c r="X219" i="31"/>
  <c r="X205" i="31"/>
  <c r="Y195" i="31"/>
  <c r="X243" i="31"/>
  <c r="X256" i="31"/>
  <c r="X231" i="31"/>
  <c r="X269" i="31"/>
  <c r="X307" i="31"/>
  <c r="X334" i="31"/>
  <c r="X282" i="31"/>
  <c r="X295" i="31"/>
  <c r="X321" i="31"/>
  <c r="X196" i="31" l="1"/>
  <c r="Y205" i="31"/>
  <c r="Y231" i="31"/>
  <c r="Z195" i="31"/>
  <c r="Y282" i="31"/>
  <c r="Y243" i="31"/>
  <c r="Y295" i="31"/>
  <c r="Y334" i="31"/>
  <c r="Y219" i="31"/>
  <c r="Y307" i="31"/>
  <c r="Y269" i="31"/>
  <c r="Y256" i="31"/>
  <c r="Y321" i="31"/>
  <c r="Y196" i="31" l="1"/>
  <c r="AA195" i="31"/>
  <c r="Z205" i="31"/>
  <c r="Z256" i="31"/>
  <c r="Z243" i="31"/>
  <c r="Z231" i="31"/>
  <c r="Z295" i="31"/>
  <c r="Z334" i="31"/>
  <c r="Z219" i="31"/>
  <c r="Z307" i="31"/>
  <c r="Z269" i="31"/>
  <c r="Z282" i="31"/>
  <c r="Z321" i="31"/>
  <c r="AB195" i="31" l="1"/>
  <c r="AA231" i="31"/>
  <c r="AA205" i="31"/>
  <c r="AA219" i="31"/>
  <c r="AA256" i="31"/>
  <c r="AA269" i="31"/>
  <c r="AA282" i="31"/>
  <c r="AA243" i="31"/>
  <c r="AA321" i="31"/>
  <c r="AA307" i="31"/>
  <c r="AA295" i="31"/>
  <c r="AA334" i="31"/>
  <c r="Z196" i="31"/>
  <c r="AB205" i="31" l="1"/>
  <c r="AB219" i="31"/>
  <c r="AB256" i="31"/>
  <c r="AB269" i="31"/>
  <c r="AB243" i="31"/>
  <c r="AB231" i="31"/>
  <c r="AB282" i="31"/>
  <c r="AB295" i="31"/>
  <c r="AB321" i="31"/>
  <c r="AB334" i="31"/>
  <c r="AB307" i="31"/>
  <c r="AA196" i="31"/>
  <c r="AB196" i="31" l="1"/>
  <c r="D97" i="35" l="1"/>
  <c r="D96" i="35"/>
  <c r="AG20" i="34" l="1"/>
  <c r="AG17" i="34"/>
  <c r="AF9" i="28"/>
  <c r="AF6" i="28"/>
  <c r="AF9" i="26"/>
  <c r="AF6" i="26"/>
  <c r="AF5" i="26"/>
  <c r="I40" i="26" s="1"/>
  <c r="I39" i="26"/>
  <c r="D13" i="51"/>
  <c r="D12" i="51"/>
  <c r="I11" i="1"/>
  <c r="BO52" i="34"/>
  <c r="Y115" i="38"/>
  <c r="Y114" i="38"/>
  <c r="Y214" i="38"/>
  <c r="G62" i="38" l="1"/>
  <c r="G38" i="38"/>
  <c r="H38" i="38"/>
  <c r="D141" i="46" l="1"/>
  <c r="D142" i="46"/>
  <c r="D143" i="46"/>
  <c r="D144" i="46"/>
  <c r="D145" i="46"/>
  <c r="U33"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60" i="31"/>
  <c r="AV199" i="28"/>
  <c r="AV49" i="28"/>
  <c r="N28" i="3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Z28" i="31" l="1"/>
  <c r="N215" i="31"/>
  <c r="N279" i="31"/>
  <c r="N317" i="31"/>
  <c r="Q115" i="25"/>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N364" i="31"/>
  <c r="Z364" i="31"/>
  <c r="W28" i="31"/>
  <c r="Z167" i="31"/>
  <c r="O28" i="31"/>
  <c r="Y28" i="31"/>
  <c r="N167" i="31"/>
  <c r="Q28" i="31"/>
  <c r="AA28" i="31"/>
  <c r="S28" i="31"/>
  <c r="U28" i="31"/>
  <c r="N60" i="31"/>
  <c r="Z60" i="31"/>
  <c r="Z127" i="31"/>
  <c r="P28" i="31"/>
  <c r="T28" i="31"/>
  <c r="X28" i="31"/>
  <c r="AB28" i="31"/>
  <c r="N127" i="31"/>
  <c r="O127" i="31"/>
  <c r="R28" i="31"/>
  <c r="V28" i="31"/>
  <c r="AV34" i="26"/>
  <c r="AV101" i="26"/>
  <c r="AV141" i="26"/>
  <c r="N18" i="25"/>
  <c r="N17" i="25"/>
  <c r="AB17" i="25" s="1"/>
  <c r="AB101" i="25" s="1"/>
  <c r="M17" i="25"/>
  <c r="N17" i="26"/>
  <c r="AB17" i="26" s="1"/>
  <c r="AB141" i="26" s="1"/>
  <c r="M18" i="26"/>
  <c r="M17" i="26"/>
  <c r="Q468" i="31" l="1"/>
  <c r="Q279" i="31"/>
  <c r="Q215" i="31"/>
  <c r="Q317" i="31"/>
  <c r="V468" i="31"/>
  <c r="V215" i="31"/>
  <c r="V279" i="31"/>
  <c r="V317" i="31"/>
  <c r="AB468" i="31"/>
  <c r="AB215" i="31"/>
  <c r="AB279" i="31"/>
  <c r="AB317" i="31"/>
  <c r="R468" i="31"/>
  <c r="R215" i="31"/>
  <c r="R317" i="31"/>
  <c r="R279" i="31"/>
  <c r="X468" i="31"/>
  <c r="X317" i="31"/>
  <c r="X215" i="31"/>
  <c r="X279" i="31"/>
  <c r="O468" i="31"/>
  <c r="O215" i="31"/>
  <c r="O279" i="31"/>
  <c r="O317" i="31"/>
  <c r="AA468" i="31"/>
  <c r="AA215" i="31"/>
  <c r="AA279" i="31"/>
  <c r="AA317" i="31"/>
  <c r="T468" i="31"/>
  <c r="T215" i="31"/>
  <c r="T279" i="31"/>
  <c r="T317" i="31"/>
  <c r="Y468" i="31"/>
  <c r="Y215" i="31"/>
  <c r="Y279" i="31"/>
  <c r="Y317" i="31"/>
  <c r="P468" i="31"/>
  <c r="P215" i="31"/>
  <c r="P317" i="31"/>
  <c r="P279" i="31"/>
  <c r="W468" i="31"/>
  <c r="W215" i="31"/>
  <c r="W279" i="31"/>
  <c r="W317" i="31"/>
  <c r="S468" i="31"/>
  <c r="S279" i="31"/>
  <c r="S215" i="31"/>
  <c r="S317" i="31"/>
  <c r="U468" i="31"/>
  <c r="U215" i="31"/>
  <c r="U279" i="31"/>
  <c r="U317" i="31"/>
  <c r="Z215" i="31"/>
  <c r="Z279" i="31"/>
  <c r="Z317" i="31"/>
  <c r="AA127" i="3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AA167" i="31"/>
  <c r="O167" i="31"/>
  <c r="Y127" i="31"/>
  <c r="R167" i="31"/>
  <c r="T167" i="31"/>
  <c r="P167" i="31"/>
  <c r="S60" i="31"/>
  <c r="W60" i="31"/>
  <c r="W127" i="31"/>
  <c r="AB167" i="31"/>
  <c r="W167" i="31"/>
  <c r="AA60" i="31"/>
  <c r="Y60" i="31"/>
  <c r="Y167" i="31"/>
  <c r="V167" i="31"/>
  <c r="S127" i="31"/>
  <c r="X167" i="31"/>
  <c r="U127" i="31"/>
  <c r="S167" i="31"/>
  <c r="Q60" i="31"/>
  <c r="Q167" i="31"/>
  <c r="O60"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39" i="36"/>
  <c r="E39"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S20" i="45"/>
  <c r="S19" i="45"/>
  <c r="S18" i="45"/>
  <c r="S17" i="45"/>
  <c r="S16" i="45"/>
  <c r="S15" i="45"/>
  <c r="S14" i="45"/>
  <c r="BC21" i="35" l="1"/>
  <c r="U13" i="5"/>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281" i="34" l="1"/>
  <c r="N281" i="34" s="1"/>
  <c r="O281" i="34" s="1"/>
  <c r="P281" i="34" s="1"/>
  <c r="Q281" i="34" s="1"/>
  <c r="R281" i="34" s="1"/>
  <c r="S281" i="34" s="1"/>
  <c r="T281" i="34" s="1"/>
  <c r="U281" i="34" s="1"/>
  <c r="V281" i="34" s="1"/>
  <c r="W281" i="34" s="1"/>
  <c r="X281" i="34" s="1"/>
  <c r="Y281" i="34" s="1"/>
  <c r="Z281" i="34" s="1"/>
  <c r="M280" i="34"/>
  <c r="N280" i="34" s="1"/>
  <c r="O280" i="34" s="1"/>
  <c r="P280" i="34" s="1"/>
  <c r="Q280" i="34" s="1"/>
  <c r="R280" i="34" s="1"/>
  <c r="S280" i="34" s="1"/>
  <c r="T280" i="34" s="1"/>
  <c r="U280" i="34" s="1"/>
  <c r="V280" i="34" s="1"/>
  <c r="W280" i="34" s="1"/>
  <c r="X280" i="34" s="1"/>
  <c r="Y280" i="34" s="1"/>
  <c r="Z280" i="34" s="1"/>
  <c r="B280" i="34"/>
  <c r="B281" i="34" s="1"/>
  <c r="B282" i="34" s="1"/>
  <c r="H273" i="34"/>
  <c r="M268" i="34"/>
  <c r="N268" i="34" s="1"/>
  <c r="O268" i="34" s="1"/>
  <c r="P268" i="34" s="1"/>
  <c r="Q268" i="34" s="1"/>
  <c r="R268" i="34" s="1"/>
  <c r="S268" i="34" s="1"/>
  <c r="T268" i="34" s="1"/>
  <c r="U268" i="34" s="1"/>
  <c r="V268" i="34" s="1"/>
  <c r="W268" i="34" s="1"/>
  <c r="X268" i="34" s="1"/>
  <c r="Y268" i="34" s="1"/>
  <c r="Z268" i="34" s="1"/>
  <c r="B268" i="34"/>
  <c r="B269" i="34" s="1"/>
  <c r="B270" i="34" s="1"/>
  <c r="B271" i="34" s="1"/>
  <c r="B272" i="34" s="1"/>
  <c r="B273"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278" i="34"/>
  <c r="N278" i="34" s="1"/>
  <c r="O278" i="34" s="1"/>
  <c r="P278" i="34" s="1"/>
  <c r="Q278" i="34" s="1"/>
  <c r="R278" i="34" s="1"/>
  <c r="S278" i="34" s="1"/>
  <c r="T278" i="34" s="1"/>
  <c r="U278" i="34" s="1"/>
  <c r="V278" i="34" s="1"/>
  <c r="W278" i="34" s="1"/>
  <c r="X278" i="34" s="1"/>
  <c r="Y278" i="34" s="1"/>
  <c r="Z278" i="34" s="1"/>
  <c r="M277" i="34"/>
  <c r="N277" i="34" s="1"/>
  <c r="O277" i="34" s="1"/>
  <c r="P277" i="34" s="1"/>
  <c r="Q277" i="34" s="1"/>
  <c r="R277" i="34" s="1"/>
  <c r="S277" i="34" s="1"/>
  <c r="T277" i="34" s="1"/>
  <c r="U277" i="34" s="1"/>
  <c r="V277" i="34" s="1"/>
  <c r="W277" i="34" s="1"/>
  <c r="X277" i="34" s="1"/>
  <c r="Y277" i="34" s="1"/>
  <c r="Z277" i="34" s="1"/>
  <c r="B277" i="34"/>
  <c r="B278" i="34" s="1"/>
  <c r="B279" i="34" s="1"/>
  <c r="H267" i="34"/>
  <c r="M262" i="34"/>
  <c r="N262" i="34" s="1"/>
  <c r="O262" i="34" s="1"/>
  <c r="P262" i="34" s="1"/>
  <c r="Q262" i="34" s="1"/>
  <c r="R262" i="34" s="1"/>
  <c r="S262" i="34" s="1"/>
  <c r="T262" i="34" s="1"/>
  <c r="U262" i="34" s="1"/>
  <c r="V262" i="34" s="1"/>
  <c r="W262" i="34" s="1"/>
  <c r="X262" i="34" s="1"/>
  <c r="Y262" i="34" s="1"/>
  <c r="Z262" i="34" s="1"/>
  <c r="C262" i="34"/>
  <c r="B262" i="34" s="1"/>
  <c r="B263" i="34" s="1"/>
  <c r="B264" i="34" l="1"/>
  <c r="B265" i="34" s="1"/>
  <c r="B266" i="34" s="1"/>
  <c r="B267" i="34" s="1"/>
  <c r="M12" i="5"/>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58" i="31"/>
  <c r="AB58" i="31" s="1"/>
  <c r="N46" i="31"/>
  <c r="AB46" i="31" s="1"/>
  <c r="N524" i="31"/>
  <c r="AB524" i="31" s="1"/>
  <c r="N513" i="31"/>
  <c r="AB513" i="31" s="1"/>
  <c r="N502" i="3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AB502" i="31" l="1"/>
  <c r="N227" i="31"/>
  <c r="N239" i="31"/>
  <c r="N251" i="31"/>
  <c r="N277" i="31"/>
  <c r="N264" i="31"/>
  <c r="N290" i="31"/>
  <c r="N315" i="31"/>
  <c r="N329" i="31"/>
  <c r="N303" i="31"/>
  <c r="U502" i="31"/>
  <c r="O46" i="31"/>
  <c r="Q46" i="31"/>
  <c r="W46" i="31"/>
  <c r="Q524" i="31"/>
  <c r="Q58" i="31"/>
  <c r="Q513" i="31"/>
  <c r="U524" i="31"/>
  <c r="U58" i="31"/>
  <c r="Q502" i="31"/>
  <c r="U513" i="31"/>
  <c r="Y46" i="31"/>
  <c r="S35" i="28"/>
  <c r="N47" i="28"/>
  <c r="Q30" i="55"/>
  <c r="Q42" i="4"/>
  <c r="Q73" i="4"/>
  <c r="O35" i="28"/>
  <c r="T35" i="28"/>
  <c r="Y35" i="28"/>
  <c r="N61" i="28"/>
  <c r="X35" i="28"/>
  <c r="U30" i="55"/>
  <c r="U42" i="4"/>
  <c r="U73" i="4"/>
  <c r="P35" i="28"/>
  <c r="U35" i="28"/>
  <c r="AA35" i="28"/>
  <c r="Y502" i="31"/>
  <c r="Y513" i="31"/>
  <c r="Y524" i="31"/>
  <c r="S46" i="31"/>
  <c r="AA46" i="31"/>
  <c r="Y58" i="31"/>
  <c r="Y30" i="55"/>
  <c r="Y42" i="4"/>
  <c r="Y73" i="4"/>
  <c r="Q35" i="28"/>
  <c r="W35" i="28"/>
  <c r="AB35" i="28"/>
  <c r="U46"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V303" i="31" l="1"/>
  <c r="R303" i="31"/>
  <c r="S303" i="31"/>
  <c r="Q303" i="31"/>
  <c r="T303" i="31"/>
  <c r="U303" i="31"/>
  <c r="W303" i="31"/>
  <c r="X303" i="31"/>
  <c r="Y303" i="31"/>
  <c r="Z303" i="31"/>
  <c r="AA303" i="31"/>
  <c r="AB303" i="31"/>
  <c r="O303" i="31"/>
  <c r="P303" i="31"/>
  <c r="V329" i="31"/>
  <c r="AA329" i="31"/>
  <c r="O329" i="31"/>
  <c r="AB329" i="31"/>
  <c r="P329" i="31"/>
  <c r="Q329" i="31"/>
  <c r="R329" i="31"/>
  <c r="S329" i="31"/>
  <c r="T329" i="31"/>
  <c r="U329" i="31"/>
  <c r="X329" i="31"/>
  <c r="W329" i="31"/>
  <c r="Y329" i="31"/>
  <c r="Z329" i="31"/>
  <c r="O315" i="31"/>
  <c r="AA315" i="31"/>
  <c r="AB315" i="31"/>
  <c r="P315" i="31"/>
  <c r="S315" i="31"/>
  <c r="T315" i="31"/>
  <c r="U315" i="31"/>
  <c r="V315" i="31"/>
  <c r="W315" i="31"/>
  <c r="X315" i="31"/>
  <c r="Z315" i="31"/>
  <c r="Y315" i="31"/>
  <c r="Q315" i="31"/>
  <c r="R315" i="31"/>
  <c r="V290" i="31"/>
  <c r="R290" i="31"/>
  <c r="T290" i="31"/>
  <c r="W290" i="31"/>
  <c r="AA290" i="31"/>
  <c r="O290" i="31"/>
  <c r="AB290" i="31"/>
  <c r="P290" i="31"/>
  <c r="Q290" i="31"/>
  <c r="S290" i="31"/>
  <c r="U290" i="31"/>
  <c r="X290" i="31"/>
  <c r="Y290" i="31"/>
  <c r="Z290" i="31"/>
  <c r="S264" i="31"/>
  <c r="P264" i="31"/>
  <c r="AB264" i="31"/>
  <c r="T264" i="31"/>
  <c r="R264" i="31"/>
  <c r="U264" i="31"/>
  <c r="V264" i="31"/>
  <c r="W264" i="31"/>
  <c r="Y264" i="31"/>
  <c r="O264" i="31"/>
  <c r="Q264" i="31"/>
  <c r="X264" i="31"/>
  <c r="Z264" i="31"/>
  <c r="AA264" i="31"/>
  <c r="V277" i="31"/>
  <c r="Z277" i="31"/>
  <c r="AA277" i="31"/>
  <c r="O277" i="31"/>
  <c r="AB277" i="31"/>
  <c r="Q277" i="31"/>
  <c r="U277" i="31"/>
  <c r="W277" i="31"/>
  <c r="P277" i="31"/>
  <c r="R277" i="31"/>
  <c r="S277" i="31"/>
  <c r="T277" i="31"/>
  <c r="X277" i="31"/>
  <c r="Y277" i="31"/>
  <c r="P251" i="31"/>
  <c r="AB251" i="31"/>
  <c r="AA251" i="31"/>
  <c r="X251" i="31"/>
  <c r="Z251" i="31"/>
  <c r="U251" i="31"/>
  <c r="V251" i="31"/>
  <c r="W251" i="31"/>
  <c r="Y251" i="31"/>
  <c r="O251" i="31"/>
  <c r="Q251" i="31"/>
  <c r="R251" i="31"/>
  <c r="S251" i="31"/>
  <c r="T251" i="31"/>
  <c r="R239" i="31"/>
  <c r="T239" i="31"/>
  <c r="AB239" i="31"/>
  <c r="Y239" i="31"/>
  <c r="W239" i="31"/>
  <c r="Q239" i="31"/>
  <c r="S239" i="31"/>
  <c r="U239" i="31"/>
  <c r="V239" i="31"/>
  <c r="X239" i="31"/>
  <c r="Z239" i="31"/>
  <c r="AA239" i="31"/>
  <c r="O239" i="31"/>
  <c r="P239" i="31"/>
  <c r="W227" i="31"/>
  <c r="Y227" i="31"/>
  <c r="AB227" i="31"/>
  <c r="X227" i="31"/>
  <c r="S227" i="31"/>
  <c r="P227" i="31"/>
  <c r="Q227" i="31"/>
  <c r="R227" i="31"/>
  <c r="T227" i="31"/>
  <c r="U227" i="31"/>
  <c r="V227" i="31"/>
  <c r="Z227" i="31"/>
  <c r="AA227" i="31"/>
  <c r="O227" i="31"/>
  <c r="R338" i="46"/>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5" i="36" l="1"/>
  <c r="X44" i="36"/>
  <c r="X43" i="36"/>
  <c r="X42" i="36"/>
  <c r="X41" i="36"/>
  <c r="X40" i="36"/>
  <c r="X38" i="36"/>
  <c r="X37" i="36"/>
  <c r="X36" i="36"/>
  <c r="X34"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AJ74" i="35"/>
  <c r="AI74" i="35"/>
  <c r="AH74" i="35"/>
  <c r="AG74" i="35"/>
  <c r="AF74" i="35"/>
  <c r="AE74" i="35"/>
  <c r="AD74" i="35"/>
  <c r="AC74" i="35"/>
  <c r="AB74" i="35"/>
  <c r="AA74" i="35"/>
  <c r="Z74" i="35"/>
  <c r="Y74" i="35"/>
  <c r="X74" i="35"/>
  <c r="W74" i="35"/>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S186" i="45"/>
  <c r="B61" i="45"/>
  <c r="B61" i="35" s="1"/>
  <c r="D151" i="35"/>
  <c r="S151" i="35"/>
  <c r="B42" i="35"/>
  <c r="B58" i="45"/>
  <c r="B68" i="35"/>
  <c r="B84" i="45"/>
  <c r="B81" i="45"/>
  <c r="B83" i="45"/>
  <c r="B50" i="35"/>
  <c r="B66" i="45"/>
  <c r="B76" i="45"/>
  <c r="B60" i="35"/>
  <c r="B63" i="35"/>
  <c r="B79" i="45"/>
  <c r="B46" i="35"/>
  <c r="B62" i="45"/>
  <c r="B75" i="45"/>
  <c r="B59" i="35"/>
  <c r="B77" i="45" l="1"/>
  <c r="B80" i="45"/>
  <c r="B96" i="45" s="1"/>
  <c r="B69" i="35"/>
  <c r="B75" i="35"/>
  <c r="B91" i="45"/>
  <c r="B76" i="35"/>
  <c r="B92" i="45"/>
  <c r="B62" i="35"/>
  <c r="B78" i="45"/>
  <c r="B80"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N252" i="31" s="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N214" i="31" l="1"/>
  <c r="N278" i="31"/>
  <c r="N316" i="31"/>
  <c r="N265" i="31"/>
  <c r="N291" i="31"/>
  <c r="N330" i="31"/>
  <c r="Z32" i="31"/>
  <c r="N428" i="31"/>
  <c r="N467" i="31"/>
  <c r="N363" i="31"/>
  <c r="N166" i="31"/>
  <c r="N59" i="31"/>
  <c r="N126" i="31"/>
  <c r="U35" i="31"/>
  <c r="T33" i="31"/>
  <c r="N98" i="31"/>
  <c r="N86" i="26"/>
  <c r="N154" i="26"/>
  <c r="N114" i="26"/>
  <c r="O34" i="31"/>
  <c r="O85" i="31" s="1"/>
  <c r="N85" i="31"/>
  <c r="Y19" i="4"/>
  <c r="N43" i="4"/>
  <c r="N74" i="4"/>
  <c r="N401" i="31"/>
  <c r="N140" i="31"/>
  <c r="N481" i="31"/>
  <c r="N414" i="31"/>
  <c r="N180" i="31"/>
  <c r="N442"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2" i="36"/>
  <c r="E31"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B513" i="31"/>
  <c r="B514" i="31" s="1"/>
  <c r="B515" i="31" s="1"/>
  <c r="B516" i="31" s="1"/>
  <c r="B517" i="31" s="1"/>
  <c r="B518" i="31" s="1"/>
  <c r="B519" i="31" s="1"/>
  <c r="B520" i="31" s="1"/>
  <c r="B521" i="31" s="1"/>
  <c r="B522" i="31" s="1"/>
  <c r="B523" i="31" s="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AA291" i="31" l="1"/>
  <c r="AA330" i="31"/>
  <c r="AA265" i="31"/>
  <c r="X265" i="31"/>
  <c r="X291" i="31"/>
  <c r="X330" i="31"/>
  <c r="W265" i="31"/>
  <c r="W291" i="31"/>
  <c r="W330" i="31"/>
  <c r="S265" i="31"/>
  <c r="S291" i="31"/>
  <c r="S330" i="31"/>
  <c r="P265" i="31"/>
  <c r="P330" i="31"/>
  <c r="P291" i="31"/>
  <c r="T265" i="31"/>
  <c r="T291" i="31"/>
  <c r="T330" i="31"/>
  <c r="Y291" i="31"/>
  <c r="Y265" i="31"/>
  <c r="Y330" i="31"/>
  <c r="U265" i="31"/>
  <c r="U291" i="31"/>
  <c r="U330" i="31"/>
  <c r="Q265" i="31"/>
  <c r="Q291" i="31"/>
  <c r="Q330" i="31"/>
  <c r="V291" i="31"/>
  <c r="V330" i="31"/>
  <c r="V265" i="31"/>
  <c r="Z265" i="31"/>
  <c r="Z330" i="31"/>
  <c r="Z291" i="31"/>
  <c r="R265" i="31"/>
  <c r="R291" i="31"/>
  <c r="R330" i="31"/>
  <c r="AB265" i="31"/>
  <c r="AB291" i="31"/>
  <c r="AB330" i="31"/>
  <c r="S180" i="35"/>
  <c r="O180" i="35"/>
  <c r="K180" i="35"/>
  <c r="K181" i="35" s="1"/>
  <c r="G180" i="35"/>
  <c r="G181" i="35" s="1"/>
  <c r="R180" i="35"/>
  <c r="R181" i="35" s="1"/>
  <c r="N180" i="35"/>
  <c r="N181" i="35" s="1"/>
  <c r="J180" i="35"/>
  <c r="J181" i="35" s="1"/>
  <c r="F180" i="35"/>
  <c r="F181" i="35" s="1"/>
  <c r="Q180" i="35"/>
  <c r="Q181" i="35" s="1"/>
  <c r="I180" i="35"/>
  <c r="P180" i="35"/>
  <c r="P181" i="35" s="1"/>
  <c r="H180" i="35"/>
  <c r="L180" i="35"/>
  <c r="L181" i="35" s="1"/>
  <c r="D180" i="35"/>
  <c r="M180" i="35"/>
  <c r="M181" i="35" s="1"/>
  <c r="E180" i="35"/>
  <c r="E181" i="35" s="1"/>
  <c r="S43" i="4"/>
  <c r="S74" i="4"/>
  <c r="R43" i="4"/>
  <c r="R74" i="4"/>
  <c r="Y481" i="31"/>
  <c r="Y112" i="31"/>
  <c r="Y180" i="31"/>
  <c r="Y140" i="31"/>
  <c r="Y414" i="31"/>
  <c r="Y442" i="31"/>
  <c r="W414" i="31"/>
  <c r="W180" i="31"/>
  <c r="W112" i="31"/>
  <c r="W442" i="31"/>
  <c r="W481" i="31"/>
  <c r="W140" i="31"/>
  <c r="X74" i="4"/>
  <c r="X43" i="4"/>
  <c r="S414" i="31"/>
  <c r="S180" i="31"/>
  <c r="S442" i="31"/>
  <c r="S481" i="31"/>
  <c r="S112" i="31"/>
  <c r="S140" i="31"/>
  <c r="Q481" i="31"/>
  <c r="Q112" i="31"/>
  <c r="Q180" i="31"/>
  <c r="Q140" i="31"/>
  <c r="Q414" i="31"/>
  <c r="Q442" i="31"/>
  <c r="T442" i="31"/>
  <c r="T414" i="31"/>
  <c r="T481" i="31"/>
  <c r="T112" i="31"/>
  <c r="T140" i="31"/>
  <c r="T180" i="31"/>
  <c r="P442" i="31"/>
  <c r="P140" i="31"/>
  <c r="P48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140" i="31"/>
  <c r="V481" i="31"/>
  <c r="V414" i="31"/>
  <c r="V180" i="31"/>
  <c r="V442" i="31"/>
  <c r="V112" i="31"/>
  <c r="Z140" i="31"/>
  <c r="Z414" i="31"/>
  <c r="Z180" i="31"/>
  <c r="Z442" i="31"/>
  <c r="Z481" i="31"/>
  <c r="Z112" i="31"/>
  <c r="X442" i="31"/>
  <c r="X140" i="31"/>
  <c r="X180" i="31"/>
  <c r="X481" i="31"/>
  <c r="X112" i="31"/>
  <c r="X414" i="31"/>
  <c r="AB442" i="31"/>
  <c r="AB414" i="31"/>
  <c r="AB481" i="31"/>
  <c r="AB112" i="31"/>
  <c r="AB140" i="31"/>
  <c r="AB180" i="31"/>
  <c r="U481" i="31"/>
  <c r="U112" i="31"/>
  <c r="U414" i="31"/>
  <c r="U442" i="31"/>
  <c r="U140" i="31"/>
  <c r="U180"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140" i="31"/>
  <c r="R414" i="31"/>
  <c r="R180" i="31"/>
  <c r="R442" i="31"/>
  <c r="R481" i="31"/>
  <c r="R112" i="31"/>
  <c r="AA414" i="31"/>
  <c r="AA180" i="31"/>
  <c r="AA481" i="31"/>
  <c r="AA442"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S83" i="35"/>
  <c r="S82" i="35"/>
  <c r="S80" i="35"/>
  <c r="U54" i="4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4" i="36"/>
  <c r="E43" i="36"/>
  <c r="E42" i="36"/>
  <c r="D20" i="53"/>
  <c r="D19" i="53"/>
  <c r="D18" i="53"/>
  <c r="S96" i="35" l="1"/>
  <c r="S16" i="35"/>
  <c r="D98" i="35"/>
  <c r="S98" i="35" s="1"/>
  <c r="D18" i="35"/>
  <c r="S18" i="35" s="1"/>
  <c r="S99" i="35"/>
  <c r="S19" i="35"/>
  <c r="U86" i="35"/>
  <c r="R69" i="35"/>
  <c r="S69" i="35"/>
  <c r="K85" i="35"/>
  <c r="L85" i="35"/>
  <c r="E85" i="35"/>
  <c r="F85" i="35"/>
  <c r="R85" i="35"/>
  <c r="O85" i="35"/>
  <c r="P85" i="35"/>
  <c r="I85" i="35"/>
  <c r="J85" i="35"/>
  <c r="G85" i="35"/>
  <c r="H85" i="35"/>
  <c r="Q85" i="35"/>
  <c r="D85" i="35"/>
  <c r="M85" i="35"/>
  <c r="N85" i="35"/>
  <c r="S85" i="35"/>
  <c r="D102" i="35"/>
  <c r="S58" i="35"/>
  <c r="BF502" i="31"/>
  <c r="L156" i="35"/>
  <c r="BJ502" i="31"/>
  <c r="Q156" i="35"/>
  <c r="P156" i="35"/>
  <c r="O112" i="35"/>
  <c r="Y283" i="31" s="1"/>
  <c r="K112" i="35"/>
  <c r="U283" i="31" s="1"/>
  <c r="G112" i="35"/>
  <c r="Q283" i="31" s="1"/>
  <c r="R112" i="35"/>
  <c r="AB283" i="31" s="1"/>
  <c r="N112" i="35"/>
  <c r="X283" i="31" s="1"/>
  <c r="J112" i="35"/>
  <c r="T283" i="31" s="1"/>
  <c r="F112" i="35"/>
  <c r="P283" i="31" s="1"/>
  <c r="Q112" i="35"/>
  <c r="AA283" i="31" s="1"/>
  <c r="I112" i="35"/>
  <c r="S283" i="31" s="1"/>
  <c r="H112" i="35"/>
  <c r="R283" i="31" s="1"/>
  <c r="E112" i="35"/>
  <c r="O283" i="31" s="1"/>
  <c r="P112" i="35"/>
  <c r="Z283" i="31" s="1"/>
  <c r="M112" i="35"/>
  <c r="W283" i="31" s="1"/>
  <c r="L112" i="35"/>
  <c r="V283" i="31" s="1"/>
  <c r="D112" i="35"/>
  <c r="N283" i="31" s="1"/>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13" i="35"/>
  <c r="Y296" i="31" s="1"/>
  <c r="K113" i="35"/>
  <c r="U296" i="31" s="1"/>
  <c r="G113" i="35"/>
  <c r="Q296" i="31" s="1"/>
  <c r="R113" i="35"/>
  <c r="AB296" i="31" s="1"/>
  <c r="N113" i="35"/>
  <c r="X296" i="31" s="1"/>
  <c r="J113" i="35"/>
  <c r="T296" i="31" s="1"/>
  <c r="F113" i="35"/>
  <c r="P296" i="31" s="1"/>
  <c r="Q113" i="35"/>
  <c r="AA296" i="31" s="1"/>
  <c r="I113" i="35"/>
  <c r="S296" i="31" s="1"/>
  <c r="P113" i="35"/>
  <c r="Z296" i="31" s="1"/>
  <c r="H113" i="35"/>
  <c r="R296" i="31" s="1"/>
  <c r="E113" i="35"/>
  <c r="O296" i="31" s="1"/>
  <c r="D113" i="35"/>
  <c r="N296" i="31" s="1"/>
  <c r="M113" i="35"/>
  <c r="W296" i="31" s="1"/>
  <c r="L113" i="35"/>
  <c r="V296" i="31" s="1"/>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Y257" i="31" s="1"/>
  <c r="K110" i="35"/>
  <c r="U257" i="31" s="1"/>
  <c r="G110" i="35"/>
  <c r="Q257" i="31" s="1"/>
  <c r="R110" i="35"/>
  <c r="AB257" i="31" s="1"/>
  <c r="Q110" i="35"/>
  <c r="AA257" i="31" s="1"/>
  <c r="L110" i="35"/>
  <c r="V257" i="31" s="1"/>
  <c r="F110" i="35"/>
  <c r="P257" i="31" s="1"/>
  <c r="P110" i="35"/>
  <c r="Z257" i="31" s="1"/>
  <c r="E110" i="35"/>
  <c r="O257" i="31" s="1"/>
  <c r="N110" i="35"/>
  <c r="X257" i="31" s="1"/>
  <c r="M110" i="35"/>
  <c r="W257" i="31" s="1"/>
  <c r="J110" i="35"/>
  <c r="T257" i="31" s="1"/>
  <c r="I110" i="35"/>
  <c r="S257" i="31" s="1"/>
  <c r="D110" i="35"/>
  <c r="N257" i="31" s="1"/>
  <c r="H110" i="35"/>
  <c r="R257" i="31" s="1"/>
  <c r="O114" i="35"/>
  <c r="Y308" i="31" s="1"/>
  <c r="K114" i="35"/>
  <c r="U308" i="31" s="1"/>
  <c r="G114" i="35"/>
  <c r="Q308" i="31" s="1"/>
  <c r="R114" i="35"/>
  <c r="AB308" i="31" s="1"/>
  <c r="N114" i="35"/>
  <c r="X308" i="31" s="1"/>
  <c r="J114" i="35"/>
  <c r="T308" i="31" s="1"/>
  <c r="F114" i="35"/>
  <c r="P308" i="31" s="1"/>
  <c r="Q114" i="35"/>
  <c r="AA308" i="31" s="1"/>
  <c r="I114" i="35"/>
  <c r="S308" i="31" s="1"/>
  <c r="P114" i="35"/>
  <c r="Z308" i="31" s="1"/>
  <c r="H114" i="35"/>
  <c r="R308" i="31" s="1"/>
  <c r="M114" i="35"/>
  <c r="W308" i="31" s="1"/>
  <c r="E114" i="35"/>
  <c r="O308" i="31" s="1"/>
  <c r="D114" i="35"/>
  <c r="N308" i="31" s="1"/>
  <c r="L114" i="35"/>
  <c r="V308" i="31" s="1"/>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Y232" i="31" s="1"/>
  <c r="K108" i="35"/>
  <c r="U232" i="31" s="1"/>
  <c r="G108" i="35"/>
  <c r="Q232" i="31" s="1"/>
  <c r="Q108" i="35"/>
  <c r="AA232" i="31" s="1"/>
  <c r="L108" i="35"/>
  <c r="V232" i="31" s="1"/>
  <c r="F108" i="35"/>
  <c r="P232" i="31" s="1"/>
  <c r="J108" i="35"/>
  <c r="T232" i="31" s="1"/>
  <c r="E108" i="35"/>
  <c r="O232" i="31" s="1"/>
  <c r="I108" i="35"/>
  <c r="S232" i="31" s="1"/>
  <c r="R108" i="35"/>
  <c r="AB232" i="31" s="1"/>
  <c r="H108" i="35"/>
  <c r="R232" i="31" s="1"/>
  <c r="P108" i="35"/>
  <c r="Z232" i="31" s="1"/>
  <c r="N108" i="35"/>
  <c r="X232" i="31" s="1"/>
  <c r="D108" i="35"/>
  <c r="N232" i="31" s="1"/>
  <c r="M108" i="35"/>
  <c r="W232" i="31" s="1"/>
  <c r="O116" i="35"/>
  <c r="Y335" i="31" s="1"/>
  <c r="K116" i="35"/>
  <c r="U335" i="31" s="1"/>
  <c r="G116" i="35"/>
  <c r="Q335" i="31" s="1"/>
  <c r="R116" i="35"/>
  <c r="AB335" i="31" s="1"/>
  <c r="N116" i="35"/>
  <c r="X335" i="31" s="1"/>
  <c r="J116" i="35"/>
  <c r="T335" i="31" s="1"/>
  <c r="F116" i="35"/>
  <c r="P335" i="31" s="1"/>
  <c r="Q116" i="35"/>
  <c r="AA335" i="31" s="1"/>
  <c r="I116" i="35"/>
  <c r="S335" i="31" s="1"/>
  <c r="P116" i="35"/>
  <c r="Z335" i="31" s="1"/>
  <c r="H116" i="35"/>
  <c r="R335" i="31" s="1"/>
  <c r="E116" i="35"/>
  <c r="O335" i="31" s="1"/>
  <c r="L116" i="35"/>
  <c r="V335" i="31" s="1"/>
  <c r="D116" i="35"/>
  <c r="N335" i="31" s="1"/>
  <c r="M116" i="35"/>
  <c r="W335" i="31" s="1"/>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Y244" i="31" s="1"/>
  <c r="K109" i="35"/>
  <c r="U244" i="31" s="1"/>
  <c r="G109" i="35"/>
  <c r="Q244" i="31" s="1"/>
  <c r="Q109" i="35"/>
  <c r="AA244" i="31" s="1"/>
  <c r="L109" i="35"/>
  <c r="V244" i="31" s="1"/>
  <c r="F109" i="35"/>
  <c r="P244" i="31" s="1"/>
  <c r="P109" i="35"/>
  <c r="Z244" i="31" s="1"/>
  <c r="J109" i="35"/>
  <c r="T244" i="31" s="1"/>
  <c r="E109" i="35"/>
  <c r="O244" i="31" s="1"/>
  <c r="N109" i="35"/>
  <c r="X244" i="31" s="1"/>
  <c r="D109" i="35"/>
  <c r="N244" i="31" s="1"/>
  <c r="R109" i="35"/>
  <c r="AB244" i="31" s="1"/>
  <c r="H109" i="35"/>
  <c r="R244" i="31" s="1"/>
  <c r="I109" i="35"/>
  <c r="S244" i="31" s="1"/>
  <c r="M109" i="35"/>
  <c r="W244" i="31" s="1"/>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Y206" i="31" s="1"/>
  <c r="K106" i="35"/>
  <c r="U206" i="31" s="1"/>
  <c r="G106" i="35"/>
  <c r="Q206" i="31" s="1"/>
  <c r="Q106" i="35"/>
  <c r="AA206" i="31" s="1"/>
  <c r="L106" i="35"/>
  <c r="V206" i="31" s="1"/>
  <c r="F106" i="35"/>
  <c r="P206" i="31" s="1"/>
  <c r="P106" i="35"/>
  <c r="Z206" i="31" s="1"/>
  <c r="J106" i="35"/>
  <c r="T206" i="31" s="1"/>
  <c r="I106" i="35"/>
  <c r="S206" i="31" s="1"/>
  <c r="R106" i="35"/>
  <c r="AB206" i="31" s="1"/>
  <c r="H106" i="35"/>
  <c r="R206" i="31" s="1"/>
  <c r="E106" i="35"/>
  <c r="O206" i="31" s="1"/>
  <c r="N106" i="35"/>
  <c r="X206" i="31" s="1"/>
  <c r="D106" i="35"/>
  <c r="N206" i="31" s="1"/>
  <c r="M106" i="35"/>
  <c r="W206" i="31" s="1"/>
  <c r="O111" i="35"/>
  <c r="Y270" i="31" s="1"/>
  <c r="K111" i="35"/>
  <c r="U270" i="31" s="1"/>
  <c r="G111" i="35"/>
  <c r="Q270" i="31" s="1"/>
  <c r="R111" i="35"/>
  <c r="AB270" i="31" s="1"/>
  <c r="F111" i="35"/>
  <c r="P270" i="31" s="1"/>
  <c r="N111" i="35"/>
  <c r="X270" i="31" s="1"/>
  <c r="J111" i="35"/>
  <c r="T270" i="31" s="1"/>
  <c r="Q111" i="35"/>
  <c r="AA270" i="31" s="1"/>
  <c r="I111" i="35"/>
  <c r="S270" i="31" s="1"/>
  <c r="P111" i="35"/>
  <c r="Z270" i="31" s="1"/>
  <c r="H111" i="35"/>
  <c r="R270" i="31" s="1"/>
  <c r="L111" i="35"/>
  <c r="V270" i="31" s="1"/>
  <c r="M111" i="35"/>
  <c r="W270" i="31" s="1"/>
  <c r="E111" i="35"/>
  <c r="O270" i="31" s="1"/>
  <c r="D111" i="35"/>
  <c r="N270" i="31" s="1"/>
  <c r="O115" i="35"/>
  <c r="Y322" i="31" s="1"/>
  <c r="K115" i="35"/>
  <c r="U322" i="31" s="1"/>
  <c r="G115" i="35"/>
  <c r="Q322" i="31" s="1"/>
  <c r="R115" i="35"/>
  <c r="AB322" i="31" s="1"/>
  <c r="N115" i="35"/>
  <c r="X322" i="31" s="1"/>
  <c r="J115" i="35"/>
  <c r="T322" i="31" s="1"/>
  <c r="F115" i="35"/>
  <c r="P322" i="31" s="1"/>
  <c r="Q115" i="35"/>
  <c r="AA322" i="31" s="1"/>
  <c r="I115" i="35"/>
  <c r="S322" i="31" s="1"/>
  <c r="P115" i="35"/>
  <c r="Z322" i="31" s="1"/>
  <c r="M115" i="35"/>
  <c r="W322" i="31" s="1"/>
  <c r="D115" i="35"/>
  <c r="N322" i="31" s="1"/>
  <c r="H115" i="35"/>
  <c r="R322" i="31" s="1"/>
  <c r="E115" i="35"/>
  <c r="O322" i="31" s="1"/>
  <c r="L115" i="35"/>
  <c r="V322" i="31" s="1"/>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S70" i="35" l="1"/>
  <c r="AA323" i="31"/>
  <c r="AA325" i="31"/>
  <c r="AA327" i="31"/>
  <c r="AA324" i="31"/>
  <c r="AA328" i="31"/>
  <c r="AA326" i="31"/>
  <c r="R274" i="31"/>
  <c r="R271" i="31"/>
  <c r="R276" i="31"/>
  <c r="R273" i="31"/>
  <c r="R275" i="31"/>
  <c r="R272" i="31"/>
  <c r="N207" i="31"/>
  <c r="N211" i="31"/>
  <c r="N210" i="31"/>
  <c r="N212" i="31"/>
  <c r="N208" i="31"/>
  <c r="N209" i="31"/>
  <c r="U211" i="31"/>
  <c r="U209" i="31"/>
  <c r="U212" i="31"/>
  <c r="U207" i="31"/>
  <c r="U208" i="31"/>
  <c r="U210" i="31"/>
  <c r="AB246" i="31"/>
  <c r="AB249" i="31"/>
  <c r="AB250" i="31"/>
  <c r="AB247" i="31"/>
  <c r="AB248" i="31"/>
  <c r="AB245" i="31"/>
  <c r="S336" i="31"/>
  <c r="S337" i="31"/>
  <c r="S338" i="31"/>
  <c r="S339" i="31"/>
  <c r="S340" i="31"/>
  <c r="S341" i="31"/>
  <c r="Z234" i="31"/>
  <c r="Z233" i="31"/>
  <c r="Z238" i="31"/>
  <c r="Z236" i="31"/>
  <c r="Z237" i="31"/>
  <c r="Z235" i="31"/>
  <c r="AB313" i="31"/>
  <c r="AB310" i="31"/>
  <c r="AB314" i="31"/>
  <c r="AB312" i="31"/>
  <c r="AB309" i="31"/>
  <c r="AB311" i="31"/>
  <c r="P260" i="31"/>
  <c r="P262" i="31"/>
  <c r="P259" i="31"/>
  <c r="P258" i="31"/>
  <c r="P263" i="31"/>
  <c r="P261" i="31"/>
  <c r="N300" i="31"/>
  <c r="N302" i="31"/>
  <c r="N297" i="31"/>
  <c r="N301" i="31"/>
  <c r="N298" i="31"/>
  <c r="N299" i="31"/>
  <c r="Y301" i="31"/>
  <c r="Y298" i="31"/>
  <c r="Y300" i="31"/>
  <c r="Y297" i="31"/>
  <c r="Y299" i="31"/>
  <c r="Y302" i="31"/>
  <c r="O286" i="31"/>
  <c r="O289" i="31"/>
  <c r="O285" i="31"/>
  <c r="O284" i="31"/>
  <c r="O287" i="31"/>
  <c r="O288" i="31"/>
  <c r="P323" i="31"/>
  <c r="P327" i="31"/>
  <c r="P325" i="31"/>
  <c r="P326" i="31"/>
  <c r="P324" i="31"/>
  <c r="P328" i="31"/>
  <c r="Z274" i="31"/>
  <c r="Z276" i="31"/>
  <c r="Z273" i="31"/>
  <c r="Z271" i="31"/>
  <c r="Z275" i="31"/>
  <c r="Z272" i="31"/>
  <c r="X210" i="31"/>
  <c r="X211" i="31"/>
  <c r="X212" i="31"/>
  <c r="X208" i="31"/>
  <c r="X207" i="31"/>
  <c r="X209" i="31"/>
  <c r="Y207" i="31"/>
  <c r="Y212" i="31"/>
  <c r="Y209" i="31"/>
  <c r="Y211" i="31"/>
  <c r="Y210" i="31"/>
  <c r="Y208" i="31"/>
  <c r="N247" i="31"/>
  <c r="N245" i="31"/>
  <c r="N249" i="31"/>
  <c r="N248" i="31"/>
  <c r="N246" i="31"/>
  <c r="N250" i="31"/>
  <c r="AA336" i="31"/>
  <c r="AA337" i="31"/>
  <c r="AA338" i="31"/>
  <c r="AA339" i="31"/>
  <c r="AA340" i="31"/>
  <c r="AA341" i="31"/>
  <c r="R234" i="31"/>
  <c r="R238" i="31"/>
  <c r="R237" i="31"/>
  <c r="R236" i="31"/>
  <c r="R235" i="31"/>
  <c r="R233" i="31"/>
  <c r="V310" i="31"/>
  <c r="V314" i="31"/>
  <c r="V311" i="31"/>
  <c r="V313" i="31"/>
  <c r="V312" i="31"/>
  <c r="V309" i="31"/>
  <c r="Q314" i="31"/>
  <c r="Q312" i="31"/>
  <c r="Q311" i="31"/>
  <c r="Q309" i="31"/>
  <c r="Q310" i="31"/>
  <c r="Q313" i="31"/>
  <c r="V263" i="31"/>
  <c r="V259" i="31"/>
  <c r="V260" i="31"/>
  <c r="V262" i="31"/>
  <c r="V261" i="31"/>
  <c r="V258" i="31"/>
  <c r="O300" i="31"/>
  <c r="O298" i="31"/>
  <c r="O301" i="31"/>
  <c r="O299" i="31"/>
  <c r="O297" i="31"/>
  <c r="O302" i="31"/>
  <c r="R289" i="31"/>
  <c r="R284" i="31"/>
  <c r="R288" i="31"/>
  <c r="R285" i="31"/>
  <c r="R287" i="31"/>
  <c r="R286" i="31"/>
  <c r="T324" i="31"/>
  <c r="T323" i="31"/>
  <c r="T327" i="31"/>
  <c r="T325" i="31"/>
  <c r="T326" i="31"/>
  <c r="T328" i="31"/>
  <c r="S275" i="31"/>
  <c r="S271" i="31"/>
  <c r="S274" i="31"/>
  <c r="S276" i="31"/>
  <c r="S273" i="31"/>
  <c r="S272" i="31"/>
  <c r="O210" i="31"/>
  <c r="O209" i="31"/>
  <c r="O211" i="31"/>
  <c r="O207" i="31"/>
  <c r="O208" i="31"/>
  <c r="O212" i="31"/>
  <c r="X245" i="31"/>
  <c r="X246" i="31"/>
  <c r="X247" i="31"/>
  <c r="X248" i="31"/>
  <c r="X249" i="31"/>
  <c r="X250" i="31"/>
  <c r="P340" i="31"/>
  <c r="P337" i="31"/>
  <c r="P338" i="31"/>
  <c r="P339" i="31"/>
  <c r="P336" i="31"/>
  <c r="P341" i="31"/>
  <c r="AB238" i="31"/>
  <c r="AB234" i="31"/>
  <c r="AB233" i="31"/>
  <c r="AB235" i="31"/>
  <c r="AB237" i="31"/>
  <c r="AB236" i="31"/>
  <c r="N309" i="31"/>
  <c r="N310" i="31"/>
  <c r="N313" i="31"/>
  <c r="N312" i="31"/>
  <c r="N311" i="31"/>
  <c r="N314" i="31"/>
  <c r="U313" i="31"/>
  <c r="U310" i="31"/>
  <c r="U314" i="31"/>
  <c r="U312" i="31"/>
  <c r="U309" i="31"/>
  <c r="U311" i="31"/>
  <c r="AA261" i="31"/>
  <c r="AA258" i="31"/>
  <c r="AA263" i="31"/>
  <c r="AA259" i="31"/>
  <c r="AA260" i="31"/>
  <c r="AA262" i="31"/>
  <c r="R302" i="31"/>
  <c r="R297" i="31"/>
  <c r="R298" i="31"/>
  <c r="R299" i="31"/>
  <c r="R300" i="31"/>
  <c r="R301" i="31"/>
  <c r="S285" i="31"/>
  <c r="S284" i="31"/>
  <c r="S289" i="31"/>
  <c r="S286" i="31"/>
  <c r="S288" i="31"/>
  <c r="S287" i="31"/>
  <c r="X326" i="31"/>
  <c r="X323" i="31"/>
  <c r="X324" i="31"/>
  <c r="X325" i="31"/>
  <c r="X327" i="31"/>
  <c r="X328" i="31"/>
  <c r="AA273" i="31"/>
  <c r="AA276" i="31"/>
  <c r="AA274" i="31"/>
  <c r="AA271" i="31"/>
  <c r="AA275" i="31"/>
  <c r="AA272" i="31"/>
  <c r="R209" i="31"/>
  <c r="R211" i="31"/>
  <c r="R212" i="31"/>
  <c r="R208" i="31"/>
  <c r="R210" i="31"/>
  <c r="R207" i="31"/>
  <c r="O248" i="31"/>
  <c r="O249" i="31"/>
  <c r="O250" i="31"/>
  <c r="O247" i="31"/>
  <c r="O245" i="31"/>
  <c r="O246" i="31"/>
  <c r="T338" i="31"/>
  <c r="T336" i="31"/>
  <c r="T341" i="31"/>
  <c r="T337" i="31"/>
  <c r="T339" i="31"/>
  <c r="T340" i="31"/>
  <c r="S238" i="31"/>
  <c r="S236" i="31"/>
  <c r="S235" i="31"/>
  <c r="S234" i="31"/>
  <c r="S233" i="31"/>
  <c r="S237" i="31"/>
  <c r="O309" i="31"/>
  <c r="O311" i="31"/>
  <c r="O310" i="31"/>
  <c r="O314" i="31"/>
  <c r="O312" i="31"/>
  <c r="O313" i="31"/>
  <c r="Y312" i="31"/>
  <c r="Y309" i="31"/>
  <c r="Y311" i="31"/>
  <c r="Y314" i="31"/>
  <c r="Y310" i="31"/>
  <c r="Y313" i="31"/>
  <c r="AB262" i="31"/>
  <c r="AB261" i="31"/>
  <c r="AB260" i="31"/>
  <c r="AB259" i="31"/>
  <c r="AB258" i="31"/>
  <c r="AB263" i="31"/>
  <c r="Z302" i="31"/>
  <c r="Z301" i="31"/>
  <c r="Z300" i="31"/>
  <c r="Z298" i="31"/>
  <c r="Z297" i="31"/>
  <c r="Z299" i="31"/>
  <c r="AA284" i="31"/>
  <c r="AA288" i="31"/>
  <c r="AA285" i="31"/>
  <c r="AA289" i="31"/>
  <c r="AA287" i="31"/>
  <c r="AA286" i="31"/>
  <c r="AB325" i="31"/>
  <c r="AB323" i="31"/>
  <c r="AB324" i="31"/>
  <c r="AB328" i="31"/>
  <c r="AB326" i="31"/>
  <c r="AB327" i="31"/>
  <c r="T271" i="31"/>
  <c r="T275" i="31"/>
  <c r="T276" i="31"/>
  <c r="T272" i="31"/>
  <c r="T274" i="31"/>
  <c r="T273" i="31"/>
  <c r="AB212" i="31"/>
  <c r="AB210" i="31"/>
  <c r="AB211" i="31"/>
  <c r="AB207" i="31"/>
  <c r="AB208" i="31"/>
  <c r="AB209" i="31"/>
  <c r="T250" i="31"/>
  <c r="T246" i="31"/>
  <c r="T245" i="31"/>
  <c r="T247" i="31"/>
  <c r="T248" i="31"/>
  <c r="T249" i="31"/>
  <c r="X337" i="31"/>
  <c r="X340" i="31"/>
  <c r="X336" i="31"/>
  <c r="X339" i="31"/>
  <c r="X341" i="31"/>
  <c r="X338" i="31"/>
  <c r="O236" i="31"/>
  <c r="O234" i="31"/>
  <c r="O237" i="31"/>
  <c r="O235" i="31"/>
  <c r="O238" i="31"/>
  <c r="O233" i="31"/>
  <c r="W312" i="31"/>
  <c r="W309" i="31"/>
  <c r="W313" i="31"/>
  <c r="W314" i="31"/>
  <c r="W310" i="31"/>
  <c r="W311" i="31"/>
  <c r="R260" i="31"/>
  <c r="R262" i="31"/>
  <c r="R263" i="31"/>
  <c r="R258" i="31"/>
  <c r="R261" i="31"/>
  <c r="R259" i="31"/>
  <c r="Q259" i="31"/>
  <c r="Q261" i="31"/>
  <c r="Q262" i="31"/>
  <c r="Q263" i="31"/>
  <c r="Q260" i="31"/>
  <c r="Q258" i="31"/>
  <c r="S302" i="31"/>
  <c r="S299" i="31"/>
  <c r="S300" i="31"/>
  <c r="S297" i="31"/>
  <c r="S301" i="31"/>
  <c r="S298" i="31"/>
  <c r="P289" i="31"/>
  <c r="P284" i="31"/>
  <c r="P288" i="31"/>
  <c r="P286" i="31"/>
  <c r="P285" i="31"/>
  <c r="P287" i="31"/>
  <c r="V324" i="31"/>
  <c r="V327" i="31"/>
  <c r="V323" i="31"/>
  <c r="V325" i="31"/>
  <c r="V326" i="31"/>
  <c r="V328" i="31"/>
  <c r="Q325" i="31"/>
  <c r="Q327" i="31"/>
  <c r="Q328" i="31"/>
  <c r="Q326" i="31"/>
  <c r="Q323" i="31"/>
  <c r="Q324" i="31"/>
  <c r="X274" i="31"/>
  <c r="X275" i="31"/>
  <c r="X272" i="31"/>
  <c r="X276" i="31"/>
  <c r="X271" i="31"/>
  <c r="X273" i="31"/>
  <c r="S207" i="31"/>
  <c r="S211" i="31"/>
  <c r="S209" i="31"/>
  <c r="S208" i="31"/>
  <c r="S210" i="31"/>
  <c r="S212" i="31"/>
  <c r="Z247" i="31"/>
  <c r="Z250" i="31"/>
  <c r="Z245" i="31"/>
  <c r="Z248" i="31"/>
  <c r="Z249" i="31"/>
  <c r="Z246" i="31"/>
  <c r="AB336" i="31"/>
  <c r="AB337" i="31"/>
  <c r="AB339" i="31"/>
  <c r="AB340" i="31"/>
  <c r="AB338" i="31"/>
  <c r="AB341" i="31"/>
  <c r="T237" i="31"/>
  <c r="T236" i="31"/>
  <c r="T238" i="31"/>
  <c r="T234" i="31"/>
  <c r="T235" i="31"/>
  <c r="T233" i="31"/>
  <c r="R314" i="31"/>
  <c r="R309" i="31"/>
  <c r="R312" i="31"/>
  <c r="R310" i="31"/>
  <c r="R311" i="31"/>
  <c r="R313" i="31"/>
  <c r="N261" i="31"/>
  <c r="N262" i="31"/>
  <c r="N259" i="31"/>
  <c r="N263" i="31"/>
  <c r="N258" i="31"/>
  <c r="N260" i="31"/>
  <c r="AX252" i="31"/>
  <c r="AX251" i="31"/>
  <c r="U261" i="31"/>
  <c r="U258" i="31"/>
  <c r="U262" i="31"/>
  <c r="U263" i="31"/>
  <c r="U259" i="31"/>
  <c r="U260" i="31"/>
  <c r="AA298" i="31"/>
  <c r="AA300" i="31"/>
  <c r="AA301" i="31"/>
  <c r="AA302" i="31"/>
  <c r="AA299" i="31"/>
  <c r="AA297" i="31"/>
  <c r="T289" i="31"/>
  <c r="T284" i="31"/>
  <c r="T288" i="31"/>
  <c r="T286" i="31"/>
  <c r="T285" i="31"/>
  <c r="T287" i="31"/>
  <c r="O327" i="31"/>
  <c r="O328" i="31"/>
  <c r="O326" i="31"/>
  <c r="O325" i="31"/>
  <c r="O323" i="31"/>
  <c r="O324" i="31"/>
  <c r="U327" i="31"/>
  <c r="U328" i="31"/>
  <c r="U323" i="31"/>
  <c r="U324" i="31"/>
  <c r="U325" i="31"/>
  <c r="U326" i="31"/>
  <c r="P272" i="31"/>
  <c r="P276" i="31"/>
  <c r="P274" i="31"/>
  <c r="P275" i="31"/>
  <c r="P271" i="31"/>
  <c r="P273" i="31"/>
  <c r="T210" i="31"/>
  <c r="T212" i="31"/>
  <c r="T211" i="31"/>
  <c r="T208" i="31"/>
  <c r="T209" i="31"/>
  <c r="T207" i="31"/>
  <c r="P246" i="31"/>
  <c r="P245" i="31"/>
  <c r="P247" i="31"/>
  <c r="P248" i="31"/>
  <c r="P249" i="31"/>
  <c r="P250" i="31"/>
  <c r="W341" i="31"/>
  <c r="W336" i="31"/>
  <c r="W340" i="31"/>
  <c r="W337" i="31"/>
  <c r="W338" i="31"/>
  <c r="W339" i="31"/>
  <c r="Q338" i="31"/>
  <c r="Q339" i="31"/>
  <c r="Q337" i="31"/>
  <c r="Q341" i="31"/>
  <c r="Q336" i="31"/>
  <c r="Q340" i="31"/>
  <c r="P234" i="31"/>
  <c r="P238" i="31"/>
  <c r="P237" i="31"/>
  <c r="P235" i="31"/>
  <c r="P236" i="31"/>
  <c r="P233" i="31"/>
  <c r="Z310" i="31"/>
  <c r="Z309" i="31"/>
  <c r="Z313" i="31"/>
  <c r="Z314" i="31"/>
  <c r="Z312" i="31"/>
  <c r="Z311" i="31"/>
  <c r="S261" i="31"/>
  <c r="S260" i="31"/>
  <c r="S262" i="31"/>
  <c r="S263" i="31"/>
  <c r="S259" i="31"/>
  <c r="S258" i="31"/>
  <c r="Y259" i="31"/>
  <c r="Y260" i="31"/>
  <c r="Y258" i="31"/>
  <c r="Y261" i="31"/>
  <c r="Y262" i="31"/>
  <c r="Y263" i="31"/>
  <c r="P301" i="31"/>
  <c r="P299" i="31"/>
  <c r="P298" i="31"/>
  <c r="P300" i="31"/>
  <c r="P297" i="31"/>
  <c r="P302" i="31"/>
  <c r="X287" i="31"/>
  <c r="X285" i="31"/>
  <c r="X286" i="31"/>
  <c r="X284" i="31"/>
  <c r="X289" i="31"/>
  <c r="X288" i="31"/>
  <c r="R328" i="31"/>
  <c r="R324" i="31"/>
  <c r="R326" i="31"/>
  <c r="R327" i="31"/>
  <c r="R323" i="31"/>
  <c r="R325" i="31"/>
  <c r="Y328" i="31"/>
  <c r="Y327" i="31"/>
  <c r="Y326" i="31"/>
  <c r="Y323" i="31"/>
  <c r="Y324" i="31"/>
  <c r="Y325" i="31"/>
  <c r="AB272" i="31"/>
  <c r="AB273" i="31"/>
  <c r="AB275" i="31"/>
  <c r="AB271" i="31"/>
  <c r="AB274" i="31"/>
  <c r="AB276" i="31"/>
  <c r="Z212" i="31"/>
  <c r="Z207" i="31"/>
  <c r="Z210" i="31"/>
  <c r="Z208" i="31"/>
  <c r="Z209" i="31"/>
  <c r="Z211" i="31"/>
  <c r="V248" i="31"/>
  <c r="V246" i="31"/>
  <c r="V245" i="31"/>
  <c r="V249" i="31"/>
  <c r="V247" i="31"/>
  <c r="V250" i="31"/>
  <c r="N337" i="31"/>
  <c r="N340" i="31"/>
  <c r="N336" i="31"/>
  <c r="N338" i="31"/>
  <c r="N341" i="31"/>
  <c r="N339" i="31"/>
  <c r="U336" i="31"/>
  <c r="U341" i="31"/>
  <c r="U338" i="31"/>
  <c r="U337" i="31"/>
  <c r="U339" i="31"/>
  <c r="U340" i="31"/>
  <c r="V238" i="31"/>
  <c r="V236" i="31"/>
  <c r="V237" i="31"/>
  <c r="V235" i="31"/>
  <c r="V234" i="31"/>
  <c r="V233" i="31"/>
  <c r="S309" i="31"/>
  <c r="S311" i="31"/>
  <c r="S314" i="31"/>
  <c r="S313" i="31"/>
  <c r="S312" i="31"/>
  <c r="S310" i="31"/>
  <c r="T263" i="31"/>
  <c r="T262" i="31"/>
  <c r="T260" i="31"/>
  <c r="T258" i="31"/>
  <c r="T261" i="31"/>
  <c r="T259" i="31"/>
  <c r="T300" i="31"/>
  <c r="T298" i="31"/>
  <c r="T299" i="31"/>
  <c r="T302" i="31"/>
  <c r="T301" i="31"/>
  <c r="T297" i="31"/>
  <c r="AB284" i="31"/>
  <c r="AB285" i="31"/>
  <c r="AB286" i="31"/>
  <c r="AB289" i="31"/>
  <c r="AB288" i="31"/>
  <c r="AB287" i="31"/>
  <c r="N325" i="31"/>
  <c r="N324" i="31"/>
  <c r="N327" i="31"/>
  <c r="N328" i="31"/>
  <c r="N323" i="31"/>
  <c r="N326" i="31"/>
  <c r="N276" i="31"/>
  <c r="N273" i="31"/>
  <c r="N272" i="31"/>
  <c r="N274" i="31"/>
  <c r="N271" i="31"/>
  <c r="N275" i="31"/>
  <c r="Q271" i="31"/>
  <c r="Q274" i="31"/>
  <c r="Q276" i="31"/>
  <c r="Q272" i="31"/>
  <c r="Q273" i="31"/>
  <c r="Q275" i="31"/>
  <c r="P212" i="31"/>
  <c r="P210" i="31"/>
  <c r="P207" i="31"/>
  <c r="P211" i="31"/>
  <c r="P208" i="31"/>
  <c r="P209" i="31"/>
  <c r="AA250" i="31"/>
  <c r="AA245" i="31"/>
  <c r="AA247" i="31"/>
  <c r="AA248" i="31"/>
  <c r="AA249" i="31"/>
  <c r="AA246" i="31"/>
  <c r="V336" i="31"/>
  <c r="V340" i="31"/>
  <c r="V337" i="31"/>
  <c r="V341" i="31"/>
  <c r="V338" i="31"/>
  <c r="V339" i="31"/>
  <c r="Y340" i="31"/>
  <c r="Y337" i="31"/>
  <c r="Y339" i="31"/>
  <c r="Y336" i="31"/>
  <c r="Y338" i="31"/>
  <c r="Y341" i="31"/>
  <c r="AA237" i="31"/>
  <c r="AA238" i="31"/>
  <c r="AA235" i="31"/>
  <c r="AA234" i="31"/>
  <c r="AA233" i="31"/>
  <c r="AA236" i="31"/>
  <c r="AA309" i="31"/>
  <c r="AA311" i="31"/>
  <c r="AA313" i="31"/>
  <c r="AA314" i="31"/>
  <c r="AA310" i="31"/>
  <c r="AA312" i="31"/>
  <c r="W263" i="31"/>
  <c r="W260" i="31"/>
  <c r="W262" i="31"/>
  <c r="W261" i="31"/>
  <c r="W258" i="31"/>
  <c r="W259" i="31"/>
  <c r="X300" i="31"/>
  <c r="X298" i="31"/>
  <c r="X297" i="31"/>
  <c r="X299" i="31"/>
  <c r="X301" i="31"/>
  <c r="X302" i="31"/>
  <c r="N287" i="31"/>
  <c r="N284" i="31"/>
  <c r="N288" i="31"/>
  <c r="N289" i="31"/>
  <c r="N286" i="31"/>
  <c r="N285" i="31"/>
  <c r="Q286" i="31"/>
  <c r="Q287" i="31"/>
  <c r="Q285" i="31"/>
  <c r="Q288" i="31"/>
  <c r="Q284" i="31"/>
  <c r="Q289" i="31"/>
  <c r="W327" i="31"/>
  <c r="W323" i="31"/>
  <c r="W324" i="31"/>
  <c r="W328" i="31"/>
  <c r="W326" i="31"/>
  <c r="W325" i="31"/>
  <c r="O272" i="31"/>
  <c r="O271" i="31"/>
  <c r="O276" i="31"/>
  <c r="O273" i="31"/>
  <c r="O275" i="31"/>
  <c r="O274" i="31"/>
  <c r="U274" i="31"/>
  <c r="U273" i="31"/>
  <c r="U275" i="31"/>
  <c r="U276" i="31"/>
  <c r="U271" i="31"/>
  <c r="U272" i="31"/>
  <c r="V212" i="31"/>
  <c r="V208" i="31"/>
  <c r="V211" i="31"/>
  <c r="V207" i="31"/>
  <c r="V210" i="31"/>
  <c r="V209" i="31"/>
  <c r="W247" i="31"/>
  <c r="W246" i="31"/>
  <c r="W245" i="31"/>
  <c r="W250" i="31"/>
  <c r="W248" i="31"/>
  <c r="W249" i="31"/>
  <c r="Q250" i="31"/>
  <c r="Q247" i="31"/>
  <c r="Q246" i="31"/>
  <c r="Q245" i="31"/>
  <c r="Q248" i="31"/>
  <c r="Q249" i="31"/>
  <c r="O341" i="31"/>
  <c r="O339" i="31"/>
  <c r="O340" i="31"/>
  <c r="O336" i="31"/>
  <c r="O338" i="31"/>
  <c r="O337" i="31"/>
  <c r="W234" i="31"/>
  <c r="W235" i="31"/>
  <c r="W237" i="31"/>
  <c r="W233" i="31"/>
  <c r="W236" i="31"/>
  <c r="W238" i="31"/>
  <c r="Q237" i="31"/>
  <c r="Q235" i="31"/>
  <c r="Q233" i="31"/>
  <c r="Q236" i="31"/>
  <c r="Q238" i="31"/>
  <c r="Q234" i="31"/>
  <c r="P309" i="31"/>
  <c r="P312" i="31"/>
  <c r="P314" i="31"/>
  <c r="P313" i="31"/>
  <c r="P311" i="31"/>
  <c r="P310" i="31"/>
  <c r="X260" i="31"/>
  <c r="X263" i="31"/>
  <c r="X262" i="31"/>
  <c r="X258" i="31"/>
  <c r="X259" i="31"/>
  <c r="X261" i="31"/>
  <c r="AB297" i="31"/>
  <c r="AB300" i="31"/>
  <c r="AB298" i="31"/>
  <c r="AB302" i="31"/>
  <c r="AB299" i="31"/>
  <c r="AB301" i="31"/>
  <c r="V285" i="31"/>
  <c r="V286" i="31"/>
  <c r="V288" i="31"/>
  <c r="V284" i="31"/>
  <c r="V287" i="31"/>
  <c r="V289" i="31"/>
  <c r="U289" i="31"/>
  <c r="U288" i="31"/>
  <c r="U284" i="31"/>
  <c r="U287" i="31"/>
  <c r="U286" i="31"/>
  <c r="U285" i="31"/>
  <c r="Z328" i="31"/>
  <c r="Z326" i="31"/>
  <c r="Z323" i="31"/>
  <c r="Z324" i="31"/>
  <c r="Z327" i="31"/>
  <c r="Z325" i="31"/>
  <c r="W275" i="31"/>
  <c r="W271" i="31"/>
  <c r="W276" i="31"/>
  <c r="W273" i="31"/>
  <c r="W274" i="31"/>
  <c r="W272" i="31"/>
  <c r="Y274" i="31"/>
  <c r="Y272" i="31"/>
  <c r="Y276" i="31"/>
  <c r="Y275" i="31"/>
  <c r="Y271" i="31"/>
  <c r="Y273" i="31"/>
  <c r="AA211" i="31"/>
  <c r="AA207" i="31"/>
  <c r="AA208" i="31"/>
  <c r="AA209" i="31"/>
  <c r="AA210" i="31"/>
  <c r="AA212" i="31"/>
  <c r="S250" i="31"/>
  <c r="S246" i="31"/>
  <c r="S247" i="31"/>
  <c r="S248" i="31"/>
  <c r="S249" i="31"/>
  <c r="S245" i="31"/>
  <c r="U245" i="31"/>
  <c r="U249" i="31"/>
  <c r="U247" i="31"/>
  <c r="U246" i="31"/>
  <c r="U250" i="31"/>
  <c r="U248" i="31"/>
  <c r="R336" i="31"/>
  <c r="R339" i="31"/>
  <c r="R337" i="31"/>
  <c r="R338" i="31"/>
  <c r="R341" i="31"/>
  <c r="R340" i="31"/>
  <c r="N238" i="31"/>
  <c r="N234" i="31"/>
  <c r="N237" i="31"/>
  <c r="N235" i="31"/>
  <c r="N236" i="31"/>
  <c r="N233" i="31"/>
  <c r="U233" i="31"/>
  <c r="U234" i="31"/>
  <c r="U235" i="31"/>
  <c r="U237" i="31"/>
  <c r="U236" i="31"/>
  <c r="U238" i="31"/>
  <c r="T313" i="31"/>
  <c r="T312" i="31"/>
  <c r="T309" i="31"/>
  <c r="T310" i="31"/>
  <c r="T314" i="31"/>
  <c r="T311" i="31"/>
  <c r="O262" i="31"/>
  <c r="O259" i="31"/>
  <c r="O258" i="31"/>
  <c r="O261" i="31"/>
  <c r="O260" i="31"/>
  <c r="O263" i="31"/>
  <c r="V298" i="31"/>
  <c r="V302" i="31"/>
  <c r="V301" i="31"/>
  <c r="V297" i="31"/>
  <c r="V300" i="31"/>
  <c r="V299" i="31"/>
  <c r="Q299" i="31"/>
  <c r="Q298" i="31"/>
  <c r="Q300" i="31"/>
  <c r="Q297" i="31"/>
  <c r="Q301" i="31"/>
  <c r="Q302" i="31"/>
  <c r="W289" i="31"/>
  <c r="W284" i="31"/>
  <c r="W287" i="31"/>
  <c r="W286" i="31"/>
  <c r="W288" i="31"/>
  <c r="W285" i="31"/>
  <c r="Y284" i="31"/>
  <c r="Y287" i="31"/>
  <c r="Y288" i="31"/>
  <c r="Y289" i="31"/>
  <c r="Y286" i="31"/>
  <c r="Y285" i="31"/>
  <c r="S324" i="31"/>
  <c r="S325" i="31"/>
  <c r="S326" i="31"/>
  <c r="S323" i="31"/>
  <c r="S328" i="31"/>
  <c r="S327" i="31"/>
  <c r="V276" i="31"/>
  <c r="V275" i="31"/>
  <c r="V273" i="31"/>
  <c r="V272" i="31"/>
  <c r="V271" i="31"/>
  <c r="V274" i="31"/>
  <c r="W207" i="31"/>
  <c r="W211" i="31"/>
  <c r="W212" i="31"/>
  <c r="W208" i="31"/>
  <c r="W210" i="31"/>
  <c r="W209" i="31"/>
  <c r="Q207" i="31"/>
  <c r="Q208" i="31"/>
  <c r="Q209" i="31"/>
  <c r="Q212" i="31"/>
  <c r="Q211" i="31"/>
  <c r="Q210" i="31"/>
  <c r="R248" i="31"/>
  <c r="R249" i="31"/>
  <c r="R246" i="31"/>
  <c r="R247" i="31"/>
  <c r="R250" i="31"/>
  <c r="R245" i="31"/>
  <c r="Y248" i="31"/>
  <c r="Y245" i="31"/>
  <c r="Y246" i="31"/>
  <c r="Y247" i="31"/>
  <c r="Y250" i="31"/>
  <c r="Y249" i="31"/>
  <c r="Z337" i="31"/>
  <c r="Z340" i="31"/>
  <c r="Z339" i="31"/>
  <c r="Z341" i="31"/>
  <c r="Z336" i="31"/>
  <c r="Z338" i="31"/>
  <c r="X236" i="31"/>
  <c r="X234" i="31"/>
  <c r="X235" i="31"/>
  <c r="X238" i="31"/>
  <c r="X233" i="31"/>
  <c r="X237" i="31"/>
  <c r="Y233" i="31"/>
  <c r="Y238" i="31"/>
  <c r="Y235" i="31"/>
  <c r="Y236" i="31"/>
  <c r="Y237" i="31"/>
  <c r="Y234" i="31"/>
  <c r="X310" i="31"/>
  <c r="X312" i="31"/>
  <c r="X309" i="31"/>
  <c r="X314" i="31"/>
  <c r="X313" i="31"/>
  <c r="X311" i="31"/>
  <c r="Z260" i="31"/>
  <c r="Z261" i="31"/>
  <c r="Z258" i="31"/>
  <c r="Z259" i="31"/>
  <c r="Z263" i="31"/>
  <c r="Z262" i="31"/>
  <c r="W298" i="31"/>
  <c r="W299" i="31"/>
  <c r="W300" i="31"/>
  <c r="W302" i="31"/>
  <c r="W301" i="31"/>
  <c r="W297" i="31"/>
  <c r="U300" i="31"/>
  <c r="U302" i="31"/>
  <c r="U299" i="31"/>
  <c r="U297" i="31"/>
  <c r="U298" i="31"/>
  <c r="U301" i="31"/>
  <c r="Z289" i="31"/>
  <c r="Z285" i="31"/>
  <c r="Z287" i="31"/>
  <c r="Z284" i="31"/>
  <c r="Z288" i="31"/>
  <c r="Z286" i="31"/>
  <c r="S90" i="35"/>
  <c r="S115" i="35"/>
  <c r="S111" i="35"/>
  <c r="S106" i="35"/>
  <c r="S109" i="35"/>
  <c r="S110" i="35"/>
  <c r="S117" i="35"/>
  <c r="S108" i="35"/>
  <c r="S114" i="35"/>
  <c r="S10" i="35"/>
  <c r="S133" i="35"/>
  <c r="S116" i="35"/>
  <c r="S113" i="35"/>
  <c r="S112" i="35"/>
  <c r="U517" i="31"/>
  <c r="AM516" i="31" s="1"/>
  <c r="AX513" i="31"/>
  <c r="O107" i="35"/>
  <c r="Y220" i="31" s="1"/>
  <c r="K107" i="35"/>
  <c r="U220" i="31" s="1"/>
  <c r="G107" i="35"/>
  <c r="Q220" i="31" s="1"/>
  <c r="Q107" i="35"/>
  <c r="AA220" i="31" s="1"/>
  <c r="L107" i="35"/>
  <c r="V220" i="31" s="1"/>
  <c r="F107" i="35"/>
  <c r="P220" i="31" s="1"/>
  <c r="J107" i="35"/>
  <c r="T220" i="31" s="1"/>
  <c r="N107" i="35"/>
  <c r="X220" i="31" s="1"/>
  <c r="D107" i="35"/>
  <c r="N220" i="31" s="1"/>
  <c r="R107" i="35"/>
  <c r="AB220" i="31" s="1"/>
  <c r="H107" i="35"/>
  <c r="R220" i="31" s="1"/>
  <c r="P107" i="35"/>
  <c r="Z220" i="31" s="1"/>
  <c r="E107" i="35"/>
  <c r="O220" i="31" s="1"/>
  <c r="I107" i="35"/>
  <c r="S220" i="31" s="1"/>
  <c r="M107" i="35"/>
  <c r="W220" i="31" s="1"/>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D146" i="35"/>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P225" i="31" l="1"/>
  <c r="P224" i="31"/>
  <c r="P222" i="31"/>
  <c r="P223" i="31"/>
  <c r="P221" i="31"/>
  <c r="P226" i="31"/>
  <c r="AZ215" i="31"/>
  <c r="V225" i="31"/>
  <c r="V222" i="31"/>
  <c r="V223" i="31"/>
  <c r="V221" i="31"/>
  <c r="V226" i="31"/>
  <c r="V224" i="31"/>
  <c r="BF215" i="31"/>
  <c r="AA221" i="31"/>
  <c r="AA226" i="31"/>
  <c r="AA224" i="31"/>
  <c r="AA222" i="31"/>
  <c r="AA223" i="31"/>
  <c r="AA225" i="31"/>
  <c r="BK215" i="31"/>
  <c r="W222" i="31"/>
  <c r="W221" i="31"/>
  <c r="W225" i="31"/>
  <c r="W224" i="31"/>
  <c r="W226" i="31"/>
  <c r="W223" i="31"/>
  <c r="BG215" i="31"/>
  <c r="Q221" i="31"/>
  <c r="Q223" i="31"/>
  <c r="Q225" i="31"/>
  <c r="Q226" i="31"/>
  <c r="Q224" i="31"/>
  <c r="Q222" i="31"/>
  <c r="BA215" i="31"/>
  <c r="S224" i="31"/>
  <c r="S225" i="31"/>
  <c r="S226" i="31"/>
  <c r="S221" i="31"/>
  <c r="S223" i="31"/>
  <c r="S222" i="31"/>
  <c r="BC215" i="31"/>
  <c r="U223" i="31"/>
  <c r="U222" i="31"/>
  <c r="U226" i="31"/>
  <c r="U225" i="31"/>
  <c r="U224" i="31"/>
  <c r="U221" i="31"/>
  <c r="BE215" i="31"/>
  <c r="O226" i="31"/>
  <c r="O224" i="31"/>
  <c r="O225" i="31"/>
  <c r="O223" i="31"/>
  <c r="O222" i="31"/>
  <c r="O221" i="31"/>
  <c r="AY215" i="31"/>
  <c r="Y222" i="31"/>
  <c r="Y221" i="31"/>
  <c r="Y225" i="31"/>
  <c r="Y226" i="31"/>
  <c r="Y223" i="31"/>
  <c r="Y224" i="31"/>
  <c r="BI215" i="31"/>
  <c r="Z223" i="31"/>
  <c r="Z221" i="31"/>
  <c r="Z226" i="31"/>
  <c r="Z222" i="31"/>
  <c r="Z225" i="31"/>
  <c r="Z224" i="31"/>
  <c r="BJ215" i="31"/>
  <c r="R225" i="31"/>
  <c r="R221" i="31"/>
  <c r="R222" i="31"/>
  <c r="R226" i="31"/>
  <c r="R223" i="31"/>
  <c r="R224" i="31"/>
  <c r="BB215" i="31"/>
  <c r="AB222" i="31"/>
  <c r="AB225" i="31"/>
  <c r="AB224" i="31"/>
  <c r="AB221" i="31"/>
  <c r="AB226" i="31"/>
  <c r="AB223" i="31"/>
  <c r="BL215" i="31"/>
  <c r="N223" i="31"/>
  <c r="N222" i="31"/>
  <c r="N225" i="31"/>
  <c r="N226" i="31"/>
  <c r="N221" i="31"/>
  <c r="N224" i="31"/>
  <c r="AX215" i="31"/>
  <c r="AX213" i="31"/>
  <c r="AX214" i="31"/>
  <c r="X223" i="31"/>
  <c r="X222" i="31"/>
  <c r="X221" i="31"/>
  <c r="X225" i="31"/>
  <c r="X226" i="31"/>
  <c r="X224" i="31"/>
  <c r="BH215" i="31"/>
  <c r="T225" i="31"/>
  <c r="T223" i="31"/>
  <c r="T226" i="31"/>
  <c r="T224" i="31"/>
  <c r="T222" i="31"/>
  <c r="T221" i="31"/>
  <c r="BD215" i="31"/>
  <c r="U522" i="3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V309" i="29"/>
  <c r="X322" i="29"/>
  <c r="V322" i="29"/>
  <c r="Y494" i="29"/>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67" i="31" s="1"/>
  <c r="AD454" i="31"/>
  <c r="AD441" i="31"/>
  <c r="AD442" i="31" s="1"/>
  <c r="B480" i="31"/>
  <c r="B481" i="31" s="1"/>
  <c r="B482" i="31" s="1"/>
  <c r="B483" i="31" s="1"/>
  <c r="B484" i="31" s="1"/>
  <c r="B485" i="31" s="1"/>
  <c r="B486" i="31" s="1"/>
  <c r="B487" i="31" s="1"/>
  <c r="B488" i="31" s="1"/>
  <c r="B489" i="31" s="1"/>
  <c r="B490" i="31" s="1"/>
  <c r="B491" i="31" s="1"/>
  <c r="B492" i="31" s="1"/>
  <c r="B466" i="31"/>
  <c r="B467" i="31" s="1"/>
  <c r="B454" i="31"/>
  <c r="B455" i="31" s="1"/>
  <c r="B456" i="31" s="1"/>
  <c r="B457" i="31" s="1"/>
  <c r="B458" i="31" s="1"/>
  <c r="B459" i="31" s="1"/>
  <c r="B460" i="31" s="1"/>
  <c r="B461" i="31" s="1"/>
  <c r="B462" i="31" s="1"/>
  <c r="B463" i="31" s="1"/>
  <c r="B464" i="31" s="1"/>
  <c r="B465" i="31" s="1"/>
  <c r="B441" i="31"/>
  <c r="B442" i="31" s="1"/>
  <c r="B443" i="31" s="1"/>
  <c r="B444" i="31" s="1"/>
  <c r="B445" i="31" s="1"/>
  <c r="B446" i="31" s="1"/>
  <c r="B447" i="31" s="1"/>
  <c r="B448" i="31" s="1"/>
  <c r="B449" i="31" s="1"/>
  <c r="B450" i="31" s="1"/>
  <c r="B451" i="31" s="1"/>
  <c r="B452" i="31" s="1"/>
  <c r="B453" i="31" s="1"/>
  <c r="AD376" i="31"/>
  <c r="N376" i="31"/>
  <c r="B376" i="31"/>
  <c r="B377" i="31" s="1"/>
  <c r="B378" i="31" s="1"/>
  <c r="B379" i="31" s="1"/>
  <c r="B380" i="31" s="1"/>
  <c r="B381" i="31" s="1"/>
  <c r="B382" i="31" s="1"/>
  <c r="B383" i="31" s="1"/>
  <c r="B384" i="31" s="1"/>
  <c r="B385" i="31" s="1"/>
  <c r="B386" i="31" s="1"/>
  <c r="B387" i="31" s="1"/>
  <c r="AX200" i="31" l="1"/>
  <c r="AW215" i="31"/>
  <c r="AH26" i="34"/>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AD481" i="31"/>
  <c r="AD455" i="31"/>
  <c r="AD377" i="31"/>
  <c r="Y376" i="31"/>
  <c r="U376" i="31"/>
  <c r="Q376" i="31"/>
  <c r="AB376" i="31"/>
  <c r="X376" i="31"/>
  <c r="T376" i="31"/>
  <c r="P376" i="31"/>
  <c r="AA376" i="31"/>
  <c r="W376" i="31"/>
  <c r="S376" i="31"/>
  <c r="O376" i="31"/>
  <c r="V376" i="31"/>
  <c r="R376" i="31"/>
  <c r="Z376" i="31"/>
  <c r="AD179" i="31"/>
  <c r="AD180" i="31" s="1"/>
  <c r="N179" i="31"/>
  <c r="V179" i="31" s="1"/>
  <c r="B179" i="31"/>
  <c r="B180" i="31" s="1"/>
  <c r="AD165" i="31"/>
  <c r="N165" i="31"/>
  <c r="Z165" i="31" s="1"/>
  <c r="B165" i="31"/>
  <c r="B166" i="31" s="1"/>
  <c r="AD125" i="31"/>
  <c r="N125" i="31"/>
  <c r="AA125" i="31" s="1"/>
  <c r="B125" i="31"/>
  <c r="B126" i="31" s="1"/>
  <c r="AD139" i="31"/>
  <c r="AD140" i="31" s="1"/>
  <c r="N139" i="31"/>
  <c r="W139" i="31" s="1"/>
  <c r="B139" i="31"/>
  <c r="B140" i="31" s="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25" i="31"/>
  <c r="T165" i="31"/>
  <c r="AA165" i="31"/>
  <c r="AB125" i="31"/>
  <c r="O165" i="31"/>
  <c r="U165" i="31"/>
  <c r="AB165" i="31"/>
  <c r="P165" i="31"/>
  <c r="W165" i="3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G318" i="38" l="1"/>
  <c r="E45" i="36" l="1"/>
  <c r="M48" i="23" l="1"/>
  <c r="E46" i="36"/>
  <c r="S28" i="23" s="1"/>
  <c r="X46" i="36"/>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E40"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51" i="31"/>
  <c r="N432" i="29"/>
  <c r="N443" i="31"/>
  <c r="N458" i="29"/>
  <c r="N469" i="31"/>
  <c r="N142" i="31"/>
  <c r="N168" i="31"/>
  <c r="N352" i="31"/>
  <c r="N433" i="29"/>
  <c r="N444" i="31"/>
  <c r="N459" i="29"/>
  <c r="N470" i="31"/>
  <c r="N169" i="31"/>
  <c r="N377" i="31"/>
  <c r="N455" i="31"/>
  <c r="N445" i="29"/>
  <c r="N471" i="29"/>
  <c r="N482" i="31"/>
  <c r="N128" i="31"/>
  <c r="N18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0"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D427" i="31"/>
  <c r="AD428" i="31" s="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U214" i="38"/>
  <c r="N419" i="29"/>
  <c r="N431" i="31"/>
  <c r="N420" i="29"/>
  <c r="H180" i="38"/>
  <c r="H182" i="38"/>
  <c r="T182" i="38" s="1"/>
  <c r="H254" i="38"/>
  <c r="H253" i="38"/>
  <c r="N430" i="31"/>
  <c r="T193" i="38"/>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T186" i="38"/>
  <c r="N186" i="38"/>
  <c r="K186" i="38"/>
  <c r="S186" i="38"/>
  <c r="M186" i="38"/>
  <c r="V186" i="38"/>
  <c r="U186" i="38"/>
  <c r="Q186" i="38"/>
  <c r="O253" i="38"/>
  <c r="U260" i="29" s="1"/>
  <c r="J257" i="38"/>
  <c r="P285" i="29" s="1"/>
  <c r="J253" i="38"/>
  <c r="P260" i="29" s="1"/>
  <c r="P257" i="38"/>
  <c r="V285" i="29" s="1"/>
  <c r="M257" i="38"/>
  <c r="S285" i="29" s="1"/>
  <c r="I253" i="38"/>
  <c r="O260" i="29" s="1"/>
  <c r="I182" i="38"/>
  <c r="P186" i="38"/>
  <c r="R186" i="38"/>
  <c r="L182" i="38"/>
  <c r="M182" i="38"/>
  <c r="L186" i="38"/>
  <c r="I186" i="38"/>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V182" i="38"/>
  <c r="L265" i="38"/>
  <c r="R336" i="29" s="1"/>
  <c r="O182" i="38"/>
  <c r="N182" i="38"/>
  <c r="K254" i="38"/>
  <c r="Q261" i="29" s="1"/>
  <c r="X431" i="31"/>
  <c r="X420" i="29"/>
  <c r="P431" i="31"/>
  <c r="P420" i="29"/>
  <c r="AA431" i="31"/>
  <c r="AA420" i="29"/>
  <c r="Z430" i="31"/>
  <c r="Z419" i="29"/>
  <c r="V431" i="31"/>
  <c r="V420" i="29"/>
  <c r="U430" i="31"/>
  <c r="U419" i="29"/>
  <c r="Q431" i="31"/>
  <c r="Q420" i="29"/>
  <c r="T430" i="31"/>
  <c r="T419" i="29"/>
  <c r="Q430" i="31"/>
  <c r="Q419" i="29"/>
  <c r="AB430" i="31"/>
  <c r="AB419" i="29"/>
  <c r="W430" i="31"/>
  <c r="W419" i="29"/>
  <c r="W431" i="31"/>
  <c r="W420" i="29"/>
  <c r="V430" i="31"/>
  <c r="V419" i="29"/>
  <c r="R431" i="31"/>
  <c r="R420" i="29"/>
  <c r="AB431" i="31"/>
  <c r="AB420" i="29"/>
  <c r="J189" i="38"/>
  <c r="M254" i="38"/>
  <c r="S261" i="29" s="1"/>
  <c r="AA430" i="31"/>
  <c r="AA419" i="29"/>
  <c r="S430" i="31"/>
  <c r="S419" i="29"/>
  <c r="S431" i="31"/>
  <c r="S420" i="29"/>
  <c r="R430" i="31"/>
  <c r="R419" i="29"/>
  <c r="X430" i="31"/>
  <c r="X419" i="29"/>
  <c r="U431" i="31"/>
  <c r="U420" i="29"/>
  <c r="Y430" i="31"/>
  <c r="Y419" i="29"/>
  <c r="T431" i="31"/>
  <c r="T420" i="29"/>
  <c r="O430" i="31"/>
  <c r="O419" i="29"/>
  <c r="O431" i="31"/>
  <c r="O420" i="29"/>
  <c r="Z431" i="31"/>
  <c r="Z420" i="29"/>
  <c r="P430" i="31"/>
  <c r="P419" i="29"/>
  <c r="K188" i="38"/>
  <c r="Y431" i="31"/>
  <c r="Y420" i="29"/>
  <c r="L259" i="38"/>
  <c r="R298" i="29" s="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N266" i="38"/>
  <c r="T337" i="29" s="1"/>
  <c r="T266" i="38"/>
  <c r="Z337" i="29" s="1"/>
  <c r="Q259" i="38"/>
  <c r="W298" i="29" s="1"/>
  <c r="I255" i="38"/>
  <c r="O272" i="29" s="1"/>
  <c r="O255" i="38"/>
  <c r="U272" i="29" s="1"/>
  <c r="S251" i="38"/>
  <c r="Y248" i="29" s="1"/>
  <c r="M265" i="38"/>
  <c r="S336" i="29" s="1"/>
  <c r="M190" i="38"/>
  <c r="Q189" i="38"/>
  <c r="V189" i="38"/>
  <c r="Q251" i="38"/>
  <c r="W248" i="29" s="1"/>
  <c r="O251" i="38"/>
  <c r="U248" i="29" s="1"/>
  <c r="K189" i="38"/>
  <c r="U189" i="38"/>
  <c r="M251" i="38"/>
  <c r="S248" i="29" s="1"/>
  <c r="T251" i="38"/>
  <c r="Z248" i="29" s="1"/>
  <c r="S265" i="38"/>
  <c r="Y336" i="29" s="1"/>
  <c r="M189" i="38"/>
  <c r="N188" i="38"/>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R183" i="38"/>
  <c r="K183" i="38"/>
  <c r="N183" i="38"/>
  <c r="Q183" i="38"/>
  <c r="P183" i="38"/>
  <c r="L183" i="38"/>
  <c r="I183" i="38"/>
  <c r="O183" i="38"/>
  <c r="V183" i="38"/>
  <c r="U183" i="38"/>
  <c r="T183" i="38"/>
  <c r="S183" i="38"/>
  <c r="J183" i="38"/>
  <c r="M183" i="38"/>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Q181" i="38"/>
  <c r="I181" i="38"/>
  <c r="S181" i="38"/>
  <c r="O181" i="38"/>
  <c r="L181" i="38"/>
  <c r="V181" i="38"/>
  <c r="M181" i="38"/>
  <c r="T181" i="38"/>
  <c r="P181" i="38"/>
  <c r="N181" i="38"/>
  <c r="K181" i="38"/>
  <c r="R181" i="38"/>
  <c r="J181" i="38"/>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V171" i="31"/>
  <c r="R176" i="46"/>
  <c r="AB314" i="29" s="1"/>
  <c r="N486" i="29"/>
  <c r="R486" i="29"/>
  <c r="V117" i="31"/>
  <c r="F176" i="46"/>
  <c r="P314" i="29" s="1"/>
  <c r="R117" i="31"/>
  <c r="U171" i="31"/>
  <c r="AA117" i="31"/>
  <c r="O486" i="29"/>
  <c r="Q171" i="31"/>
  <c r="O85" i="46"/>
  <c r="Y77" i="4" s="1"/>
  <c r="S486" i="29"/>
  <c r="P171" i="31"/>
  <c r="S171" i="31"/>
  <c r="E85" i="46"/>
  <c r="O77" i="4" s="1"/>
  <c r="E142" i="46"/>
  <c r="O114" i="29" s="1"/>
  <c r="N117" i="31"/>
  <c r="AB117" i="31"/>
  <c r="Y117" i="31"/>
  <c r="W117" i="31"/>
  <c r="X117" i="31"/>
  <c r="T117" i="31"/>
  <c r="U117" i="31"/>
  <c r="S117" i="31"/>
  <c r="D176" i="46"/>
  <c r="N314" i="29" s="1"/>
  <c r="K176" i="46"/>
  <c r="U314" i="29" s="1"/>
  <c r="T171" i="31"/>
  <c r="N77" i="4"/>
  <c r="P117" i="31"/>
  <c r="Z117" i="31"/>
  <c r="Q117" i="31"/>
  <c r="G88" i="46"/>
  <c r="O175" i="46"/>
  <c r="Y301" i="29" s="1"/>
  <c r="F180" i="46"/>
  <c r="P365" i="29" s="1"/>
  <c r="J180" i="46"/>
  <c r="T365" i="29" s="1"/>
  <c r="L175" i="46"/>
  <c r="V301" i="29" s="1"/>
  <c r="G174" i="46"/>
  <c r="Q288" i="29" s="1"/>
  <c r="R85" i="46"/>
  <c r="AB77" i="4" s="1"/>
  <c r="Q85" i="46"/>
  <c r="AA77" i="4" s="1"/>
  <c r="D209" i="46"/>
  <c r="H180" i="46"/>
  <c r="R365" i="29" s="1"/>
  <c r="P180" i="46"/>
  <c r="Z365" i="29" s="1"/>
  <c r="I180" i="46"/>
  <c r="S365" i="29" s="1"/>
  <c r="G177" i="46"/>
  <c r="Q327" i="29" s="1"/>
  <c r="M180" i="46"/>
  <c r="W365" i="29" s="1"/>
  <c r="E180" i="46"/>
  <c r="O365" i="29" s="1"/>
  <c r="K180" i="46"/>
  <c r="U365" i="29" s="1"/>
  <c r="G209" i="46"/>
  <c r="J174" i="46"/>
  <c r="T288" i="29" s="1"/>
  <c r="K177" i="46"/>
  <c r="U327" i="29" s="1"/>
  <c r="O180" i="46"/>
  <c r="Y365" i="29" s="1"/>
  <c r="N180" i="46"/>
  <c r="X365" i="29" s="1"/>
  <c r="X486" i="29"/>
  <c r="U486" i="29"/>
  <c r="Z171" i="31"/>
  <c r="O171" i="31"/>
  <c r="N85" i="46"/>
  <c r="X77" i="4" s="1"/>
  <c r="P85" i="46"/>
  <c r="Z77" i="4" s="1"/>
  <c r="L150" i="46"/>
  <c r="V218" i="29" s="1"/>
  <c r="L209" i="46"/>
  <c r="K209" i="46"/>
  <c r="L142" i="46"/>
  <c r="V114" i="29" s="1"/>
  <c r="P176" i="46"/>
  <c r="Z314" i="29" s="1"/>
  <c r="Q176" i="46"/>
  <c r="AA314" i="29" s="1"/>
  <c r="E177" i="46"/>
  <c r="O327" i="29" s="1"/>
  <c r="E175" i="46"/>
  <c r="O301" i="29" s="1"/>
  <c r="I174" i="46"/>
  <c r="S288" i="29" s="1"/>
  <c r="O176" i="46"/>
  <c r="Y314" i="29" s="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J172" i="46"/>
  <c r="T263" i="29" s="1"/>
  <c r="G172" i="46"/>
  <c r="Q263" i="29" s="1"/>
  <c r="P178" i="46"/>
  <c r="Z339" i="29" s="1"/>
  <c r="O69" i="46"/>
  <c r="R69" i="46"/>
  <c r="F88" i="46"/>
  <c r="H88" i="46"/>
  <c r="E150" i="46"/>
  <c r="O218" i="29" s="1"/>
  <c r="N150" i="46"/>
  <c r="X218" i="29" s="1"/>
  <c r="L172" i="46"/>
  <c r="V263" i="29" s="1"/>
  <c r="F172" i="46"/>
  <c r="P263" i="29" s="1"/>
  <c r="J178" i="46"/>
  <c r="T339" i="29" s="1"/>
  <c r="E69" i="46"/>
  <c r="F69" i="46"/>
  <c r="R88" i="46"/>
  <c r="Q180" i="46"/>
  <c r="AA365" i="29" s="1"/>
  <c r="L180" i="46"/>
  <c r="V365" i="29" s="1"/>
  <c r="R180" i="46"/>
  <c r="AB365" i="29" s="1"/>
  <c r="G180" i="46"/>
  <c r="Q365" i="29" s="1"/>
  <c r="G150" i="46"/>
  <c r="Q218" i="29" s="1"/>
  <c r="H150" i="46"/>
  <c r="R218" i="29" s="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E174" i="46"/>
  <c r="O288" i="29" s="1"/>
  <c r="F174" i="46"/>
  <c r="P288" i="29" s="1"/>
  <c r="M176" i="46"/>
  <c r="W314" i="29" s="1"/>
  <c r="L176" i="46"/>
  <c r="V314" i="29" s="1"/>
  <c r="G176" i="46"/>
  <c r="Q314" i="29" s="1"/>
  <c r="R179" i="46"/>
  <c r="AB352" i="29" s="1"/>
  <c r="K179" i="46"/>
  <c r="U352" i="29" s="1"/>
  <c r="I179" i="46"/>
  <c r="S352" i="29" s="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O446" i="31"/>
  <c r="U458" i="31"/>
  <c r="R458" i="31"/>
  <c r="X458" i="31"/>
  <c r="S458" i="31"/>
  <c r="O458" i="31"/>
  <c r="V458" i="31"/>
  <c r="AB458" i="31"/>
  <c r="P446" i="31"/>
  <c r="W458" i="31"/>
  <c r="N458" i="31"/>
  <c r="AB446" i="31"/>
  <c r="Z458"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N366" i="29"/>
  <c r="N239" i="29"/>
  <c r="N264" i="29"/>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X371" i="29"/>
  <c r="X367" i="29"/>
  <c r="X370" i="29"/>
  <c r="X369" i="29"/>
  <c r="X372" i="29"/>
  <c r="X368" i="29"/>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72" i="29"/>
  <c r="O369" i="29"/>
  <c r="O368" i="29"/>
  <c r="O367" i="29"/>
  <c r="O371" i="29"/>
  <c r="O370" i="29"/>
  <c r="S277" i="29"/>
  <c r="S282" i="29"/>
  <c r="S281" i="29"/>
  <c r="S278" i="29"/>
  <c r="S279" i="29"/>
  <c r="S280" i="29"/>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AB367" i="29"/>
  <c r="AB368" i="29"/>
  <c r="AB370" i="29"/>
  <c r="AB371" i="29"/>
  <c r="AB369" i="29"/>
  <c r="AB372" i="29"/>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U118" i="35"/>
  <c r="AL30" i="55" l="1"/>
  <c r="AL29" i="55" s="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AB256" i="29" l="1"/>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N21" i="31"/>
  <c r="E34" i="36"/>
  <c r="N21" i="29" s="1"/>
  <c r="N44" i="29" l="1"/>
  <c r="AF46" i="29" s="1"/>
  <c r="N24" i="29"/>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AF5" i="31" l="1"/>
  <c r="I531" i="31" s="1"/>
  <c r="I206" i="31"/>
  <c r="I232" i="31"/>
  <c r="I257" i="31"/>
  <c r="I220" i="31"/>
  <c r="I308" i="31"/>
  <c r="I244" i="31"/>
  <c r="I296" i="31"/>
  <c r="I322" i="31"/>
  <c r="I270" i="31"/>
  <c r="I335" i="31"/>
  <c r="I283" i="31"/>
  <c r="AF6" i="31"/>
  <c r="I487" i="31"/>
  <c r="I382" i="31"/>
  <c r="I474" i="31"/>
  <c r="I448" i="31"/>
  <c r="I460" i="31"/>
  <c r="I187" i="31"/>
  <c r="I52" i="31"/>
  <c r="I147" i="31"/>
  <c r="I173" i="31"/>
  <c r="I133" i="31"/>
  <c r="I356" i="31"/>
  <c r="I435" i="31"/>
  <c r="H24" i="34"/>
  <c r="H132" i="34"/>
  <c r="H18" i="34"/>
  <c r="H36" i="34"/>
  <c r="H60" i="34"/>
  <c r="H84" i="34"/>
  <c r="H142" i="34"/>
  <c r="H269"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518" i="31" l="1"/>
  <c r="I222" i="31"/>
  <c r="I208" i="31"/>
  <c r="I234" i="31"/>
  <c r="I285" i="31"/>
  <c r="I246" i="31"/>
  <c r="I259" i="31"/>
  <c r="I298" i="31"/>
  <c r="I310" i="31"/>
  <c r="I324" i="31"/>
  <c r="I272" i="31"/>
  <c r="I337" i="31"/>
  <c r="I233" i="31"/>
  <c r="I258" i="31"/>
  <c r="I207" i="31"/>
  <c r="I245" i="31"/>
  <c r="I221" i="31"/>
  <c r="I271" i="31"/>
  <c r="I309" i="31"/>
  <c r="I297" i="31"/>
  <c r="I323" i="31"/>
  <c r="I284" i="31"/>
  <c r="I336" i="31"/>
  <c r="I532" i="31"/>
  <c r="I519" i="31"/>
  <c r="I488" i="31"/>
  <c r="I383" i="31"/>
  <c r="I475" i="31"/>
  <c r="I461" i="31"/>
  <c r="I449" i="31"/>
  <c r="I188" i="31"/>
  <c r="I148" i="31"/>
  <c r="I134" i="31"/>
  <c r="I174" i="31"/>
  <c r="I53" i="31"/>
  <c r="I357" i="31"/>
  <c r="I436" i="31"/>
  <c r="V164" i="45"/>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K118" i="35"/>
  <c r="Q118" i="35"/>
  <c r="G118" i="35"/>
  <c r="L118" i="35"/>
  <c r="F118" i="35"/>
  <c r="M118" i="35"/>
  <c r="O118" i="35"/>
  <c r="R118" i="35"/>
  <c r="P118" i="35"/>
  <c r="J118" i="35"/>
  <c r="I118" i="35"/>
  <c r="N118" i="35"/>
  <c r="E118" i="35"/>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N413" i="29"/>
  <c r="N415" i="29"/>
  <c r="N412" i="29"/>
  <c r="N416" i="29"/>
  <c r="N414" i="29"/>
  <c r="N165" i="25"/>
  <c r="N162" i="25"/>
  <c r="N163" i="25"/>
  <c r="P11" i="29"/>
  <c r="P10" i="29"/>
  <c r="N164" i="25"/>
  <c r="P15" i="29"/>
  <c r="P14" i="29"/>
  <c r="N161" i="25"/>
  <c r="Q10" i="29"/>
  <c r="Q11" i="29"/>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1" i="36"/>
  <c r="E38" i="36"/>
  <c r="E37" i="36"/>
  <c r="E36" i="36"/>
  <c r="E29" i="36"/>
  <c r="E28" i="36"/>
  <c r="N23" i="31" s="1"/>
  <c r="E21" i="36"/>
  <c r="N24" i="31" s="1"/>
  <c r="N204" i="31" l="1"/>
  <c r="AF205" i="31" s="1"/>
  <c r="N268" i="31"/>
  <c r="AF269" i="31" s="1"/>
  <c r="N218" i="31"/>
  <c r="AF219" i="31" s="1"/>
  <c r="N242" i="31"/>
  <c r="AF243" i="31" s="1"/>
  <c r="N281" i="31"/>
  <c r="AF282" i="31" s="1"/>
  <c r="N306" i="31"/>
  <c r="AF307" i="31" s="1"/>
  <c r="N320" i="31"/>
  <c r="AF321" i="31" s="1"/>
  <c r="N294" i="31"/>
  <c r="AF295" i="31" s="1"/>
  <c r="N255" i="31"/>
  <c r="AF256" i="31" s="1"/>
  <c r="N333" i="31"/>
  <c r="AF334" i="31" s="1"/>
  <c r="N230" i="31"/>
  <c r="AF231" i="31" s="1"/>
  <c r="E35" i="36"/>
  <c r="X35" i="36"/>
  <c r="E33" i="36"/>
  <c r="X33" i="36"/>
  <c r="E18" i="36"/>
  <c r="X18" i="36"/>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AF201" i="31" l="1"/>
  <c r="R42" i="38"/>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Y41" i="7" s="1"/>
  <c r="P305" i="38"/>
  <c r="U41" i="7" s="1"/>
  <c r="L305" i="38"/>
  <c r="Q41" i="7" s="1"/>
  <c r="H305" i="38"/>
  <c r="M41" i="7" s="1"/>
  <c r="S305" i="38"/>
  <c r="N305" i="38"/>
  <c r="S41" i="7" s="1"/>
  <c r="I305" i="38"/>
  <c r="N41" i="7" s="1"/>
  <c r="R305" i="38"/>
  <c r="M305" i="38"/>
  <c r="V305" i="38"/>
  <c r="AA41" i="7" s="1"/>
  <c r="Q305" i="38"/>
  <c r="K305" i="38"/>
  <c r="U305" i="38"/>
  <c r="Z41" i="7" s="1"/>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R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293" i="34"/>
  <c r="N293" i="34" s="1"/>
  <c r="O293" i="34" s="1"/>
  <c r="P293" i="34" s="1"/>
  <c r="Q293" i="34" s="1"/>
  <c r="R293" i="34" s="1"/>
  <c r="S293" i="34" s="1"/>
  <c r="T293" i="34" s="1"/>
  <c r="U293" i="34" s="1"/>
  <c r="V293" i="34" s="1"/>
  <c r="W293" i="34" s="1"/>
  <c r="X293" i="34" s="1"/>
  <c r="Y293" i="34" s="1"/>
  <c r="Z293" i="34" s="1"/>
  <c r="B293" i="34"/>
  <c r="B295" i="34" s="1"/>
  <c r="B296" i="34" s="1"/>
  <c r="H292" i="34"/>
  <c r="M289" i="34"/>
  <c r="N289" i="34" s="1"/>
  <c r="O289" i="34" s="1"/>
  <c r="P289" i="34" s="1"/>
  <c r="Q289" i="34" s="1"/>
  <c r="R289" i="34" s="1"/>
  <c r="S289" i="34" s="1"/>
  <c r="T289" i="34" s="1"/>
  <c r="U289" i="34" s="1"/>
  <c r="V289" i="34" s="1"/>
  <c r="W289" i="34" s="1"/>
  <c r="X289" i="34" s="1"/>
  <c r="Y289" i="34" s="1"/>
  <c r="Z289" i="34" s="1"/>
  <c r="C289" i="34"/>
  <c r="B289" i="34" s="1"/>
  <c r="B290"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B252" i="31" s="1"/>
  <c r="AA27" i="31"/>
  <c r="AA252" i="31" s="1"/>
  <c r="Z27" i="31"/>
  <c r="Z252" i="31" s="1"/>
  <c r="Y27" i="31"/>
  <c r="Y252" i="31" s="1"/>
  <c r="X27" i="31"/>
  <c r="X252" i="31" s="1"/>
  <c r="W27" i="31"/>
  <c r="W252" i="31" s="1"/>
  <c r="V27" i="31"/>
  <c r="V252" i="31" s="1"/>
  <c r="U27" i="31"/>
  <c r="U252" i="31" s="1"/>
  <c r="T27" i="31"/>
  <c r="T252" i="31" s="1"/>
  <c r="S27" i="31"/>
  <c r="S252" i="31" s="1"/>
  <c r="R27" i="31"/>
  <c r="R252" i="31" s="1"/>
  <c r="Q27" i="31"/>
  <c r="Q252" i="31" s="1"/>
  <c r="P27" i="31"/>
  <c r="P252" i="31" s="1"/>
  <c r="O27" i="31"/>
  <c r="O252" i="31" s="1"/>
  <c r="AF7" i="3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214" i="28" s="1"/>
  <c r="N16" i="28"/>
  <c r="N38" i="28" s="1"/>
  <c r="AF39"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BE251" i="31" l="1"/>
  <c r="BE252" i="31"/>
  <c r="S214" i="31"/>
  <c r="S316" i="31"/>
  <c r="S278" i="31"/>
  <c r="Q204" i="31"/>
  <c r="AI205" i="31" s="1"/>
  <c r="Q230" i="31"/>
  <c r="AI231" i="31" s="1"/>
  <c r="Q281" i="31"/>
  <c r="AI282" i="31" s="1"/>
  <c r="Q268" i="31"/>
  <c r="AI269" i="31" s="1"/>
  <c r="Q218" i="31"/>
  <c r="AI219" i="31" s="1"/>
  <c r="Q255" i="31"/>
  <c r="AI256" i="31" s="1"/>
  <c r="Q294" i="31"/>
  <c r="AI295" i="31" s="1"/>
  <c r="Q333" i="31"/>
  <c r="AI334" i="31" s="1"/>
  <c r="Q242" i="31"/>
  <c r="AI243" i="31" s="1"/>
  <c r="Q320" i="31"/>
  <c r="AI321" i="31" s="1"/>
  <c r="Q306" i="31"/>
  <c r="AI307" i="31" s="1"/>
  <c r="BF251" i="31"/>
  <c r="BF252" i="31"/>
  <c r="T214" i="31"/>
  <c r="T278" i="31"/>
  <c r="T316" i="31"/>
  <c r="S204" i="31"/>
  <c r="AK205" i="31" s="1"/>
  <c r="S230" i="31"/>
  <c r="AK231" i="31" s="1"/>
  <c r="S218" i="31"/>
  <c r="AK219" i="31" s="1"/>
  <c r="S268" i="31"/>
  <c r="AK269" i="31" s="1"/>
  <c r="S242" i="31"/>
  <c r="AK243" i="31" s="1"/>
  <c r="S281" i="31"/>
  <c r="AK282" i="31" s="1"/>
  <c r="S255" i="31"/>
  <c r="AK256" i="31" s="1"/>
  <c r="S306" i="31"/>
  <c r="AK307" i="31" s="1"/>
  <c r="S294" i="31"/>
  <c r="AK295" i="31" s="1"/>
  <c r="S320" i="31"/>
  <c r="AK321" i="31" s="1"/>
  <c r="S333" i="31"/>
  <c r="AK334" i="31" s="1"/>
  <c r="BG252" i="31"/>
  <c r="BG251" i="31"/>
  <c r="U214" i="31"/>
  <c r="U278" i="31"/>
  <c r="U316" i="31"/>
  <c r="BH251" i="31"/>
  <c r="BH252" i="31"/>
  <c r="V214" i="31"/>
  <c r="V316" i="31"/>
  <c r="V278" i="31"/>
  <c r="BI251" i="31"/>
  <c r="BI252" i="31"/>
  <c r="W214" i="31"/>
  <c r="W278" i="31"/>
  <c r="W316" i="31"/>
  <c r="R214" i="31"/>
  <c r="R278" i="31"/>
  <c r="R316" i="31"/>
  <c r="T199" i="31"/>
  <c r="BD199" i="31"/>
  <c r="AA242" i="31"/>
  <c r="AS243" i="31" s="1"/>
  <c r="AA218" i="31"/>
  <c r="AS219" i="31" s="1"/>
  <c r="AA255" i="31"/>
  <c r="AS256" i="31" s="1"/>
  <c r="AA230" i="31"/>
  <c r="AS231" i="31" s="1"/>
  <c r="AA204" i="31"/>
  <c r="AS205" i="31" s="1"/>
  <c r="AA281" i="31"/>
  <c r="AS282" i="31" s="1"/>
  <c r="AA306" i="31"/>
  <c r="AS307" i="31" s="1"/>
  <c r="AA320" i="31"/>
  <c r="AS321" i="31" s="1"/>
  <c r="AA268" i="31"/>
  <c r="AS269" i="31" s="1"/>
  <c r="AA333" i="31"/>
  <c r="AS334" i="31" s="1"/>
  <c r="AA294" i="31"/>
  <c r="AS295" i="31" s="1"/>
  <c r="I161" i="31"/>
  <c r="I209" i="31"/>
  <c r="I235" i="31"/>
  <c r="I247" i="31"/>
  <c r="I223" i="31"/>
  <c r="I273" i="31"/>
  <c r="I260" i="31"/>
  <c r="I286" i="31"/>
  <c r="I299" i="31"/>
  <c r="I311" i="31"/>
  <c r="I325" i="31"/>
  <c r="I338" i="31"/>
  <c r="BJ251" i="31"/>
  <c r="BJ252" i="31"/>
  <c r="X214" i="31"/>
  <c r="X278" i="31"/>
  <c r="X316" i="31"/>
  <c r="R204" i="31"/>
  <c r="AJ205" i="31" s="1"/>
  <c r="R230" i="31"/>
  <c r="AJ231" i="31" s="1"/>
  <c r="R281" i="31"/>
  <c r="AJ282" i="31" s="1"/>
  <c r="R218" i="31"/>
  <c r="AJ219" i="31" s="1"/>
  <c r="R294" i="31"/>
  <c r="AJ295" i="31" s="1"/>
  <c r="R333" i="31"/>
  <c r="AJ334" i="31" s="1"/>
  <c r="R306" i="31"/>
  <c r="AJ307" i="31" s="1"/>
  <c r="R242" i="31"/>
  <c r="AJ243" i="31" s="1"/>
  <c r="R255" i="31"/>
  <c r="AJ256" i="31" s="1"/>
  <c r="R320" i="31"/>
  <c r="AJ321" i="31" s="1"/>
  <c r="R268" i="31"/>
  <c r="AJ269" i="31" s="1"/>
  <c r="AY251" i="31"/>
  <c r="AY252" i="31"/>
  <c r="BK251" i="31"/>
  <c r="BK252" i="31"/>
  <c r="Y214" i="31"/>
  <c r="Y278" i="31"/>
  <c r="Y316" i="31"/>
  <c r="AZ251" i="31"/>
  <c r="AZ252" i="31"/>
  <c r="BL251" i="31"/>
  <c r="BL252" i="31"/>
  <c r="Z214" i="31"/>
  <c r="Z278" i="31"/>
  <c r="Z316" i="31"/>
  <c r="BA251" i="31"/>
  <c r="BA252" i="31"/>
  <c r="O214" i="31"/>
  <c r="O278" i="31"/>
  <c r="O316" i="31"/>
  <c r="AA214" i="31"/>
  <c r="AA278" i="31"/>
  <c r="AA316" i="31"/>
  <c r="BL199" i="31"/>
  <c r="AB199" i="31"/>
  <c r="BB251" i="31"/>
  <c r="BB252" i="31"/>
  <c r="P214" i="31"/>
  <c r="P278" i="31"/>
  <c r="P316" i="31"/>
  <c r="AB214" i="31"/>
  <c r="AB278" i="31"/>
  <c r="AB316" i="31"/>
  <c r="BD252" i="31"/>
  <c r="BD251" i="31"/>
  <c r="T204" i="31"/>
  <c r="AL205" i="31" s="1"/>
  <c r="T242" i="31"/>
  <c r="AL243" i="31" s="1"/>
  <c r="T230" i="31"/>
  <c r="AL231" i="31" s="1"/>
  <c r="T268" i="31"/>
  <c r="AL269" i="31" s="1"/>
  <c r="T218" i="31"/>
  <c r="AL219" i="31" s="1"/>
  <c r="T255" i="31"/>
  <c r="AL256" i="31" s="1"/>
  <c r="T333" i="31"/>
  <c r="AL334" i="31" s="1"/>
  <c r="T306" i="31"/>
  <c r="AL307" i="31" s="1"/>
  <c r="T294" i="31"/>
  <c r="AL295" i="31" s="1"/>
  <c r="T320" i="31"/>
  <c r="AL321" i="31" s="1"/>
  <c r="T281" i="31"/>
  <c r="AL282" i="31" s="1"/>
  <c r="BC251" i="31"/>
  <c r="BC252" i="31"/>
  <c r="Q214" i="31"/>
  <c r="Q316" i="31"/>
  <c r="Q278" i="31"/>
  <c r="O291" i="31"/>
  <c r="O330" i="31"/>
  <c r="O265" i="31"/>
  <c r="T18" i="5"/>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63" i="31"/>
  <c r="V363" i="31"/>
  <c r="Z363" i="31"/>
  <c r="S363" i="31"/>
  <c r="W363" i="31"/>
  <c r="AA363" i="31"/>
  <c r="P363" i="31"/>
  <c r="T363" i="31"/>
  <c r="X363" i="31"/>
  <c r="AB363" i="31"/>
  <c r="O363" i="31"/>
  <c r="Q363" i="31"/>
  <c r="U363" i="31"/>
  <c r="Y363" i="31"/>
  <c r="R166" i="31"/>
  <c r="V166" i="31"/>
  <c r="Z166" i="31"/>
  <c r="O166" i="31"/>
  <c r="S166" i="31"/>
  <c r="W166" i="31"/>
  <c r="AA166" i="31"/>
  <c r="P166" i="31"/>
  <c r="T166" i="31"/>
  <c r="X166" i="31"/>
  <c r="AB166" i="31"/>
  <c r="Q166" i="31"/>
  <c r="U166" i="31"/>
  <c r="Y166"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401" i="31"/>
  <c r="P98" i="31"/>
  <c r="T401" i="31"/>
  <c r="T98" i="31"/>
  <c r="X401" i="31"/>
  <c r="X98" i="31"/>
  <c r="AB401"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98" i="31"/>
  <c r="U401" i="31"/>
  <c r="U98" i="31"/>
  <c r="Y401" i="31"/>
  <c r="Y98" i="31"/>
  <c r="B82" i="34"/>
  <c r="B79" i="34"/>
  <c r="B80" i="34" s="1"/>
  <c r="B81" i="34" s="1"/>
  <c r="B112" i="34"/>
  <c r="B109" i="34"/>
  <c r="B110" i="34" s="1"/>
  <c r="B111" i="34" s="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98" i="31"/>
  <c r="V401" i="31"/>
  <c r="V98" i="31"/>
  <c r="Z401"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98" i="31"/>
  <c r="S401" i="31"/>
  <c r="S98" i="31"/>
  <c r="W401" i="31"/>
  <c r="W98" i="31"/>
  <c r="AA401" i="31"/>
  <c r="AA98" i="31"/>
  <c r="O414" i="31"/>
  <c r="O180" i="31"/>
  <c r="O112" i="31"/>
  <c r="O442" i="31"/>
  <c r="O481"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76" i="34"/>
  <c r="R139" i="34"/>
  <c r="T276" i="34"/>
  <c r="T139" i="34"/>
  <c r="R287"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294" i="34"/>
  <c r="B291" i="34"/>
  <c r="B292"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T23" i="31"/>
  <c r="T88" i="31" s="1"/>
  <c r="Z14" i="26"/>
  <c r="R14" i="26"/>
  <c r="R144" i="26" s="1"/>
  <c r="Z23" i="31"/>
  <c r="Z184" i="31" s="1"/>
  <c r="AR185"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U97" i="31"/>
  <c r="Q353" i="31"/>
  <c r="I149" i="31"/>
  <c r="I175"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AB400" i="31"/>
  <c r="I121" i="31"/>
  <c r="T82" i="28"/>
  <c r="P159" i="35"/>
  <c r="AI159" i="35" s="1"/>
  <c r="P105" i="35"/>
  <c r="AI105" i="35" s="1"/>
  <c r="AT500"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AF53" i="28" s="1"/>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287"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295" i="34"/>
  <c r="M295" i="34" s="1"/>
  <c r="N295" i="34" s="1"/>
  <c r="O295" i="34" s="1"/>
  <c r="P295" i="34" s="1"/>
  <c r="Q295" i="34" s="1"/>
  <c r="R295" i="34" s="1"/>
  <c r="S295" i="34" s="1"/>
  <c r="T295" i="34" s="1"/>
  <c r="U295" i="34" s="1"/>
  <c r="V295" i="34" s="1"/>
  <c r="W295" i="34" s="1"/>
  <c r="X295" i="34" s="1"/>
  <c r="Y295" i="34" s="1"/>
  <c r="Z295" i="34" s="1"/>
  <c r="H54" i="34"/>
  <c r="K4" i="34"/>
  <c r="H108" i="34"/>
  <c r="H291"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BJ12" i="28" l="1"/>
  <c r="AX199" i="31"/>
  <c r="N199" i="31"/>
  <c r="Y204" i="31"/>
  <c r="AQ205" i="31" s="1"/>
  <c r="Y242" i="31"/>
  <c r="AQ243" i="31" s="1"/>
  <c r="Y268" i="31"/>
  <c r="AQ269" i="31" s="1"/>
  <c r="Y218" i="31"/>
  <c r="AQ219" i="31" s="1"/>
  <c r="Y255" i="31"/>
  <c r="AQ256" i="31" s="1"/>
  <c r="Y230" i="31"/>
  <c r="AQ231" i="31" s="1"/>
  <c r="Y333" i="31"/>
  <c r="AQ334" i="31" s="1"/>
  <c r="Y306" i="31"/>
  <c r="AQ307" i="31" s="1"/>
  <c r="Y294" i="31"/>
  <c r="AQ295" i="31" s="1"/>
  <c r="Y320" i="31"/>
  <c r="AQ321" i="31" s="1"/>
  <c r="Y281" i="31"/>
  <c r="AQ282" i="31" s="1"/>
  <c r="BE213" i="31"/>
  <c r="BE214" i="31"/>
  <c r="BK199" i="31"/>
  <c r="AA199" i="31"/>
  <c r="BJ199" i="31"/>
  <c r="Z199" i="31"/>
  <c r="X204" i="31"/>
  <c r="AP205" i="31" s="1"/>
  <c r="X218" i="31"/>
  <c r="AP219" i="31" s="1"/>
  <c r="X230" i="31"/>
  <c r="AP231" i="31" s="1"/>
  <c r="X255" i="31"/>
  <c r="AP256" i="31" s="1"/>
  <c r="X242" i="31"/>
  <c r="AP243" i="31" s="1"/>
  <c r="X294" i="31"/>
  <c r="AP295" i="31" s="1"/>
  <c r="X268" i="31"/>
  <c r="AP269" i="31" s="1"/>
  <c r="X306" i="31"/>
  <c r="AP307" i="31" s="1"/>
  <c r="X320" i="31"/>
  <c r="AP321" i="31" s="1"/>
  <c r="X281" i="31"/>
  <c r="AP282" i="31" s="1"/>
  <c r="X333" i="31"/>
  <c r="AP334" i="31" s="1"/>
  <c r="AZ214" i="31"/>
  <c r="AZ213" i="31"/>
  <c r="AK201" i="31"/>
  <c r="BB199" i="31"/>
  <c r="R199" i="31"/>
  <c r="W204" i="31"/>
  <c r="AO205" i="31" s="1"/>
  <c r="W255" i="31"/>
  <c r="AO256" i="31" s="1"/>
  <c r="W242" i="31"/>
  <c r="AO243" i="31" s="1"/>
  <c r="W230" i="31"/>
  <c r="AO231" i="31" s="1"/>
  <c r="W218" i="31"/>
  <c r="AO219" i="31" s="1"/>
  <c r="W306" i="31"/>
  <c r="AO307" i="31" s="1"/>
  <c r="W320" i="31"/>
  <c r="AO321" i="31" s="1"/>
  <c r="W294" i="31"/>
  <c r="AO295" i="31" s="1"/>
  <c r="W281" i="31"/>
  <c r="AO282" i="31" s="1"/>
  <c r="W333" i="31"/>
  <c r="AO334" i="31" s="1"/>
  <c r="W268" i="31"/>
  <c r="AO269" i="31" s="1"/>
  <c r="AW252" i="31"/>
  <c r="AJ201" i="31"/>
  <c r="AS201" i="31"/>
  <c r="BG213" i="31"/>
  <c r="BG214" i="31"/>
  <c r="U204" i="31"/>
  <c r="AM205" i="31" s="1"/>
  <c r="U230" i="31"/>
  <c r="AM231" i="31" s="1"/>
  <c r="U242" i="31"/>
  <c r="AM243" i="31" s="1"/>
  <c r="U281" i="31"/>
  <c r="AM282" i="31" s="1"/>
  <c r="U218" i="31"/>
  <c r="AM219" i="31" s="1"/>
  <c r="U306" i="31"/>
  <c r="AM307" i="31" s="1"/>
  <c r="U255" i="31"/>
  <c r="AM256" i="31" s="1"/>
  <c r="U294" i="31"/>
  <c r="AM295" i="31" s="1"/>
  <c r="U320" i="31"/>
  <c r="AM321" i="31" s="1"/>
  <c r="U268" i="31"/>
  <c r="AM269" i="31" s="1"/>
  <c r="U333" i="31"/>
  <c r="AM334" i="31" s="1"/>
  <c r="AW251" i="31"/>
  <c r="W199" i="31"/>
  <c r="BG199" i="31"/>
  <c r="BA214" i="31"/>
  <c r="BA213" i="31"/>
  <c r="BA200" i="31" s="1"/>
  <c r="BJ214" i="31"/>
  <c r="BJ213" i="31"/>
  <c r="BD214" i="31"/>
  <c r="BD213" i="31"/>
  <c r="BD200" i="31" s="1"/>
  <c r="X199" i="31"/>
  <c r="BH199" i="31"/>
  <c r="AL201" i="31"/>
  <c r="BH213" i="31"/>
  <c r="BH214" i="31"/>
  <c r="AI201" i="31"/>
  <c r="BI213" i="31"/>
  <c r="BI214" i="31"/>
  <c r="O242" i="31"/>
  <c r="AG243" i="31" s="1"/>
  <c r="O218" i="31"/>
  <c r="AG219" i="31" s="1"/>
  <c r="O204" i="31"/>
  <c r="AG205" i="31" s="1"/>
  <c r="O230" i="31"/>
  <c r="AG231" i="31" s="1"/>
  <c r="O268" i="31"/>
  <c r="AG269" i="31" s="1"/>
  <c r="O255" i="31"/>
  <c r="AG256" i="31" s="1"/>
  <c r="O294" i="31"/>
  <c r="AG295" i="31" s="1"/>
  <c r="O320" i="31"/>
  <c r="AG321" i="31" s="1"/>
  <c r="O333" i="31"/>
  <c r="AG334" i="31" s="1"/>
  <c r="O281" i="31"/>
  <c r="AG282" i="31" s="1"/>
  <c r="O306" i="31"/>
  <c r="AG307" i="31" s="1"/>
  <c r="BB213" i="31"/>
  <c r="BB214" i="31"/>
  <c r="BA199" i="31"/>
  <c r="Q199" i="31"/>
  <c r="AY199" i="31"/>
  <c r="O199" i="31"/>
  <c r="V204" i="31"/>
  <c r="AN205" i="31" s="1"/>
  <c r="V218" i="31"/>
  <c r="AN219" i="31" s="1"/>
  <c r="V255" i="31"/>
  <c r="AN256" i="31" s="1"/>
  <c r="V242" i="31"/>
  <c r="AN243" i="31" s="1"/>
  <c r="V281" i="31"/>
  <c r="AN282" i="31" s="1"/>
  <c r="V294" i="31"/>
  <c r="AN295" i="31" s="1"/>
  <c r="V320" i="31"/>
  <c r="AN321" i="31" s="1"/>
  <c r="V333" i="31"/>
  <c r="AN334" i="31" s="1"/>
  <c r="V230" i="31"/>
  <c r="AN231" i="31" s="1"/>
  <c r="V306" i="31"/>
  <c r="AN307" i="31" s="1"/>
  <c r="V268" i="31"/>
  <c r="AN269" i="31" s="1"/>
  <c r="BF214" i="31"/>
  <c r="BF213" i="31"/>
  <c r="AZ199" i="31"/>
  <c r="P199" i="31"/>
  <c r="BC199" i="31"/>
  <c r="S199" i="31"/>
  <c r="P218" i="31"/>
  <c r="AH219" i="31" s="1"/>
  <c r="P204" i="31"/>
  <c r="AH205" i="31" s="1"/>
  <c r="P268" i="31"/>
  <c r="AH269" i="31" s="1"/>
  <c r="P306" i="31"/>
  <c r="AH307" i="31" s="1"/>
  <c r="P230" i="31"/>
  <c r="AH231" i="31" s="1"/>
  <c r="P242" i="31"/>
  <c r="AH243" i="31" s="1"/>
  <c r="P294" i="31"/>
  <c r="AH295" i="31" s="1"/>
  <c r="P320" i="31"/>
  <c r="AH321" i="31" s="1"/>
  <c r="P255" i="31"/>
  <c r="AH256" i="31" s="1"/>
  <c r="P333" i="31"/>
  <c r="AH334" i="31" s="1"/>
  <c r="P281" i="31"/>
  <c r="AH282" i="31" s="1"/>
  <c r="BK214" i="31"/>
  <c r="BK213" i="31"/>
  <c r="BC214" i="31"/>
  <c r="BC213" i="31"/>
  <c r="AY213" i="31"/>
  <c r="AY214" i="31"/>
  <c r="BI199" i="31"/>
  <c r="Y199" i="31"/>
  <c r="Z255" i="31"/>
  <c r="AR256" i="31" s="1"/>
  <c r="Z204" i="31"/>
  <c r="AR205" i="31" s="1"/>
  <c r="Z218" i="31"/>
  <c r="AR219" i="31" s="1"/>
  <c r="Z242" i="31"/>
  <c r="AR243" i="31" s="1"/>
  <c r="Z230" i="31"/>
  <c r="AR231" i="31" s="1"/>
  <c r="Z281" i="31"/>
  <c r="AR282" i="31" s="1"/>
  <c r="Z306" i="31"/>
  <c r="AR307" i="31" s="1"/>
  <c r="Z320" i="31"/>
  <c r="AR321" i="31" s="1"/>
  <c r="Z268" i="31"/>
  <c r="AR269" i="31" s="1"/>
  <c r="Z333" i="31"/>
  <c r="AR334" i="31" s="1"/>
  <c r="Z294" i="31"/>
  <c r="AR295" i="31" s="1"/>
  <c r="U199" i="31"/>
  <c r="BE199" i="31"/>
  <c r="V199" i="31"/>
  <c r="BF199" i="31"/>
  <c r="AB218" i="31"/>
  <c r="AT219" i="31" s="1"/>
  <c r="AB204" i="31"/>
  <c r="AT205" i="31" s="1"/>
  <c r="AB268" i="31"/>
  <c r="AT269" i="31" s="1"/>
  <c r="AB306" i="31"/>
  <c r="AT307" i="31" s="1"/>
  <c r="AB255" i="31"/>
  <c r="AT256" i="31" s="1"/>
  <c r="AB242" i="31"/>
  <c r="AT243" i="31" s="1"/>
  <c r="AB230" i="31"/>
  <c r="AT231" i="31" s="1"/>
  <c r="AB281" i="31"/>
  <c r="AT282" i="31" s="1"/>
  <c r="AB333" i="31"/>
  <c r="AT334" i="31" s="1"/>
  <c r="AB294" i="31"/>
  <c r="AT295" i="31" s="1"/>
  <c r="AB320" i="31"/>
  <c r="AT321" i="31" s="1"/>
  <c r="AF9" i="31"/>
  <c r="I224" i="31"/>
  <c r="I210" i="31"/>
  <c r="I236" i="31"/>
  <c r="I261" i="31"/>
  <c r="I248" i="31"/>
  <c r="I287" i="31"/>
  <c r="I312" i="31"/>
  <c r="I326" i="31"/>
  <c r="I300" i="31"/>
  <c r="I274" i="31"/>
  <c r="I339" i="31"/>
  <c r="BL213" i="31"/>
  <c r="BL214" i="31"/>
  <c r="I158" i="28"/>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AX183" i="28"/>
  <c r="AX33" i="28"/>
  <c r="AX4" i="28"/>
  <c r="BC500" i="31"/>
  <c r="BC348" i="31"/>
  <c r="BC44" i="31"/>
  <c r="BC9" i="31"/>
  <c r="S15" i="28"/>
  <c r="BC4" i="28"/>
  <c r="BC183" i="28"/>
  <c r="BC33" i="28"/>
  <c r="BG500" i="31"/>
  <c r="BG348"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E72" i="31"/>
  <c r="BE18" i="31" s="1"/>
  <c r="BK500" i="31"/>
  <c r="BK348" i="31"/>
  <c r="BK44" i="31"/>
  <c r="BK9" i="31"/>
  <c r="S13" i="26"/>
  <c r="BC30" i="26"/>
  <c r="R33" i="28"/>
  <c r="BB33" i="28"/>
  <c r="BB4" i="28"/>
  <c r="BB183" i="28"/>
  <c r="V33" i="28"/>
  <c r="BF183" i="28"/>
  <c r="BF33" i="28"/>
  <c r="BF4" i="28"/>
  <c r="BF30" i="26"/>
  <c r="BD30" i="26"/>
  <c r="BI500" i="31"/>
  <c r="BI44" i="31"/>
  <c r="BI9" i="31"/>
  <c r="BI348" i="31"/>
  <c r="O15" i="28"/>
  <c r="AY183" i="28"/>
  <c r="AY33" i="28"/>
  <c r="AY4" i="28"/>
  <c r="AY30" i="26"/>
  <c r="BJ9" i="31"/>
  <c r="BJ348" i="31"/>
  <c r="BJ44" i="31"/>
  <c r="BJ500"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W8" i="28"/>
  <c r="BG183" i="28"/>
  <c r="BG33" i="28"/>
  <c r="BG4" i="28"/>
  <c r="BH30" i="26"/>
  <c r="AA15" i="28"/>
  <c r="BK4" i="28"/>
  <c r="BK183" i="28"/>
  <c r="BK33" i="28"/>
  <c r="AZ44" i="31"/>
  <c r="AZ348" i="31"/>
  <c r="AZ9" i="31"/>
  <c r="AZ500" i="31"/>
  <c r="BB30" i="26"/>
  <c r="W379" i="31"/>
  <c r="AO380" i="31" s="1"/>
  <c r="W484" i="31"/>
  <c r="AO485" i="31" s="1"/>
  <c r="W445" i="31"/>
  <c r="W457" i="31"/>
  <c r="W471" i="31"/>
  <c r="AO472" i="31" s="1"/>
  <c r="BA85" i="31"/>
  <c r="BH98" i="31"/>
  <c r="BA500" i="31"/>
  <c r="BA44" i="31"/>
  <c r="BA9" i="31"/>
  <c r="BA348" i="31"/>
  <c r="AX9" i="31"/>
  <c r="AX348" i="31"/>
  <c r="AX44" i="31"/>
  <c r="AX500"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A72" i="31"/>
  <c r="BA18" i="31" s="1"/>
  <c r="BE500" i="31"/>
  <c r="BE44" i="31"/>
  <c r="BE9" i="31"/>
  <c r="BE348" i="31"/>
  <c r="BF9" i="31"/>
  <c r="BF348" i="31"/>
  <c r="BF44" i="31"/>
  <c r="BF500" i="31"/>
  <c r="BI30" i="26"/>
  <c r="AY500" i="31"/>
  <c r="AY9" i="31"/>
  <c r="AY348" i="31"/>
  <c r="AY44" i="31"/>
  <c r="T183" i="28"/>
  <c r="BD183" i="28"/>
  <c r="BD33" i="28"/>
  <c r="BD4" i="28"/>
  <c r="BB9" i="31"/>
  <c r="BB348"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76" i="34"/>
  <c r="Q139" i="34"/>
  <c r="Y276" i="34"/>
  <c r="Y139" i="34"/>
  <c r="O276" i="34"/>
  <c r="O139" i="34"/>
  <c r="W276" i="34"/>
  <c r="W139" i="34"/>
  <c r="V276" i="34"/>
  <c r="V139" i="34"/>
  <c r="L276" i="34"/>
  <c r="L139" i="34"/>
  <c r="S276" i="34"/>
  <c r="S139" i="34"/>
  <c r="U276" i="34"/>
  <c r="U139" i="34"/>
  <c r="X276" i="34"/>
  <c r="X139" i="34"/>
  <c r="P276" i="34"/>
  <c r="P139" i="34"/>
  <c r="Z276" i="34"/>
  <c r="Z139" i="34"/>
  <c r="N276" i="34"/>
  <c r="N139" i="34"/>
  <c r="M276" i="34"/>
  <c r="M139" i="34"/>
  <c r="Q287" i="34"/>
  <c r="Q260" i="34"/>
  <c r="AL9" i="34"/>
  <c r="O9" i="34"/>
  <c r="O260" i="34"/>
  <c r="AJ9" i="34"/>
  <c r="W192" i="34"/>
  <c r="W260" i="34"/>
  <c r="AR9" i="34"/>
  <c r="V192" i="34"/>
  <c r="V260" i="34"/>
  <c r="AQ9" i="34"/>
  <c r="L287" i="34"/>
  <c r="L260" i="34"/>
  <c r="AG9" i="34"/>
  <c r="S9" i="34"/>
  <c r="S260" i="34"/>
  <c r="AN9" i="34"/>
  <c r="U192" i="34"/>
  <c r="U260" i="34"/>
  <c r="AP9" i="34"/>
  <c r="X287"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Z75" i="31"/>
  <c r="AR76" i="31" s="1"/>
  <c r="Z102" i="31"/>
  <c r="AR103" i="31" s="1"/>
  <c r="Z63" i="31"/>
  <c r="AR64" i="31" s="1"/>
  <c r="T156" i="31"/>
  <c r="AL157" i="31" s="1"/>
  <c r="Z49" i="31"/>
  <c r="AR50" i="31" s="1"/>
  <c r="Z170" i="31"/>
  <c r="AR171" i="31" s="1"/>
  <c r="T184" i="31"/>
  <c r="AL185" i="31" s="1"/>
  <c r="X23" i="31"/>
  <c r="U23" i="29"/>
  <c r="U217" i="29" s="1"/>
  <c r="AM218" i="29" s="1"/>
  <c r="T75" i="31"/>
  <c r="AL76" i="31" s="1"/>
  <c r="Z88" i="31"/>
  <c r="AR89" i="31" s="1"/>
  <c r="T116" i="31"/>
  <c r="T49" i="31"/>
  <c r="AL50" i="31" s="1"/>
  <c r="T130" i="31"/>
  <c r="AL131" i="31" s="1"/>
  <c r="AA23" i="31"/>
  <c r="AA184" i="31" s="1"/>
  <c r="AS185" i="31" s="1"/>
  <c r="S23" i="31"/>
  <c r="S184" i="31" s="1"/>
  <c r="AK185" i="31" s="1"/>
  <c r="Z144" i="25"/>
  <c r="Z156" i="31"/>
  <c r="AR157" i="31" s="1"/>
  <c r="Z116" i="31"/>
  <c r="T63" i="31"/>
  <c r="AL64"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53" i="31"/>
  <c r="AB353" i="31"/>
  <c r="Z353" i="31"/>
  <c r="T353" i="31"/>
  <c r="I137" i="31"/>
  <c r="I191" i="31"/>
  <c r="I177" i="31"/>
  <c r="I136"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69"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397" i="31"/>
  <c r="I94" i="31"/>
  <c r="I162" i="31"/>
  <c r="I410" i="31"/>
  <c r="I373" i="31"/>
  <c r="AF10"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287" i="34"/>
  <c r="P348" i="31"/>
  <c r="AH348" i="31" s="1"/>
  <c r="T14" i="4"/>
  <c r="Z8" i="4"/>
  <c r="W33" i="28"/>
  <c r="P20" i="31"/>
  <c r="M287"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287"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287" i="34"/>
  <c r="AG9" i="35"/>
  <c r="AG5" i="35" s="1"/>
  <c r="W20" i="31"/>
  <c r="W500" i="31"/>
  <c r="R8" i="4"/>
  <c r="V113" i="7"/>
  <c r="T15" i="28"/>
  <c r="S20" i="31"/>
  <c r="O8" i="32"/>
  <c r="AB14" i="4"/>
  <c r="X33" i="28"/>
  <c r="W9" i="34"/>
  <c r="W28" i="1"/>
  <c r="V20" i="31"/>
  <c r="T30" i="25"/>
  <c r="T33" i="28"/>
  <c r="R8" i="1"/>
  <c r="V81" i="1"/>
  <c r="AJ113" i="7"/>
  <c r="AJ81" i="7" s="1"/>
  <c r="U287"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287" i="34"/>
  <c r="O14" i="4"/>
  <c r="M43" i="23"/>
  <c r="AN44" i="31"/>
  <c r="AN199" i="31" s="1"/>
  <c r="X15" i="28"/>
  <c r="AI29" i="4"/>
  <c r="AI60" i="4" s="1"/>
  <c r="W29" i="4"/>
  <c r="U8" i="1"/>
  <c r="F121" i="35"/>
  <c r="Y121" i="35" s="1"/>
  <c r="D41" i="35"/>
  <c r="W41" i="35" s="1"/>
  <c r="Y15" i="28"/>
  <c r="S287"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287" i="34"/>
  <c r="V183" i="28"/>
  <c r="AA8" i="31"/>
  <c r="AE23" i="23"/>
  <c r="AE43" i="23" s="1"/>
  <c r="P43" i="23"/>
  <c r="P8" i="32"/>
  <c r="V30" i="26"/>
  <c r="AH23" i="23"/>
  <c r="AH43" i="23" s="1"/>
  <c r="V29" i="4"/>
  <c r="AA9" i="35"/>
  <c r="AA5" i="35" s="1"/>
  <c r="R40" i="29"/>
  <c r="H89" i="35"/>
  <c r="AA89" i="35" s="1"/>
  <c r="R8" i="29"/>
  <c r="V15" i="28"/>
  <c r="Y287"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287"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BJ200" i="31" l="1"/>
  <c r="BH12" i="28"/>
  <c r="AZ200" i="31"/>
  <c r="BG200" i="31"/>
  <c r="AF185" i="28"/>
  <c r="BE200" i="31"/>
  <c r="AE269" i="31"/>
  <c r="AO201" i="31"/>
  <c r="AE231" i="31"/>
  <c r="AW214" i="31"/>
  <c r="AG201" i="31"/>
  <c r="AE205" i="31"/>
  <c r="AY200" i="31"/>
  <c r="AW213" i="31"/>
  <c r="AE219" i="31"/>
  <c r="I238" i="31"/>
  <c r="I226" i="31"/>
  <c r="I212" i="31"/>
  <c r="I250" i="31"/>
  <c r="I263" i="31"/>
  <c r="I328" i="31"/>
  <c r="I341" i="31"/>
  <c r="I276" i="31"/>
  <c r="I289" i="31"/>
  <c r="I314" i="31"/>
  <c r="I302" i="31"/>
  <c r="BC200" i="31"/>
  <c r="AE243" i="31"/>
  <c r="AP201" i="31"/>
  <c r="AH201" i="31"/>
  <c r="BB200" i="31"/>
  <c r="BK200" i="31"/>
  <c r="AE307" i="31"/>
  <c r="BI200" i="31"/>
  <c r="AT201" i="31"/>
  <c r="AE282" i="31"/>
  <c r="AE334" i="31"/>
  <c r="AM201" i="31"/>
  <c r="BL200" i="31"/>
  <c r="I249" i="31"/>
  <c r="I262" i="31"/>
  <c r="I211" i="31"/>
  <c r="I225" i="31"/>
  <c r="I237" i="31"/>
  <c r="I301" i="31"/>
  <c r="I340" i="31"/>
  <c r="I313" i="31"/>
  <c r="I275" i="31"/>
  <c r="I288" i="31"/>
  <c r="I327" i="31"/>
  <c r="AE321" i="31"/>
  <c r="BH200" i="31"/>
  <c r="AQ201" i="31"/>
  <c r="AR201" i="31"/>
  <c r="AE295" i="31"/>
  <c r="BF200" i="31"/>
  <c r="AN201" i="31"/>
  <c r="AE256" i="31"/>
  <c r="AZ184" i="28"/>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B84" i="31"/>
  <c r="BB19" i="31" s="1"/>
  <c r="BB85" i="31"/>
  <c r="V130" i="26"/>
  <c r="BA111" i="31"/>
  <c r="BA21" i="31" s="1"/>
  <c r="BA112" i="31"/>
  <c r="BA20" i="31" s="1"/>
  <c r="AZ112" i="31"/>
  <c r="AZ111" i="31"/>
  <c r="BF111" i="3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AB52" i="4"/>
  <c r="AB53" i="4"/>
  <c r="AB51" i="4"/>
  <c r="AB50" i="4"/>
  <c r="S140" i="35"/>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473" i="31"/>
  <c r="Z51" i="4"/>
  <c r="Z53" i="4"/>
  <c r="U355" i="31"/>
  <c r="AM354" i="31" s="1"/>
  <c r="K134" i="35"/>
  <c r="Q355" i="31"/>
  <c r="AI354" i="31" s="1"/>
  <c r="G134" i="35"/>
  <c r="R241" i="28"/>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192" i="31"/>
  <c r="I178"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440" i="31"/>
  <c r="I375" i="31"/>
  <c r="I164" i="31"/>
  <c r="I399" i="31"/>
  <c r="I96" i="31"/>
  <c r="I83" i="31"/>
  <c r="I426" i="31"/>
  <c r="I71"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BF21" i="31" l="1"/>
  <c r="AI99" i="7"/>
  <c r="AE169" i="28"/>
  <c r="AZ20" i="31"/>
  <c r="AW200" i="31"/>
  <c r="AE201" i="31"/>
  <c r="AX29" i="3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W119" i="31"/>
  <c r="BG112" i="31"/>
  <c r="BG20" i="31" s="1"/>
  <c r="BG111" i="31"/>
  <c r="BG21" i="31" s="1"/>
  <c r="R79" i="28"/>
  <c r="BB73" i="28"/>
  <c r="BI349"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AP46" i="4"/>
  <c r="AP31" i="4" s="1"/>
  <c r="AJ398" i="29"/>
  <c r="AE398" i="29" s="1"/>
  <c r="R476" i="31"/>
  <c r="AJ472" i="31"/>
  <c r="AE472" i="31" s="1"/>
  <c r="AT46" i="4"/>
  <c r="AT31" i="4" s="1"/>
  <c r="R330" i="29"/>
  <c r="R333" i="29"/>
  <c r="AJ435" i="29"/>
  <c r="AE435" i="29" s="1"/>
  <c r="AJ131" i="31"/>
  <c r="AE131" i="31" s="1"/>
  <c r="AJ65" i="25"/>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437" i="31"/>
  <c r="R136" i="28"/>
  <c r="R408" i="31"/>
  <c r="R463" i="31"/>
  <c r="R137" i="28"/>
  <c r="R479" i="31"/>
  <c r="R477" i="31"/>
  <c r="R488" i="31"/>
  <c r="R407" i="31"/>
  <c r="R424" i="31"/>
  <c r="R133" i="28"/>
  <c r="R149" i="28"/>
  <c r="R474" i="31"/>
  <c r="R492" i="31"/>
  <c r="R475" i="31"/>
  <c r="R489" i="31"/>
  <c r="R119" i="28"/>
  <c r="R398" i="31"/>
  <c r="R124" i="28"/>
  <c r="R394" i="31"/>
  <c r="R134" i="28"/>
  <c r="R144" i="28"/>
  <c r="R120" i="28"/>
  <c r="R410" i="31"/>
  <c r="R412" i="31"/>
  <c r="R425" i="31"/>
  <c r="R423" i="31"/>
  <c r="R122" i="28"/>
  <c r="R123" i="28"/>
  <c r="R451" i="31"/>
  <c r="R461" i="31"/>
  <c r="R435" i="31"/>
  <c r="R460" i="31"/>
  <c r="R464" i="29"/>
  <c r="R465" i="29"/>
  <c r="R467" i="29"/>
  <c r="R466" i="29"/>
  <c r="R468" i="29"/>
  <c r="R463" i="29"/>
  <c r="R374" i="31"/>
  <c r="R453" i="29"/>
  <c r="R455" i="29"/>
  <c r="R451" i="29"/>
  <c r="R450" i="29"/>
  <c r="R452" i="29"/>
  <c r="R454" i="29"/>
  <c r="R93" i="31"/>
  <c r="R375" i="31"/>
  <c r="R395" i="31"/>
  <c r="R399" i="31"/>
  <c r="R438"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453" i="31"/>
  <c r="R449" i="31"/>
  <c r="R371" i="31"/>
  <c r="R440"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358" i="31"/>
  <c r="R132" i="28"/>
  <c r="R147" i="28"/>
  <c r="R67" i="28"/>
  <c r="R69" i="28"/>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AW33" i="25" l="1"/>
  <c r="BB13" i="31"/>
  <c r="AW13" i="31" s="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Q10" i="31"/>
  <c r="X10" i="31"/>
  <c r="T11" i="31"/>
  <c r="W11" i="31"/>
  <c r="P11" i="31"/>
  <c r="O10" i="31"/>
  <c r="R11" i="31"/>
  <c r="O11" i="31"/>
  <c r="T10" i="31"/>
  <c r="AA10" i="31"/>
  <c r="AB10" i="31"/>
  <c r="S11" i="31"/>
  <c r="Z11" i="31"/>
  <c r="AB12" i="31"/>
  <c r="AT200" i="31" s="1"/>
  <c r="V12" i="31"/>
  <c r="Y12" i="31"/>
  <c r="S12" i="31"/>
  <c r="Z12" i="31"/>
  <c r="AR200" i="31" s="1"/>
  <c r="R12" i="31"/>
  <c r="AJ200" i="31" s="1"/>
  <c r="AA12" i="31"/>
  <c r="P12" i="31"/>
  <c r="AH200" i="31" s="1"/>
  <c r="T12" i="31"/>
  <c r="O12" i="31"/>
  <c r="U12" i="31"/>
  <c r="AM200" i="31" s="1"/>
  <c r="Q12" i="31"/>
  <c r="W12" i="31"/>
  <c r="AO200" i="31" s="1"/>
  <c r="X12" i="31"/>
  <c r="AP200" i="31" s="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K200" i="31" l="1"/>
  <c r="J16" i="50" s="1"/>
  <c r="AI200" i="31"/>
  <c r="AM45" i="31"/>
  <c r="L15" i="50" s="1"/>
  <c r="AS200" i="31"/>
  <c r="AQ200" i="31"/>
  <c r="AN200" i="31"/>
  <c r="AG200" i="31"/>
  <c r="F16" i="50" s="1"/>
  <c r="AL200" i="31"/>
  <c r="K16" i="50" s="1"/>
  <c r="AW11" i="3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P16" i="50"/>
  <c r="O16" i="50"/>
  <c r="R16" i="50"/>
  <c r="AF380" i="29"/>
  <c r="E23" i="50" s="1"/>
  <c r="N16" i="50"/>
  <c r="G16" i="50"/>
  <c r="S16" i="50"/>
  <c r="M16" i="50"/>
  <c r="Q16" i="50"/>
  <c r="H16" i="50"/>
  <c r="I16" i="50"/>
  <c r="L16" i="50"/>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T92" i="7"/>
  <c r="T91" i="7"/>
  <c r="T90" i="7"/>
  <c r="T93" i="7"/>
  <c r="T94" i="7"/>
  <c r="T95" i="7"/>
  <c r="L198" i="31" l="1"/>
  <c r="AF200" i="31"/>
  <c r="AE200" i="31"/>
  <c r="D16" i="50" s="1"/>
  <c r="AE52" i="25"/>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E16" i="50"/>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BH16" i="25" l="1"/>
  <c r="AE161" i="25"/>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G5" i="25" l="1"/>
  <c r="BJ5" i="25"/>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BI21" i="34" s="1"/>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BA16" i="26" l="1"/>
  <c r="AK13" i="34"/>
  <c r="BC13" i="34" s="1"/>
  <c r="AJ14" i="34"/>
  <c r="AQ13" i="34"/>
  <c r="AS14" i="34"/>
  <c r="AQ14" i="34"/>
  <c r="BI14" i="34" s="1"/>
  <c r="BI49" i="34" s="1"/>
  <c r="AT14" i="34"/>
  <c r="AN14" i="34"/>
  <c r="BF14" i="34" s="1"/>
  <c r="BF49" i="34" s="1"/>
  <c r="AJ13" i="34"/>
  <c r="BB13" i="34" s="1"/>
  <c r="AP14" i="34"/>
  <c r="BH14" i="34" s="1"/>
  <c r="BH49" i="34" s="1"/>
  <c r="AO14" i="34"/>
  <c r="BG14" i="34" s="1"/>
  <c r="BG49" i="34" s="1"/>
  <c r="AR14" i="34"/>
  <c r="BJ14" i="34" s="1"/>
  <c r="BJ49" i="34" s="1"/>
  <c r="AH14" i="34"/>
  <c r="AZ14" i="34" s="1"/>
  <c r="AZ49" i="34" s="1"/>
  <c r="AK14" i="34"/>
  <c r="BC14" i="34" s="1"/>
  <c r="BC49" i="34" s="1"/>
  <c r="AM14" i="34"/>
  <c r="BI13" i="34"/>
  <c r="BK13" i="34"/>
  <c r="BH13" i="34"/>
  <c r="BJ13" i="34"/>
  <c r="BB16" i="26"/>
  <c r="AK23" i="34" s="1"/>
  <c r="BE16" i="26"/>
  <c r="AN23" i="34" s="1"/>
  <c r="BG16" i="26"/>
  <c r="AP23" i="34" s="1"/>
  <c r="BF16" i="26"/>
  <c r="AO23" i="34" s="1"/>
  <c r="BD16" i="26"/>
  <c r="AM23" i="34" s="1"/>
  <c r="BH16" i="26"/>
  <c r="AQ23" i="34" s="1"/>
  <c r="BI16" i="26"/>
  <c r="AR23" i="34" s="1"/>
  <c r="AY16" i="26"/>
  <c r="AH23" i="34" s="1"/>
  <c r="BK16" i="26"/>
  <c r="AT23" i="34" s="1"/>
  <c r="AO22" i="34"/>
  <c r="BG22" i="34" s="1"/>
  <c r="AP18" i="34"/>
  <c r="BH18" i="34" s="1"/>
  <c r="AR22" i="34"/>
  <c r="BJ22" i="34" s="1"/>
  <c r="AP22" i="34"/>
  <c r="BH22" i="34" s="1"/>
  <c r="AJ18" i="34"/>
  <c r="BB18" i="34" s="1"/>
  <c r="AH22" i="34"/>
  <c r="AZ22" i="34" s="1"/>
  <c r="AK18" i="34"/>
  <c r="BC18" i="34" s="1"/>
  <c r="AS22" i="34"/>
  <c r="BK22" i="34" s="1"/>
  <c r="AN22" i="34"/>
  <c r="AU18" i="34"/>
  <c r="BM18" i="34" s="1"/>
  <c r="AT18" i="34"/>
  <c r="BL18" i="34" s="1"/>
  <c r="AK22" i="34"/>
  <c r="BC22" i="34" s="1"/>
  <c r="AI18" i="34"/>
  <c r="BA18" i="34" s="1"/>
  <c r="AT22" i="34"/>
  <c r="BL22" i="34" s="1"/>
  <c r="AJ22" i="34"/>
  <c r="BB22" i="34" s="1"/>
  <c r="AR18" i="34"/>
  <c r="BJ18" i="34" s="1"/>
  <c r="AS18" i="34"/>
  <c r="BK18" i="34" s="1"/>
  <c r="AQ18" i="34"/>
  <c r="BI18" i="34" s="1"/>
  <c r="AJ23" i="34"/>
  <c r="BJ24" i="26"/>
  <c r="AS31" i="34" s="1"/>
  <c r="BK31" i="34" s="1"/>
  <c r="BK48" i="34" s="1"/>
  <c r="AO18" i="34"/>
  <c r="BG18" i="34" s="1"/>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BC9" i="26"/>
  <c r="AL14" i="34" s="1"/>
  <c r="AW86" i="26"/>
  <c r="AM22" i="34"/>
  <c r="BE22" i="34" s="1"/>
  <c r="AM18" i="34"/>
  <c r="BE18" i="34" s="1"/>
  <c r="AQ22" i="34"/>
  <c r="BI22" i="34" s="1"/>
  <c r="BA24" i="26"/>
  <c r="AJ31" i="34" s="1"/>
  <c r="BB31" i="34" s="1"/>
  <c r="BB48" i="34" s="1"/>
  <c r="BL9" i="26"/>
  <c r="AU14" i="34" s="1"/>
  <c r="BM14" i="34" s="1"/>
  <c r="BM49"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Y54" i="34"/>
  <c r="V54" i="34"/>
  <c r="AW87" i="26"/>
  <c r="AX115" i="26"/>
  <c r="AW115" i="26" s="1"/>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B14" i="34"/>
  <c r="BB49" i="34" s="1"/>
  <c r="Q18" i="34"/>
  <c r="BD11" i="34"/>
  <c r="BL14" i="34"/>
  <c r="BL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X40" i="34"/>
  <c r="X39" i="34"/>
  <c r="X37" i="34"/>
  <c r="X38" i="34"/>
  <c r="P20" i="34"/>
  <c r="R19" i="34"/>
  <c r="X20" i="34"/>
  <c r="Q21" i="34"/>
  <c r="Q20" i="34"/>
  <c r="Q19" i="34"/>
  <c r="Q22" i="34"/>
  <c r="M18"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120" i="34"/>
  <c r="Z48" i="34"/>
  <c r="O120" i="34"/>
  <c r="O108" i="34"/>
  <c r="O72" i="34"/>
  <c r="O48" i="34"/>
  <c r="O30" i="34"/>
  <c r="O126" i="34"/>
  <c r="O66" i="34"/>
  <c r="O114" i="34"/>
  <c r="O90" i="34"/>
  <c r="O42" i="34"/>
  <c r="O12" i="34"/>
  <c r="N126" i="34"/>
  <c r="N114" i="34"/>
  <c r="N90" i="34"/>
  <c r="N66" i="34"/>
  <c r="N42" i="34"/>
  <c r="N12" i="34"/>
  <c r="N120" i="34"/>
  <c r="N48"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N30" i="34" l="1"/>
  <c r="Z30" i="34"/>
  <c r="Z37" i="34"/>
  <c r="S64" i="34"/>
  <c r="AZ47" i="34"/>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N56" i="34"/>
  <c r="Q58" i="34"/>
  <c r="N57" i="34"/>
  <c r="Q56" i="34"/>
  <c r="Z55" i="34"/>
  <c r="S94" i="34"/>
  <c r="Q57" i="34"/>
  <c r="W99" i="34"/>
  <c r="S91" i="34"/>
  <c r="Z57" i="34"/>
  <c r="Z58"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X100" i="34" l="1"/>
  <c r="Y100" i="34"/>
  <c r="Y98" i="34"/>
  <c r="W100" i="34"/>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J14" i="50" s="1"/>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69" i="34"/>
  <c r="Z270" i="34" s="1"/>
  <c r="Z271" i="34" s="1"/>
  <c r="Z272" i="34" s="1"/>
  <c r="Z273" i="34" s="1"/>
  <c r="BJ20" i="34"/>
  <c r="O269" i="34"/>
  <c r="O270" i="34" s="1"/>
  <c r="O271" i="34" s="1"/>
  <c r="O272" i="34" s="1"/>
  <c r="O273" i="34" s="1"/>
  <c r="N269" i="34"/>
  <c r="N270" i="34" s="1"/>
  <c r="N271" i="34" s="1"/>
  <c r="N272" i="34" s="1"/>
  <c r="N273" i="34" s="1"/>
  <c r="M269" i="34"/>
  <c r="M270" i="34" s="1"/>
  <c r="M271" i="34" s="1"/>
  <c r="M272" i="34" s="1"/>
  <c r="M273"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69" i="34"/>
  <c r="W270" i="34" s="1"/>
  <c r="W271" i="34" s="1"/>
  <c r="W272" i="34" s="1"/>
  <c r="W273" i="34" s="1"/>
  <c r="AZ20" i="34"/>
  <c r="AZ10" i="34" s="1"/>
  <c r="U86" i="34"/>
  <c r="U85" i="34"/>
  <c r="BB20" i="34"/>
  <c r="U105" i="34"/>
  <c r="U106" i="34"/>
  <c r="AY19" i="34"/>
  <c r="AY50" i="34" s="1"/>
  <c r="AX50" i="34" s="1"/>
  <c r="T269" i="34"/>
  <c r="T270" i="34" s="1"/>
  <c r="T271" i="34" s="1"/>
  <c r="T272" i="34" s="1"/>
  <c r="T273" i="34" s="1"/>
  <c r="AI10" i="34"/>
  <c r="AO10" i="34"/>
  <c r="AJ10" i="34"/>
  <c r="W102" i="34"/>
  <c r="W103" i="34" s="1"/>
  <c r="AR10" i="34"/>
  <c r="BK27" i="34"/>
  <c r="AX27" i="34" s="1"/>
  <c r="AF27" i="34"/>
  <c r="BJ10" i="34"/>
  <c r="BF20" i="34"/>
  <c r="S269" i="34"/>
  <c r="S270" i="34" s="1"/>
  <c r="S271" i="34" s="1"/>
  <c r="S272" i="34" s="1"/>
  <c r="S273" i="34" s="1"/>
  <c r="BE20" i="34"/>
  <c r="R269" i="34"/>
  <c r="R270" i="34" s="1"/>
  <c r="R271" i="34" s="1"/>
  <c r="R272" i="34" s="1"/>
  <c r="R273" i="34" s="1"/>
  <c r="BC20" i="34"/>
  <c r="P269" i="34"/>
  <c r="P270" i="34" s="1"/>
  <c r="P271" i="34" s="1"/>
  <c r="P272" i="34" s="1"/>
  <c r="P273" i="34" s="1"/>
  <c r="BI20" i="34"/>
  <c r="V269" i="34"/>
  <c r="V270" i="34" s="1"/>
  <c r="V271" i="34" s="1"/>
  <c r="V272" i="34" s="1"/>
  <c r="V273" i="34" s="1"/>
  <c r="BD20" i="34"/>
  <c r="Q269" i="34"/>
  <c r="Q270" i="34" s="1"/>
  <c r="Q271" i="34" s="1"/>
  <c r="Q272" i="34" s="1"/>
  <c r="Q273" i="34" s="1"/>
  <c r="BL20" i="34"/>
  <c r="Y269" i="34"/>
  <c r="Y270" i="34" s="1"/>
  <c r="Y271" i="34" s="1"/>
  <c r="Y272" i="34" s="1"/>
  <c r="Y273" i="34" s="1"/>
  <c r="BH20" i="34"/>
  <c r="U269" i="34"/>
  <c r="U270" i="34" s="1"/>
  <c r="U271" i="34" s="1"/>
  <c r="U272" i="34" s="1"/>
  <c r="U273" i="34" s="1"/>
  <c r="BK20" i="34"/>
  <c r="X269" i="34"/>
  <c r="X270" i="34" s="1"/>
  <c r="X271" i="34" s="1"/>
  <c r="X272" i="34" s="1"/>
  <c r="X273" i="34" s="1"/>
  <c r="X88" i="34"/>
  <c r="X85" i="34"/>
  <c r="X86" i="34"/>
  <c r="X87" i="34"/>
  <c r="P102" i="34"/>
  <c r="P103" i="34" s="1"/>
  <c r="X102" i="34"/>
  <c r="X104" i="34" s="1"/>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AU10" i="34"/>
  <c r="BK46" i="34" l="1"/>
  <c r="BK52" i="34" s="1"/>
  <c r="AZ68" i="34"/>
  <c r="BA68" i="34"/>
  <c r="BA10" i="34"/>
  <c r="BB10" i="34"/>
  <c r="BB68" i="34"/>
  <c r="W104" i="34"/>
  <c r="W106" i="34"/>
  <c r="W105" i="34"/>
  <c r="BM68" i="34"/>
  <c r="BJ68" i="34"/>
  <c r="BG68" i="34"/>
  <c r="BD10" i="34"/>
  <c r="BL10" i="34"/>
  <c r="BI10" i="34"/>
  <c r="BE10" i="34"/>
  <c r="BH10" i="34"/>
  <c r="P105" i="34"/>
  <c r="P104" i="34"/>
  <c r="BC10" i="34"/>
  <c r="P106" i="34"/>
  <c r="X105" i="34"/>
  <c r="X103" i="34"/>
  <c r="BK10" i="34"/>
  <c r="X106" i="34"/>
  <c r="AX19" i="34"/>
  <c r="BF10"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69" i="34"/>
  <c r="L270" i="34" s="1"/>
  <c r="L271" i="34" s="1"/>
  <c r="L272" i="34" s="1"/>
  <c r="L273"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16" authorId="0" shapeId="0" xr:uid="{BA7EC22C-1641-4CB1-941E-E2062D8C11E4}">
      <text>
        <r>
          <rPr>
            <b/>
            <sz val="9"/>
            <color indexed="81"/>
            <rFont val="Tahoma"/>
            <family val="2"/>
          </rPr>
          <t>Gabriella Grenander:</t>
        </r>
        <r>
          <rPr>
            <sz val="9"/>
            <color indexed="81"/>
            <rFont val="Tahoma"/>
            <family val="2"/>
          </rPr>
          <t xml:space="preserve">
No division in statistics between diesel and gasoline, assume 50-50</t>
        </r>
      </text>
    </comment>
    <comment ref="B17" authorId="0" shapeId="0" xr:uid="{384155CC-02A2-4669-97DF-832071F99595}">
      <text>
        <r>
          <rPr>
            <b/>
            <sz val="9"/>
            <color indexed="81"/>
            <rFont val="Tahoma"/>
            <family val="2"/>
          </rPr>
          <t>Gabriella Grenander:</t>
        </r>
        <r>
          <rPr>
            <sz val="9"/>
            <color indexed="81"/>
            <rFont val="Tahoma"/>
            <family val="2"/>
          </rPr>
          <t xml:space="preserve">
No division in statistics between diesel and gasoline, assume 50-50</t>
        </r>
      </text>
    </comment>
    <comment ref="B19" authorId="0" shapeId="0" xr:uid="{52BA6573-645A-4F94-8893-9D357B8D1D28}">
      <text>
        <r>
          <rPr>
            <b/>
            <sz val="9"/>
            <color indexed="81"/>
            <rFont val="Tahoma"/>
            <family val="2"/>
          </rPr>
          <t>Gabriella Grenander:</t>
        </r>
        <r>
          <rPr>
            <sz val="9"/>
            <color indexed="81"/>
            <rFont val="Tahoma"/>
            <family val="2"/>
          </rPr>
          <t xml:space="preserve">
No division in statistics between diesel and gasoline, assume 50-50</t>
        </r>
      </text>
    </comment>
    <comment ref="B20" authorId="0" shapeId="0" xr:uid="{3572524C-E3BD-4EB9-A6C2-AFA13FC4DDF6}">
      <text>
        <r>
          <rPr>
            <b/>
            <sz val="9"/>
            <color indexed="81"/>
            <rFont val="Tahoma"/>
            <family val="2"/>
          </rPr>
          <t>Gabriella Grenander:</t>
        </r>
        <r>
          <rPr>
            <sz val="9"/>
            <color indexed="81"/>
            <rFont val="Tahoma"/>
            <family val="2"/>
          </rPr>
          <t xml:space="preserve">
No division in statistics between diesel and gasoline, assume 50-50</t>
        </r>
      </text>
    </comment>
    <comment ref="B56" authorId="0" shapeId="0" xr:uid="{9A9DE29B-6C49-40FF-8D86-4463D5135660}">
      <text>
        <r>
          <rPr>
            <b/>
            <sz val="9"/>
            <color indexed="81"/>
            <rFont val="Tahoma"/>
            <charset val="1"/>
          </rPr>
          <t>Gabriella Grenander:</t>
        </r>
        <r>
          <rPr>
            <sz val="9"/>
            <color indexed="81"/>
            <rFont val="Tahoma"/>
            <charset val="1"/>
          </rPr>
          <t xml:space="preserve">
No data for division between urban and intercity; assume 60-40 division</t>
        </r>
      </text>
    </comment>
    <comment ref="B57" authorId="0" shapeId="0" xr:uid="{36E66E1D-4DC0-4BAF-BFBC-CE51A8AE094B}">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64" authorId="0" shapeId="0" xr:uid="{949ABA0C-71D1-4C7F-8164-CC79DE795647}">
      <text>
        <r>
          <rPr>
            <b/>
            <sz val="9"/>
            <color indexed="81"/>
            <rFont val="Tahoma"/>
            <family val="2"/>
          </rPr>
          <t>Gabriella Grenander:</t>
        </r>
        <r>
          <rPr>
            <sz val="9"/>
            <color indexed="81"/>
            <rFont val="Tahoma"/>
            <family val="2"/>
          </rPr>
          <t xml:space="preserve">
No division in statistics between diesel and gasoline, assume 50-50</t>
        </r>
      </text>
    </comment>
    <comment ref="D65" authorId="0" shapeId="0" xr:uid="{FF5C83AD-EF39-4AF0-91EB-56E202F81F4F}">
      <text>
        <r>
          <rPr>
            <b/>
            <sz val="9"/>
            <color indexed="81"/>
            <rFont val="Tahoma"/>
            <family val="2"/>
          </rPr>
          <t>Gabriella Grenander:</t>
        </r>
        <r>
          <rPr>
            <sz val="9"/>
            <color indexed="81"/>
            <rFont val="Tahoma"/>
            <family val="2"/>
          </rPr>
          <t xml:space="preserve">
No distinction in statistics between HEW and LEV, assume 50-50 division</t>
        </r>
      </text>
    </comment>
    <comment ref="B67" authorId="0" shapeId="0" xr:uid="{DC0F764F-2397-4043-B776-50FCADE07D69}">
      <text>
        <r>
          <rPr>
            <b/>
            <sz val="9"/>
            <color indexed="81"/>
            <rFont val="Tahoma"/>
            <family val="2"/>
          </rPr>
          <t>Gabriella Grenander:</t>
        </r>
        <r>
          <rPr>
            <sz val="9"/>
            <color indexed="81"/>
            <rFont val="Tahoma"/>
            <family val="2"/>
          </rPr>
          <t xml:space="preserve">
No division in statistics between diesel and gasoline, assume 50-50</t>
        </r>
      </text>
    </comment>
    <comment ref="D68" authorId="0" shapeId="0" xr:uid="{3DC24CE9-30EC-42AF-87BD-BF902799CAF1}">
      <text>
        <r>
          <rPr>
            <b/>
            <sz val="9"/>
            <color indexed="81"/>
            <rFont val="Tahoma"/>
            <family val="2"/>
          </rPr>
          <t>Gabriella Grenander:</t>
        </r>
        <r>
          <rPr>
            <sz val="9"/>
            <color indexed="81"/>
            <rFont val="Tahoma"/>
            <family val="2"/>
          </rPr>
          <t xml:space="preserve">
No distinction in statistics between HEW and LEV, assume 50-50 division</t>
        </r>
      </text>
    </comment>
    <comment ref="B72" authorId="0" shapeId="0" xr:uid="{A212C6B1-3E5C-489A-8E48-9CE84B6F8009}">
      <text>
        <r>
          <rPr>
            <b/>
            <sz val="9"/>
            <color indexed="81"/>
            <rFont val="Tahoma"/>
            <charset val="1"/>
          </rPr>
          <t>Gabriella Grenander:</t>
        </r>
        <r>
          <rPr>
            <sz val="9"/>
            <color indexed="81"/>
            <rFont val="Tahoma"/>
            <charset val="1"/>
          </rPr>
          <t xml:space="preserve">
No data for division between urban and intercity; assume 60-40 division</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80" authorId="0" shapeId="0" xr:uid="{6A4C41C8-95B7-46FD-92DE-3C5ECB672747}">
      <text>
        <r>
          <rPr>
            <b/>
            <sz val="9"/>
            <color indexed="81"/>
            <rFont val="Tahoma"/>
            <family val="2"/>
          </rPr>
          <t>Gabriella Grenander:</t>
        </r>
        <r>
          <rPr>
            <sz val="9"/>
            <color indexed="81"/>
            <rFont val="Tahoma"/>
            <family val="2"/>
          </rPr>
          <t xml:space="preserve">
No division in statistics between diesel and gasoline, assume 50-50</t>
        </r>
      </text>
    </comment>
    <comment ref="D81" authorId="0" shapeId="0" xr:uid="{47915DDA-EAC5-4614-9587-828F6A9D0807}">
      <text>
        <r>
          <rPr>
            <b/>
            <sz val="9"/>
            <color indexed="81"/>
            <rFont val="Tahoma"/>
            <family val="2"/>
          </rPr>
          <t>Gabriella Grenander:</t>
        </r>
        <r>
          <rPr>
            <sz val="9"/>
            <color indexed="81"/>
            <rFont val="Tahoma"/>
            <family val="2"/>
          </rPr>
          <t xml:space="preserve">
No distinction in statistics between HEW and LEV, assume 50-50 division</t>
        </r>
      </text>
    </comment>
    <comment ref="B83" authorId="0" shapeId="0" xr:uid="{74EE0401-A0F2-4F32-9960-BEB0D70F98FA}">
      <text>
        <r>
          <rPr>
            <b/>
            <sz val="9"/>
            <color indexed="81"/>
            <rFont val="Tahoma"/>
            <family val="2"/>
          </rPr>
          <t>Gabriella Grenander:</t>
        </r>
        <r>
          <rPr>
            <sz val="9"/>
            <color indexed="81"/>
            <rFont val="Tahoma"/>
            <family val="2"/>
          </rPr>
          <t xml:space="preserve">
No division in statistics between diesel and gasoline, assume 50-50</t>
        </r>
      </text>
    </comment>
    <comment ref="D84" authorId="0" shapeId="0" xr:uid="{38298F54-2243-4B72-8B20-BD86C11A8DE2}">
      <text>
        <r>
          <rPr>
            <b/>
            <sz val="9"/>
            <color indexed="81"/>
            <rFont val="Tahoma"/>
            <family val="2"/>
          </rPr>
          <t>Gabriella Grenander:</t>
        </r>
        <r>
          <rPr>
            <sz val="9"/>
            <color indexed="81"/>
            <rFont val="Tahoma"/>
            <family val="2"/>
          </rPr>
          <t xml:space="preserve">
No distinction in statistics between HEW and LEV, assume 50-50 division</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96" authorId="0" shapeId="0" xr:uid="{A5EF91FD-886A-413E-BD32-9C8DBEDF53FA}">
      <text>
        <r>
          <rPr>
            <b/>
            <sz val="9"/>
            <color indexed="81"/>
            <rFont val="Tahoma"/>
            <family val="2"/>
          </rPr>
          <t>Gabriella Grenander:</t>
        </r>
        <r>
          <rPr>
            <sz val="9"/>
            <color indexed="81"/>
            <rFont val="Tahoma"/>
            <family val="2"/>
          </rPr>
          <t xml:space="preserve">
No division in statistics between diesel and gasoline, assume 50-50</t>
        </r>
      </text>
    </comment>
    <comment ref="B99" authorId="0" shapeId="0" xr:uid="{175AFFE3-1A06-4398-9970-468D9C69E586}">
      <text>
        <r>
          <rPr>
            <b/>
            <sz val="9"/>
            <color indexed="81"/>
            <rFont val="Tahoma"/>
            <family val="2"/>
          </rPr>
          <t>Gabriella Grenander:</t>
        </r>
        <r>
          <rPr>
            <sz val="9"/>
            <color indexed="81"/>
            <rFont val="Tahoma"/>
            <family val="2"/>
          </rPr>
          <t xml:space="preserve">
No division in statistics between diesel and gasoline, assume 50-50</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28" authorId="0" shapeId="0" xr:uid="{D9E6C385-39F7-4F6B-97BB-161FD502782E}">
      <text>
        <r>
          <rPr>
            <b/>
            <sz val="9"/>
            <color indexed="81"/>
            <rFont val="Tahoma"/>
            <family val="2"/>
          </rPr>
          <t>Gabriella Grenander:</t>
        </r>
        <r>
          <rPr>
            <sz val="9"/>
            <color indexed="81"/>
            <rFont val="Tahoma"/>
            <family val="2"/>
          </rPr>
          <t xml:space="preserve">
No division in statistics between diesel and gasoline, assume 50-50</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assume 80-20 division between them</t>
        </r>
      </text>
    </comment>
    <comment ref="D10" authorId="0" shapeId="0" xr:uid="{F5E13A4E-521C-47CF-82A5-69D196239355}">
      <text>
        <r>
          <rPr>
            <b/>
            <sz val="9"/>
            <color indexed="81"/>
            <rFont val="Tahoma"/>
            <family val="2"/>
          </rPr>
          <t>Gabriella Grenander:</t>
        </r>
        <r>
          <rPr>
            <sz val="9"/>
            <color indexed="81"/>
            <rFont val="Tahoma"/>
            <family val="2"/>
          </rPr>
          <t xml:space="preserve">
Average mileage * average cargo weight (used 0,1 ton) * number of vehicles</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assume 40-60 division between them</t>
        </r>
      </text>
    </comment>
    <comment ref="D14" authorId="0" shapeId="0" xr:uid="{822E9B77-9DA4-4B73-8CCB-B7FE30CC2BE5}">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B19" authorId="0" shapeId="0" xr:uid="{C9D5FBC5-B35E-4D66-B4DC-3E86C61E2127}">
      <text>
        <r>
          <rPr>
            <b/>
            <sz val="9"/>
            <color indexed="81"/>
            <rFont val="Tahoma"/>
            <charset val="1"/>
          </rPr>
          <t>Gabriella Grenander:</t>
        </r>
        <r>
          <rPr>
            <sz val="9"/>
            <color indexed="81"/>
            <rFont val="Tahoma"/>
            <charset val="1"/>
          </rPr>
          <t xml:space="preserve">
No division being made between urban and intercity - assume 30-70 division for MPkm</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3" authorId="0" shapeId="0" xr:uid="{8A5F1D34-19CF-4BAB-B7EE-003D73A58992}">
      <text>
        <r>
          <rPr>
            <b/>
            <sz val="9"/>
            <color indexed="81"/>
            <rFont val="Tahoma"/>
            <family val="2"/>
          </rPr>
          <t>Gabriella Grenander:</t>
        </r>
        <r>
          <rPr>
            <sz val="9"/>
            <color indexed="81"/>
            <rFont val="Tahoma"/>
            <family val="2"/>
          </rPr>
          <t xml:space="preserve">
"Körsträckor 2019", Trafa. Tabell PB4. https://www.trafa.se/vagtrafik/korstrackor/</t>
        </r>
      </text>
    </comment>
    <comment ref="B4" authorId="0" shapeId="0" xr:uid="{15A0308A-D1FB-421D-A448-901F40FDAED5}">
      <text>
        <r>
          <rPr>
            <b/>
            <sz val="9"/>
            <color indexed="81"/>
            <rFont val="Tahoma"/>
            <charset val="1"/>
          </rPr>
          <t>Gabriella Grenander:</t>
        </r>
        <r>
          <rPr>
            <sz val="9"/>
            <color indexed="81"/>
            <rFont val="Tahoma"/>
            <charset val="1"/>
          </rPr>
          <t xml:space="preserve">
No data exist on Sthlm level, this is national level</t>
        </r>
      </text>
    </comment>
    <comment ref="B11" authorId="0" shapeId="0" xr:uid="{D1191BE5-832F-4164-A6FB-996C23C5B802}">
      <text>
        <r>
          <rPr>
            <b/>
            <sz val="9"/>
            <color indexed="81"/>
            <rFont val="Tahoma"/>
            <charset val="1"/>
          </rPr>
          <t>Gabriella Grenander:</t>
        </r>
        <r>
          <rPr>
            <sz val="9"/>
            <color indexed="81"/>
            <rFont val="Tahoma"/>
            <charset val="1"/>
          </rPr>
          <t xml:space="preserve">
No distinction in statistics between diesel and gasoline powered HEV; assume 50-50 division</t>
        </r>
      </text>
    </comment>
    <comment ref="B14" authorId="0" shapeId="0" xr:uid="{87349A0B-281A-40FE-A9BA-D0FDB429B6F3}">
      <text>
        <r>
          <rPr>
            <b/>
            <sz val="9"/>
            <color indexed="81"/>
            <rFont val="Tahoma"/>
            <charset val="1"/>
          </rPr>
          <t>Gabriella Grenander:</t>
        </r>
        <r>
          <rPr>
            <sz val="9"/>
            <color indexed="81"/>
            <rFont val="Tahoma"/>
            <charset val="1"/>
          </rPr>
          <t xml:space="preserve">
No distinction in statistics between diesel and gasoline powered PHEV; assume 50-50 division</t>
        </r>
      </text>
    </comment>
    <comment ref="B108" authorId="0" shapeId="0" xr:uid="{88507772-0D08-47BA-9A2F-F4965EAB62D6}">
      <text>
        <r>
          <rPr>
            <b/>
            <sz val="9"/>
            <color indexed="81"/>
            <rFont val="Tahoma"/>
            <family val="2"/>
          </rPr>
          <t>Gabriella Grenander:</t>
        </r>
        <r>
          <rPr>
            <sz val="9"/>
            <color indexed="81"/>
            <rFont val="Tahoma"/>
            <family val="2"/>
          </rPr>
          <t xml:space="preserve">
"Körsträckor 2019", Trafa. Tabell BU3. 
https://www.trafa.se/vagtrafik/korstrackor/</t>
        </r>
      </text>
    </comment>
    <comment ref="B116" authorId="0" shapeId="0" xr:uid="{1BB0AE73-F87C-482C-A24C-6227E0C6EFC0}">
      <text>
        <r>
          <rPr>
            <b/>
            <sz val="9"/>
            <color indexed="81"/>
            <rFont val="Tahoma"/>
            <charset val="1"/>
          </rPr>
          <t>Gabriella Grenander:</t>
        </r>
        <r>
          <rPr>
            <sz val="9"/>
            <color indexed="81"/>
            <rFont val="Tahoma"/>
            <charset val="1"/>
          </rPr>
          <t xml:space="preserve">
No distinction being made between HEV and PHEV, not between diesel and gasoline either. Assume 25-25-25-25 division</t>
        </r>
      </text>
    </comment>
    <comment ref="B123" authorId="0" shapeId="0" xr:uid="{9401E6E2-1D60-4F51-8D02-FB5922B64DEE}">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 ref="B183" authorId="0" shapeId="0" xr:uid="{9404FDEB-5ACD-441B-9EE9-9F387D7BEEE2}">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68"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277"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280"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289"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293"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<sst xmlns="http://schemas.openxmlformats.org/spreadsheetml/2006/main" count="11443" uniqueCount="1248">
  <si>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</si>
  <si>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</si>
  <si>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</si>
  <si>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</si>
  <si>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</si>
  <si>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</si>
  <si>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</si>
  <si>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</si>
  <si>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</si>
  <si>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</si>
  <si>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</si>
  <si>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</si>
  <si>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</si>
  <si>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</si>
  <si>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</si>
  <si>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</si>
  <si>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</si>
  <si>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</si>
  <si>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</si>
  <si>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</si>
  <si>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</si>
  <si>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</si>
  <si>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</si>
  <si>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</si>
  <si>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</si>
  <si>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</si>
  <si>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</si>
  <si>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</si>
  <si>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</si>
  <si>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</si>
  <si>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</si>
  <si>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</si>
  <si>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</si>
  <si>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</si>
  <si>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</si>
  <si>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</si>
  <si>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</si>
  <si>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</si>
  <si>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</si>
  <si>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</si>
  <si>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</si>
  <si>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</si>
  <si>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</si>
  <si>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</si>
  <si>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</si>
  <si>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</si>
  <si>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</si>
  <si>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</si>
  <si>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</si>
  <si>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</si>
  <si>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</si>
  <si>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</si>
  <si>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</si>
  <si>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</si>
  <si>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</si>
  <si>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</si>
  <si>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</si>
  <si>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</si>
  <si>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</si>
  <si>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</si>
  <si>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</si>
  <si>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</si>
  <si>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</si>
  <si>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</si>
  <si>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</si>
  <si>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</si>
  <si>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</si>
  <si>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</si>
  <si>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</si>
  <si>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</si>
  <si>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</si>
  <si>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</si>
  <si>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</si>
  <si>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</si>
  <si>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</si>
  <si>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</si>
  <si>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</si>
  <si>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</si>
  <si>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</si>
  <si>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</si>
  <si>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</si>
  <si>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</si>
  <si>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</si>
  <si>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</si>
  <si>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</si>
  <si>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</si>
  <si>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</si>
  <si>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</si>
  <si>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</si>
  <si>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</si>
  <si>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</si>
  <si>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</si>
  <si>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</si>
  <si>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</si>
  <si>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</si>
  <si>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</si>
  <si>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</si>
  <si>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</si>
  <si>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</si>
  <si>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</si>
  <si>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</si>
  <si>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</si>
  <si>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</si>
  <si>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</si>
  <si>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</si>
  <si>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</si>
  <si>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</si>
  <si>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</si>
  <si>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</si>
  <si>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</si>
  <si>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</si>
  <si>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</si>
  <si>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</si>
  <si>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</si>
  <si>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</si>
  <si>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</si>
  <si>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</si>
  <si>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</si>
  <si>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</si>
  <si>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</si>
  <si>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</si>
  <si>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</si>
  <si>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</si>
  <si>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</si>
  <si>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</si>
  <si>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</si>
  <si>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</si>
  <si>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</si>
  <si>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</si>
  <si>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</si>
  <si>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</si>
  <si>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</si>
  <si>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</si>
  <si>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</si>
  <si>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</si>
  <si>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</si>
  <si>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</si>
  <si>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</si>
  <si>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</si>
  <si>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</si>
  <si>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</si>
  <si>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</si>
  <si>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</si>
  <si>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</si>
  <si>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</si>
  <si>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</si>
  <si>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</si>
  <si>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</si>
  <si>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</si>
  <si>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</si>
  <si>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</si>
  <si>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</si>
  <si>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</si>
  <si>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</si>
  <si>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</si>
  <si>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</si>
  <si>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</si>
  <si>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</si>
  <si>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</si>
  <si>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</si>
  <si>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</si>
  <si>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</si>
  <si>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</si>
  <si>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</si>
  <si>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</si>
  <si>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</si>
  <si>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</si>
  <si>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</si>
  <si>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</si>
  <si>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</si>
  <si>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</si>
  <si>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</si>
  <si>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</si>
  <si>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</si>
  <si>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</si>
  <si>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</si>
  <si>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</si>
  <si>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</si>
  <si>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</si>
  <si>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</si>
  <si>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</si>
  <si>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</si>
  <si>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</si>
  <si>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</si>
  <si>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</si>
  <si>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</si>
  <si>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</si>
  <si>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</si>
  <si>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</si>
  <si>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</si>
  <si>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</si>
  <si>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</si>
  <si>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</si>
  <si>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</si>
  <si>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</si>
  <si>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</si>
  <si>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</si>
  <si>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</si>
  <si>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</si>
  <si>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</si>
  <si>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</si>
  <si>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</si>
  <si>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</si>
  <si>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</si>
  <si>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</si>
  <si>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</si>
  <si>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</si>
  <si>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</si>
  <si>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</si>
  <si>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</si>
  <si>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</si>
  <si>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</si>
  <si>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</si>
  <si>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</si>
  <si>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</si>
  <si>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</si>
  <si>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</si>
  <si>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</si>
  <si>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</si>
  <si>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</si>
  <si>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</si>
  <si>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</si>
  <si>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</si>
  <si>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</si>
  <si>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</si>
  <si>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</si>
  <si>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</si>
  <si>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</si>
  <si>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</si>
  <si>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</si>
  <si>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</si>
  <si>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</si>
  <si>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</si>
  <si>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</si>
  <si>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</si>
  <si>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</si>
  <si>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</si>
  <si>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</si>
  <si>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</si>
  <si>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</si>
  <si>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</si>
  <si>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</si>
  <si>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</si>
  <si>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</si>
  <si>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</si>
  <si>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</si>
  <si>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</si>
  <si>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</si>
  <si>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</si>
  <si>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</si>
  <si>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</si>
  <si>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</si>
  <si>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</si>
  <si>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</si>
  <si>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</si>
  <si>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</si>
  <si>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</si>
  <si>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</si>
  <si>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</si>
  <si>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</si>
  <si>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</si>
  <si>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</si>
  <si>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</si>
  <si>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</si>
  <si>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</si>
  <si>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</si>
  <si>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</si>
  <si>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</si>
  <si>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</si>
  <si>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</si>
  <si>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</si>
  <si>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</si>
  <si>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</si>
  <si>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</si>
  <si>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</si>
  <si>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</si>
  <si>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</si>
  <si>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</si>
  <si>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</si>
  <si>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</si>
  <si>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</si>
  <si>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</si>
  <si>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</si>
  <si>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</si>
  <si>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</si>
  <si>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</si>
  <si>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</si>
  <si>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</si>
  <si>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</si>
  <si>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</si>
  <si>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</si>
  <si>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</si>
  <si>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</si>
  <si>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</si>
  <si>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</si>
  <si>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</si>
  <si>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</si>
  <si>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</si>
  <si>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</si>
  <si>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</si>
  <si>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</si>
  <si>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</si>
  <si>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</si>
  <si>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</si>
  <si>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</si>
  <si>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</si>
  <si>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</si>
  <si>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</si>
  <si>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</si>
  <si>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</si>
  <si>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</si>
  <si>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</si>
  <si>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</si>
  <si>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</si>
  <si>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</si>
  <si>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</si>
  <si>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</si>
  <si>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</si>
  <si>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</si>
  <si>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</si>
  <si>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</si>
  <si>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</si>
  <si>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</si>
  <si>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</si>
  <si>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</si>
  <si>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</si>
  <si>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</si>
  <si>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</si>
  <si>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</si>
  <si>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</si>
  <si>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</si>
  <si>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</si>
  <si>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</si>
  <si>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</si>
  <si>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</si>
  <si>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</si>
  <si>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</si>
  <si>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</si>
  <si>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</si>
  <si>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</si>
  <si>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</si>
  <si>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</si>
  <si>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</si>
  <si>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</si>
  <si>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</si>
  <si>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</si>
  <si>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</si>
  <si>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</si>
  <si>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</si>
  <si>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</si>
  <si>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</si>
  <si>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</si>
  <si>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</si>
  <si>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</si>
  <si>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</si>
  <si>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</si>
  <si>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</si>
  <si>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</si>
  <si>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</si>
  <si>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</si>
  <si>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</si>
  <si>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</si>
  <si>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</si>
  <si>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</si>
  <si>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</si>
  <si>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</si>
  <si>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</si>
  <si>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</si>
  <si>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</si>
  <si>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</si>
  <si>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</si>
  <si>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</si>
  <si>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</si>
  <si>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</si>
  <si>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</si>
  <si>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</si>
  <si>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</si>
  <si>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</si>
  <si>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</si>
  <si>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</si>
  <si>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</si>
  <si>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</si>
  <si>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</si>
  <si>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</si>
  <si>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</si>
  <si>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</si>
  <si>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</si>
  <si>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</si>
  <si>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</si>
  <si>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</si>
  <si>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</si>
  <si>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</si>
  <si>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</si>
  <si>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</si>
  <si>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</si>
  <si>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</si>
  <si>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</si>
  <si>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</si>
  <si>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</si>
  <si>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</si>
  <si>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</si>
  <si>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</si>
  <si>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</si>
  <si>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</si>
  <si>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</si>
  <si>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</si>
  <si>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</si>
  <si>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</si>
  <si>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</si>
  <si>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</si>
  <si>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</si>
  <si>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</si>
  <si>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</si>
  <si>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</si>
  <si>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</si>
  <si>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</si>
  <si>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</si>
  <si>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</si>
  <si>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</si>
  <si>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</si>
  <si>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</si>
  <si>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</si>
  <si>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</si>
  <si>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</si>
  <si>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</si>
  <si>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</si>
  <si>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</si>
  <si>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</si>
  <si>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</si>
  <si>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</si>
  <si>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</si>
  <si>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</si>
  <si>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</si>
  <si>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</si>
  <si>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</si>
  <si>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</si>
  <si>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</si>
  <si>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</si>
  <si>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</si>
  <si>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</si>
  <si>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</si>
  <si>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</si>
  <si>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</si>
  <si>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</si>
  <si>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</si>
  <si>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</si>
  <si>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</si>
  <si>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</si>
  <si>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</si>
  <si>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</si>
  <si>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</si>
  <si>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</si>
  <si>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</si>
  <si>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</si>
  <si>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</si>
  <si>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</si>
  <si>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</si>
  <si>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</si>
  <si>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</si>
  <si>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</si>
  <si>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</si>
  <si>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</si>
  <si>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</si>
  <si>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</si>
  <si>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</si>
  <si>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</si>
  <si>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</si>
  <si>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</si>
  <si>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</si>
  <si>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</si>
  <si>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</si>
  <si>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</si>
  <si>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</si>
  <si>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</si>
  <si>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</si>
  <si>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</si>
  <si>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</si>
  <si>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</si>
  <si>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</si>
  <si>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</si>
  <si>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</si>
  <si>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</si>
  <si>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</si>
  <si>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</si>
  <si>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</si>
  <si>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</si>
  <si>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</si>
  <si>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</si>
  <si>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</si>
  <si>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</si>
  <si>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</si>
  <si>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</si>
  <si>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</si>
  <si>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</si>
  <si>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</si>
  <si>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</si>
  <si>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</si>
  <si>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</si>
  <si>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</si>
  <si>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</si>
  <si>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</si>
  <si>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</si>
  <si>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</si>
  <si>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</si>
  <si>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</si>
  <si>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</si>
  <si>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</si>
  <si>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</si>
  <si>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</si>
  <si>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</si>
  <si>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</si>
  <si>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</si>
  <si>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</si>
  <si>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</si>
  <si>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</si>
  <si>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</si>
  <si>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</si>
  <si>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</si>
  <si>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</si>
  <si>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</si>
  <si>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</si>
  <si>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</si>
  <si>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</si>
  <si>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</si>
  <si>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</si>
  <si>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</si>
  <si>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</si>
  <si>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</si>
  <si>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</si>
  <si>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</si>
  <si>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</si>
  <si>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</si>
  <si>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</si>
  <si>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</si>
  <si>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</si>
  <si>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</si>
  <si>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</si>
  <si>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</si>
  <si>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</si>
  <si>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</si>
  <si>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</si>
  <si>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</si>
  <si>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</si>
  <si>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</si>
  <si>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</si>
  <si>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</si>
  <si>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</si>
  <si>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</si>
  <si>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</si>
  <si>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</si>
  <si>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</si>
  <si>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</si>
  <si>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</si>
  <si>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</si>
  <si>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</si>
  <si>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</si>
  <si>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</si>
  <si>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</si>
  <si>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</si>
  <si>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</si>
  <si>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</si>
  <si>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</si>
  <si>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</si>
  <si>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</si>
  <si>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</si>
  <si>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</si>
  <si>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</si>
  <si>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</si>
  <si>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</si>
  <si>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</si>
  <si>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</si>
  <si>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</si>
  <si>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</si>
  <si>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</si>
  <si>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</si>
  <si>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</si>
  <si>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</si>
  <si>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</si>
  <si>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</si>
  <si>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</si>
  <si>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</si>
  <si>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</si>
  <si>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</si>
  <si>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</si>
  <si>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</si>
  <si>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</si>
  <si>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</si>
  <si>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</si>
  <si>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</si>
  <si>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</si>
  <si>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</si>
  <si>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</si>
  <si>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</si>
  <si>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</si>
  <si>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</si>
  <si>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</si>
  <si>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</si>
  <si>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</si>
  <si>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</si>
  <si>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</si>
  <si>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</si>
  <si>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</si>
  <si>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</si>
  <si>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</si>
  <si>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</si>
  <si>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</si>
  <si>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</si>
  <si>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</si>
  <si>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</si>
  <si>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</si>
  <si>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</si>
  <si>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</si>
  <si>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</si>
  <si>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</si>
  <si>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</si>
  <si>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</si>
  <si>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</si>
  <si>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</si>
  <si>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</si>
  <si>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</si>
  <si>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</si>
  <si>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</si>
  <si>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</si>
  <si>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</si>
  <si>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</si>
  <si>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</si>
  <si>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</si>
  <si>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</si>
  <si>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</si>
  <si>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</si>
  <si>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</si>
  <si>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</si>
  <si>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</si>
  <si>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</si>
  <si>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</si>
  <si>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</si>
  <si>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</si>
  <si>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</si>
  <si>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</si>
  <si>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</si>
  <si>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</si>
  <si>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</si>
  <si>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</si>
  <si>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</si>
  <si>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</si>
  <si>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</si>
  <si>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</si>
  <si>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</si>
  <si>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</si>
  <si>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</si>
  <si>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</si>
  <si>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</si>
  <si>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</si>
  <si>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</si>
  <si>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</si>
  <si>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</si>
  <si>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</si>
  <si>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</si>
  <si>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</si>
  <si>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</si>
  <si>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</si>
  <si>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</si>
  <si>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</si>
  <si>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</si>
  <si>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</si>
  <si>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</si>
  <si>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</si>
  <si>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</si>
  <si>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</si>
  <si>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</si>
  <si>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</si>
  <si>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</si>
  <si>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</si>
  <si>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</si>
  <si>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</si>
  <si>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</si>
  <si>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</si>
  <si>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</si>
  <si>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</si>
  <si>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</si>
  <si>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</si>
  <si>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</si>
  <si>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</si>
  <si>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</si>
  <si>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</si>
  <si>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</si>
  <si>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</si>
  <si>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</si>
  <si>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</si>
  <si>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</si>
  <si>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</si>
  <si>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</si>
  <si>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</si>
  <si>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</si>
  <si>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</si>
  <si>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</si>
  <si>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</si>
  <si>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</si>
  <si>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</si>
  <si>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</si>
  <si>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</si>
  <si>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</si>
  <si>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</si>
  <si>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</si>
  <si>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</si>
  <si>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</si>
  <si>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</si>
  <si>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</si>
  <si>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</si>
  <si>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</si>
  <si>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</si>
  <si>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</si>
  <si>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</si>
  <si>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</si>
  <si>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</si>
  <si>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</si>
  <si>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</si>
  <si>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</si>
  <si>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</si>
  <si>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</si>
  <si>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</si>
  <si>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</si>
  <si>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</si>
  <si>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</si>
  <si>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</si>
  <si>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</si>
  <si>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</si>
  <si>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</si>
  <si>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</si>
  <si>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</si>
  <si>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</si>
  <si>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</si>
  <si>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</si>
  <si>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</si>
  <si>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</si>
  <si>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</si>
  <si>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</si>
  <si>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</si>
  <si>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</si>
  <si>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</si>
  <si>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</si>
  <si>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</si>
  <si>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</si>
  <si>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</si>
  <si>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</si>
  <si>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</si>
  <si>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</si>
  <si>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</si>
  <si>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</si>
  <si>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</si>
  <si>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</si>
  <si>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</si>
  <si>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</si>
  <si>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</si>
  <si>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</si>
  <si>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</si>
  <si>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</si>
  <si>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</si>
  <si>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</si>
  <si>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</si>
  <si>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</si>
  <si>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</si>
  <si>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</si>
  <si>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</si>
  <si>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</si>
  <si>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</si>
  <si>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</si>
  <si>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</si>
  <si>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</si>
  <si>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</si>
  <si>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</si>
  <si>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</si>
  <si>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</si>
  <si>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</si>
  <si>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</si>
  <si>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</si>
  <si>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</si>
  <si>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</si>
  <si>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</si>
  <si>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</si>
  <si>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</si>
  <si>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</si>
  <si>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</si>
  <si>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</si>
  <si>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</si>
  <si>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</si>
  <si>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</si>
  <si>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</si>
  <si>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</si>
  <si>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</si>
  <si>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</si>
  <si>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</si>
  <si>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</si>
  <si>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</si>
  <si>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</si>
  <si>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</si>
  <si>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</si>
  <si>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</si>
  <si>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</si>
  <si>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</si>
  <si>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</si>
  <si>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</si>
  <si>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</si>
  <si>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</si>
  <si>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</si>
  <si>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</si>
  <si>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</si>
  <si>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</si>
  <si>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</si>
  <si>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</si>
  <si>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</si>
  <si>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</si>
  <si>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</si>
  <si>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</si>
  <si>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</si>
  <si>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</si>
  <si>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</si>
  <si>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</si>
  <si>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</si>
  <si>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</si>
  <si>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</si>
  <si>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</si>
  <si>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</si>
  <si>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</si>
  <si>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</si>
  <si>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</si>
  <si>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</si>
  <si>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</si>
  <si>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</si>
  <si>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</si>
  <si>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</si>
  <si>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</si>
  <si>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</si>
  <si>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</si>
  <si>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</si>
  <si>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</si>
  <si>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</si>
  <si>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</si>
  <si>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</si>
  <si>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</si>
  <si>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</si>
  <si>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</si>
  <si>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</si>
  <si>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</si>
  <si>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</si>
  <si>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</si>
  <si>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</si>
  <si>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</si>
  <si>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</si>
  <si>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</si>
  <si>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</si>
  <si>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</si>
  <si>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</si>
  <si>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</si>
  <si>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</si>
  <si>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</si>
  <si>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</si>
  <si>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</si>
  <si>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</si>
  <si>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</si>
  <si>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</si>
  <si>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</si>
  <si>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</si>
  <si>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</si>
  <si>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</si>
  <si>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</si>
  <si>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</si>
  <si>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</si>
  <si>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</si>
  <si>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</si>
  <si>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</si>
  <si>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</si>
  <si>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</si>
  <si>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</si>
  <si>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</si>
  <si>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</si>
  <si>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</si>
  <si>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</si>
  <si>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</si>
  <si>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</si>
  <si>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</si>
  <si>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</si>
  <si>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</si>
  <si>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</si>
  <si>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</si>
  <si>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</si>
  <si>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</si>
  <si>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</si>
  <si>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</si>
  <si>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</si>
  <si>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</si>
  <si>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</si>
  <si>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</si>
  <si>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</si>
  <si>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</si>
  <si>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</si>
  <si>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</si>
  <si>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</si>
  <si>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</si>
  <si>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</si>
  <si>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</si>
  <si>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</si>
  <si>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</si>
  <si>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</si>
  <si>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</si>
  <si>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</si>
  <si>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</si>
  <si>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</si>
  <si>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</si>
  <si>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</si>
  <si>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</si>
  <si>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</si>
  <si>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</si>
  <si>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</si>
  <si>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</si>
  <si>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</si>
  <si>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</si>
  <si>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</si>
  <si>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</si>
  <si>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</si>
  <si>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</si>
  <si>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</si>
  <si>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</si>
  <si>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</si>
  <si>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</si>
  <si>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</si>
  <si>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</si>
  <si>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</si>
  <si>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</si>
  <si>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</si>
  <si>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</si>
  <si>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</si>
  <si>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</si>
  <si>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</si>
  <si>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</si>
  <si>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</si>
  <si>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</si>
  <si>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</si>
  <si>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</si>
  <si>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</si>
  <si>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</si>
  <si>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</si>
  <si>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</si>
  <si>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</si>
  <si>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</si>
  <si>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</si>
  <si>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</si>
  <si>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</si>
  <si>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</si>
  <si>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</si>
  <si>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</si>
  <si>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</si>
  <si>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</si>
  <si>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</si>
  <si>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</si>
  <si>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</si>
  <si>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</si>
  <si>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</si>
  <si>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</si>
  <si>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</si>
  <si>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</si>
  <si>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</si>
  <si>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</si>
  <si>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</si>
  <si>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</si>
  <si>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</si>
  <si>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</si>
  <si>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</si>
  <si>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</si>
  <si>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</si>
  <si>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</si>
  <si>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</si>
  <si>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</si>
  <si>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</si>
  <si>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</si>
  <si>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</si>
  <si>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</si>
  <si>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</si>
  <si>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</si>
  <si>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</si>
  <si>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</si>
  <si>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</si>
  <si>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</si>
  <si>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</si>
  <si>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</si>
  <si>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</si>
  <si>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</si>
  <si>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</si>
  <si>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</si>
  <si>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</si>
  <si>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</si>
  <si>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</si>
  <si>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</si>
  <si>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</si>
  <si>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</si>
  <si>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</si>
  <si>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</si>
  <si>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</si>
  <si>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</si>
  <si>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</si>
  <si>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</si>
  <si>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</si>
  <si>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</si>
  <si>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</si>
  <si>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</si>
  <si>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</si>
  <si>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</si>
  <si>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</si>
  <si>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</si>
  <si>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</si>
  <si>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</si>
  <si>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</si>
  <si>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</si>
  <si>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</si>
  <si>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</si>
  <si>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</si>
  <si>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</si>
  <si>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</si>
  <si>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</si>
  <si>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</si>
  <si>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</si>
  <si>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</si>
  <si>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</si>
  <si>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</si>
  <si>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</si>
  <si>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</si>
  <si>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</si>
  <si>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</si>
  <si>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</si>
  <si>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</si>
  <si>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</si>
  <si>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</si>
  <si>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</si>
  <si>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</si>
  <si>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</si>
  <si>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</si>
  <si>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</si>
  <si>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</si>
  <si>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</si>
  <si>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</si>
  <si>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</si>
  <si>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</si>
  <si>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</si>
  <si>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</si>
  <si>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</si>
  <si>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</si>
  <si>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</si>
  <si>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</si>
  <si>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</si>
  <si>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</si>
  <si>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</si>
  <si>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</si>
  <si>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</si>
  <si>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</si>
  <si>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</si>
  <si>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</si>
  <si>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</si>
  <si>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</si>
  <si>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</si>
  <si>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</si>
  <si>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</si>
  <si>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</si>
  <si>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</si>
  <si>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</si>
  <si>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</si>
  <si>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</si>
  <si>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</si>
  <si>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</si>
  <si>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</si>
  <si>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</si>
  <si>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</si>
  <si>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</si>
  <si>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</si>
  <si>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</si>
  <si>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</si>
  <si>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</si>
  <si>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</si>
  <si>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</si>
  <si>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</si>
  <si>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</si>
  <si>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</si>
  <si>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</si>
  <si>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</si>
  <si>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</si>
  <si>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</si>
  <si>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</si>
  <si>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</si>
  <si>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</si>
  <si>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</si>
  <si>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</si>
  <si>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</si>
  <si>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</si>
  <si>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</si>
  <si>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</si>
  <si>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</si>
  <si>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</si>
  <si>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</si>
  <si>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</si>
  <si>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</si>
  <si>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</si>
  <si>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</si>
  <si>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</si>
  <si>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</si>
  <si>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</si>
  <si>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</si>
  <si>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</si>
  <si>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</si>
  <si>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</si>
  <si>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</si>
  <si>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</si>
  <si>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</si>
  <si>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</si>
  <si>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</si>
  <si>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</si>
  <si>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</si>
  <si>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</si>
  <si>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</si>
  <si>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</si>
  <si>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</si>
  <si>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</si>
  <si>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</si>
  <si>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</si>
  <si>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</si>
  <si>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</si>
  <si>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</si>
  <si>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</si>
  <si>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</si>
  <si>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</si>
  <si>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</si>
  <si>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</si>
  <si>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</si>
  <si>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</si>
  <si>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</si>
  <si>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</si>
  <si>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</si>
  <si>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</si>
  <si>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</si>
  <si>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</si>
  <si>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</si>
  <si>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</si>
  <si>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</si>
  <si>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</si>
  <si>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</si>
  <si>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</si>
  <si>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</si>
  <si>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</si>
  <si>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</si>
  <si>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</si>
  <si>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</si>
  <si>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</si>
  <si>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</si>
  <si>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</si>
  <si>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</si>
  <si>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</si>
  <si>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</si>
  <si>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</si>
  <si>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</si>
  <si>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</si>
  <si>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</si>
  <si>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</si>
  <si>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</si>
  <si>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</si>
  <si>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</si>
  <si>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</si>
  <si>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</si>
  <si>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</si>
  <si>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</si>
  <si>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</si>
  <si>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</si>
  <si>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</si>
  <si>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</si>
  <si>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</si>
  <si>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</si>
  <si>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</si>
  <si>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</si>
  <si>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</si>
  <si>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</si>
  <si>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</si>
  <si>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</si>
  <si>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</si>
  <si>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</si>
  <si>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</si>
  <si>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</si>
  <si>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</si>
  <si>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</si>
  <si>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</si>
  <si>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</si>
  <si>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</si>
  <si>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</si>
  <si>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</si>
  <si>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</si>
  <si>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</si>
  <si>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</si>
  <si>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</si>
  <si>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</si>
  <si>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</si>
  <si>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</si>
  <si>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</si>
  <si>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</si>
  <si>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</si>
  <si>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</si>
  <si>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</si>
  <si>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</si>
  <si>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</si>
  <si>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</si>
  <si>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</si>
  <si>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</si>
  <si>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</si>
  <si>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</si>
  <si>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</si>
  <si>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</si>
  <si>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</si>
  <si>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</si>
  <si>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</si>
  <si>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</si>
  <si>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</si>
  <si>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</si>
  <si>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</si>
  <si>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</si>
  <si>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</si>
  <si>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</si>
  <si>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</si>
  <si>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</si>
  <si>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</si>
  <si>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</si>
  <si>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</si>
  <si>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</si>
  <si>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</si>
  <si>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</si>
  <si>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</si>
  <si>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</si>
  <si>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</si>
  <si>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</si>
  <si>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</si>
  <si>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</si>
  <si>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</si>
  <si>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</si>
  <si>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</si>
  <si>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</si>
  <si>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</si>
  <si>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</si>
  <si>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</si>
  <si>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</si>
  <si>
    <t>MWh/h</t>
  </si>
  <si>
    <t>PJ</t>
  </si>
  <si>
    <t>Assume 50/50 divide between diesel and biodiesel</t>
  </si>
  <si>
    <t>Källa: "Drivmedel 2019", Statens energimyndighet, oktober 2020</t>
  </si>
  <si>
    <t>TCARBDSL100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</si>
</sst>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s>
  <fonts count="112"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
      <sz val="9"/>
      <color indexed="81"/>
      <name val="Tahoma"/>
      <charset val="1"/>
    </font>
    <font>
      <b/>
      <sz val="9"/>
      <color indexed="81"/>
      <name val="Tahoma"/>
      <charset val="1"/>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54">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56">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109" fillId="0" borderId="0" xfId="0" applyFont="1" applyAlignment="1">
      <alignment vertical="center"/>
    </xf>
    <xf numFmtId="3" fontId="0" fillId="55" borderId="0" xfId="0" applyNumberFormat="1" applyFill="1"/>
    <xf numFmtId="0" fontId="5" fillId="0" borderId="0" xfId="0" applyFont="1"/>
    <xf numFmtId="1" fontId="0" fillId="5" borderId="0" xfId="0" applyNumberFormat="1" applyFill="1"/>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0" fontId="55" fillId="48" borderId="30"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44" xfId="0" applyFont="1" applyFill="1" applyBorder="1" applyAlignment="1">
      <alignment horizontal="center" vertical="center" wrapText="1"/>
    </xf>
    <xf numFmtId="9" fontId="0" fillId="0" borderId="0" xfId="0" applyNumberFormat="1" applyAlignment="1">
      <alignment horizontal="center" vertical="top" wrapText="1"/>
    </xf>
    <xf numFmtId="0" fontId="0" fillId="53" borderId="0" xfId="0" applyFill="1" applyAlignment="1">
      <alignment horizontal="center" vertical="center"/>
    </xf>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ysSet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Time Slices"/>
      <sheetName val="TimePeriods"/>
      <sheetName val="Import Settings"/>
      <sheetName val="Interpol_Extrapol_Defaults"/>
      <sheetName val="Constants"/>
      <sheetName val="Defaults"/>
      <sheetName val="Commodity Group"/>
      <sheetName val="EMI_Comm"/>
      <sheetName val="CityData"/>
      <sheetName val="SUP_Comm"/>
      <sheetName val="ELC_Comm"/>
      <sheetName val="COM_Comm"/>
      <sheetName val="MUN_Comm"/>
      <sheetName val="RSD_Comm"/>
      <sheetName val="IND_Comm"/>
      <sheetName val="TRA_Comm"/>
      <sheetName val="WWW_Comm"/>
      <sheetName val="Sector_Comm"/>
    </sheetNames>
    <sheetDataSet>
      <sheetData sheetId="0">
        <row r="16">
          <cell r="M16">
            <v>4.1666666666666664E-2</v>
          </cell>
        </row>
        <row r="17">
          <cell r="M17">
            <v>4.1666666666666664E-2</v>
          </cell>
        </row>
        <row r="18">
          <cell r="M18">
            <v>4.1666666666666664E-2</v>
          </cell>
        </row>
        <row r="19">
          <cell r="M19">
            <v>4.1666666666666664E-2</v>
          </cell>
        </row>
        <row r="20">
          <cell r="M20">
            <v>4.1666666666666664E-2</v>
          </cell>
        </row>
        <row r="21">
          <cell r="M21">
            <v>4.1666666666666664E-2</v>
          </cell>
        </row>
        <row r="22">
          <cell r="M22">
            <v>4.1666666666666664E-2</v>
          </cell>
        </row>
        <row r="23">
          <cell r="M23">
            <v>4.1666666666666664E-2</v>
          </cell>
        </row>
        <row r="24">
          <cell r="M24">
            <v>4.1666666666666664E-2</v>
          </cell>
        </row>
        <row r="25">
          <cell r="M25">
            <v>4.1666666666666664E-2</v>
          </cell>
        </row>
        <row r="26">
          <cell r="M26">
            <v>4.1666666666666664E-2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E24" sqref="E24:I24"/>
    </sheetView>
  </sheetViews>
  <sheetFormatPr defaultColWidth="9.33203125" defaultRowHeight="14.4" x14ac:dyDescent="0.3"/>
  <cols>
    <col min="2" max="2" width="24.44140625" bestFit="1" customWidth="1"/>
    <col min="3" max="3" width="26.5546875" customWidth="1"/>
    <col min="4" max="17" width="11.5546875" customWidth="1"/>
  </cols>
  <sheetData>
    <row r="3" spans="2:19" x14ac:dyDescent="0.3">
      <c r="B3" s="266" t="s">
        <v>0</v>
      </c>
      <c r="C3" s="275" t="s">
        <v>1</v>
      </c>
      <c r="F3" s="7"/>
      <c r="G3" t="s">
        <v>2</v>
      </c>
      <c r="K3" s="4"/>
      <c r="L3" s="4"/>
      <c r="M3" s="4"/>
      <c r="N3" s="4"/>
      <c r="O3" s="4"/>
      <c r="P3" s="4"/>
      <c r="Q3" s="4"/>
      <c r="R3" s="4"/>
      <c r="S3" s="4"/>
    </row>
    <row r="4" spans="2:19" x14ac:dyDescent="0.3">
      <c r="B4" s="266" t="s">
        <v>3</v>
      </c>
      <c r="C4" s="275" t="s">
        <v>4</v>
      </c>
      <c r="F4" s="8"/>
      <c r="G4" t="s">
        <v>5</v>
      </c>
      <c r="K4" s="4"/>
      <c r="L4" s="4"/>
      <c r="M4" s="4"/>
      <c r="N4" s="4"/>
      <c r="O4" s="4"/>
      <c r="P4" s="4"/>
      <c r="Q4" s="4"/>
      <c r="R4" s="4"/>
      <c r="S4" s="4"/>
    </row>
    <row r="5" spans="2:19" x14ac:dyDescent="0.3">
      <c r="B5" s="266" t="s">
        <v>6</v>
      </c>
      <c r="C5" s="275">
        <v>2019</v>
      </c>
      <c r="F5" s="10"/>
      <c r="G5" t="s">
        <v>7</v>
      </c>
      <c r="K5" s="4"/>
      <c r="L5" s="4"/>
      <c r="M5" s="4"/>
      <c r="N5" s="4"/>
      <c r="O5" s="4"/>
      <c r="P5" s="4"/>
      <c r="Q5" s="4"/>
      <c r="R5" s="4"/>
      <c r="S5" s="4"/>
    </row>
    <row r="6" spans="2:19" x14ac:dyDescent="0.3">
      <c r="B6" s="275" t="s">
        <v>8</v>
      </c>
      <c r="C6" s="314" t="s">
        <v>9</v>
      </c>
      <c r="F6" s="9"/>
      <c r="G6" t="s">
        <v>10</v>
      </c>
    </row>
    <row r="7" spans="2:19" x14ac:dyDescent="0.3">
      <c r="B7" s="275" t="s">
        <v>11</v>
      </c>
      <c r="C7" s="314" t="s">
        <v>1240</v>
      </c>
      <c r="F7" s="313"/>
      <c r="G7" t="s">
        <v>13</v>
      </c>
    </row>
    <row r="8" spans="2:19" x14ac:dyDescent="0.3">
      <c r="B8" s="275" t="s">
        <v>14</v>
      </c>
      <c r="C8" s="314" t="s">
        <v>15</v>
      </c>
      <c r="F8" s="11"/>
      <c r="G8" t="s">
        <v>16</v>
      </c>
    </row>
    <row r="9" spans="2:19" x14ac:dyDescent="0.3">
      <c r="B9" s="315"/>
      <c r="C9" s="316"/>
    </row>
    <row r="10" spans="2:19" x14ac:dyDescent="0.3">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3">
      <c r="B12" s="317" t="s">
        <v>33</v>
      </c>
      <c r="C12" s="317"/>
      <c r="D12" s="317"/>
      <c r="E12" s="317"/>
      <c r="F12" s="317"/>
      <c r="G12" s="317"/>
      <c r="H12" s="317"/>
      <c r="I12" s="317"/>
      <c r="J12" s="317"/>
      <c r="K12" s="317"/>
      <c r="L12" s="317"/>
      <c r="M12" s="317"/>
      <c r="N12" s="317"/>
      <c r="O12" s="317"/>
      <c r="P12" s="317"/>
      <c r="Q12" s="317"/>
    </row>
    <row r="13" spans="2:19" x14ac:dyDescent="0.3">
      <c r="B13" s="317" t="s">
        <v>34</v>
      </c>
      <c r="C13" s="317" t="s">
        <v>35</v>
      </c>
      <c r="D13" s="317" t="s">
        <v>36</v>
      </c>
      <c r="E13" s="317"/>
      <c r="F13" s="317"/>
      <c r="G13" s="317"/>
      <c r="H13" s="317"/>
      <c r="I13" s="317"/>
      <c r="J13" s="317"/>
      <c r="K13" s="317"/>
      <c r="L13" s="317"/>
      <c r="M13" s="317"/>
      <c r="N13" s="317"/>
      <c r="O13" s="317"/>
      <c r="P13" s="317"/>
      <c r="Q13" s="317"/>
    </row>
    <row r="14" spans="2:19" s="19" customFormat="1" x14ac:dyDescent="0.3">
      <c r="B14" s="426" t="s">
        <v>37</v>
      </c>
      <c r="C14" s="427" t="s">
        <v>38</v>
      </c>
      <c r="D14" s="428" t="s">
        <v>39</v>
      </c>
      <c r="E14" s="426"/>
      <c r="F14" s="426"/>
      <c r="G14" s="426"/>
      <c r="H14" s="426"/>
      <c r="I14" s="426"/>
      <c r="J14" s="426"/>
      <c r="K14" s="426"/>
      <c r="L14" s="426"/>
      <c r="M14" s="426"/>
      <c r="N14" s="426"/>
      <c r="O14" s="426"/>
      <c r="P14" s="426"/>
      <c r="Q14" s="426"/>
    </row>
    <row r="15" spans="2:19" x14ac:dyDescent="0.3">
      <c r="B15" s="429" t="s">
        <v>40</v>
      </c>
      <c r="C15" s="427" t="s">
        <v>38</v>
      </c>
      <c r="D15" s="427" t="s">
        <v>41</v>
      </c>
      <c r="E15" s="429"/>
      <c r="F15" s="429"/>
      <c r="G15" s="429"/>
      <c r="H15" s="429"/>
      <c r="I15" s="429"/>
      <c r="J15" s="429"/>
      <c r="K15" s="429"/>
      <c r="L15" s="429"/>
      <c r="M15" s="429"/>
      <c r="N15" s="429"/>
      <c r="O15" s="429"/>
      <c r="P15" s="394"/>
      <c r="Q15" s="394"/>
    </row>
    <row r="16" spans="2:19" x14ac:dyDescent="0.3">
      <c r="B16" s="432" t="s">
        <v>42</v>
      </c>
      <c r="C16" s="432" t="s">
        <v>43</v>
      </c>
      <c r="D16" s="432" t="s">
        <v>44</v>
      </c>
      <c r="E16" s="430"/>
      <c r="F16" s="430"/>
      <c r="G16" s="430"/>
      <c r="H16" s="430"/>
      <c r="I16" s="430"/>
      <c r="J16" s="430"/>
      <c r="K16" s="430"/>
      <c r="L16" s="430"/>
      <c r="M16" s="430"/>
      <c r="N16" s="430"/>
      <c r="O16" s="430"/>
      <c r="P16" s="430"/>
      <c r="Q16" s="430"/>
    </row>
    <row r="17" spans="2:17" x14ac:dyDescent="0.3">
      <c r="B17" s="432" t="s">
        <v>45</v>
      </c>
      <c r="C17" s="432" t="s">
        <v>43</v>
      </c>
      <c r="D17" s="432" t="s">
        <v>46</v>
      </c>
      <c r="E17" s="430"/>
      <c r="F17" s="430"/>
      <c r="G17" s="430"/>
      <c r="H17" s="430"/>
      <c r="I17" s="430"/>
      <c r="J17" s="430"/>
      <c r="K17" s="430"/>
      <c r="L17" s="430"/>
      <c r="M17" s="430"/>
      <c r="N17" s="430"/>
      <c r="O17" s="430"/>
      <c r="P17" s="430"/>
      <c r="Q17" s="430"/>
    </row>
    <row r="18" spans="2:17" s="303" customFormat="1" x14ac:dyDescent="0.3">
      <c r="B18" s="432" t="s">
        <v>47</v>
      </c>
      <c r="C18" s="432" t="s">
        <v>43</v>
      </c>
      <c r="D18" s="943" t="s">
        <v>48</v>
      </c>
      <c r="E18" s="944"/>
      <c r="F18" s="944"/>
      <c r="G18" s="944"/>
      <c r="H18" s="944"/>
      <c r="I18" s="944"/>
      <c r="J18" s="944"/>
      <c r="K18" s="944"/>
      <c r="L18" s="944"/>
      <c r="M18" s="944"/>
      <c r="N18" s="944"/>
      <c r="O18" s="944"/>
      <c r="P18" s="944"/>
      <c r="Q18" s="944"/>
    </row>
    <row r="19" spans="2:17" s="303" customFormat="1" x14ac:dyDescent="0.3">
      <c r="B19" s="432" t="s">
        <v>49</v>
      </c>
      <c r="C19" s="432" t="s">
        <v>43</v>
      </c>
      <c r="D19" s="943" t="s">
        <v>50</v>
      </c>
      <c r="E19" s="944"/>
      <c r="F19" s="944"/>
      <c r="G19" s="944"/>
      <c r="H19" s="944"/>
      <c r="I19" s="944"/>
      <c r="J19" s="944"/>
      <c r="K19" s="944"/>
      <c r="L19" s="944"/>
      <c r="M19" s="944"/>
      <c r="N19" s="944"/>
      <c r="O19" s="944"/>
      <c r="P19" s="944"/>
      <c r="Q19" s="944"/>
    </row>
    <row r="20" spans="2:17" s="303" customFormat="1" x14ac:dyDescent="0.3">
      <c r="B20" s="432" t="s">
        <v>51</v>
      </c>
      <c r="C20" s="432" t="s">
        <v>43</v>
      </c>
      <c r="D20" s="431" t="s">
        <v>52</v>
      </c>
      <c r="E20" s="433"/>
      <c r="F20" s="433"/>
      <c r="G20" s="433"/>
      <c r="H20" s="433"/>
      <c r="I20" s="433"/>
      <c r="J20" s="433"/>
      <c r="K20" s="433"/>
      <c r="L20" s="433"/>
      <c r="M20" s="433"/>
      <c r="N20" s="433"/>
      <c r="O20" s="433"/>
      <c r="P20" s="433"/>
      <c r="Q20" s="433"/>
    </row>
    <row r="21" spans="2:17" s="303" customFormat="1" x14ac:dyDescent="0.3">
      <c r="B21" s="432" t="s">
        <v>53</v>
      </c>
      <c r="C21" s="432" t="s">
        <v>43</v>
      </c>
      <c r="D21" s="431" t="s">
        <v>54</v>
      </c>
      <c r="E21" s="433"/>
      <c r="F21" s="433"/>
      <c r="G21" s="433"/>
      <c r="H21" s="433"/>
      <c r="I21" s="433"/>
      <c r="J21" s="433"/>
      <c r="K21" s="433"/>
      <c r="L21" s="433"/>
      <c r="M21" s="433"/>
      <c r="N21" s="433"/>
      <c r="O21" s="433"/>
      <c r="P21" s="433"/>
      <c r="Q21" s="433"/>
    </row>
    <row r="22" spans="2:17" x14ac:dyDescent="0.3">
      <c r="B22" s="430" t="s">
        <v>55</v>
      </c>
      <c r="C22" s="432" t="s">
        <v>43</v>
      </c>
      <c r="D22" s="430" t="s">
        <v>56</v>
      </c>
      <c r="E22" s="430"/>
      <c r="F22" s="430"/>
      <c r="G22" s="430"/>
      <c r="H22" s="430"/>
      <c r="I22" s="430"/>
      <c r="J22" s="430"/>
      <c r="K22" s="430"/>
      <c r="L22" s="430"/>
      <c r="M22" s="430"/>
      <c r="N22" s="430"/>
      <c r="O22" s="430"/>
      <c r="P22" s="430"/>
      <c r="Q22" s="430"/>
    </row>
    <row r="23" spans="2:17" x14ac:dyDescent="0.3">
      <c r="B23" s="304" t="s">
        <v>57</v>
      </c>
      <c r="C23" s="305" t="s">
        <v>58</v>
      </c>
      <c r="D23" s="305" t="s">
        <v>59</v>
      </c>
      <c r="E23" s="304"/>
      <c r="F23" s="304"/>
      <c r="G23" s="304"/>
      <c r="H23" s="304"/>
      <c r="I23" s="304"/>
      <c r="J23" s="304"/>
      <c r="K23" s="304"/>
      <c r="L23" s="304"/>
      <c r="M23" s="304"/>
      <c r="N23" s="304"/>
      <c r="O23" s="304"/>
      <c r="P23" s="304"/>
      <c r="Q23" s="304"/>
    </row>
    <row r="24" spans="2:17" x14ac:dyDescent="0.3">
      <c r="B24" s="495" t="s">
        <v>60</v>
      </c>
      <c r="C24" s="495" t="s">
        <v>61</v>
      </c>
      <c r="D24" s="495" t="s">
        <v>62</v>
      </c>
      <c r="E24" s="494"/>
      <c r="F24" s="494"/>
      <c r="G24" s="494"/>
      <c r="H24" s="494"/>
      <c r="I24" s="494"/>
      <c r="J24" s="494"/>
      <c r="K24" s="494"/>
      <c r="L24" s="494"/>
      <c r="M24" s="494"/>
      <c r="N24" s="494"/>
      <c r="O24" s="494"/>
      <c r="P24" s="494"/>
      <c r="Q24" s="494"/>
    </row>
    <row r="25" spans="2:17" x14ac:dyDescent="0.3">
      <c r="B25" s="494" t="s">
        <v>63</v>
      </c>
      <c r="C25" s="495" t="s">
        <v>61</v>
      </c>
      <c r="D25" s="495" t="s">
        <v>64</v>
      </c>
      <c r="E25" s="494"/>
      <c r="F25" s="494"/>
      <c r="G25" s="494"/>
      <c r="H25" s="494"/>
      <c r="I25" s="494"/>
      <c r="J25" s="494"/>
      <c r="K25" s="494"/>
      <c r="L25" s="494"/>
      <c r="M25" s="494"/>
      <c r="N25" s="494"/>
      <c r="O25" s="494"/>
      <c r="P25" s="494"/>
      <c r="Q25" s="494"/>
    </row>
    <row r="26" spans="2:17" s="303" customFormat="1" x14ac:dyDescent="0.3">
      <c r="B26" s="6" t="s">
        <v>65</v>
      </c>
      <c r="C26" s="946" t="s">
        <v>66</v>
      </c>
      <c r="D26" s="303" t="s">
        <v>67</v>
      </c>
    </row>
    <row r="27" spans="2:17" s="303" customFormat="1" x14ac:dyDescent="0.3">
      <c r="B27" s="4" t="s">
        <v>68</v>
      </c>
      <c r="C27" s="946"/>
      <c r="D27" s="303" t="s">
        <v>69</v>
      </c>
    </row>
    <row r="28" spans="2:17" s="303" customFormat="1" x14ac:dyDescent="0.3">
      <c r="B28" s="4" t="s">
        <v>70</v>
      </c>
      <c r="C28" s="946"/>
      <c r="D28" s="303" t="s">
        <v>71</v>
      </c>
    </row>
    <row r="29" spans="2:17" x14ac:dyDescent="0.3">
      <c r="B29" s="4" t="s">
        <v>72</v>
      </c>
      <c r="C29" s="946"/>
      <c r="D29" s="945" t="s">
        <v>73</v>
      </c>
      <c r="E29" s="945"/>
      <c r="F29" s="945"/>
      <c r="G29" s="945"/>
      <c r="H29" s="945"/>
      <c r="I29" s="945"/>
      <c r="J29" s="945"/>
      <c r="K29" s="945"/>
    </row>
    <row r="30" spans="2:17" x14ac:dyDescent="0.3">
      <c r="B30" s="4" t="s">
        <v>74</v>
      </c>
      <c r="C30" s="946"/>
      <c r="D30" s="945"/>
      <c r="E30" s="945"/>
      <c r="F30" s="945"/>
      <c r="G30" s="945"/>
      <c r="H30" s="945"/>
      <c r="I30" s="945"/>
      <c r="J30" s="945"/>
      <c r="K30" s="945"/>
    </row>
    <row r="31" spans="2:17" x14ac:dyDescent="0.3">
      <c r="B31" s="4" t="s">
        <v>75</v>
      </c>
      <c r="C31" s="946"/>
      <c r="D31" s="945"/>
      <c r="E31" s="945"/>
      <c r="F31" s="945"/>
      <c r="G31" s="945"/>
      <c r="H31" s="945"/>
      <c r="I31" s="945"/>
      <c r="J31" s="945"/>
      <c r="K31" s="945"/>
    </row>
    <row r="32" spans="2:17" x14ac:dyDescent="0.3">
      <c r="B32" s="4" t="s">
        <v>76</v>
      </c>
      <c r="C32" s="946"/>
      <c r="D32" s="945"/>
      <c r="E32" s="945"/>
      <c r="F32" s="945"/>
      <c r="G32" s="945"/>
      <c r="H32" s="945"/>
      <c r="I32" s="945"/>
      <c r="J32" s="945"/>
      <c r="K32" s="945"/>
    </row>
    <row r="33" spans="2:11" x14ac:dyDescent="0.3">
      <c r="B33" s="4" t="s">
        <v>77</v>
      </c>
      <c r="C33" s="946"/>
      <c r="D33" s="945"/>
      <c r="E33" s="945"/>
      <c r="F33" s="945"/>
      <c r="G33" s="945"/>
      <c r="H33" s="945"/>
      <c r="I33" s="945"/>
      <c r="J33" s="945"/>
      <c r="K33" s="945"/>
    </row>
    <row r="34" spans="2:11" x14ac:dyDescent="0.3">
      <c r="B34" s="4" t="s">
        <v>78</v>
      </c>
      <c r="C34" s="946"/>
      <c r="D34" s="945"/>
      <c r="E34" s="945"/>
      <c r="F34" s="945"/>
      <c r="G34" s="945"/>
      <c r="H34" s="945"/>
      <c r="I34" s="945"/>
      <c r="J34" s="945"/>
      <c r="K34" s="945"/>
    </row>
    <row r="35" spans="2:11" x14ac:dyDescent="0.3">
      <c r="B35" s="4" t="s">
        <v>79</v>
      </c>
      <c r="C35" s="946"/>
      <c r="D35" s="945"/>
      <c r="E35" s="945"/>
      <c r="F35" s="945"/>
      <c r="G35" s="945"/>
      <c r="H35" s="945"/>
      <c r="I35" s="945"/>
      <c r="J35" s="945"/>
      <c r="K35" s="945"/>
    </row>
    <row r="36" spans="2:11" x14ac:dyDescent="0.3">
      <c r="B36" s="4" t="s">
        <v>80</v>
      </c>
      <c r="C36" s="946"/>
      <c r="D36" s="945"/>
      <c r="E36" s="945"/>
      <c r="F36" s="945"/>
      <c r="G36" s="945"/>
      <c r="H36" s="945"/>
      <c r="I36" s="945"/>
      <c r="J36" s="945"/>
      <c r="K36" s="945"/>
    </row>
    <row r="37" spans="2:11" x14ac:dyDescent="0.3">
      <c r="B37" s="4" t="s">
        <v>81</v>
      </c>
      <c r="C37" s="946"/>
      <c r="D37" s="945"/>
      <c r="E37" s="945"/>
      <c r="F37" s="945"/>
      <c r="G37" s="945"/>
      <c r="H37" s="945"/>
      <c r="I37" s="945"/>
      <c r="J37" s="945"/>
      <c r="K37" s="945"/>
    </row>
    <row r="38" spans="2:11" x14ac:dyDescent="0.3">
      <c r="B38" s="4" t="s">
        <v>82</v>
      </c>
      <c r="C38" s="946"/>
      <c r="D38" s="945"/>
      <c r="E38" s="945"/>
      <c r="F38" s="945"/>
      <c r="G38" s="945"/>
      <c r="H38" s="945"/>
      <c r="I38" s="945"/>
      <c r="J38" s="945"/>
      <c r="K38" s="945"/>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6640625" defaultRowHeight="13.2" x14ac:dyDescent="0.3"/>
  <cols>
    <col min="1" max="3" width="8.6640625" style="288"/>
    <col min="4" max="4" width="12.5546875" style="288" customWidth="1"/>
    <col min="5" max="5" width="11.5546875" style="288" bestFit="1" customWidth="1"/>
    <col min="6" max="16384" width="8.6640625" style="288"/>
  </cols>
  <sheetData>
    <row r="4" spans="1:5" ht="16.5" customHeight="1" x14ac:dyDescent="0.3">
      <c r="A4" s="287"/>
      <c r="B4" s="287"/>
      <c r="C4" s="287"/>
      <c r="D4" s="947" t="s">
        <v>83</v>
      </c>
      <c r="E4" s="947"/>
    </row>
    <row r="5" spans="1:5" ht="14.4" x14ac:dyDescent="0.3">
      <c r="D5" s="280" t="s">
        <v>84</v>
      </c>
      <c r="E5" s="280" t="s">
        <v>85</v>
      </c>
    </row>
    <row r="6" spans="1:5" ht="16.2" customHeight="1" x14ac:dyDescent="0.3">
      <c r="D6" s="281">
        <v>1</v>
      </c>
      <c r="E6" s="281">
        <v>3.6</v>
      </c>
    </row>
    <row r="9" spans="1:5" ht="14.4" x14ac:dyDescent="0.3">
      <c r="D9" s="281" t="s">
        <v>86</v>
      </c>
      <c r="E9" s="281" t="s">
        <v>86</v>
      </c>
    </row>
    <row r="10" spans="1:5" ht="14.4" x14ac:dyDescent="0.3">
      <c r="D10" s="280" t="s">
        <v>84</v>
      </c>
      <c r="E10" s="280" t="s">
        <v>85</v>
      </c>
    </row>
    <row r="11" spans="1:5" ht="14.4" x14ac:dyDescent="0.3">
      <c r="D11" s="289">
        <v>0</v>
      </c>
      <c r="E11" s="282">
        <f>D11*$E$6</f>
        <v>0</v>
      </c>
    </row>
    <row r="12" spans="1:5" ht="14.4" x14ac:dyDescent="0.3">
      <c r="D12" s="289">
        <v>0</v>
      </c>
      <c r="E12" s="282">
        <f t="shared" ref="E12:E24" si="0">D12*$E$6</f>
        <v>0</v>
      </c>
    </row>
    <row r="13" spans="1:5" ht="14.4" x14ac:dyDescent="0.3">
      <c r="D13" s="289">
        <v>0</v>
      </c>
      <c r="E13" s="282">
        <f t="shared" si="0"/>
        <v>0</v>
      </c>
    </row>
    <row r="14" spans="1:5" ht="14.4" x14ac:dyDescent="0.3">
      <c r="D14" s="289">
        <v>0</v>
      </c>
      <c r="E14" s="282">
        <f t="shared" si="0"/>
        <v>0</v>
      </c>
    </row>
    <row r="15" spans="1:5" ht="14.4" x14ac:dyDescent="0.3">
      <c r="D15" s="289">
        <v>0</v>
      </c>
      <c r="E15" s="282">
        <f t="shared" si="0"/>
        <v>0</v>
      </c>
    </row>
    <row r="16" spans="1:5" ht="14.4" x14ac:dyDescent="0.3">
      <c r="D16" s="289">
        <v>0.27777777777777779</v>
      </c>
      <c r="E16" s="282">
        <f t="shared" si="0"/>
        <v>1</v>
      </c>
    </row>
    <row r="17" spans="4:5" ht="14.4" x14ac:dyDescent="0.3">
      <c r="D17" s="289">
        <v>7.3805555555555555</v>
      </c>
      <c r="E17" s="282">
        <f t="shared" si="0"/>
        <v>26.57</v>
      </c>
    </row>
    <row r="18" spans="4:5" ht="14.4" x14ac:dyDescent="0.3">
      <c r="D18" s="289">
        <v>1.4166666666666665</v>
      </c>
      <c r="E18" s="282">
        <f t="shared" si="0"/>
        <v>5.0999999999999996</v>
      </c>
    </row>
    <row r="19" spans="4:5" ht="14.4" x14ac:dyDescent="0.3">
      <c r="D19" s="289">
        <v>0</v>
      </c>
      <c r="E19" s="282">
        <f t="shared" si="0"/>
        <v>0</v>
      </c>
    </row>
    <row r="20" spans="4:5" ht="14.4" x14ac:dyDescent="0.3">
      <c r="D20" s="289">
        <v>0</v>
      </c>
      <c r="E20" s="282">
        <f t="shared" si="0"/>
        <v>0</v>
      </c>
    </row>
    <row r="21" spans="4:5" ht="14.4" x14ac:dyDescent="0.3">
      <c r="D21" s="289">
        <v>0.15277777777777779</v>
      </c>
      <c r="E21" s="282">
        <f t="shared" si="0"/>
        <v>0.55000000000000004</v>
      </c>
    </row>
    <row r="22" spans="4:5" ht="14.4" x14ac:dyDescent="0.3">
      <c r="D22" s="289">
        <v>0</v>
      </c>
      <c r="E22" s="282">
        <f t="shared" si="0"/>
        <v>0</v>
      </c>
    </row>
    <row r="23" spans="4:5" ht="14.4" x14ac:dyDescent="0.3">
      <c r="D23" s="289">
        <v>0</v>
      </c>
      <c r="E23" s="282">
        <f t="shared" si="0"/>
        <v>0</v>
      </c>
    </row>
    <row r="24" spans="4:5" ht="14.4" x14ac:dyDescent="0.3">
      <c r="D24" s="289">
        <v>0</v>
      </c>
      <c r="E24" s="282">
        <f t="shared" si="0"/>
        <v>0</v>
      </c>
    </row>
    <row r="25" spans="4:5" ht="14.4" x14ac:dyDescent="0.3">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47"/>
  <sheetViews>
    <sheetView workbookViewId="0">
      <selection activeCell="C54" sqref="C54"/>
    </sheetView>
  </sheetViews>
  <sheetFormatPr defaultRowHeight="14.4" x14ac:dyDescent="0.3"/>
  <cols>
    <col min="3" max="3" width="47.6640625" bestFit="1" customWidth="1"/>
    <col min="4" max="4" width="7.33203125" bestFit="1" customWidth="1"/>
    <col min="5" max="5" width="79.5546875" bestFit="1" customWidth="1"/>
    <col min="6" max="6" width="18.5546875" bestFit="1" customWidth="1"/>
  </cols>
  <sheetData>
    <row r="5" spans="2:6" ht="15" thickBot="1" x14ac:dyDescent="0.35">
      <c r="B5" s="168" t="s">
        <v>87</v>
      </c>
      <c r="C5" s="168" t="s">
        <v>88</v>
      </c>
      <c r="D5" s="168" t="s">
        <v>11</v>
      </c>
      <c r="E5" s="168" t="s">
        <v>89</v>
      </c>
      <c r="F5" s="168" t="s">
        <v>90</v>
      </c>
    </row>
    <row r="6" spans="2:6" x14ac:dyDescent="0.3">
      <c r="C6" t="s">
        <v>91</v>
      </c>
      <c r="D6" t="s">
        <v>12</v>
      </c>
      <c r="E6" s="319" t="s">
        <v>92</v>
      </c>
      <c r="F6" t="s">
        <v>93</v>
      </c>
    </row>
    <row r="7" spans="2:6" x14ac:dyDescent="0.3">
      <c r="E7" t="s">
        <v>94</v>
      </c>
      <c r="F7" t="s">
        <v>57</v>
      </c>
    </row>
    <row r="24" spans="3:3" x14ac:dyDescent="0.3">
      <c r="C24" s="941">
        <f>'[5]Region-Time Slices'!M16</f>
        <v>4.1666666666666664E-2</v>
      </c>
    </row>
    <row r="25" spans="3:3" x14ac:dyDescent="0.3">
      <c r="C25" s="941">
        <f>'[5]Region-Time Slices'!M17</f>
        <v>4.1666666666666664E-2</v>
      </c>
    </row>
    <row r="26" spans="3:3" x14ac:dyDescent="0.3">
      <c r="C26" s="941">
        <f>'[5]Region-Time Slices'!M18</f>
        <v>4.1666666666666664E-2</v>
      </c>
    </row>
    <row r="27" spans="3:3" x14ac:dyDescent="0.3">
      <c r="C27" s="941">
        <f>'[5]Region-Time Slices'!M19</f>
        <v>4.1666666666666664E-2</v>
      </c>
    </row>
    <row r="28" spans="3:3" x14ac:dyDescent="0.3">
      <c r="C28" s="941">
        <f>'[5]Region-Time Slices'!M20</f>
        <v>4.1666666666666664E-2</v>
      </c>
    </row>
    <row r="29" spans="3:3" x14ac:dyDescent="0.3">
      <c r="C29" s="941">
        <f>'[5]Region-Time Slices'!M21</f>
        <v>4.1666666666666664E-2</v>
      </c>
    </row>
    <row r="30" spans="3:3" x14ac:dyDescent="0.3">
      <c r="C30" s="941">
        <f>'[5]Region-Time Slices'!M22</f>
        <v>4.1666666666666664E-2</v>
      </c>
    </row>
    <row r="31" spans="3:3" x14ac:dyDescent="0.3">
      <c r="C31" s="941">
        <f>'[5]Region-Time Slices'!M23</f>
        <v>4.1666666666666664E-2</v>
      </c>
    </row>
    <row r="32" spans="3:3" x14ac:dyDescent="0.3">
      <c r="C32" s="941">
        <f>'[5]Region-Time Slices'!M24</f>
        <v>4.1666666666666664E-2</v>
      </c>
    </row>
    <row r="33" spans="3:3" x14ac:dyDescent="0.3">
      <c r="C33" s="941">
        <f>'[5]Region-Time Slices'!M25</f>
        <v>4.1666666666666664E-2</v>
      </c>
    </row>
    <row r="34" spans="3:3" x14ac:dyDescent="0.3">
      <c r="C34" s="941">
        <f>'[5]Region-Time Slices'!M26</f>
        <v>4.1666666666666664E-2</v>
      </c>
    </row>
    <row r="35" spans="3:3" x14ac:dyDescent="0.3">
      <c r="C35" s="941">
        <f>'[5]Region-Time Slices'!M27</f>
        <v>0</v>
      </c>
    </row>
    <row r="36" spans="3:3" x14ac:dyDescent="0.3">
      <c r="C36" s="941">
        <f>'[5]Region-Time Slices'!M28</f>
        <v>0</v>
      </c>
    </row>
    <row r="37" spans="3:3" x14ac:dyDescent="0.3">
      <c r="C37" s="941">
        <f>'[5]Region-Time Slices'!M29</f>
        <v>0</v>
      </c>
    </row>
    <row r="38" spans="3:3" x14ac:dyDescent="0.3">
      <c r="C38" s="941">
        <f>'[5]Region-Time Slices'!M30</f>
        <v>0</v>
      </c>
    </row>
    <row r="39" spans="3:3" x14ac:dyDescent="0.3">
      <c r="C39" s="941">
        <f>'[5]Region-Time Slices'!M31</f>
        <v>0</v>
      </c>
    </row>
    <row r="40" spans="3:3" x14ac:dyDescent="0.3">
      <c r="C40" s="941">
        <f>'[5]Region-Time Slices'!M32</f>
        <v>0</v>
      </c>
    </row>
    <row r="41" spans="3:3" x14ac:dyDescent="0.3">
      <c r="C41" s="941">
        <f>'[5]Region-Time Slices'!M33</f>
        <v>0</v>
      </c>
    </row>
    <row r="42" spans="3:3" x14ac:dyDescent="0.3">
      <c r="C42" s="941">
        <f>'[5]Region-Time Slices'!M34</f>
        <v>0</v>
      </c>
    </row>
    <row r="43" spans="3:3" x14ac:dyDescent="0.3">
      <c r="C43" s="941">
        <f>'[5]Region-Time Slices'!M35</f>
        <v>0</v>
      </c>
    </row>
    <row r="44" spans="3:3" x14ac:dyDescent="0.3">
      <c r="C44" s="941">
        <f>'[5]Region-Time Slices'!M36</f>
        <v>0</v>
      </c>
    </row>
    <row r="45" spans="3:3" x14ac:dyDescent="0.3">
      <c r="C45" s="941">
        <f>'[5]Region-Time Slices'!M37</f>
        <v>0</v>
      </c>
    </row>
    <row r="46" spans="3:3" x14ac:dyDescent="0.3">
      <c r="C46" s="941">
        <f>'[5]Region-Time Slices'!M38</f>
        <v>0</v>
      </c>
    </row>
    <row r="47" spans="3:3" x14ac:dyDescent="0.3">
      <c r="C47" s="941">
        <f>'[5]Region-Time Slices'!M39</f>
        <v>0</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33203125" defaultRowHeight="14.4" x14ac:dyDescent="0.3"/>
  <cols>
    <col min="2" max="2" width="30" customWidth="1"/>
    <col min="3" max="3" width="13.44140625" style="309" customWidth="1"/>
    <col min="4" max="19" width="9.6640625" customWidth="1"/>
    <col min="20" max="20" width="10.5546875" customWidth="1"/>
    <col min="21" max="21" width="19" style="759" customWidth="1"/>
    <col min="22" max="22" width="19" style="758" customWidth="1"/>
    <col min="23" max="23" width="11.33203125" style="759" customWidth="1"/>
    <col min="24" max="39" width="9.33203125" style="759" bestFit="1" customWidth="1"/>
  </cols>
  <sheetData>
    <row r="1" spans="2:39" x14ac:dyDescent="0.3">
      <c r="U1" s="757"/>
    </row>
    <row r="2" spans="2:39" x14ac:dyDescent="0.3">
      <c r="B2" s="480" t="s">
        <v>95</v>
      </c>
      <c r="T2" s="480"/>
      <c r="U2" s="757"/>
      <c r="W2" s="760" t="s">
        <v>96</v>
      </c>
      <c r="Y2" s="761"/>
      <c r="Z2" s="761"/>
      <c r="AA2" s="762"/>
      <c r="AB2" s="762"/>
      <c r="AC2" s="762"/>
      <c r="AD2" s="762"/>
      <c r="AE2" s="762"/>
      <c r="AF2" s="762"/>
      <c r="AG2" s="762"/>
      <c r="AH2" s="762"/>
      <c r="AI2" s="762"/>
      <c r="AJ2" s="762"/>
      <c r="AK2" s="762"/>
      <c r="AL2" s="762"/>
    </row>
    <row r="3" spans="2:39" x14ac:dyDescent="0.3">
      <c r="B3" s="480" t="s">
        <v>97</v>
      </c>
      <c r="T3" s="480"/>
      <c r="U3" s="757"/>
      <c r="W3" s="760" t="s">
        <v>98</v>
      </c>
      <c r="Y3" s="761"/>
      <c r="Z3" s="761"/>
      <c r="AA3" s="762"/>
      <c r="AB3" s="762"/>
      <c r="AC3" s="762"/>
      <c r="AD3" s="762"/>
      <c r="AE3" s="762"/>
      <c r="AF3" s="762"/>
      <c r="AG3" s="762"/>
      <c r="AH3" s="762"/>
      <c r="AI3" s="762"/>
      <c r="AJ3" s="762"/>
      <c r="AK3" s="762"/>
      <c r="AL3" s="762"/>
    </row>
    <row r="4" spans="2:39" x14ac:dyDescent="0.3">
      <c r="C4" s="521"/>
      <c r="U4" s="757"/>
      <c r="W4" s="763" t="s">
        <v>99</v>
      </c>
      <c r="Y4" s="762"/>
      <c r="Z4" s="762"/>
      <c r="AA4" s="762"/>
      <c r="AB4" s="762"/>
      <c r="AC4" s="762"/>
      <c r="AD4" s="762"/>
      <c r="AE4" s="762"/>
      <c r="AF4" s="762"/>
      <c r="AG4" s="762"/>
      <c r="AH4" s="762"/>
      <c r="AI4" s="762"/>
      <c r="AJ4" s="762"/>
      <c r="AK4" s="762"/>
      <c r="AL4" s="762"/>
    </row>
    <row r="5" spans="2:39" x14ac:dyDescent="0.3">
      <c r="B5" s="480"/>
      <c r="C5" s="521"/>
      <c r="U5" s="757"/>
      <c r="W5" s="764"/>
      <c r="X5" s="765" t="str">
        <f t="shared" ref="X5:AL5" si="0">X9</f>
        <v>Z01</v>
      </c>
      <c r="Y5" s="765" t="str">
        <f t="shared" si="0"/>
        <v>Z02</v>
      </c>
      <c r="Z5" s="765" t="str">
        <f t="shared" si="0"/>
        <v>Z03</v>
      </c>
      <c r="AA5" s="765" t="str">
        <f t="shared" si="0"/>
        <v>Z04</v>
      </c>
      <c r="AB5" s="765" t="str">
        <f t="shared" si="0"/>
        <v>Z05</v>
      </c>
      <c r="AC5" s="765" t="str">
        <f t="shared" si="0"/>
        <v>Z06</v>
      </c>
      <c r="AD5" s="765" t="str">
        <f t="shared" si="0"/>
        <v>Z07</v>
      </c>
      <c r="AE5" s="765" t="str">
        <f t="shared" si="0"/>
        <v>Z08</v>
      </c>
      <c r="AF5" s="765" t="str">
        <f t="shared" si="0"/>
        <v>Z09</v>
      </c>
      <c r="AG5" s="765" t="str">
        <f t="shared" si="0"/>
        <v>Z10</v>
      </c>
      <c r="AH5" s="765" t="str">
        <f t="shared" si="0"/>
        <v>Z11</v>
      </c>
      <c r="AI5" s="765" t="str">
        <f t="shared" si="0"/>
        <v>Z12</v>
      </c>
      <c r="AJ5" s="765" t="str">
        <f t="shared" si="0"/>
        <v>Z13</v>
      </c>
      <c r="AK5" s="765" t="str">
        <f t="shared" si="0"/>
        <v>Z14</v>
      </c>
      <c r="AL5" s="765" t="str">
        <f t="shared" si="0"/>
        <v>Z15</v>
      </c>
      <c r="AM5" s="765" t="s">
        <v>100</v>
      </c>
    </row>
    <row r="6" spans="2:39" x14ac:dyDescent="0.3">
      <c r="B6" s="480"/>
      <c r="C6" s="521"/>
      <c r="U6" s="757"/>
      <c r="W6" s="764" t="s">
        <v>101</v>
      </c>
      <c r="X6" s="766">
        <v>1</v>
      </c>
      <c r="Y6" s="766">
        <v>0</v>
      </c>
      <c r="Z6" s="766">
        <v>0</v>
      </c>
      <c r="AA6" s="766">
        <v>0</v>
      </c>
      <c r="AB6" s="766">
        <v>0</v>
      </c>
      <c r="AC6" s="766">
        <v>0</v>
      </c>
      <c r="AD6" s="766">
        <v>0</v>
      </c>
      <c r="AE6" s="766">
        <v>0</v>
      </c>
      <c r="AF6" s="766">
        <v>0</v>
      </c>
      <c r="AG6" s="766">
        <v>0</v>
      </c>
      <c r="AH6" s="766">
        <v>0</v>
      </c>
      <c r="AI6" s="766">
        <v>0</v>
      </c>
      <c r="AJ6" s="766">
        <v>0</v>
      </c>
      <c r="AK6" s="766">
        <v>0</v>
      </c>
      <c r="AL6" s="766">
        <v>0</v>
      </c>
      <c r="AM6" s="767">
        <f>SUM(X6:AL6)</f>
        <v>1</v>
      </c>
    </row>
    <row r="7" spans="2:39" x14ac:dyDescent="0.3">
      <c r="X7" s="757"/>
    </row>
    <row r="8" spans="2:39" x14ac:dyDescent="0.3">
      <c r="B8" s="476" t="s">
        <v>102</v>
      </c>
      <c r="C8" s="522"/>
      <c r="X8" s="763" t="s">
        <v>99</v>
      </c>
    </row>
    <row r="9" spans="2:39" x14ac:dyDescent="0.3">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8" t="s">
        <v>105</v>
      </c>
      <c r="V9" s="768" t="s">
        <v>106</v>
      </c>
      <c r="X9" s="765" t="str">
        <f t="shared" ref="X9:AL9" si="1">D9</f>
        <v>Z01</v>
      </c>
      <c r="Y9" s="765" t="str">
        <f t="shared" si="1"/>
        <v>Z02</v>
      </c>
      <c r="Z9" s="765" t="str">
        <f t="shared" si="1"/>
        <v>Z03</v>
      </c>
      <c r="AA9" s="765" t="str">
        <f t="shared" si="1"/>
        <v>Z04</v>
      </c>
      <c r="AB9" s="765" t="str">
        <f t="shared" si="1"/>
        <v>Z05</v>
      </c>
      <c r="AC9" s="765" t="str">
        <f t="shared" si="1"/>
        <v>Z06</v>
      </c>
      <c r="AD9" s="765" t="str">
        <f t="shared" si="1"/>
        <v>Z07</v>
      </c>
      <c r="AE9" s="765" t="str">
        <f t="shared" si="1"/>
        <v>Z08</v>
      </c>
      <c r="AF9" s="765" t="str">
        <f t="shared" si="1"/>
        <v>Z09</v>
      </c>
      <c r="AG9" s="765" t="str">
        <f t="shared" si="1"/>
        <v>Z10</v>
      </c>
      <c r="AH9" s="765" t="str">
        <f t="shared" si="1"/>
        <v>Z11</v>
      </c>
      <c r="AI9" s="765" t="str">
        <f t="shared" si="1"/>
        <v>Z12</v>
      </c>
      <c r="AJ9" s="765" t="str">
        <f t="shared" si="1"/>
        <v>Z13</v>
      </c>
      <c r="AK9" s="765" t="str">
        <f t="shared" si="1"/>
        <v>Z14</v>
      </c>
      <c r="AL9" s="765" t="str">
        <f t="shared" si="1"/>
        <v>Z15</v>
      </c>
      <c r="AM9" s="765" t="s">
        <v>100</v>
      </c>
    </row>
    <row r="10" spans="2:39" x14ac:dyDescent="0.3">
      <c r="B10" s="245" t="s">
        <v>107</v>
      </c>
      <c r="C10" s="286"/>
      <c r="D10" s="679">
        <f>$V10*X10</f>
        <v>0</v>
      </c>
      <c r="E10" s="679">
        <f t="shared" ref="E10:E21" si="2">$V10*Y10</f>
        <v>0</v>
      </c>
      <c r="F10" s="679">
        <f t="shared" ref="F10:F21" si="3">$V10*Z10</f>
        <v>0</v>
      </c>
      <c r="G10" s="679">
        <f t="shared" ref="G10:G21" si="4">$V10*AA10</f>
        <v>0</v>
      </c>
      <c r="H10" s="679">
        <f t="shared" ref="H10:H21" si="5">$V10*AB10</f>
        <v>0</v>
      </c>
      <c r="I10" s="679">
        <f t="shared" ref="I10:I21" si="6">$V10*AC10</f>
        <v>0</v>
      </c>
      <c r="J10" s="679">
        <f t="shared" ref="J10:J21" si="7">$V10*AD10</f>
        <v>0</v>
      </c>
      <c r="K10" s="679">
        <f t="shared" ref="K10:K21" si="8">$V10*AE10</f>
        <v>0</v>
      </c>
      <c r="L10" s="679">
        <f t="shared" ref="L10:L21" si="9">$V10*AF10</f>
        <v>0</v>
      </c>
      <c r="M10" s="679">
        <f t="shared" ref="M10:M21" si="10">$V10*AG10</f>
        <v>0</v>
      </c>
      <c r="N10" s="679">
        <f t="shared" ref="N10:N21" si="11">$V10*AH10</f>
        <v>0</v>
      </c>
      <c r="O10" s="679">
        <f t="shared" ref="O10:O21" si="12">$V10*AI10</f>
        <v>0</v>
      </c>
      <c r="P10" s="679">
        <f t="shared" ref="P10:P21" si="13">$V10*AJ10</f>
        <v>0</v>
      </c>
      <c r="Q10" s="679">
        <f t="shared" ref="Q10:Q21" si="14">$V10*AK10</f>
        <v>0</v>
      </c>
      <c r="R10" s="679">
        <f t="shared" ref="R10:R21" si="15">$V10*AL10</f>
        <v>0</v>
      </c>
      <c r="S10" s="679">
        <f>$V10*AM10</f>
        <v>0</v>
      </c>
      <c r="U10" s="769"/>
      <c r="V10" s="770"/>
      <c r="X10" s="771">
        <f>X$6</f>
        <v>1</v>
      </c>
      <c r="Y10" s="771">
        <f t="shared" ref="Y10:AL10" si="16">Y$6</f>
        <v>0</v>
      </c>
      <c r="Z10" s="771">
        <f t="shared" si="16"/>
        <v>0</v>
      </c>
      <c r="AA10" s="771">
        <f t="shared" si="16"/>
        <v>0</v>
      </c>
      <c r="AB10" s="771">
        <f t="shared" si="16"/>
        <v>0</v>
      </c>
      <c r="AC10" s="771">
        <f t="shared" si="16"/>
        <v>0</v>
      </c>
      <c r="AD10" s="771">
        <f t="shared" si="16"/>
        <v>0</v>
      </c>
      <c r="AE10" s="771">
        <f t="shared" si="16"/>
        <v>0</v>
      </c>
      <c r="AF10" s="771">
        <f t="shared" si="16"/>
        <v>0</v>
      </c>
      <c r="AG10" s="771">
        <f t="shared" si="16"/>
        <v>0</v>
      </c>
      <c r="AH10" s="771">
        <f t="shared" si="16"/>
        <v>0</v>
      </c>
      <c r="AI10" s="771">
        <f t="shared" si="16"/>
        <v>0</v>
      </c>
      <c r="AJ10" s="771">
        <f t="shared" si="16"/>
        <v>0</v>
      </c>
      <c r="AK10" s="771">
        <f t="shared" si="16"/>
        <v>0</v>
      </c>
      <c r="AL10" s="771">
        <f t="shared" si="16"/>
        <v>0</v>
      </c>
      <c r="AM10" s="772">
        <f>SUM(X10:AI10)</f>
        <v>1</v>
      </c>
    </row>
    <row r="11" spans="2:39" x14ac:dyDescent="0.3">
      <c r="B11" s="245" t="s">
        <v>108</v>
      </c>
      <c r="C11" s="286" t="str">
        <f>T_NCAP_AF!C21</f>
        <v>TCARDST900</v>
      </c>
      <c r="D11" s="679">
        <f t="shared" ref="D11:D14" si="17">$V11*X11</f>
        <v>0</v>
      </c>
      <c r="E11" s="679">
        <f t="shared" si="2"/>
        <v>0</v>
      </c>
      <c r="F11" s="679">
        <f t="shared" si="3"/>
        <v>0</v>
      </c>
      <c r="G11" s="679">
        <f t="shared" si="4"/>
        <v>0</v>
      </c>
      <c r="H11" s="679">
        <f t="shared" si="5"/>
        <v>0</v>
      </c>
      <c r="I11" s="679">
        <f t="shared" si="6"/>
        <v>0</v>
      </c>
      <c r="J11" s="679">
        <f t="shared" si="7"/>
        <v>0</v>
      </c>
      <c r="K11" s="679">
        <f t="shared" si="8"/>
        <v>0</v>
      </c>
      <c r="L11" s="679">
        <f t="shared" si="9"/>
        <v>0</v>
      </c>
      <c r="M11" s="679">
        <f t="shared" si="10"/>
        <v>0</v>
      </c>
      <c r="N11" s="679">
        <f t="shared" si="11"/>
        <v>0</v>
      </c>
      <c r="O11" s="679">
        <f t="shared" si="12"/>
        <v>0</v>
      </c>
      <c r="P11" s="679">
        <f t="shared" si="13"/>
        <v>0</v>
      </c>
      <c r="Q11" s="679">
        <f t="shared" si="14"/>
        <v>0</v>
      </c>
      <c r="R11" s="679">
        <f t="shared" si="15"/>
        <v>0</v>
      </c>
      <c r="S11" s="679">
        <f>SUM(D11:R11)</f>
        <v>0</v>
      </c>
      <c r="U11" s="769"/>
      <c r="V11" s="770"/>
      <c r="X11" s="771">
        <f t="shared" ref="X11:AL21" si="18">X$6</f>
        <v>1</v>
      </c>
      <c r="Y11" s="771">
        <f t="shared" si="18"/>
        <v>0</v>
      </c>
      <c r="Z11" s="771">
        <f t="shared" si="18"/>
        <v>0</v>
      </c>
      <c r="AA11" s="771">
        <f t="shared" si="18"/>
        <v>0</v>
      </c>
      <c r="AB11" s="771">
        <f t="shared" si="18"/>
        <v>0</v>
      </c>
      <c r="AC11" s="771">
        <f t="shared" si="18"/>
        <v>0</v>
      </c>
      <c r="AD11" s="771">
        <f t="shared" si="18"/>
        <v>0</v>
      </c>
      <c r="AE11" s="771">
        <f t="shared" si="18"/>
        <v>0</v>
      </c>
      <c r="AF11" s="771">
        <f t="shared" si="18"/>
        <v>0</v>
      </c>
      <c r="AG11" s="771">
        <f t="shared" si="18"/>
        <v>0</v>
      </c>
      <c r="AH11" s="771">
        <f t="shared" si="18"/>
        <v>0</v>
      </c>
      <c r="AI11" s="771">
        <f t="shared" si="18"/>
        <v>0</v>
      </c>
      <c r="AJ11" s="771">
        <f t="shared" si="18"/>
        <v>0</v>
      </c>
      <c r="AK11" s="771">
        <f t="shared" si="18"/>
        <v>0</v>
      </c>
      <c r="AL11" s="771">
        <f t="shared" si="18"/>
        <v>0</v>
      </c>
      <c r="AM11" s="772">
        <f>SUM(X11:AI11)</f>
        <v>1</v>
      </c>
    </row>
    <row r="12" spans="2:39" x14ac:dyDescent="0.3">
      <c r="B12" s="245" t="s">
        <v>109</v>
      </c>
      <c r="C12" s="286" t="str">
        <f>T_NCAP_AF!C22</f>
        <v>TCARELC900</v>
      </c>
      <c r="D12" s="679">
        <f t="shared" si="17"/>
        <v>0</v>
      </c>
      <c r="E12" s="679">
        <f t="shared" si="2"/>
        <v>0</v>
      </c>
      <c r="F12" s="679">
        <f t="shared" si="3"/>
        <v>0</v>
      </c>
      <c r="G12" s="679">
        <f t="shared" si="4"/>
        <v>0</v>
      </c>
      <c r="H12" s="679">
        <f t="shared" si="5"/>
        <v>0</v>
      </c>
      <c r="I12" s="679">
        <f t="shared" si="6"/>
        <v>0</v>
      </c>
      <c r="J12" s="679">
        <f t="shared" si="7"/>
        <v>0</v>
      </c>
      <c r="K12" s="679">
        <f t="shared" si="8"/>
        <v>0</v>
      </c>
      <c r="L12" s="679">
        <f t="shared" si="9"/>
        <v>0</v>
      </c>
      <c r="M12" s="679">
        <f t="shared" si="10"/>
        <v>0</v>
      </c>
      <c r="N12" s="679">
        <f t="shared" si="11"/>
        <v>0</v>
      </c>
      <c r="O12" s="679">
        <f t="shared" si="12"/>
        <v>0</v>
      </c>
      <c r="P12" s="679">
        <f t="shared" si="13"/>
        <v>0</v>
      </c>
      <c r="Q12" s="679">
        <f t="shared" si="14"/>
        <v>0</v>
      </c>
      <c r="R12" s="679">
        <f t="shared" si="15"/>
        <v>0</v>
      </c>
      <c r="S12" s="679">
        <f t="shared" ref="S12:S20" si="19">SUM(D12:R12)</f>
        <v>0</v>
      </c>
      <c r="U12" s="769"/>
      <c r="V12" s="770"/>
      <c r="X12" s="771">
        <f t="shared" si="18"/>
        <v>1</v>
      </c>
      <c r="Y12" s="771">
        <f t="shared" si="18"/>
        <v>0</v>
      </c>
      <c r="Z12" s="771">
        <f t="shared" si="18"/>
        <v>0</v>
      </c>
      <c r="AA12" s="771">
        <f t="shared" si="18"/>
        <v>0</v>
      </c>
      <c r="AB12" s="771">
        <f t="shared" si="18"/>
        <v>0</v>
      </c>
      <c r="AC12" s="771">
        <f t="shared" si="18"/>
        <v>0</v>
      </c>
      <c r="AD12" s="771">
        <f t="shared" si="18"/>
        <v>0</v>
      </c>
      <c r="AE12" s="771">
        <f t="shared" si="18"/>
        <v>0</v>
      </c>
      <c r="AF12" s="771">
        <f t="shared" si="18"/>
        <v>0</v>
      </c>
      <c r="AG12" s="771">
        <f t="shared" si="18"/>
        <v>0</v>
      </c>
      <c r="AH12" s="771">
        <f t="shared" si="18"/>
        <v>0</v>
      </c>
      <c r="AI12" s="771">
        <f t="shared" si="18"/>
        <v>0</v>
      </c>
      <c r="AJ12" s="771">
        <f t="shared" si="18"/>
        <v>0</v>
      </c>
      <c r="AK12" s="771">
        <f t="shared" si="18"/>
        <v>0</v>
      </c>
      <c r="AL12" s="771">
        <f t="shared" si="18"/>
        <v>0</v>
      </c>
      <c r="AM12" s="772">
        <f t="shared" ref="AM12:AM20" si="20">SUM(X12:AI12)</f>
        <v>1</v>
      </c>
    </row>
    <row r="13" spans="2:39" x14ac:dyDescent="0.3">
      <c r="B13" s="245" t="s">
        <v>110</v>
      </c>
      <c r="C13" s="286" t="str">
        <f>T_NCAP_AF!C23</f>
        <v>TCARETH900</v>
      </c>
      <c r="D13" s="679">
        <f t="shared" si="17"/>
        <v>0</v>
      </c>
      <c r="E13" s="679">
        <f t="shared" si="2"/>
        <v>0</v>
      </c>
      <c r="F13" s="679">
        <f t="shared" si="3"/>
        <v>0</v>
      </c>
      <c r="G13" s="679">
        <f t="shared" si="4"/>
        <v>0</v>
      </c>
      <c r="H13" s="679">
        <f t="shared" si="5"/>
        <v>0</v>
      </c>
      <c r="I13" s="679">
        <f t="shared" si="6"/>
        <v>0</v>
      </c>
      <c r="J13" s="679">
        <f t="shared" si="7"/>
        <v>0</v>
      </c>
      <c r="K13" s="679">
        <f t="shared" si="8"/>
        <v>0</v>
      </c>
      <c r="L13" s="679">
        <f t="shared" si="9"/>
        <v>0</v>
      </c>
      <c r="M13" s="679">
        <f t="shared" si="10"/>
        <v>0</v>
      </c>
      <c r="N13" s="679">
        <f t="shared" si="11"/>
        <v>0</v>
      </c>
      <c r="O13" s="679">
        <f t="shared" si="12"/>
        <v>0</v>
      </c>
      <c r="P13" s="679">
        <f t="shared" si="13"/>
        <v>0</v>
      </c>
      <c r="Q13" s="679">
        <f t="shared" si="14"/>
        <v>0</v>
      </c>
      <c r="R13" s="679">
        <f t="shared" si="15"/>
        <v>0</v>
      </c>
      <c r="S13" s="679">
        <f t="shared" si="19"/>
        <v>0</v>
      </c>
      <c r="U13" s="769"/>
      <c r="V13" s="770"/>
      <c r="X13" s="771">
        <f t="shared" si="18"/>
        <v>1</v>
      </c>
      <c r="Y13" s="771">
        <f t="shared" si="18"/>
        <v>0</v>
      </c>
      <c r="Z13" s="771">
        <f t="shared" si="18"/>
        <v>0</v>
      </c>
      <c r="AA13" s="771">
        <f t="shared" si="18"/>
        <v>0</v>
      </c>
      <c r="AB13" s="771">
        <f t="shared" si="18"/>
        <v>0</v>
      </c>
      <c r="AC13" s="771">
        <f t="shared" si="18"/>
        <v>0</v>
      </c>
      <c r="AD13" s="771">
        <f t="shared" si="18"/>
        <v>0</v>
      </c>
      <c r="AE13" s="771">
        <f t="shared" si="18"/>
        <v>0</v>
      </c>
      <c r="AF13" s="771">
        <f t="shared" si="18"/>
        <v>0</v>
      </c>
      <c r="AG13" s="771">
        <f t="shared" si="18"/>
        <v>0</v>
      </c>
      <c r="AH13" s="771">
        <f t="shared" si="18"/>
        <v>0</v>
      </c>
      <c r="AI13" s="771">
        <f t="shared" si="18"/>
        <v>0</v>
      </c>
      <c r="AJ13" s="771">
        <f t="shared" si="18"/>
        <v>0</v>
      </c>
      <c r="AK13" s="771">
        <f t="shared" si="18"/>
        <v>0</v>
      </c>
      <c r="AL13" s="771">
        <f t="shared" si="18"/>
        <v>0</v>
      </c>
      <c r="AM13" s="772">
        <f t="shared" si="20"/>
        <v>1</v>
      </c>
    </row>
    <row r="14" spans="2:39" x14ac:dyDescent="0.3">
      <c r="B14" s="245" t="s">
        <v>111</v>
      </c>
      <c r="C14" s="286" t="str">
        <f>T_NCAP_AF!C24</f>
        <v>TCARGAS900</v>
      </c>
      <c r="D14" s="679">
        <f t="shared" si="17"/>
        <v>0</v>
      </c>
      <c r="E14" s="679">
        <f t="shared" si="2"/>
        <v>0</v>
      </c>
      <c r="F14" s="679">
        <f t="shared" si="3"/>
        <v>0</v>
      </c>
      <c r="G14" s="679">
        <f t="shared" si="4"/>
        <v>0</v>
      </c>
      <c r="H14" s="679">
        <f t="shared" si="5"/>
        <v>0</v>
      </c>
      <c r="I14" s="679">
        <f t="shared" si="6"/>
        <v>0</v>
      </c>
      <c r="J14" s="679">
        <f t="shared" si="7"/>
        <v>0</v>
      </c>
      <c r="K14" s="679">
        <f t="shared" si="8"/>
        <v>0</v>
      </c>
      <c r="L14" s="679">
        <f t="shared" si="9"/>
        <v>0</v>
      </c>
      <c r="M14" s="679">
        <f t="shared" si="10"/>
        <v>0</v>
      </c>
      <c r="N14" s="679">
        <f t="shared" si="11"/>
        <v>0</v>
      </c>
      <c r="O14" s="679">
        <f t="shared" si="12"/>
        <v>0</v>
      </c>
      <c r="P14" s="679">
        <f t="shared" si="13"/>
        <v>0</v>
      </c>
      <c r="Q14" s="679">
        <f t="shared" si="14"/>
        <v>0</v>
      </c>
      <c r="R14" s="679">
        <f t="shared" si="15"/>
        <v>0</v>
      </c>
      <c r="S14" s="679">
        <f t="shared" si="19"/>
        <v>0</v>
      </c>
      <c r="U14" s="769"/>
      <c r="V14" s="770"/>
      <c r="X14" s="771">
        <f t="shared" si="18"/>
        <v>1</v>
      </c>
      <c r="Y14" s="771">
        <f t="shared" si="18"/>
        <v>0</v>
      </c>
      <c r="Z14" s="771">
        <f t="shared" si="18"/>
        <v>0</v>
      </c>
      <c r="AA14" s="771">
        <f t="shared" si="18"/>
        <v>0</v>
      </c>
      <c r="AB14" s="771">
        <f t="shared" si="18"/>
        <v>0</v>
      </c>
      <c r="AC14" s="771">
        <f t="shared" si="18"/>
        <v>0</v>
      </c>
      <c r="AD14" s="771">
        <f t="shared" si="18"/>
        <v>0</v>
      </c>
      <c r="AE14" s="771">
        <f t="shared" si="18"/>
        <v>0</v>
      </c>
      <c r="AF14" s="771">
        <f t="shared" si="18"/>
        <v>0</v>
      </c>
      <c r="AG14" s="771">
        <f t="shared" si="18"/>
        <v>0</v>
      </c>
      <c r="AH14" s="771">
        <f t="shared" si="18"/>
        <v>0</v>
      </c>
      <c r="AI14" s="771">
        <f t="shared" si="18"/>
        <v>0</v>
      </c>
      <c r="AJ14" s="771">
        <f t="shared" si="18"/>
        <v>0</v>
      </c>
      <c r="AK14" s="771">
        <f t="shared" si="18"/>
        <v>0</v>
      </c>
      <c r="AL14" s="771">
        <f t="shared" si="18"/>
        <v>0</v>
      </c>
      <c r="AM14" s="772">
        <f t="shared" si="20"/>
        <v>1</v>
      </c>
    </row>
    <row r="15" spans="2:39" x14ac:dyDescent="0.3">
      <c r="B15" s="245" t="s">
        <v>112</v>
      </c>
      <c r="C15" s="286" t="str">
        <f>T_NCAP_AF!C25</f>
        <v>TCARGSL900</v>
      </c>
      <c r="D15" s="679">
        <f>$V15*X15</f>
        <v>0</v>
      </c>
      <c r="E15" s="679">
        <f t="shared" si="2"/>
        <v>0</v>
      </c>
      <c r="F15" s="679">
        <f t="shared" si="3"/>
        <v>0</v>
      </c>
      <c r="G15" s="679">
        <f t="shared" si="4"/>
        <v>0</v>
      </c>
      <c r="H15" s="679">
        <f t="shared" si="5"/>
        <v>0</v>
      </c>
      <c r="I15" s="679">
        <f t="shared" si="6"/>
        <v>0</v>
      </c>
      <c r="J15" s="679">
        <f t="shared" si="7"/>
        <v>0</v>
      </c>
      <c r="K15" s="679">
        <f t="shared" si="8"/>
        <v>0</v>
      </c>
      <c r="L15" s="679">
        <f t="shared" si="9"/>
        <v>0</v>
      </c>
      <c r="M15" s="679">
        <f t="shared" si="10"/>
        <v>0</v>
      </c>
      <c r="N15" s="679">
        <f t="shared" si="11"/>
        <v>0</v>
      </c>
      <c r="O15" s="679">
        <f t="shared" si="12"/>
        <v>0</v>
      </c>
      <c r="P15" s="679">
        <f t="shared" si="13"/>
        <v>0</v>
      </c>
      <c r="Q15" s="679">
        <f t="shared" si="14"/>
        <v>0</v>
      </c>
      <c r="R15" s="679">
        <f t="shared" si="15"/>
        <v>0</v>
      </c>
      <c r="S15" s="679">
        <f t="shared" si="19"/>
        <v>0</v>
      </c>
      <c r="U15" s="769"/>
      <c r="V15" s="770"/>
      <c r="X15" s="771">
        <f t="shared" si="18"/>
        <v>1</v>
      </c>
      <c r="Y15" s="771">
        <f t="shared" si="18"/>
        <v>0</v>
      </c>
      <c r="Z15" s="771">
        <f t="shared" si="18"/>
        <v>0</v>
      </c>
      <c r="AA15" s="771">
        <f t="shared" si="18"/>
        <v>0</v>
      </c>
      <c r="AB15" s="771">
        <f t="shared" si="18"/>
        <v>0</v>
      </c>
      <c r="AC15" s="771">
        <f t="shared" si="18"/>
        <v>0</v>
      </c>
      <c r="AD15" s="771">
        <f t="shared" si="18"/>
        <v>0</v>
      </c>
      <c r="AE15" s="771">
        <f t="shared" si="18"/>
        <v>0</v>
      </c>
      <c r="AF15" s="771">
        <f t="shared" si="18"/>
        <v>0</v>
      </c>
      <c r="AG15" s="771">
        <f t="shared" si="18"/>
        <v>0</v>
      </c>
      <c r="AH15" s="771">
        <f t="shared" si="18"/>
        <v>0</v>
      </c>
      <c r="AI15" s="771">
        <f t="shared" si="18"/>
        <v>0</v>
      </c>
      <c r="AJ15" s="771">
        <f t="shared" si="18"/>
        <v>0</v>
      </c>
      <c r="AK15" s="771">
        <f t="shared" si="18"/>
        <v>0</v>
      </c>
      <c r="AL15" s="771">
        <f t="shared" si="18"/>
        <v>0</v>
      </c>
      <c r="AM15" s="772">
        <f t="shared" ref="AM15" si="21">SUM(X15:AI15)</f>
        <v>1</v>
      </c>
    </row>
    <row r="16" spans="2:39" x14ac:dyDescent="0.3">
      <c r="B16" s="224" t="s">
        <v>113</v>
      </c>
      <c r="C16" s="286" t="str">
        <f>T_NCAP_AF!C26</f>
        <v>TCARHYD900</v>
      </c>
      <c r="D16" s="679">
        <f t="shared" ref="D16:D20" si="22">$V16*X16</f>
        <v>0</v>
      </c>
      <c r="E16" s="679">
        <f t="shared" si="2"/>
        <v>0</v>
      </c>
      <c r="F16" s="679">
        <f t="shared" si="3"/>
        <v>0</v>
      </c>
      <c r="G16" s="679">
        <f t="shared" si="4"/>
        <v>0</v>
      </c>
      <c r="H16" s="679">
        <f t="shared" si="5"/>
        <v>0</v>
      </c>
      <c r="I16" s="679">
        <f t="shared" si="6"/>
        <v>0</v>
      </c>
      <c r="J16" s="679">
        <f t="shared" si="7"/>
        <v>0</v>
      </c>
      <c r="K16" s="679">
        <f t="shared" si="8"/>
        <v>0</v>
      </c>
      <c r="L16" s="679">
        <f t="shared" si="9"/>
        <v>0</v>
      </c>
      <c r="M16" s="679">
        <f t="shared" si="10"/>
        <v>0</v>
      </c>
      <c r="N16" s="679">
        <f t="shared" si="11"/>
        <v>0</v>
      </c>
      <c r="O16" s="679">
        <f t="shared" si="12"/>
        <v>0</v>
      </c>
      <c r="P16" s="679">
        <f t="shared" si="13"/>
        <v>0</v>
      </c>
      <c r="Q16" s="679">
        <f t="shared" si="14"/>
        <v>0</v>
      </c>
      <c r="R16" s="679">
        <f t="shared" si="15"/>
        <v>0</v>
      </c>
      <c r="S16" s="679">
        <f t="shared" si="19"/>
        <v>0</v>
      </c>
      <c r="U16" s="773"/>
      <c r="V16" s="770"/>
      <c r="X16" s="771">
        <f t="shared" si="18"/>
        <v>1</v>
      </c>
      <c r="Y16" s="771">
        <f t="shared" si="18"/>
        <v>0</v>
      </c>
      <c r="Z16" s="771">
        <f t="shared" si="18"/>
        <v>0</v>
      </c>
      <c r="AA16" s="771">
        <f t="shared" si="18"/>
        <v>0</v>
      </c>
      <c r="AB16" s="771">
        <f t="shared" si="18"/>
        <v>0</v>
      </c>
      <c r="AC16" s="771">
        <f t="shared" si="18"/>
        <v>0</v>
      </c>
      <c r="AD16" s="771">
        <f t="shared" si="18"/>
        <v>0</v>
      </c>
      <c r="AE16" s="771">
        <f t="shared" si="18"/>
        <v>0</v>
      </c>
      <c r="AF16" s="771">
        <f t="shared" si="18"/>
        <v>0</v>
      </c>
      <c r="AG16" s="771">
        <f t="shared" si="18"/>
        <v>0</v>
      </c>
      <c r="AH16" s="771">
        <f t="shared" si="18"/>
        <v>0</v>
      </c>
      <c r="AI16" s="771">
        <f t="shared" si="18"/>
        <v>0</v>
      </c>
      <c r="AJ16" s="771">
        <f t="shared" si="18"/>
        <v>0</v>
      </c>
      <c r="AK16" s="771">
        <f t="shared" si="18"/>
        <v>0</v>
      </c>
      <c r="AL16" s="771">
        <f t="shared" si="18"/>
        <v>0</v>
      </c>
      <c r="AM16" s="772">
        <f t="shared" si="20"/>
        <v>1</v>
      </c>
    </row>
    <row r="17" spans="2:39" x14ac:dyDescent="0.3">
      <c r="B17" s="224" t="s">
        <v>114</v>
      </c>
      <c r="C17" s="286" t="str">
        <f>T_NCAP_AF!C27</f>
        <v>TCARHYG900</v>
      </c>
      <c r="D17" s="679">
        <f t="shared" si="22"/>
        <v>0</v>
      </c>
      <c r="E17" s="679">
        <f t="shared" si="2"/>
        <v>0</v>
      </c>
      <c r="F17" s="679">
        <f t="shared" si="3"/>
        <v>0</v>
      </c>
      <c r="G17" s="679">
        <f t="shared" si="4"/>
        <v>0</v>
      </c>
      <c r="H17" s="679">
        <f t="shared" si="5"/>
        <v>0</v>
      </c>
      <c r="I17" s="679">
        <f t="shared" si="6"/>
        <v>0</v>
      </c>
      <c r="J17" s="679">
        <f t="shared" si="7"/>
        <v>0</v>
      </c>
      <c r="K17" s="679">
        <f t="shared" si="8"/>
        <v>0</v>
      </c>
      <c r="L17" s="679">
        <f t="shared" si="9"/>
        <v>0</v>
      </c>
      <c r="M17" s="679">
        <f t="shared" si="10"/>
        <v>0</v>
      </c>
      <c r="N17" s="679">
        <f t="shared" si="11"/>
        <v>0</v>
      </c>
      <c r="O17" s="679">
        <f t="shared" si="12"/>
        <v>0</v>
      </c>
      <c r="P17" s="679">
        <f t="shared" si="13"/>
        <v>0</v>
      </c>
      <c r="Q17" s="679">
        <f t="shared" si="14"/>
        <v>0</v>
      </c>
      <c r="R17" s="679">
        <f t="shared" si="15"/>
        <v>0</v>
      </c>
      <c r="S17" s="679">
        <f t="shared" si="19"/>
        <v>0</v>
      </c>
      <c r="U17" s="773"/>
      <c r="V17" s="770"/>
      <c r="X17" s="771">
        <f t="shared" si="18"/>
        <v>1</v>
      </c>
      <c r="Y17" s="771">
        <f t="shared" si="18"/>
        <v>0</v>
      </c>
      <c r="Z17" s="771">
        <f t="shared" si="18"/>
        <v>0</v>
      </c>
      <c r="AA17" s="771">
        <f t="shared" si="18"/>
        <v>0</v>
      </c>
      <c r="AB17" s="771">
        <f t="shared" si="18"/>
        <v>0</v>
      </c>
      <c r="AC17" s="771">
        <f t="shared" si="18"/>
        <v>0</v>
      </c>
      <c r="AD17" s="771">
        <f t="shared" si="18"/>
        <v>0</v>
      </c>
      <c r="AE17" s="771">
        <f t="shared" si="18"/>
        <v>0</v>
      </c>
      <c r="AF17" s="771">
        <f t="shared" si="18"/>
        <v>0</v>
      </c>
      <c r="AG17" s="771">
        <f t="shared" si="18"/>
        <v>0</v>
      </c>
      <c r="AH17" s="771">
        <f t="shared" si="18"/>
        <v>0</v>
      </c>
      <c r="AI17" s="771">
        <f t="shared" si="18"/>
        <v>0</v>
      </c>
      <c r="AJ17" s="771">
        <f t="shared" si="18"/>
        <v>0</v>
      </c>
      <c r="AK17" s="771">
        <f t="shared" si="18"/>
        <v>0</v>
      </c>
      <c r="AL17" s="771">
        <f t="shared" si="18"/>
        <v>0</v>
      </c>
      <c r="AM17" s="772">
        <f t="shared" si="20"/>
        <v>1</v>
      </c>
    </row>
    <row r="18" spans="2:39" x14ac:dyDescent="0.3">
      <c r="B18" s="245" t="s">
        <v>115</v>
      </c>
      <c r="C18" s="286" t="str">
        <f>T_NCAP_AF!C28</f>
        <v>TCARLPG900</v>
      </c>
      <c r="D18" s="679">
        <f t="shared" si="22"/>
        <v>0</v>
      </c>
      <c r="E18" s="679">
        <f t="shared" si="2"/>
        <v>0</v>
      </c>
      <c r="F18" s="679">
        <f t="shared" si="3"/>
        <v>0</v>
      </c>
      <c r="G18" s="679">
        <f t="shared" si="4"/>
        <v>0</v>
      </c>
      <c r="H18" s="679">
        <f t="shared" si="5"/>
        <v>0</v>
      </c>
      <c r="I18" s="679">
        <f t="shared" si="6"/>
        <v>0</v>
      </c>
      <c r="J18" s="679">
        <f t="shared" si="7"/>
        <v>0</v>
      </c>
      <c r="K18" s="679">
        <f t="shared" si="8"/>
        <v>0</v>
      </c>
      <c r="L18" s="679">
        <f t="shared" si="9"/>
        <v>0</v>
      </c>
      <c r="M18" s="679">
        <f t="shared" si="10"/>
        <v>0</v>
      </c>
      <c r="N18" s="679">
        <f t="shared" si="11"/>
        <v>0</v>
      </c>
      <c r="O18" s="679">
        <f t="shared" si="12"/>
        <v>0</v>
      </c>
      <c r="P18" s="679">
        <f t="shared" si="13"/>
        <v>0</v>
      </c>
      <c r="Q18" s="679">
        <f t="shared" si="14"/>
        <v>0</v>
      </c>
      <c r="R18" s="679">
        <f t="shared" si="15"/>
        <v>0</v>
      </c>
      <c r="S18" s="679">
        <f t="shared" si="19"/>
        <v>0</v>
      </c>
      <c r="U18" s="769"/>
      <c r="V18" s="770"/>
      <c r="X18" s="771">
        <f t="shared" si="18"/>
        <v>1</v>
      </c>
      <c r="Y18" s="771">
        <f t="shared" si="18"/>
        <v>0</v>
      </c>
      <c r="Z18" s="771">
        <f t="shared" si="18"/>
        <v>0</v>
      </c>
      <c r="AA18" s="771">
        <f t="shared" si="18"/>
        <v>0</v>
      </c>
      <c r="AB18" s="771">
        <f t="shared" si="18"/>
        <v>0</v>
      </c>
      <c r="AC18" s="771">
        <f t="shared" si="18"/>
        <v>0</v>
      </c>
      <c r="AD18" s="771">
        <f t="shared" si="18"/>
        <v>0</v>
      </c>
      <c r="AE18" s="771">
        <f t="shared" si="18"/>
        <v>0</v>
      </c>
      <c r="AF18" s="771">
        <f t="shared" si="18"/>
        <v>0</v>
      </c>
      <c r="AG18" s="771">
        <f t="shared" si="18"/>
        <v>0</v>
      </c>
      <c r="AH18" s="771">
        <f t="shared" si="18"/>
        <v>0</v>
      </c>
      <c r="AI18" s="771">
        <f t="shared" si="18"/>
        <v>0</v>
      </c>
      <c r="AJ18" s="771">
        <f t="shared" si="18"/>
        <v>0</v>
      </c>
      <c r="AK18" s="771">
        <f t="shared" si="18"/>
        <v>0</v>
      </c>
      <c r="AL18" s="771">
        <f t="shared" si="18"/>
        <v>0</v>
      </c>
      <c r="AM18" s="772">
        <f t="shared" si="20"/>
        <v>1</v>
      </c>
    </row>
    <row r="19" spans="2:39" x14ac:dyDescent="0.3">
      <c r="B19" s="224" t="s">
        <v>116</v>
      </c>
      <c r="C19" s="286" t="str">
        <f>T_NCAP_AF!C29</f>
        <v>TCARPYD900</v>
      </c>
      <c r="D19" s="679">
        <f t="shared" si="22"/>
        <v>0</v>
      </c>
      <c r="E19" s="679">
        <f t="shared" si="2"/>
        <v>0</v>
      </c>
      <c r="F19" s="679">
        <f t="shared" si="3"/>
        <v>0</v>
      </c>
      <c r="G19" s="679">
        <f t="shared" si="4"/>
        <v>0</v>
      </c>
      <c r="H19" s="679">
        <f t="shared" si="5"/>
        <v>0</v>
      </c>
      <c r="I19" s="679">
        <f t="shared" si="6"/>
        <v>0</v>
      </c>
      <c r="J19" s="679">
        <f t="shared" si="7"/>
        <v>0</v>
      </c>
      <c r="K19" s="679">
        <f t="shared" si="8"/>
        <v>0</v>
      </c>
      <c r="L19" s="679">
        <f t="shared" si="9"/>
        <v>0</v>
      </c>
      <c r="M19" s="679">
        <f t="shared" si="10"/>
        <v>0</v>
      </c>
      <c r="N19" s="679">
        <f t="shared" si="11"/>
        <v>0</v>
      </c>
      <c r="O19" s="679">
        <f t="shared" si="12"/>
        <v>0</v>
      </c>
      <c r="P19" s="679">
        <f t="shared" si="13"/>
        <v>0</v>
      </c>
      <c r="Q19" s="679">
        <f t="shared" si="14"/>
        <v>0</v>
      </c>
      <c r="R19" s="679">
        <f t="shared" si="15"/>
        <v>0</v>
      </c>
      <c r="S19" s="679">
        <f t="shared" si="19"/>
        <v>0</v>
      </c>
      <c r="U19" s="773"/>
      <c r="V19" s="770"/>
      <c r="X19" s="771">
        <f t="shared" si="18"/>
        <v>1</v>
      </c>
      <c r="Y19" s="771">
        <f t="shared" si="18"/>
        <v>0</v>
      </c>
      <c r="Z19" s="771">
        <f t="shared" si="18"/>
        <v>0</v>
      </c>
      <c r="AA19" s="771">
        <f t="shared" si="18"/>
        <v>0</v>
      </c>
      <c r="AB19" s="771">
        <f t="shared" si="18"/>
        <v>0</v>
      </c>
      <c r="AC19" s="771">
        <f t="shared" si="18"/>
        <v>0</v>
      </c>
      <c r="AD19" s="771">
        <f t="shared" si="18"/>
        <v>0</v>
      </c>
      <c r="AE19" s="771">
        <f t="shared" si="18"/>
        <v>0</v>
      </c>
      <c r="AF19" s="771">
        <f t="shared" si="18"/>
        <v>0</v>
      </c>
      <c r="AG19" s="771">
        <f t="shared" si="18"/>
        <v>0</v>
      </c>
      <c r="AH19" s="771">
        <f t="shared" si="18"/>
        <v>0</v>
      </c>
      <c r="AI19" s="771">
        <f t="shared" si="18"/>
        <v>0</v>
      </c>
      <c r="AJ19" s="771">
        <f t="shared" si="18"/>
        <v>0</v>
      </c>
      <c r="AK19" s="771">
        <f t="shared" si="18"/>
        <v>0</v>
      </c>
      <c r="AL19" s="771">
        <f t="shared" si="18"/>
        <v>0</v>
      </c>
      <c r="AM19" s="772">
        <f t="shared" si="20"/>
        <v>1</v>
      </c>
    </row>
    <row r="20" spans="2:39" x14ac:dyDescent="0.3">
      <c r="B20" s="224" t="s">
        <v>117</v>
      </c>
      <c r="C20" s="286" t="str">
        <f>T_NCAP_AF!C30</f>
        <v>TCARPYG900</v>
      </c>
      <c r="D20" s="679">
        <f t="shared" si="22"/>
        <v>0</v>
      </c>
      <c r="E20" s="679">
        <f t="shared" si="2"/>
        <v>0</v>
      </c>
      <c r="F20" s="679">
        <f t="shared" si="3"/>
        <v>0</v>
      </c>
      <c r="G20" s="679">
        <f t="shared" si="4"/>
        <v>0</v>
      </c>
      <c r="H20" s="679">
        <f t="shared" si="5"/>
        <v>0</v>
      </c>
      <c r="I20" s="679">
        <f t="shared" si="6"/>
        <v>0</v>
      </c>
      <c r="J20" s="679">
        <f t="shared" si="7"/>
        <v>0</v>
      </c>
      <c r="K20" s="679">
        <f t="shared" si="8"/>
        <v>0</v>
      </c>
      <c r="L20" s="679">
        <f t="shared" si="9"/>
        <v>0</v>
      </c>
      <c r="M20" s="679">
        <f t="shared" si="10"/>
        <v>0</v>
      </c>
      <c r="N20" s="679">
        <f t="shared" si="11"/>
        <v>0</v>
      </c>
      <c r="O20" s="679">
        <f t="shared" si="12"/>
        <v>0</v>
      </c>
      <c r="P20" s="679">
        <f t="shared" si="13"/>
        <v>0</v>
      </c>
      <c r="Q20" s="679">
        <f t="shared" si="14"/>
        <v>0</v>
      </c>
      <c r="R20" s="679">
        <f t="shared" si="15"/>
        <v>0</v>
      </c>
      <c r="S20" s="679">
        <f t="shared" si="19"/>
        <v>0</v>
      </c>
      <c r="U20" s="773"/>
      <c r="V20" s="770"/>
      <c r="X20" s="771">
        <f t="shared" si="18"/>
        <v>1</v>
      </c>
      <c r="Y20" s="771">
        <f t="shared" si="18"/>
        <v>0</v>
      </c>
      <c r="Z20" s="771">
        <f t="shared" si="18"/>
        <v>0</v>
      </c>
      <c r="AA20" s="771">
        <f t="shared" si="18"/>
        <v>0</v>
      </c>
      <c r="AB20" s="771">
        <f t="shared" si="18"/>
        <v>0</v>
      </c>
      <c r="AC20" s="771">
        <f t="shared" si="18"/>
        <v>0</v>
      </c>
      <c r="AD20" s="771">
        <f t="shared" si="18"/>
        <v>0</v>
      </c>
      <c r="AE20" s="771">
        <f t="shared" si="18"/>
        <v>0</v>
      </c>
      <c r="AF20" s="771">
        <f t="shared" si="18"/>
        <v>0</v>
      </c>
      <c r="AG20" s="771">
        <f t="shared" si="18"/>
        <v>0</v>
      </c>
      <c r="AH20" s="771">
        <f t="shared" si="18"/>
        <v>0</v>
      </c>
      <c r="AI20" s="771">
        <f t="shared" si="18"/>
        <v>0</v>
      </c>
      <c r="AJ20" s="771">
        <f t="shared" si="18"/>
        <v>0</v>
      </c>
      <c r="AK20" s="771">
        <f t="shared" si="18"/>
        <v>0</v>
      </c>
      <c r="AL20" s="771">
        <f t="shared" si="18"/>
        <v>0</v>
      </c>
      <c r="AM20" s="772">
        <f t="shared" si="20"/>
        <v>1</v>
      </c>
    </row>
    <row r="21" spans="2:39" x14ac:dyDescent="0.3">
      <c r="B21" s="250" t="s">
        <v>118</v>
      </c>
      <c r="C21" s="523"/>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4"/>
      <c r="V21" s="774"/>
      <c r="X21" s="771">
        <f t="shared" si="18"/>
        <v>1</v>
      </c>
      <c r="Y21" s="771">
        <f t="shared" si="18"/>
        <v>0</v>
      </c>
      <c r="Z21" s="771">
        <f t="shared" si="18"/>
        <v>0</v>
      </c>
      <c r="AA21" s="771">
        <f t="shared" si="18"/>
        <v>0</v>
      </c>
      <c r="AB21" s="771">
        <f t="shared" si="18"/>
        <v>0</v>
      </c>
      <c r="AC21" s="771">
        <f t="shared" si="18"/>
        <v>0</v>
      </c>
      <c r="AD21" s="771">
        <f t="shared" si="18"/>
        <v>0</v>
      </c>
      <c r="AE21" s="771">
        <f t="shared" si="18"/>
        <v>0</v>
      </c>
      <c r="AF21" s="771">
        <f t="shared" si="18"/>
        <v>0</v>
      </c>
      <c r="AG21" s="771">
        <f t="shared" si="18"/>
        <v>0</v>
      </c>
      <c r="AH21" s="771">
        <f t="shared" si="18"/>
        <v>0</v>
      </c>
      <c r="AI21" s="771">
        <f t="shared" si="18"/>
        <v>0</v>
      </c>
      <c r="AJ21" s="771">
        <f t="shared" si="18"/>
        <v>0</v>
      </c>
      <c r="AK21" s="771">
        <f t="shared" si="18"/>
        <v>0</v>
      </c>
      <c r="AL21" s="771">
        <f t="shared" si="18"/>
        <v>0</v>
      </c>
      <c r="AM21" s="772">
        <f t="shared" ref="AM21" si="25">SUM(X21:AI21)</f>
        <v>1</v>
      </c>
    </row>
    <row r="22" spans="2:39" x14ac:dyDescent="0.3">
      <c r="B22" s="131" t="s">
        <v>119</v>
      </c>
      <c r="C22" s="524"/>
      <c r="D22" s="680">
        <f>SUM(D10:D21)</f>
        <v>0</v>
      </c>
      <c r="E22" s="680">
        <f t="shared" ref="E22:S22" si="26">SUM(E10:E21)</f>
        <v>0</v>
      </c>
      <c r="F22" s="680">
        <f t="shared" si="26"/>
        <v>0</v>
      </c>
      <c r="G22" s="680">
        <f t="shared" si="26"/>
        <v>0</v>
      </c>
      <c r="H22" s="680">
        <f t="shared" si="26"/>
        <v>0</v>
      </c>
      <c r="I22" s="680">
        <f t="shared" si="26"/>
        <v>0</v>
      </c>
      <c r="J22" s="680">
        <f t="shared" si="26"/>
        <v>0</v>
      </c>
      <c r="K22" s="680">
        <f t="shared" si="26"/>
        <v>0</v>
      </c>
      <c r="L22" s="680">
        <f t="shared" si="26"/>
        <v>0</v>
      </c>
      <c r="M22" s="680">
        <f t="shared" si="26"/>
        <v>0</v>
      </c>
      <c r="N22" s="680">
        <f t="shared" si="26"/>
        <v>0</v>
      </c>
      <c r="O22" s="680">
        <f t="shared" si="26"/>
        <v>0</v>
      </c>
      <c r="P22" s="680">
        <f t="shared" si="26"/>
        <v>0</v>
      </c>
      <c r="Q22" s="680">
        <f t="shared" si="26"/>
        <v>0</v>
      </c>
      <c r="R22" s="680">
        <f t="shared" si="26"/>
        <v>0</v>
      </c>
      <c r="S22" s="680">
        <f t="shared" si="26"/>
        <v>0</v>
      </c>
      <c r="U22" s="775">
        <f>SUM(U10:U21)</f>
        <v>0</v>
      </c>
      <c r="V22" s="775">
        <f>SUM(V10:V21)</f>
        <v>0</v>
      </c>
    </row>
    <row r="24" spans="2:39" x14ac:dyDescent="0.3">
      <c r="B24" s="476" t="s">
        <v>120</v>
      </c>
      <c r="C24" s="522"/>
      <c r="X24" s="763" t="s">
        <v>99</v>
      </c>
    </row>
    <row r="25" spans="2:39" x14ac:dyDescent="0.3">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8" t="s">
        <v>105</v>
      </c>
      <c r="V25" s="768" t="s">
        <v>121</v>
      </c>
      <c r="X25" s="765" t="str">
        <f t="shared" ref="X25" si="27">D25</f>
        <v>Z01</v>
      </c>
      <c r="Y25" s="765" t="str">
        <f t="shared" ref="Y25" si="28">E25</f>
        <v>Z02</v>
      </c>
      <c r="Z25" s="765" t="str">
        <f t="shared" ref="Z25" si="29">F25</f>
        <v>Z03</v>
      </c>
      <c r="AA25" s="765" t="str">
        <f t="shared" ref="AA25" si="30">G25</f>
        <v>Z04</v>
      </c>
      <c r="AB25" s="765" t="str">
        <f t="shared" ref="AB25" si="31">H25</f>
        <v>Z05</v>
      </c>
      <c r="AC25" s="765" t="str">
        <f t="shared" ref="AC25" si="32">I25</f>
        <v>Z06</v>
      </c>
      <c r="AD25" s="765" t="str">
        <f t="shared" ref="AD25" si="33">J25</f>
        <v>Z07</v>
      </c>
      <c r="AE25" s="765" t="str">
        <f t="shared" ref="AE25" si="34">K25</f>
        <v>Z08</v>
      </c>
      <c r="AF25" s="765" t="str">
        <f t="shared" ref="AF25" si="35">L25</f>
        <v>Z09</v>
      </c>
      <c r="AG25" s="765" t="str">
        <f t="shared" ref="AG25" si="36">M25</f>
        <v>Z10</v>
      </c>
      <c r="AH25" s="765" t="str">
        <f t="shared" ref="AH25" si="37">N25</f>
        <v>Z11</v>
      </c>
      <c r="AI25" s="765" t="str">
        <f t="shared" ref="AI25" si="38">O25</f>
        <v>Z12</v>
      </c>
      <c r="AJ25" s="765" t="str">
        <f t="shared" ref="AJ25" si="39">P25</f>
        <v>Z13</v>
      </c>
      <c r="AK25" s="765" t="str">
        <f t="shared" ref="AK25" si="40">Q25</f>
        <v>Z14</v>
      </c>
      <c r="AL25" s="765" t="str">
        <f t="shared" ref="AL25" si="41">R25</f>
        <v>Z15</v>
      </c>
      <c r="AM25" s="765" t="s">
        <v>100</v>
      </c>
    </row>
    <row r="26" spans="2:39" x14ac:dyDescent="0.3">
      <c r="B26" s="245" t="str">
        <f>B10</f>
        <v>Biodiesel</v>
      </c>
      <c r="C26" s="286"/>
      <c r="D26" s="683">
        <v>0</v>
      </c>
      <c r="E26" s="683">
        <v>0</v>
      </c>
      <c r="F26" s="683">
        <v>0</v>
      </c>
      <c r="G26" s="683">
        <v>0</v>
      </c>
      <c r="H26" s="683">
        <v>0</v>
      </c>
      <c r="I26" s="683">
        <v>0</v>
      </c>
      <c r="J26" s="683">
        <v>0</v>
      </c>
      <c r="K26" s="683">
        <v>0</v>
      </c>
      <c r="L26" s="683">
        <v>0</v>
      </c>
      <c r="M26" s="683">
        <v>0</v>
      </c>
      <c r="N26" s="683">
        <v>0</v>
      </c>
      <c r="O26" s="683">
        <v>0</v>
      </c>
      <c r="P26" s="683">
        <v>0</v>
      </c>
      <c r="Q26" s="683">
        <v>0</v>
      </c>
      <c r="R26" s="683">
        <v>0</v>
      </c>
      <c r="S26" s="683">
        <v>0</v>
      </c>
      <c r="U26" s="769"/>
      <c r="V26" s="776" t="s">
        <v>122</v>
      </c>
      <c r="X26" s="771">
        <f>X$6</f>
        <v>1</v>
      </c>
      <c r="Y26" s="771">
        <f t="shared" ref="Y26:AL26" si="42">Y$6</f>
        <v>0</v>
      </c>
      <c r="Z26" s="771">
        <f t="shared" si="42"/>
        <v>0</v>
      </c>
      <c r="AA26" s="771">
        <f t="shared" si="42"/>
        <v>0</v>
      </c>
      <c r="AB26" s="771">
        <f t="shared" si="42"/>
        <v>0</v>
      </c>
      <c r="AC26" s="771">
        <f t="shared" si="42"/>
        <v>0</v>
      </c>
      <c r="AD26" s="771">
        <f t="shared" si="42"/>
        <v>0</v>
      </c>
      <c r="AE26" s="771">
        <f t="shared" si="42"/>
        <v>0</v>
      </c>
      <c r="AF26" s="771">
        <f t="shared" si="42"/>
        <v>0</v>
      </c>
      <c r="AG26" s="771">
        <f t="shared" si="42"/>
        <v>0</v>
      </c>
      <c r="AH26" s="771">
        <f t="shared" si="42"/>
        <v>0</v>
      </c>
      <c r="AI26" s="771">
        <f t="shared" si="42"/>
        <v>0</v>
      </c>
      <c r="AJ26" s="771">
        <f t="shared" si="42"/>
        <v>0</v>
      </c>
      <c r="AK26" s="771">
        <f t="shared" si="42"/>
        <v>0</v>
      </c>
      <c r="AL26" s="771">
        <f t="shared" si="42"/>
        <v>0</v>
      </c>
      <c r="AM26" s="772">
        <f>SUM(X26:AI26)</f>
        <v>1</v>
      </c>
    </row>
    <row r="27" spans="2:39" x14ac:dyDescent="0.3">
      <c r="B27" s="245" t="str">
        <f t="shared" ref="B27:B37" si="43">B11</f>
        <v>Diesel</v>
      </c>
      <c r="C27" s="286"/>
      <c r="D27" s="683">
        <v>0</v>
      </c>
      <c r="E27" s="683">
        <v>0</v>
      </c>
      <c r="F27" s="683">
        <v>0</v>
      </c>
      <c r="G27" s="683">
        <v>0</v>
      </c>
      <c r="H27" s="683">
        <v>0</v>
      </c>
      <c r="I27" s="683">
        <v>0</v>
      </c>
      <c r="J27" s="683">
        <v>0</v>
      </c>
      <c r="K27" s="683">
        <v>0</v>
      </c>
      <c r="L27" s="683">
        <v>0</v>
      </c>
      <c r="M27" s="683">
        <v>0</v>
      </c>
      <c r="N27" s="683">
        <v>0</v>
      </c>
      <c r="O27" s="683">
        <v>0</v>
      </c>
      <c r="P27" s="683">
        <v>0</v>
      </c>
      <c r="Q27" s="683">
        <v>0</v>
      </c>
      <c r="R27" s="683">
        <v>0</v>
      </c>
      <c r="S27" s="683">
        <v>0</v>
      </c>
      <c r="U27" s="769"/>
      <c r="V27" s="776" t="s">
        <v>122</v>
      </c>
      <c r="X27" s="771">
        <f t="shared" ref="X27:AL37" si="44">X$6</f>
        <v>1</v>
      </c>
      <c r="Y27" s="771">
        <f t="shared" si="44"/>
        <v>0</v>
      </c>
      <c r="Z27" s="771">
        <f t="shared" si="44"/>
        <v>0</v>
      </c>
      <c r="AA27" s="771">
        <f t="shared" si="44"/>
        <v>0</v>
      </c>
      <c r="AB27" s="771">
        <f t="shared" si="44"/>
        <v>0</v>
      </c>
      <c r="AC27" s="771">
        <f t="shared" si="44"/>
        <v>0</v>
      </c>
      <c r="AD27" s="771">
        <f t="shared" si="44"/>
        <v>0</v>
      </c>
      <c r="AE27" s="771">
        <f t="shared" si="44"/>
        <v>0</v>
      </c>
      <c r="AF27" s="771">
        <f t="shared" si="44"/>
        <v>0</v>
      </c>
      <c r="AG27" s="771">
        <f t="shared" si="44"/>
        <v>0</v>
      </c>
      <c r="AH27" s="771">
        <f t="shared" si="44"/>
        <v>0</v>
      </c>
      <c r="AI27" s="771">
        <f t="shared" si="44"/>
        <v>0</v>
      </c>
      <c r="AJ27" s="771">
        <f t="shared" si="44"/>
        <v>0</v>
      </c>
      <c r="AK27" s="771">
        <f t="shared" si="44"/>
        <v>0</v>
      </c>
      <c r="AL27" s="771">
        <f t="shared" si="44"/>
        <v>0</v>
      </c>
      <c r="AM27" s="772">
        <f>SUM(X27:AI27)</f>
        <v>1</v>
      </c>
    </row>
    <row r="28" spans="2:39" x14ac:dyDescent="0.3">
      <c r="B28" s="245" t="str">
        <f t="shared" si="43"/>
        <v>Battery electric (BEV)</v>
      </c>
      <c r="C28" s="286"/>
      <c r="D28" s="683">
        <v>0</v>
      </c>
      <c r="E28" s="683">
        <v>0</v>
      </c>
      <c r="F28" s="683">
        <v>0</v>
      </c>
      <c r="G28" s="683">
        <v>0</v>
      </c>
      <c r="H28" s="683">
        <v>0</v>
      </c>
      <c r="I28" s="683">
        <v>0</v>
      </c>
      <c r="J28" s="683">
        <v>0</v>
      </c>
      <c r="K28" s="683">
        <v>0</v>
      </c>
      <c r="L28" s="683">
        <v>0</v>
      </c>
      <c r="M28" s="683">
        <v>0</v>
      </c>
      <c r="N28" s="683">
        <v>0</v>
      </c>
      <c r="O28" s="683">
        <v>0</v>
      </c>
      <c r="P28" s="683">
        <v>0</v>
      </c>
      <c r="Q28" s="683">
        <v>0</v>
      </c>
      <c r="R28" s="683">
        <v>0</v>
      </c>
      <c r="S28" s="683">
        <v>0</v>
      </c>
      <c r="U28" s="769"/>
      <c r="V28" s="776" t="s">
        <v>122</v>
      </c>
      <c r="X28" s="771">
        <f t="shared" si="44"/>
        <v>1</v>
      </c>
      <c r="Y28" s="771">
        <f t="shared" si="44"/>
        <v>0</v>
      </c>
      <c r="Z28" s="771">
        <f t="shared" si="44"/>
        <v>0</v>
      </c>
      <c r="AA28" s="771">
        <f t="shared" si="44"/>
        <v>0</v>
      </c>
      <c r="AB28" s="771">
        <f t="shared" si="44"/>
        <v>0</v>
      </c>
      <c r="AC28" s="771">
        <f t="shared" si="44"/>
        <v>0</v>
      </c>
      <c r="AD28" s="771">
        <f t="shared" si="44"/>
        <v>0</v>
      </c>
      <c r="AE28" s="771">
        <f t="shared" si="44"/>
        <v>0</v>
      </c>
      <c r="AF28" s="771">
        <f t="shared" si="44"/>
        <v>0</v>
      </c>
      <c r="AG28" s="771">
        <f t="shared" si="44"/>
        <v>0</v>
      </c>
      <c r="AH28" s="771">
        <f t="shared" si="44"/>
        <v>0</v>
      </c>
      <c r="AI28" s="771">
        <f t="shared" si="44"/>
        <v>0</v>
      </c>
      <c r="AJ28" s="771">
        <f t="shared" si="44"/>
        <v>0</v>
      </c>
      <c r="AK28" s="771">
        <f t="shared" si="44"/>
        <v>0</v>
      </c>
      <c r="AL28" s="771">
        <f t="shared" si="44"/>
        <v>0</v>
      </c>
      <c r="AM28" s="772">
        <f t="shared" ref="AM28:AM36" si="45">SUM(X28:AI28)</f>
        <v>1</v>
      </c>
    </row>
    <row r="29" spans="2:39" x14ac:dyDescent="0.3">
      <c r="B29" s="245" t="str">
        <f t="shared" si="43"/>
        <v>Ethanol</v>
      </c>
      <c r="C29" s="286"/>
      <c r="D29" s="683">
        <v>0</v>
      </c>
      <c r="E29" s="683">
        <v>0</v>
      </c>
      <c r="F29" s="683">
        <v>0</v>
      </c>
      <c r="G29" s="683">
        <v>0</v>
      </c>
      <c r="H29" s="683">
        <v>0</v>
      </c>
      <c r="I29" s="683">
        <v>0</v>
      </c>
      <c r="J29" s="683">
        <v>0</v>
      </c>
      <c r="K29" s="683">
        <v>0</v>
      </c>
      <c r="L29" s="683">
        <v>0</v>
      </c>
      <c r="M29" s="683">
        <v>0</v>
      </c>
      <c r="N29" s="683">
        <v>0</v>
      </c>
      <c r="O29" s="683">
        <v>0</v>
      </c>
      <c r="P29" s="683">
        <v>0</v>
      </c>
      <c r="Q29" s="683">
        <v>0</v>
      </c>
      <c r="R29" s="683">
        <v>0</v>
      </c>
      <c r="S29" s="683">
        <v>0</v>
      </c>
      <c r="U29" s="769"/>
      <c r="V29" s="776" t="s">
        <v>122</v>
      </c>
      <c r="X29" s="771">
        <f t="shared" si="44"/>
        <v>1</v>
      </c>
      <c r="Y29" s="771">
        <f t="shared" si="44"/>
        <v>0</v>
      </c>
      <c r="Z29" s="771">
        <f t="shared" si="44"/>
        <v>0</v>
      </c>
      <c r="AA29" s="771">
        <f t="shared" si="44"/>
        <v>0</v>
      </c>
      <c r="AB29" s="771">
        <f t="shared" si="44"/>
        <v>0</v>
      </c>
      <c r="AC29" s="771">
        <f t="shared" si="44"/>
        <v>0</v>
      </c>
      <c r="AD29" s="771">
        <f t="shared" si="44"/>
        <v>0</v>
      </c>
      <c r="AE29" s="771">
        <f t="shared" si="44"/>
        <v>0</v>
      </c>
      <c r="AF29" s="771">
        <f t="shared" si="44"/>
        <v>0</v>
      </c>
      <c r="AG29" s="771">
        <f t="shared" si="44"/>
        <v>0</v>
      </c>
      <c r="AH29" s="771">
        <f t="shared" si="44"/>
        <v>0</v>
      </c>
      <c r="AI29" s="771">
        <f t="shared" si="44"/>
        <v>0</v>
      </c>
      <c r="AJ29" s="771">
        <f t="shared" si="44"/>
        <v>0</v>
      </c>
      <c r="AK29" s="771">
        <f t="shared" si="44"/>
        <v>0</v>
      </c>
      <c r="AL29" s="771">
        <f t="shared" si="44"/>
        <v>0</v>
      </c>
      <c r="AM29" s="772">
        <f t="shared" si="45"/>
        <v>1</v>
      </c>
    </row>
    <row r="30" spans="2:39" x14ac:dyDescent="0.3">
      <c r="B30" s="245" t="str">
        <f t="shared" si="43"/>
        <v>Gas (CNG)</v>
      </c>
      <c r="C30" s="286"/>
      <c r="D30" s="683">
        <v>0</v>
      </c>
      <c r="E30" s="683">
        <v>0</v>
      </c>
      <c r="F30" s="683">
        <v>0</v>
      </c>
      <c r="G30" s="683">
        <v>0</v>
      </c>
      <c r="H30" s="683">
        <v>0</v>
      </c>
      <c r="I30" s="683">
        <v>0</v>
      </c>
      <c r="J30" s="683">
        <v>0</v>
      </c>
      <c r="K30" s="683">
        <v>0</v>
      </c>
      <c r="L30" s="683">
        <v>0</v>
      </c>
      <c r="M30" s="683">
        <v>0</v>
      </c>
      <c r="N30" s="683">
        <v>0</v>
      </c>
      <c r="O30" s="683">
        <v>0</v>
      </c>
      <c r="P30" s="683">
        <v>0</v>
      </c>
      <c r="Q30" s="683">
        <v>0</v>
      </c>
      <c r="R30" s="683">
        <v>0</v>
      </c>
      <c r="S30" s="683">
        <v>0</v>
      </c>
      <c r="U30" s="769"/>
      <c r="V30" s="776" t="s">
        <v>122</v>
      </c>
      <c r="X30" s="771">
        <f t="shared" si="44"/>
        <v>1</v>
      </c>
      <c r="Y30" s="771">
        <f t="shared" si="44"/>
        <v>0</v>
      </c>
      <c r="Z30" s="771">
        <f t="shared" si="44"/>
        <v>0</v>
      </c>
      <c r="AA30" s="771">
        <f t="shared" si="44"/>
        <v>0</v>
      </c>
      <c r="AB30" s="771">
        <f t="shared" si="44"/>
        <v>0</v>
      </c>
      <c r="AC30" s="771">
        <f t="shared" si="44"/>
        <v>0</v>
      </c>
      <c r="AD30" s="771">
        <f t="shared" si="44"/>
        <v>0</v>
      </c>
      <c r="AE30" s="771">
        <f t="shared" si="44"/>
        <v>0</v>
      </c>
      <c r="AF30" s="771">
        <f t="shared" si="44"/>
        <v>0</v>
      </c>
      <c r="AG30" s="771">
        <f t="shared" si="44"/>
        <v>0</v>
      </c>
      <c r="AH30" s="771">
        <f t="shared" si="44"/>
        <v>0</v>
      </c>
      <c r="AI30" s="771">
        <f t="shared" si="44"/>
        <v>0</v>
      </c>
      <c r="AJ30" s="771">
        <f t="shared" si="44"/>
        <v>0</v>
      </c>
      <c r="AK30" s="771">
        <f t="shared" si="44"/>
        <v>0</v>
      </c>
      <c r="AL30" s="771">
        <f t="shared" si="44"/>
        <v>0</v>
      </c>
      <c r="AM30" s="772">
        <f t="shared" si="45"/>
        <v>1</v>
      </c>
    </row>
    <row r="31" spans="2:39" x14ac:dyDescent="0.3">
      <c r="B31" s="245" t="str">
        <f t="shared" si="43"/>
        <v>Gasoline</v>
      </c>
      <c r="C31" s="286"/>
      <c r="D31" s="683">
        <v>0</v>
      </c>
      <c r="E31" s="683">
        <v>0</v>
      </c>
      <c r="F31" s="683">
        <v>0</v>
      </c>
      <c r="G31" s="683">
        <v>0</v>
      </c>
      <c r="H31" s="683">
        <v>0</v>
      </c>
      <c r="I31" s="683">
        <v>0</v>
      </c>
      <c r="J31" s="683">
        <v>0</v>
      </c>
      <c r="K31" s="683">
        <v>0</v>
      </c>
      <c r="L31" s="683">
        <v>0</v>
      </c>
      <c r="M31" s="683">
        <v>0</v>
      </c>
      <c r="N31" s="683">
        <v>0</v>
      </c>
      <c r="O31" s="683">
        <v>0</v>
      </c>
      <c r="P31" s="683">
        <v>0</v>
      </c>
      <c r="Q31" s="683">
        <v>0</v>
      </c>
      <c r="R31" s="683">
        <v>0</v>
      </c>
      <c r="S31" s="683">
        <v>0</v>
      </c>
      <c r="U31" s="769"/>
      <c r="V31" s="776" t="s">
        <v>122</v>
      </c>
      <c r="X31" s="771">
        <f t="shared" si="44"/>
        <v>1</v>
      </c>
      <c r="Y31" s="771">
        <f t="shared" si="44"/>
        <v>0</v>
      </c>
      <c r="Z31" s="771">
        <f t="shared" si="44"/>
        <v>0</v>
      </c>
      <c r="AA31" s="771">
        <f t="shared" si="44"/>
        <v>0</v>
      </c>
      <c r="AB31" s="771">
        <f t="shared" si="44"/>
        <v>0</v>
      </c>
      <c r="AC31" s="771">
        <f t="shared" si="44"/>
        <v>0</v>
      </c>
      <c r="AD31" s="771">
        <f t="shared" si="44"/>
        <v>0</v>
      </c>
      <c r="AE31" s="771">
        <f t="shared" si="44"/>
        <v>0</v>
      </c>
      <c r="AF31" s="771">
        <f t="shared" si="44"/>
        <v>0</v>
      </c>
      <c r="AG31" s="771">
        <f t="shared" si="44"/>
        <v>0</v>
      </c>
      <c r="AH31" s="771">
        <f t="shared" si="44"/>
        <v>0</v>
      </c>
      <c r="AI31" s="771">
        <f t="shared" si="44"/>
        <v>0</v>
      </c>
      <c r="AJ31" s="771">
        <f t="shared" si="44"/>
        <v>0</v>
      </c>
      <c r="AK31" s="771">
        <f t="shared" si="44"/>
        <v>0</v>
      </c>
      <c r="AL31" s="771">
        <f t="shared" si="44"/>
        <v>0</v>
      </c>
      <c r="AM31" s="772">
        <f t="shared" si="45"/>
        <v>1</v>
      </c>
    </row>
    <row r="32" spans="2:39" x14ac:dyDescent="0.3">
      <c r="B32" s="245" t="str">
        <f t="shared" si="43"/>
        <v>Hybrid Electric - diesel</v>
      </c>
      <c r="C32" s="286"/>
      <c r="D32" s="683">
        <v>0</v>
      </c>
      <c r="E32" s="683">
        <v>0</v>
      </c>
      <c r="F32" s="683">
        <v>0</v>
      </c>
      <c r="G32" s="683">
        <v>0</v>
      </c>
      <c r="H32" s="683">
        <v>0</v>
      </c>
      <c r="I32" s="683">
        <v>0</v>
      </c>
      <c r="J32" s="683">
        <v>0</v>
      </c>
      <c r="K32" s="683">
        <v>0</v>
      </c>
      <c r="L32" s="683">
        <v>0</v>
      </c>
      <c r="M32" s="683">
        <v>0</v>
      </c>
      <c r="N32" s="683">
        <v>0</v>
      </c>
      <c r="O32" s="683">
        <v>0</v>
      </c>
      <c r="P32" s="683">
        <v>0</v>
      </c>
      <c r="Q32" s="683">
        <v>0</v>
      </c>
      <c r="R32" s="683">
        <v>0</v>
      </c>
      <c r="S32" s="683">
        <v>0</v>
      </c>
      <c r="U32" s="773"/>
      <c r="V32" s="776" t="s">
        <v>122</v>
      </c>
      <c r="X32" s="771">
        <f t="shared" si="44"/>
        <v>1</v>
      </c>
      <c r="Y32" s="771">
        <f t="shared" si="44"/>
        <v>0</v>
      </c>
      <c r="Z32" s="771">
        <f t="shared" si="44"/>
        <v>0</v>
      </c>
      <c r="AA32" s="771">
        <f t="shared" si="44"/>
        <v>0</v>
      </c>
      <c r="AB32" s="771">
        <f t="shared" si="44"/>
        <v>0</v>
      </c>
      <c r="AC32" s="771">
        <f t="shared" si="44"/>
        <v>0</v>
      </c>
      <c r="AD32" s="771">
        <f t="shared" si="44"/>
        <v>0</v>
      </c>
      <c r="AE32" s="771">
        <f t="shared" si="44"/>
        <v>0</v>
      </c>
      <c r="AF32" s="771">
        <f t="shared" si="44"/>
        <v>0</v>
      </c>
      <c r="AG32" s="771">
        <f t="shared" si="44"/>
        <v>0</v>
      </c>
      <c r="AH32" s="771">
        <f t="shared" si="44"/>
        <v>0</v>
      </c>
      <c r="AI32" s="771">
        <f t="shared" si="44"/>
        <v>0</v>
      </c>
      <c r="AJ32" s="771">
        <f t="shared" si="44"/>
        <v>0</v>
      </c>
      <c r="AK32" s="771">
        <f t="shared" si="44"/>
        <v>0</v>
      </c>
      <c r="AL32" s="771">
        <f t="shared" si="44"/>
        <v>0</v>
      </c>
      <c r="AM32" s="772">
        <f t="shared" si="45"/>
        <v>1</v>
      </c>
    </row>
    <row r="33" spans="2:39" x14ac:dyDescent="0.3">
      <c r="B33" s="245" t="str">
        <f t="shared" si="43"/>
        <v>Hybrid Electric - gasoline</v>
      </c>
      <c r="C33" s="286"/>
      <c r="D33" s="683">
        <v>0</v>
      </c>
      <c r="E33" s="683">
        <v>0</v>
      </c>
      <c r="F33" s="683">
        <v>0</v>
      </c>
      <c r="G33" s="683">
        <v>0</v>
      </c>
      <c r="H33" s="683">
        <v>0</v>
      </c>
      <c r="I33" s="683">
        <v>0</v>
      </c>
      <c r="J33" s="683">
        <v>0</v>
      </c>
      <c r="K33" s="683">
        <v>0</v>
      </c>
      <c r="L33" s="683">
        <v>0</v>
      </c>
      <c r="M33" s="683">
        <v>0</v>
      </c>
      <c r="N33" s="683">
        <v>0</v>
      </c>
      <c r="O33" s="683">
        <v>0</v>
      </c>
      <c r="P33" s="683">
        <v>0</v>
      </c>
      <c r="Q33" s="683">
        <v>0</v>
      </c>
      <c r="R33" s="683">
        <v>0</v>
      </c>
      <c r="S33" s="683">
        <v>0</v>
      </c>
      <c r="U33" s="773"/>
      <c r="V33" s="776" t="s">
        <v>122</v>
      </c>
      <c r="X33" s="771">
        <f t="shared" si="44"/>
        <v>1</v>
      </c>
      <c r="Y33" s="771">
        <f t="shared" si="44"/>
        <v>0</v>
      </c>
      <c r="Z33" s="771">
        <f t="shared" si="44"/>
        <v>0</v>
      </c>
      <c r="AA33" s="771">
        <f t="shared" si="44"/>
        <v>0</v>
      </c>
      <c r="AB33" s="771">
        <f t="shared" si="44"/>
        <v>0</v>
      </c>
      <c r="AC33" s="771">
        <f t="shared" si="44"/>
        <v>0</v>
      </c>
      <c r="AD33" s="771">
        <f t="shared" si="44"/>
        <v>0</v>
      </c>
      <c r="AE33" s="771">
        <f t="shared" si="44"/>
        <v>0</v>
      </c>
      <c r="AF33" s="771">
        <f t="shared" si="44"/>
        <v>0</v>
      </c>
      <c r="AG33" s="771">
        <f t="shared" si="44"/>
        <v>0</v>
      </c>
      <c r="AH33" s="771">
        <f t="shared" si="44"/>
        <v>0</v>
      </c>
      <c r="AI33" s="771">
        <f t="shared" si="44"/>
        <v>0</v>
      </c>
      <c r="AJ33" s="771">
        <f t="shared" si="44"/>
        <v>0</v>
      </c>
      <c r="AK33" s="771">
        <f t="shared" si="44"/>
        <v>0</v>
      </c>
      <c r="AL33" s="771">
        <f t="shared" si="44"/>
        <v>0</v>
      </c>
      <c r="AM33" s="772">
        <f t="shared" si="45"/>
        <v>1</v>
      </c>
    </row>
    <row r="34" spans="2:39" x14ac:dyDescent="0.3">
      <c r="B34" s="245" t="str">
        <f t="shared" si="43"/>
        <v>LPG</v>
      </c>
      <c r="C34" s="286"/>
      <c r="D34" s="683">
        <v>0</v>
      </c>
      <c r="E34" s="683">
        <v>0</v>
      </c>
      <c r="F34" s="683">
        <v>0</v>
      </c>
      <c r="G34" s="683">
        <v>0</v>
      </c>
      <c r="H34" s="683">
        <v>0</v>
      </c>
      <c r="I34" s="683">
        <v>0</v>
      </c>
      <c r="J34" s="683">
        <v>0</v>
      </c>
      <c r="K34" s="683">
        <v>0</v>
      </c>
      <c r="L34" s="683">
        <v>0</v>
      </c>
      <c r="M34" s="683">
        <v>0</v>
      </c>
      <c r="N34" s="683">
        <v>0</v>
      </c>
      <c r="O34" s="683">
        <v>0</v>
      </c>
      <c r="P34" s="683">
        <v>0</v>
      </c>
      <c r="Q34" s="683">
        <v>0</v>
      </c>
      <c r="R34" s="683">
        <v>0</v>
      </c>
      <c r="S34" s="683">
        <v>0</v>
      </c>
      <c r="U34" s="769"/>
      <c r="V34" s="776" t="s">
        <v>122</v>
      </c>
      <c r="X34" s="771">
        <f t="shared" si="44"/>
        <v>1</v>
      </c>
      <c r="Y34" s="771">
        <f t="shared" si="44"/>
        <v>0</v>
      </c>
      <c r="Z34" s="771">
        <f t="shared" si="44"/>
        <v>0</v>
      </c>
      <c r="AA34" s="771">
        <f t="shared" si="44"/>
        <v>0</v>
      </c>
      <c r="AB34" s="771">
        <f t="shared" si="44"/>
        <v>0</v>
      </c>
      <c r="AC34" s="771">
        <f t="shared" si="44"/>
        <v>0</v>
      </c>
      <c r="AD34" s="771">
        <f t="shared" si="44"/>
        <v>0</v>
      </c>
      <c r="AE34" s="771">
        <f t="shared" si="44"/>
        <v>0</v>
      </c>
      <c r="AF34" s="771">
        <f t="shared" si="44"/>
        <v>0</v>
      </c>
      <c r="AG34" s="771">
        <f t="shared" si="44"/>
        <v>0</v>
      </c>
      <c r="AH34" s="771">
        <f t="shared" si="44"/>
        <v>0</v>
      </c>
      <c r="AI34" s="771">
        <f t="shared" si="44"/>
        <v>0</v>
      </c>
      <c r="AJ34" s="771">
        <f t="shared" si="44"/>
        <v>0</v>
      </c>
      <c r="AK34" s="771">
        <f t="shared" si="44"/>
        <v>0</v>
      </c>
      <c r="AL34" s="771">
        <f t="shared" si="44"/>
        <v>0</v>
      </c>
      <c r="AM34" s="772">
        <f t="shared" si="45"/>
        <v>1</v>
      </c>
    </row>
    <row r="35" spans="2:39" x14ac:dyDescent="0.3">
      <c r="B35" s="245" t="str">
        <f t="shared" si="43"/>
        <v>Plugin Hybrid Electric - diesel</v>
      </c>
      <c r="C35" s="286"/>
      <c r="D35" s="683">
        <v>0</v>
      </c>
      <c r="E35" s="683">
        <v>0</v>
      </c>
      <c r="F35" s="683">
        <v>0</v>
      </c>
      <c r="G35" s="683">
        <v>0</v>
      </c>
      <c r="H35" s="683">
        <v>0</v>
      </c>
      <c r="I35" s="683">
        <v>0</v>
      </c>
      <c r="J35" s="683">
        <v>0</v>
      </c>
      <c r="K35" s="683">
        <v>0</v>
      </c>
      <c r="L35" s="683">
        <v>0</v>
      </c>
      <c r="M35" s="683">
        <v>0</v>
      </c>
      <c r="N35" s="683">
        <v>0</v>
      </c>
      <c r="O35" s="683">
        <v>0</v>
      </c>
      <c r="P35" s="683">
        <v>0</v>
      </c>
      <c r="Q35" s="683">
        <v>0</v>
      </c>
      <c r="R35" s="683">
        <v>0</v>
      </c>
      <c r="S35" s="683">
        <v>0</v>
      </c>
      <c r="U35" s="773"/>
      <c r="V35" s="776" t="s">
        <v>122</v>
      </c>
      <c r="X35" s="771">
        <f t="shared" si="44"/>
        <v>1</v>
      </c>
      <c r="Y35" s="771">
        <f t="shared" si="44"/>
        <v>0</v>
      </c>
      <c r="Z35" s="771">
        <f t="shared" si="44"/>
        <v>0</v>
      </c>
      <c r="AA35" s="771">
        <f t="shared" si="44"/>
        <v>0</v>
      </c>
      <c r="AB35" s="771">
        <f t="shared" si="44"/>
        <v>0</v>
      </c>
      <c r="AC35" s="771">
        <f t="shared" si="44"/>
        <v>0</v>
      </c>
      <c r="AD35" s="771">
        <f t="shared" si="44"/>
        <v>0</v>
      </c>
      <c r="AE35" s="771">
        <f t="shared" si="44"/>
        <v>0</v>
      </c>
      <c r="AF35" s="771">
        <f t="shared" si="44"/>
        <v>0</v>
      </c>
      <c r="AG35" s="771">
        <f t="shared" si="44"/>
        <v>0</v>
      </c>
      <c r="AH35" s="771">
        <f t="shared" si="44"/>
        <v>0</v>
      </c>
      <c r="AI35" s="771">
        <f t="shared" si="44"/>
        <v>0</v>
      </c>
      <c r="AJ35" s="771">
        <f t="shared" si="44"/>
        <v>0</v>
      </c>
      <c r="AK35" s="771">
        <f t="shared" si="44"/>
        <v>0</v>
      </c>
      <c r="AL35" s="771">
        <f t="shared" si="44"/>
        <v>0</v>
      </c>
      <c r="AM35" s="772">
        <f t="shared" si="45"/>
        <v>1</v>
      </c>
    </row>
    <row r="36" spans="2:39" x14ac:dyDescent="0.3">
      <c r="B36" s="245" t="str">
        <f t="shared" si="43"/>
        <v>Plugin Hybrid Electric - gasoline</v>
      </c>
      <c r="C36" s="286"/>
      <c r="D36" s="683">
        <v>0</v>
      </c>
      <c r="E36" s="683">
        <v>0</v>
      </c>
      <c r="F36" s="683">
        <v>0</v>
      </c>
      <c r="G36" s="683">
        <v>0</v>
      </c>
      <c r="H36" s="683">
        <v>0</v>
      </c>
      <c r="I36" s="683">
        <v>0</v>
      </c>
      <c r="J36" s="683">
        <v>0</v>
      </c>
      <c r="K36" s="683">
        <v>0</v>
      </c>
      <c r="L36" s="683">
        <v>0</v>
      </c>
      <c r="M36" s="683">
        <v>0</v>
      </c>
      <c r="N36" s="683">
        <v>0</v>
      </c>
      <c r="O36" s="683">
        <v>0</v>
      </c>
      <c r="P36" s="683">
        <v>0</v>
      </c>
      <c r="Q36" s="683">
        <v>0</v>
      </c>
      <c r="R36" s="683">
        <v>0</v>
      </c>
      <c r="S36" s="683">
        <v>0</v>
      </c>
      <c r="U36" s="773"/>
      <c r="V36" s="776" t="s">
        <v>122</v>
      </c>
      <c r="X36" s="771">
        <f t="shared" si="44"/>
        <v>1</v>
      </c>
      <c r="Y36" s="771">
        <f t="shared" si="44"/>
        <v>0</v>
      </c>
      <c r="Z36" s="771">
        <f t="shared" si="44"/>
        <v>0</v>
      </c>
      <c r="AA36" s="771">
        <f t="shared" si="44"/>
        <v>0</v>
      </c>
      <c r="AB36" s="771">
        <f t="shared" si="44"/>
        <v>0</v>
      </c>
      <c r="AC36" s="771">
        <f t="shared" si="44"/>
        <v>0</v>
      </c>
      <c r="AD36" s="771">
        <f t="shared" si="44"/>
        <v>0</v>
      </c>
      <c r="AE36" s="771">
        <f t="shared" si="44"/>
        <v>0</v>
      </c>
      <c r="AF36" s="771">
        <f t="shared" si="44"/>
        <v>0</v>
      </c>
      <c r="AG36" s="771">
        <f t="shared" si="44"/>
        <v>0</v>
      </c>
      <c r="AH36" s="771">
        <f t="shared" si="44"/>
        <v>0</v>
      </c>
      <c r="AI36" s="771">
        <f t="shared" si="44"/>
        <v>0</v>
      </c>
      <c r="AJ36" s="771">
        <f t="shared" si="44"/>
        <v>0</v>
      </c>
      <c r="AK36" s="771">
        <f t="shared" si="44"/>
        <v>0</v>
      </c>
      <c r="AL36" s="771">
        <f t="shared" si="44"/>
        <v>0</v>
      </c>
      <c r="AM36" s="772">
        <f t="shared" si="45"/>
        <v>1</v>
      </c>
    </row>
    <row r="37" spans="2:39" x14ac:dyDescent="0.3">
      <c r="B37" s="250" t="str">
        <f t="shared" si="43"/>
        <v>Other</v>
      </c>
      <c r="C37" s="523"/>
      <c r="D37" s="684">
        <v>0</v>
      </c>
      <c r="E37" s="684">
        <v>0</v>
      </c>
      <c r="F37" s="684">
        <v>0</v>
      </c>
      <c r="G37" s="684">
        <v>0</v>
      </c>
      <c r="H37" s="684">
        <v>0</v>
      </c>
      <c r="I37" s="684">
        <v>0</v>
      </c>
      <c r="J37" s="684">
        <v>0</v>
      </c>
      <c r="K37" s="684">
        <v>0</v>
      </c>
      <c r="L37" s="684">
        <v>0</v>
      </c>
      <c r="M37" s="684">
        <v>0</v>
      </c>
      <c r="N37" s="684">
        <v>0</v>
      </c>
      <c r="O37" s="684">
        <v>0</v>
      </c>
      <c r="P37" s="684">
        <v>0</v>
      </c>
      <c r="Q37" s="684">
        <v>0</v>
      </c>
      <c r="R37" s="684">
        <v>0</v>
      </c>
      <c r="S37" s="684">
        <v>0</v>
      </c>
      <c r="U37" s="774"/>
      <c r="V37" s="777" t="s">
        <v>122</v>
      </c>
      <c r="X37" s="771">
        <f t="shared" si="44"/>
        <v>1</v>
      </c>
      <c r="Y37" s="771">
        <f t="shared" si="44"/>
        <v>0</v>
      </c>
      <c r="Z37" s="771">
        <f t="shared" si="44"/>
        <v>0</v>
      </c>
      <c r="AA37" s="771">
        <f t="shared" si="44"/>
        <v>0</v>
      </c>
      <c r="AB37" s="771">
        <f t="shared" si="44"/>
        <v>0</v>
      </c>
      <c r="AC37" s="771">
        <f t="shared" si="44"/>
        <v>0</v>
      </c>
      <c r="AD37" s="771">
        <f>AD$6</f>
        <v>0</v>
      </c>
      <c r="AE37" s="771">
        <f t="shared" si="44"/>
        <v>0</v>
      </c>
      <c r="AF37" s="771">
        <f t="shared" si="44"/>
        <v>0</v>
      </c>
      <c r="AG37" s="771">
        <f t="shared" si="44"/>
        <v>0</v>
      </c>
      <c r="AH37" s="771">
        <f t="shared" si="44"/>
        <v>0</v>
      </c>
      <c r="AI37" s="771">
        <f t="shared" si="44"/>
        <v>0</v>
      </c>
      <c r="AJ37" s="771">
        <f t="shared" si="44"/>
        <v>0</v>
      </c>
      <c r="AK37" s="771">
        <f t="shared" si="44"/>
        <v>0</v>
      </c>
      <c r="AL37" s="771">
        <f t="shared" si="44"/>
        <v>0</v>
      </c>
      <c r="AM37" s="772">
        <f t="shared" ref="AM37" si="46">SUM(X37:AI37)</f>
        <v>1</v>
      </c>
    </row>
    <row r="38" spans="2:39" x14ac:dyDescent="0.3">
      <c r="B38" s="131" t="s">
        <v>119</v>
      </c>
      <c r="C38" s="524"/>
      <c r="D38" s="680">
        <f>SUM(D26:D37)</f>
        <v>0</v>
      </c>
      <c r="E38" s="680">
        <f t="shared" ref="E38" si="47">SUM(E26:E37)</f>
        <v>0</v>
      </c>
      <c r="F38" s="680">
        <f t="shared" ref="F38" si="48">SUM(F26:F37)</f>
        <v>0</v>
      </c>
      <c r="G38" s="680">
        <f t="shared" ref="G38" si="49">SUM(G26:G37)</f>
        <v>0</v>
      </c>
      <c r="H38" s="680">
        <f t="shared" ref="H38" si="50">SUM(H26:H37)</f>
        <v>0</v>
      </c>
      <c r="I38" s="680">
        <f t="shared" ref="I38" si="51">SUM(I26:I37)</f>
        <v>0</v>
      </c>
      <c r="J38" s="680">
        <f t="shared" ref="J38" si="52">SUM(J26:J37)</f>
        <v>0</v>
      </c>
      <c r="K38" s="680">
        <f t="shared" ref="K38" si="53">SUM(K26:K37)</f>
        <v>0</v>
      </c>
      <c r="L38" s="680">
        <f t="shared" ref="L38" si="54">SUM(L26:L37)</f>
        <v>0</v>
      </c>
      <c r="M38" s="680">
        <f t="shared" ref="M38" si="55">SUM(M26:M37)</f>
        <v>0</v>
      </c>
      <c r="N38" s="680">
        <f t="shared" ref="N38" si="56">SUM(N26:N37)</f>
        <v>0</v>
      </c>
      <c r="O38" s="680">
        <f t="shared" ref="O38" si="57">SUM(O26:O37)</f>
        <v>0</v>
      </c>
      <c r="P38" s="680">
        <f t="shared" ref="P38" si="58">SUM(P26:P37)</f>
        <v>0</v>
      </c>
      <c r="Q38" s="680">
        <f t="shared" ref="Q38" si="59">SUM(Q26:Q37)</f>
        <v>0</v>
      </c>
      <c r="R38" s="680">
        <f t="shared" ref="R38" si="60">SUM(R26:R37)</f>
        <v>0</v>
      </c>
      <c r="S38" s="680">
        <f t="shared" ref="S38" si="61">SUM(S26:S37)</f>
        <v>0</v>
      </c>
      <c r="U38" s="775">
        <f>SUM(U26:U37)</f>
        <v>0</v>
      </c>
      <c r="V38" s="775">
        <f>SUM(V26:V37)</f>
        <v>0</v>
      </c>
    </row>
    <row r="40" spans="2:39" x14ac:dyDescent="0.3">
      <c r="B40" s="476" t="s">
        <v>123</v>
      </c>
      <c r="C40" s="522"/>
      <c r="D40" s="3"/>
      <c r="E40" s="3"/>
      <c r="F40" s="3"/>
      <c r="G40" s="3"/>
      <c r="H40" s="3"/>
      <c r="I40" s="3"/>
      <c r="J40" s="3"/>
      <c r="K40" s="3"/>
      <c r="L40" s="3"/>
      <c r="M40" s="3"/>
      <c r="N40" s="3"/>
      <c r="O40" s="3"/>
      <c r="P40" s="3"/>
      <c r="Q40" s="3"/>
      <c r="R40" s="3"/>
      <c r="S40" s="3"/>
      <c r="X40" s="763" t="s">
        <v>99</v>
      </c>
    </row>
    <row r="41" spans="2:39" x14ac:dyDescent="0.3">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8" t="s">
        <v>105</v>
      </c>
      <c r="V41" s="768" t="s">
        <v>121</v>
      </c>
      <c r="X41" s="765" t="str">
        <f t="shared" ref="X41:AL41" si="63">D41</f>
        <v>Z01</v>
      </c>
      <c r="Y41" s="765" t="str">
        <f t="shared" si="63"/>
        <v>Z02</v>
      </c>
      <c r="Z41" s="765" t="str">
        <f t="shared" si="63"/>
        <v>Z03</v>
      </c>
      <c r="AA41" s="765" t="str">
        <f t="shared" si="63"/>
        <v>Z04</v>
      </c>
      <c r="AB41" s="765" t="str">
        <f t="shared" si="63"/>
        <v>Z05</v>
      </c>
      <c r="AC41" s="765" t="str">
        <f t="shared" si="63"/>
        <v>Z06</v>
      </c>
      <c r="AD41" s="765" t="str">
        <f t="shared" si="63"/>
        <v>Z07</v>
      </c>
      <c r="AE41" s="765" t="str">
        <f t="shared" si="63"/>
        <v>Z08</v>
      </c>
      <c r="AF41" s="765" t="str">
        <f t="shared" si="63"/>
        <v>Z09</v>
      </c>
      <c r="AG41" s="765" t="str">
        <f t="shared" si="63"/>
        <v>Z10</v>
      </c>
      <c r="AH41" s="765" t="str">
        <f t="shared" si="63"/>
        <v>Z11</v>
      </c>
      <c r="AI41" s="765" t="str">
        <f t="shared" si="63"/>
        <v>Z12</v>
      </c>
      <c r="AJ41" s="765" t="str">
        <f t="shared" si="63"/>
        <v>Z13</v>
      </c>
      <c r="AK41" s="765" t="str">
        <f t="shared" si="63"/>
        <v>Z14</v>
      </c>
      <c r="AL41" s="765" t="str">
        <f t="shared" si="63"/>
        <v>Z15</v>
      </c>
      <c r="AM41" s="765" t="s">
        <v>100</v>
      </c>
    </row>
    <row r="42" spans="2:39" x14ac:dyDescent="0.3">
      <c r="B42" s="245" t="str">
        <f>B26</f>
        <v>Biodiesel</v>
      </c>
      <c r="C42" s="286"/>
      <c r="D42" s="679">
        <f>$V42*X42</f>
        <v>0</v>
      </c>
      <c r="E42" s="679">
        <f t="shared" ref="E42:E53" si="64">$V42*Y42</f>
        <v>0</v>
      </c>
      <c r="F42" s="679">
        <f t="shared" ref="F42:F53" si="65">$V42*Z42</f>
        <v>0</v>
      </c>
      <c r="G42" s="679">
        <f t="shared" ref="G42:G53" si="66">$V42*AA42</f>
        <v>0</v>
      </c>
      <c r="H42" s="679">
        <f t="shared" ref="H42:H53" si="67">$V42*AB42</f>
        <v>0</v>
      </c>
      <c r="I42" s="679">
        <f t="shared" ref="I42:I53" si="68">$V42*AC42</f>
        <v>0</v>
      </c>
      <c r="J42" s="679">
        <f t="shared" ref="J42:J53" si="69">$V42*AD42</f>
        <v>0</v>
      </c>
      <c r="K42" s="679">
        <f t="shared" ref="K42:K53" si="70">$V42*AE42</f>
        <v>0</v>
      </c>
      <c r="L42" s="679">
        <f t="shared" ref="L42:L53" si="71">$V42*AF42</f>
        <v>0</v>
      </c>
      <c r="M42" s="679">
        <f t="shared" ref="M42:M53" si="72">$V42*AG42</f>
        <v>0</v>
      </c>
      <c r="N42" s="679">
        <f t="shared" ref="N42:N53" si="73">$V42*AH42</f>
        <v>0</v>
      </c>
      <c r="O42" s="679">
        <f t="shared" ref="O42:O53" si="74">$V42*AI42</f>
        <v>0</v>
      </c>
      <c r="P42" s="679">
        <f t="shared" ref="P42:P53" si="75">$V42*AJ42</f>
        <v>0</v>
      </c>
      <c r="Q42" s="679">
        <f t="shared" ref="Q42:Q53" si="76">$V42*AK42</f>
        <v>0</v>
      </c>
      <c r="R42" s="679">
        <f t="shared" ref="R42:R53" si="77">$V42*AL42</f>
        <v>0</v>
      </c>
      <c r="S42" s="679">
        <f t="shared" ref="S42:S53" si="78">$V42*AM42</f>
        <v>0</v>
      </c>
      <c r="U42" s="769"/>
      <c r="V42" s="778"/>
      <c r="X42" s="771">
        <f>X$6</f>
        <v>1</v>
      </c>
      <c r="Y42" s="771">
        <f t="shared" ref="Y42:AL42" si="79">Y$6</f>
        <v>0</v>
      </c>
      <c r="Z42" s="771">
        <f t="shared" si="79"/>
        <v>0</v>
      </c>
      <c r="AA42" s="771">
        <f t="shared" si="79"/>
        <v>0</v>
      </c>
      <c r="AB42" s="771">
        <f t="shared" si="79"/>
        <v>0</v>
      </c>
      <c r="AC42" s="771">
        <f t="shared" si="79"/>
        <v>0</v>
      </c>
      <c r="AD42" s="771">
        <f t="shared" si="79"/>
        <v>0</v>
      </c>
      <c r="AE42" s="771">
        <f t="shared" si="79"/>
        <v>0</v>
      </c>
      <c r="AF42" s="771">
        <f t="shared" si="79"/>
        <v>0</v>
      </c>
      <c r="AG42" s="771">
        <f t="shared" si="79"/>
        <v>0</v>
      </c>
      <c r="AH42" s="771">
        <f t="shared" si="79"/>
        <v>0</v>
      </c>
      <c r="AI42" s="771">
        <f t="shared" si="79"/>
        <v>0</v>
      </c>
      <c r="AJ42" s="771">
        <f t="shared" si="79"/>
        <v>0</v>
      </c>
      <c r="AK42" s="771">
        <f t="shared" si="79"/>
        <v>0</v>
      </c>
      <c r="AL42" s="771">
        <f t="shared" si="79"/>
        <v>0</v>
      </c>
      <c r="AM42" s="772">
        <f>SUM(X42:AI42)</f>
        <v>1</v>
      </c>
    </row>
    <row r="43" spans="2:39" x14ac:dyDescent="0.3">
      <c r="B43" s="245" t="str">
        <f t="shared" ref="B43:B53" si="80">B27</f>
        <v>Diesel</v>
      </c>
      <c r="C43" s="286"/>
      <c r="D43" s="679">
        <f t="shared" ref="D43:D53" si="81">$V43*X43</f>
        <v>0</v>
      </c>
      <c r="E43" s="679">
        <f t="shared" si="64"/>
        <v>0</v>
      </c>
      <c r="F43" s="679">
        <f t="shared" si="65"/>
        <v>0</v>
      </c>
      <c r="G43" s="679">
        <f t="shared" si="66"/>
        <v>0</v>
      </c>
      <c r="H43" s="679">
        <f t="shared" si="67"/>
        <v>0</v>
      </c>
      <c r="I43" s="679">
        <f t="shared" si="68"/>
        <v>0</v>
      </c>
      <c r="J43" s="679">
        <f t="shared" si="69"/>
        <v>0</v>
      </c>
      <c r="K43" s="679">
        <f t="shared" si="70"/>
        <v>0</v>
      </c>
      <c r="L43" s="679">
        <f t="shared" si="71"/>
        <v>0</v>
      </c>
      <c r="M43" s="679">
        <f t="shared" si="72"/>
        <v>0</v>
      </c>
      <c r="N43" s="679">
        <f t="shared" si="73"/>
        <v>0</v>
      </c>
      <c r="O43" s="679">
        <f t="shared" si="74"/>
        <v>0</v>
      </c>
      <c r="P43" s="679">
        <f t="shared" si="75"/>
        <v>0</v>
      </c>
      <c r="Q43" s="679">
        <f t="shared" si="76"/>
        <v>0</v>
      </c>
      <c r="R43" s="679">
        <f t="shared" si="77"/>
        <v>0</v>
      </c>
      <c r="S43" s="679">
        <f t="shared" si="78"/>
        <v>0</v>
      </c>
      <c r="U43" s="769"/>
      <c r="V43" s="778"/>
      <c r="X43" s="771">
        <f t="shared" ref="X43:AL53" si="82">X$6</f>
        <v>1</v>
      </c>
      <c r="Y43" s="771">
        <f t="shared" si="82"/>
        <v>0</v>
      </c>
      <c r="Z43" s="771">
        <f t="shared" si="82"/>
        <v>0</v>
      </c>
      <c r="AA43" s="771">
        <f t="shared" si="82"/>
        <v>0</v>
      </c>
      <c r="AB43" s="771">
        <f t="shared" si="82"/>
        <v>0</v>
      </c>
      <c r="AC43" s="771">
        <f t="shared" si="82"/>
        <v>0</v>
      </c>
      <c r="AD43" s="771">
        <f t="shared" si="82"/>
        <v>0</v>
      </c>
      <c r="AE43" s="771">
        <f t="shared" si="82"/>
        <v>0</v>
      </c>
      <c r="AF43" s="771">
        <f t="shared" si="82"/>
        <v>0</v>
      </c>
      <c r="AG43" s="771">
        <f t="shared" si="82"/>
        <v>0</v>
      </c>
      <c r="AH43" s="771">
        <f t="shared" si="82"/>
        <v>0</v>
      </c>
      <c r="AI43" s="771">
        <f t="shared" si="82"/>
        <v>0</v>
      </c>
      <c r="AJ43" s="771">
        <f t="shared" si="82"/>
        <v>0</v>
      </c>
      <c r="AK43" s="771">
        <f t="shared" si="82"/>
        <v>0</v>
      </c>
      <c r="AL43" s="771">
        <f t="shared" si="82"/>
        <v>0</v>
      </c>
      <c r="AM43" s="772">
        <f>SUM(X43:AI43)</f>
        <v>1</v>
      </c>
    </row>
    <row r="44" spans="2:39" x14ac:dyDescent="0.3">
      <c r="B44" s="245" t="str">
        <f t="shared" si="80"/>
        <v>Battery electric (BEV)</v>
      </c>
      <c r="C44" s="286" t="str">
        <f>T_NCAP_AF!C82</f>
        <v>TMOTELC900</v>
      </c>
      <c r="D44" s="679">
        <f t="shared" si="81"/>
        <v>0</v>
      </c>
      <c r="E44" s="679">
        <f t="shared" si="64"/>
        <v>0</v>
      </c>
      <c r="F44" s="679">
        <f t="shared" si="65"/>
        <v>0</v>
      </c>
      <c r="G44" s="679">
        <f t="shared" si="66"/>
        <v>0</v>
      </c>
      <c r="H44" s="679">
        <f t="shared" si="67"/>
        <v>0</v>
      </c>
      <c r="I44" s="679">
        <f t="shared" si="68"/>
        <v>0</v>
      </c>
      <c r="J44" s="679">
        <f t="shared" si="69"/>
        <v>0</v>
      </c>
      <c r="K44" s="679">
        <f t="shared" si="70"/>
        <v>0</v>
      </c>
      <c r="L44" s="679">
        <f t="shared" si="71"/>
        <v>0</v>
      </c>
      <c r="M44" s="679">
        <f t="shared" si="72"/>
        <v>0</v>
      </c>
      <c r="N44" s="679">
        <f t="shared" si="73"/>
        <v>0</v>
      </c>
      <c r="O44" s="679">
        <f t="shared" si="74"/>
        <v>0</v>
      </c>
      <c r="P44" s="679">
        <f t="shared" si="75"/>
        <v>0</v>
      </c>
      <c r="Q44" s="679">
        <f t="shared" si="76"/>
        <v>0</v>
      </c>
      <c r="R44" s="679">
        <f t="shared" si="77"/>
        <v>0</v>
      </c>
      <c r="S44" s="679">
        <f t="shared" si="78"/>
        <v>0</v>
      </c>
      <c r="U44" s="769"/>
      <c r="V44" s="778"/>
      <c r="X44" s="771">
        <f t="shared" si="82"/>
        <v>1</v>
      </c>
      <c r="Y44" s="771">
        <f t="shared" si="82"/>
        <v>0</v>
      </c>
      <c r="Z44" s="771">
        <f t="shared" si="82"/>
        <v>0</v>
      </c>
      <c r="AA44" s="771">
        <f t="shared" si="82"/>
        <v>0</v>
      </c>
      <c r="AB44" s="771">
        <f t="shared" si="82"/>
        <v>0</v>
      </c>
      <c r="AC44" s="771">
        <f t="shared" si="82"/>
        <v>0</v>
      </c>
      <c r="AD44" s="771">
        <f t="shared" si="82"/>
        <v>0</v>
      </c>
      <c r="AE44" s="771">
        <f t="shared" si="82"/>
        <v>0</v>
      </c>
      <c r="AF44" s="771">
        <f t="shared" si="82"/>
        <v>0</v>
      </c>
      <c r="AG44" s="771">
        <f t="shared" si="82"/>
        <v>0</v>
      </c>
      <c r="AH44" s="771">
        <f t="shared" si="82"/>
        <v>0</v>
      </c>
      <c r="AI44" s="771">
        <f t="shared" si="82"/>
        <v>0</v>
      </c>
      <c r="AJ44" s="771">
        <f t="shared" si="82"/>
        <v>0</v>
      </c>
      <c r="AK44" s="771">
        <f t="shared" si="82"/>
        <v>0</v>
      </c>
      <c r="AL44" s="771">
        <f t="shared" si="82"/>
        <v>0</v>
      </c>
      <c r="AM44" s="772">
        <f t="shared" ref="AM44:AM52" si="83">SUM(X44:AI44)</f>
        <v>1</v>
      </c>
    </row>
    <row r="45" spans="2:39" x14ac:dyDescent="0.3">
      <c r="B45" s="245" t="str">
        <f t="shared" si="80"/>
        <v>Ethanol</v>
      </c>
      <c r="C45" s="286"/>
      <c r="D45" s="679">
        <f t="shared" si="81"/>
        <v>0</v>
      </c>
      <c r="E45" s="679">
        <f t="shared" si="64"/>
        <v>0</v>
      </c>
      <c r="F45" s="679">
        <f t="shared" si="65"/>
        <v>0</v>
      </c>
      <c r="G45" s="679">
        <f t="shared" si="66"/>
        <v>0</v>
      </c>
      <c r="H45" s="679">
        <f t="shared" si="67"/>
        <v>0</v>
      </c>
      <c r="I45" s="679">
        <f t="shared" si="68"/>
        <v>0</v>
      </c>
      <c r="J45" s="679">
        <f t="shared" si="69"/>
        <v>0</v>
      </c>
      <c r="K45" s="679">
        <f t="shared" si="70"/>
        <v>0</v>
      </c>
      <c r="L45" s="679">
        <f t="shared" si="71"/>
        <v>0</v>
      </c>
      <c r="M45" s="679">
        <f t="shared" si="72"/>
        <v>0</v>
      </c>
      <c r="N45" s="679">
        <f t="shared" si="73"/>
        <v>0</v>
      </c>
      <c r="O45" s="679">
        <f t="shared" si="74"/>
        <v>0</v>
      </c>
      <c r="P45" s="679">
        <f t="shared" si="75"/>
        <v>0</v>
      </c>
      <c r="Q45" s="679">
        <f t="shared" si="76"/>
        <v>0</v>
      </c>
      <c r="R45" s="679">
        <f t="shared" si="77"/>
        <v>0</v>
      </c>
      <c r="S45" s="679">
        <f t="shared" si="78"/>
        <v>0</v>
      </c>
      <c r="U45" s="769"/>
      <c r="V45" s="778"/>
      <c r="X45" s="771">
        <f t="shared" si="82"/>
        <v>1</v>
      </c>
      <c r="Y45" s="771">
        <f t="shared" si="82"/>
        <v>0</v>
      </c>
      <c r="Z45" s="771">
        <f t="shared" si="82"/>
        <v>0</v>
      </c>
      <c r="AA45" s="771">
        <f t="shared" si="82"/>
        <v>0</v>
      </c>
      <c r="AB45" s="771">
        <f t="shared" si="82"/>
        <v>0</v>
      </c>
      <c r="AC45" s="771">
        <f t="shared" si="82"/>
        <v>0</v>
      </c>
      <c r="AD45" s="771">
        <f t="shared" si="82"/>
        <v>0</v>
      </c>
      <c r="AE45" s="771">
        <f t="shared" si="82"/>
        <v>0</v>
      </c>
      <c r="AF45" s="771">
        <f t="shared" si="82"/>
        <v>0</v>
      </c>
      <c r="AG45" s="771">
        <f t="shared" si="82"/>
        <v>0</v>
      </c>
      <c r="AH45" s="771">
        <f t="shared" si="82"/>
        <v>0</v>
      </c>
      <c r="AI45" s="771">
        <f t="shared" si="82"/>
        <v>0</v>
      </c>
      <c r="AJ45" s="771">
        <f t="shared" si="82"/>
        <v>0</v>
      </c>
      <c r="AK45" s="771">
        <f t="shared" si="82"/>
        <v>0</v>
      </c>
      <c r="AL45" s="771">
        <f t="shared" si="82"/>
        <v>0</v>
      </c>
      <c r="AM45" s="772">
        <f t="shared" si="83"/>
        <v>1</v>
      </c>
    </row>
    <row r="46" spans="2:39" x14ac:dyDescent="0.3">
      <c r="B46" s="245" t="str">
        <f t="shared" si="80"/>
        <v>Gas (CNG)</v>
      </c>
      <c r="C46" s="286"/>
      <c r="D46" s="679">
        <f t="shared" si="81"/>
        <v>0</v>
      </c>
      <c r="E46" s="679">
        <f t="shared" si="64"/>
        <v>0</v>
      </c>
      <c r="F46" s="679">
        <f t="shared" si="65"/>
        <v>0</v>
      </c>
      <c r="G46" s="679">
        <f t="shared" si="66"/>
        <v>0</v>
      </c>
      <c r="H46" s="679">
        <f t="shared" si="67"/>
        <v>0</v>
      </c>
      <c r="I46" s="679">
        <f t="shared" si="68"/>
        <v>0</v>
      </c>
      <c r="J46" s="679">
        <f t="shared" si="69"/>
        <v>0</v>
      </c>
      <c r="K46" s="679">
        <f t="shared" si="70"/>
        <v>0</v>
      </c>
      <c r="L46" s="679">
        <f t="shared" si="71"/>
        <v>0</v>
      </c>
      <c r="M46" s="679">
        <f t="shared" si="72"/>
        <v>0</v>
      </c>
      <c r="N46" s="679">
        <f t="shared" si="73"/>
        <v>0</v>
      </c>
      <c r="O46" s="679">
        <f t="shared" si="74"/>
        <v>0</v>
      </c>
      <c r="P46" s="679">
        <f t="shared" si="75"/>
        <v>0</v>
      </c>
      <c r="Q46" s="679">
        <f t="shared" si="76"/>
        <v>0</v>
      </c>
      <c r="R46" s="679">
        <f t="shared" si="77"/>
        <v>0</v>
      </c>
      <c r="S46" s="679">
        <f t="shared" si="78"/>
        <v>0</v>
      </c>
      <c r="U46" s="769"/>
      <c r="V46" s="778"/>
      <c r="X46" s="771">
        <f t="shared" si="82"/>
        <v>1</v>
      </c>
      <c r="Y46" s="771">
        <f t="shared" si="82"/>
        <v>0</v>
      </c>
      <c r="Z46" s="771">
        <f t="shared" si="82"/>
        <v>0</v>
      </c>
      <c r="AA46" s="771">
        <f t="shared" si="82"/>
        <v>0</v>
      </c>
      <c r="AB46" s="771">
        <f t="shared" si="82"/>
        <v>0</v>
      </c>
      <c r="AC46" s="771">
        <f t="shared" si="82"/>
        <v>0</v>
      </c>
      <c r="AD46" s="771">
        <f t="shared" si="82"/>
        <v>0</v>
      </c>
      <c r="AE46" s="771">
        <f t="shared" si="82"/>
        <v>0</v>
      </c>
      <c r="AF46" s="771">
        <f t="shared" si="82"/>
        <v>0</v>
      </c>
      <c r="AG46" s="771">
        <f t="shared" si="82"/>
        <v>0</v>
      </c>
      <c r="AH46" s="771">
        <f t="shared" si="82"/>
        <v>0</v>
      </c>
      <c r="AI46" s="771">
        <f t="shared" si="82"/>
        <v>0</v>
      </c>
      <c r="AJ46" s="771">
        <f t="shared" si="82"/>
        <v>0</v>
      </c>
      <c r="AK46" s="771">
        <f t="shared" si="82"/>
        <v>0</v>
      </c>
      <c r="AL46" s="771">
        <f t="shared" si="82"/>
        <v>0</v>
      </c>
      <c r="AM46" s="772">
        <f t="shared" si="83"/>
        <v>1</v>
      </c>
    </row>
    <row r="47" spans="2:39" x14ac:dyDescent="0.3">
      <c r="B47" s="245" t="str">
        <f t="shared" si="80"/>
        <v>Gasoline</v>
      </c>
      <c r="C47" s="286" t="str">
        <f>T_NCAP_AF!C85</f>
        <v>TMOTGSL900</v>
      </c>
      <c r="D47" s="679">
        <f>$V47*X47</f>
        <v>0</v>
      </c>
      <c r="E47" s="679">
        <f t="shared" si="64"/>
        <v>0</v>
      </c>
      <c r="F47" s="679">
        <f t="shared" si="65"/>
        <v>0</v>
      </c>
      <c r="G47" s="679">
        <f t="shared" si="66"/>
        <v>0</v>
      </c>
      <c r="H47" s="679">
        <f t="shared" si="67"/>
        <v>0</v>
      </c>
      <c r="I47" s="679">
        <f t="shared" si="68"/>
        <v>0</v>
      </c>
      <c r="J47" s="679">
        <f t="shared" si="69"/>
        <v>0</v>
      </c>
      <c r="K47" s="679">
        <f t="shared" si="70"/>
        <v>0</v>
      </c>
      <c r="L47" s="679">
        <f t="shared" si="71"/>
        <v>0</v>
      </c>
      <c r="M47" s="679">
        <f t="shared" si="72"/>
        <v>0</v>
      </c>
      <c r="N47" s="679">
        <f t="shared" si="73"/>
        <v>0</v>
      </c>
      <c r="O47" s="679">
        <f t="shared" si="74"/>
        <v>0</v>
      </c>
      <c r="P47" s="679">
        <f t="shared" si="75"/>
        <v>0</v>
      </c>
      <c r="Q47" s="679">
        <f t="shared" si="76"/>
        <v>0</v>
      </c>
      <c r="R47" s="679">
        <f t="shared" si="77"/>
        <v>0</v>
      </c>
      <c r="S47" s="679">
        <f t="shared" si="78"/>
        <v>0</v>
      </c>
      <c r="U47" s="769"/>
      <c r="V47" s="778"/>
      <c r="X47" s="771">
        <f t="shared" si="82"/>
        <v>1</v>
      </c>
      <c r="Y47" s="771">
        <f t="shared" si="82"/>
        <v>0</v>
      </c>
      <c r="Z47" s="771">
        <f t="shared" si="82"/>
        <v>0</v>
      </c>
      <c r="AA47" s="771">
        <f t="shared" si="82"/>
        <v>0</v>
      </c>
      <c r="AB47" s="771">
        <f t="shared" si="82"/>
        <v>0</v>
      </c>
      <c r="AC47" s="771">
        <f t="shared" si="82"/>
        <v>0</v>
      </c>
      <c r="AD47" s="771">
        <f t="shared" si="82"/>
        <v>0</v>
      </c>
      <c r="AE47" s="771">
        <f t="shared" si="82"/>
        <v>0</v>
      </c>
      <c r="AF47" s="771">
        <f t="shared" si="82"/>
        <v>0</v>
      </c>
      <c r="AG47" s="771">
        <f t="shared" si="82"/>
        <v>0</v>
      </c>
      <c r="AH47" s="771">
        <f t="shared" si="82"/>
        <v>0</v>
      </c>
      <c r="AI47" s="771">
        <f t="shared" si="82"/>
        <v>0</v>
      </c>
      <c r="AJ47" s="771">
        <f t="shared" si="82"/>
        <v>0</v>
      </c>
      <c r="AK47" s="771">
        <f t="shared" si="82"/>
        <v>0</v>
      </c>
      <c r="AL47" s="771">
        <f t="shared" si="82"/>
        <v>0</v>
      </c>
      <c r="AM47" s="772">
        <f t="shared" si="83"/>
        <v>1</v>
      </c>
    </row>
    <row r="48" spans="2:39" x14ac:dyDescent="0.3">
      <c r="B48" s="245" t="str">
        <f t="shared" si="80"/>
        <v>Hybrid Electric - diesel</v>
      </c>
      <c r="C48" s="286"/>
      <c r="D48" s="679">
        <f t="shared" si="81"/>
        <v>0</v>
      </c>
      <c r="E48" s="679">
        <f t="shared" si="64"/>
        <v>0</v>
      </c>
      <c r="F48" s="679">
        <f t="shared" si="65"/>
        <v>0</v>
      </c>
      <c r="G48" s="679">
        <f t="shared" si="66"/>
        <v>0</v>
      </c>
      <c r="H48" s="679">
        <f t="shared" si="67"/>
        <v>0</v>
      </c>
      <c r="I48" s="679">
        <f t="shared" si="68"/>
        <v>0</v>
      </c>
      <c r="J48" s="679">
        <f t="shared" si="69"/>
        <v>0</v>
      </c>
      <c r="K48" s="679">
        <f t="shared" si="70"/>
        <v>0</v>
      </c>
      <c r="L48" s="679">
        <f t="shared" si="71"/>
        <v>0</v>
      </c>
      <c r="M48" s="679">
        <f t="shared" si="72"/>
        <v>0</v>
      </c>
      <c r="N48" s="679">
        <f t="shared" si="73"/>
        <v>0</v>
      </c>
      <c r="O48" s="679">
        <f t="shared" si="74"/>
        <v>0</v>
      </c>
      <c r="P48" s="679">
        <f t="shared" si="75"/>
        <v>0</v>
      </c>
      <c r="Q48" s="679">
        <f t="shared" si="76"/>
        <v>0</v>
      </c>
      <c r="R48" s="679">
        <f t="shared" si="77"/>
        <v>0</v>
      </c>
      <c r="S48" s="679">
        <f t="shared" si="78"/>
        <v>0</v>
      </c>
      <c r="U48" s="769"/>
      <c r="V48" s="778"/>
      <c r="X48" s="771">
        <f t="shared" si="82"/>
        <v>1</v>
      </c>
      <c r="Y48" s="771">
        <f t="shared" si="82"/>
        <v>0</v>
      </c>
      <c r="Z48" s="771">
        <f t="shared" si="82"/>
        <v>0</v>
      </c>
      <c r="AA48" s="771">
        <f t="shared" si="82"/>
        <v>0</v>
      </c>
      <c r="AB48" s="771">
        <f t="shared" si="82"/>
        <v>0</v>
      </c>
      <c r="AC48" s="771">
        <f t="shared" si="82"/>
        <v>0</v>
      </c>
      <c r="AD48" s="771">
        <f t="shared" si="82"/>
        <v>0</v>
      </c>
      <c r="AE48" s="771">
        <f t="shared" si="82"/>
        <v>0</v>
      </c>
      <c r="AF48" s="771">
        <f t="shared" si="82"/>
        <v>0</v>
      </c>
      <c r="AG48" s="771">
        <f t="shared" si="82"/>
        <v>0</v>
      </c>
      <c r="AH48" s="771">
        <f t="shared" si="82"/>
        <v>0</v>
      </c>
      <c r="AI48" s="771">
        <f t="shared" si="82"/>
        <v>0</v>
      </c>
      <c r="AJ48" s="771">
        <f t="shared" si="82"/>
        <v>0</v>
      </c>
      <c r="AK48" s="771">
        <f t="shared" si="82"/>
        <v>0</v>
      </c>
      <c r="AL48" s="771">
        <f t="shared" si="82"/>
        <v>0</v>
      </c>
      <c r="AM48" s="772">
        <f t="shared" si="83"/>
        <v>1</v>
      </c>
    </row>
    <row r="49" spans="2:39" x14ac:dyDescent="0.3">
      <c r="B49" s="245" t="str">
        <f t="shared" si="80"/>
        <v>Hybrid Electric - gasoline</v>
      </c>
      <c r="C49" s="286"/>
      <c r="D49" s="679">
        <f t="shared" si="81"/>
        <v>0</v>
      </c>
      <c r="E49" s="679">
        <f t="shared" si="64"/>
        <v>0</v>
      </c>
      <c r="F49" s="679">
        <f t="shared" si="65"/>
        <v>0</v>
      </c>
      <c r="G49" s="679">
        <f t="shared" si="66"/>
        <v>0</v>
      </c>
      <c r="H49" s="679">
        <f t="shared" si="67"/>
        <v>0</v>
      </c>
      <c r="I49" s="679">
        <f t="shared" si="68"/>
        <v>0</v>
      </c>
      <c r="J49" s="679">
        <f t="shared" si="69"/>
        <v>0</v>
      </c>
      <c r="K49" s="679">
        <f t="shared" si="70"/>
        <v>0</v>
      </c>
      <c r="L49" s="679">
        <f t="shared" si="71"/>
        <v>0</v>
      </c>
      <c r="M49" s="679">
        <f t="shared" si="72"/>
        <v>0</v>
      </c>
      <c r="N49" s="679">
        <f t="shared" si="73"/>
        <v>0</v>
      </c>
      <c r="O49" s="679">
        <f t="shared" si="74"/>
        <v>0</v>
      </c>
      <c r="P49" s="679">
        <f t="shared" si="75"/>
        <v>0</v>
      </c>
      <c r="Q49" s="679">
        <f t="shared" si="76"/>
        <v>0</v>
      </c>
      <c r="R49" s="679">
        <f t="shared" si="77"/>
        <v>0</v>
      </c>
      <c r="S49" s="679">
        <f t="shared" si="78"/>
        <v>0</v>
      </c>
      <c r="U49" s="769"/>
      <c r="V49" s="778"/>
      <c r="X49" s="771">
        <f t="shared" si="82"/>
        <v>1</v>
      </c>
      <c r="Y49" s="771">
        <f t="shared" si="82"/>
        <v>0</v>
      </c>
      <c r="Z49" s="771">
        <f t="shared" si="82"/>
        <v>0</v>
      </c>
      <c r="AA49" s="771">
        <f t="shared" si="82"/>
        <v>0</v>
      </c>
      <c r="AB49" s="771">
        <f t="shared" si="82"/>
        <v>0</v>
      </c>
      <c r="AC49" s="771">
        <f t="shared" si="82"/>
        <v>0</v>
      </c>
      <c r="AD49" s="771">
        <f t="shared" si="82"/>
        <v>0</v>
      </c>
      <c r="AE49" s="771">
        <f t="shared" si="82"/>
        <v>0</v>
      </c>
      <c r="AF49" s="771">
        <f t="shared" si="82"/>
        <v>0</v>
      </c>
      <c r="AG49" s="771">
        <f t="shared" si="82"/>
        <v>0</v>
      </c>
      <c r="AH49" s="771">
        <f t="shared" si="82"/>
        <v>0</v>
      </c>
      <c r="AI49" s="771">
        <f t="shared" si="82"/>
        <v>0</v>
      </c>
      <c r="AJ49" s="771">
        <f t="shared" si="82"/>
        <v>0</v>
      </c>
      <c r="AK49" s="771">
        <f t="shared" si="82"/>
        <v>0</v>
      </c>
      <c r="AL49" s="771">
        <f t="shared" si="82"/>
        <v>0</v>
      </c>
      <c r="AM49" s="772">
        <f t="shared" si="83"/>
        <v>1</v>
      </c>
    </row>
    <row r="50" spans="2:39" x14ac:dyDescent="0.3">
      <c r="B50" s="245" t="str">
        <f t="shared" si="80"/>
        <v>LPG</v>
      </c>
      <c r="C50" s="286"/>
      <c r="D50" s="679">
        <f t="shared" si="81"/>
        <v>0</v>
      </c>
      <c r="E50" s="679">
        <f t="shared" si="64"/>
        <v>0</v>
      </c>
      <c r="F50" s="679">
        <f t="shared" si="65"/>
        <v>0</v>
      </c>
      <c r="G50" s="679">
        <f t="shared" si="66"/>
        <v>0</v>
      </c>
      <c r="H50" s="679">
        <f t="shared" si="67"/>
        <v>0</v>
      </c>
      <c r="I50" s="679">
        <f t="shared" si="68"/>
        <v>0</v>
      </c>
      <c r="J50" s="679">
        <f t="shared" si="69"/>
        <v>0</v>
      </c>
      <c r="K50" s="679">
        <f t="shared" si="70"/>
        <v>0</v>
      </c>
      <c r="L50" s="679">
        <f t="shared" si="71"/>
        <v>0</v>
      </c>
      <c r="M50" s="679">
        <f t="shared" si="72"/>
        <v>0</v>
      </c>
      <c r="N50" s="679">
        <f t="shared" si="73"/>
        <v>0</v>
      </c>
      <c r="O50" s="679">
        <f t="shared" si="74"/>
        <v>0</v>
      </c>
      <c r="P50" s="679">
        <f t="shared" si="75"/>
        <v>0</v>
      </c>
      <c r="Q50" s="679">
        <f t="shared" si="76"/>
        <v>0</v>
      </c>
      <c r="R50" s="679">
        <f t="shared" si="77"/>
        <v>0</v>
      </c>
      <c r="S50" s="679">
        <f t="shared" si="78"/>
        <v>0</v>
      </c>
      <c r="U50" s="769"/>
      <c r="V50" s="778"/>
      <c r="X50" s="771">
        <f t="shared" si="82"/>
        <v>1</v>
      </c>
      <c r="Y50" s="771">
        <f t="shared" si="82"/>
        <v>0</v>
      </c>
      <c r="Z50" s="771">
        <f t="shared" si="82"/>
        <v>0</v>
      </c>
      <c r="AA50" s="771">
        <f t="shared" si="82"/>
        <v>0</v>
      </c>
      <c r="AB50" s="771">
        <f t="shared" si="82"/>
        <v>0</v>
      </c>
      <c r="AC50" s="771">
        <f t="shared" si="82"/>
        <v>0</v>
      </c>
      <c r="AD50" s="771">
        <f t="shared" si="82"/>
        <v>0</v>
      </c>
      <c r="AE50" s="771">
        <f t="shared" si="82"/>
        <v>0</v>
      </c>
      <c r="AF50" s="771">
        <f t="shared" si="82"/>
        <v>0</v>
      </c>
      <c r="AG50" s="771">
        <f t="shared" si="82"/>
        <v>0</v>
      </c>
      <c r="AH50" s="771">
        <f t="shared" si="82"/>
        <v>0</v>
      </c>
      <c r="AI50" s="771">
        <f t="shared" si="82"/>
        <v>0</v>
      </c>
      <c r="AJ50" s="771">
        <f t="shared" si="82"/>
        <v>0</v>
      </c>
      <c r="AK50" s="771">
        <f t="shared" si="82"/>
        <v>0</v>
      </c>
      <c r="AL50" s="771">
        <f t="shared" si="82"/>
        <v>0</v>
      </c>
      <c r="AM50" s="772">
        <f t="shared" si="83"/>
        <v>1</v>
      </c>
    </row>
    <row r="51" spans="2:39" x14ac:dyDescent="0.3">
      <c r="B51" s="245" t="str">
        <f t="shared" si="80"/>
        <v>Plugin Hybrid Electric - diesel</v>
      </c>
      <c r="C51" s="286"/>
      <c r="D51" s="679">
        <f t="shared" si="81"/>
        <v>0</v>
      </c>
      <c r="E51" s="679">
        <f t="shared" si="64"/>
        <v>0</v>
      </c>
      <c r="F51" s="679">
        <f t="shared" si="65"/>
        <v>0</v>
      </c>
      <c r="G51" s="679">
        <f t="shared" si="66"/>
        <v>0</v>
      </c>
      <c r="H51" s="679">
        <f t="shared" si="67"/>
        <v>0</v>
      </c>
      <c r="I51" s="679">
        <f t="shared" si="68"/>
        <v>0</v>
      </c>
      <c r="J51" s="679">
        <f t="shared" si="69"/>
        <v>0</v>
      </c>
      <c r="K51" s="679">
        <f t="shared" si="70"/>
        <v>0</v>
      </c>
      <c r="L51" s="679">
        <f t="shared" si="71"/>
        <v>0</v>
      </c>
      <c r="M51" s="679">
        <f t="shared" si="72"/>
        <v>0</v>
      </c>
      <c r="N51" s="679">
        <f t="shared" si="73"/>
        <v>0</v>
      </c>
      <c r="O51" s="679">
        <f t="shared" si="74"/>
        <v>0</v>
      </c>
      <c r="P51" s="679">
        <f t="shared" si="75"/>
        <v>0</v>
      </c>
      <c r="Q51" s="679">
        <f t="shared" si="76"/>
        <v>0</v>
      </c>
      <c r="R51" s="679">
        <f t="shared" si="77"/>
        <v>0</v>
      </c>
      <c r="S51" s="679">
        <f t="shared" si="78"/>
        <v>0</v>
      </c>
      <c r="U51" s="769"/>
      <c r="V51" s="778"/>
      <c r="X51" s="771">
        <f t="shared" si="82"/>
        <v>1</v>
      </c>
      <c r="Y51" s="771">
        <f t="shared" si="82"/>
        <v>0</v>
      </c>
      <c r="Z51" s="771">
        <f t="shared" si="82"/>
        <v>0</v>
      </c>
      <c r="AA51" s="771">
        <f t="shared" si="82"/>
        <v>0</v>
      </c>
      <c r="AB51" s="771">
        <f t="shared" si="82"/>
        <v>0</v>
      </c>
      <c r="AC51" s="771">
        <f t="shared" si="82"/>
        <v>0</v>
      </c>
      <c r="AD51" s="771">
        <f t="shared" si="82"/>
        <v>0</v>
      </c>
      <c r="AE51" s="771">
        <f t="shared" si="82"/>
        <v>0</v>
      </c>
      <c r="AF51" s="771">
        <f t="shared" si="82"/>
        <v>0</v>
      </c>
      <c r="AG51" s="771">
        <f t="shared" si="82"/>
        <v>0</v>
      </c>
      <c r="AH51" s="771">
        <f t="shared" si="82"/>
        <v>0</v>
      </c>
      <c r="AI51" s="771">
        <f t="shared" si="82"/>
        <v>0</v>
      </c>
      <c r="AJ51" s="771">
        <f t="shared" si="82"/>
        <v>0</v>
      </c>
      <c r="AK51" s="771">
        <f t="shared" si="82"/>
        <v>0</v>
      </c>
      <c r="AL51" s="771">
        <f t="shared" si="82"/>
        <v>0</v>
      </c>
      <c r="AM51" s="772">
        <f t="shared" si="83"/>
        <v>1</v>
      </c>
    </row>
    <row r="52" spans="2:39" x14ac:dyDescent="0.3">
      <c r="B52" s="245" t="str">
        <f t="shared" si="80"/>
        <v>Plugin Hybrid Electric - gasoline</v>
      </c>
      <c r="C52" s="286"/>
      <c r="D52" s="679">
        <f t="shared" si="81"/>
        <v>0</v>
      </c>
      <c r="E52" s="679">
        <f t="shared" si="64"/>
        <v>0</v>
      </c>
      <c r="F52" s="679">
        <f t="shared" si="65"/>
        <v>0</v>
      </c>
      <c r="G52" s="679">
        <f t="shared" si="66"/>
        <v>0</v>
      </c>
      <c r="H52" s="679">
        <f t="shared" si="67"/>
        <v>0</v>
      </c>
      <c r="I52" s="679">
        <f t="shared" si="68"/>
        <v>0</v>
      </c>
      <c r="J52" s="679">
        <f t="shared" si="69"/>
        <v>0</v>
      </c>
      <c r="K52" s="679">
        <f t="shared" si="70"/>
        <v>0</v>
      </c>
      <c r="L52" s="679">
        <f t="shared" si="71"/>
        <v>0</v>
      </c>
      <c r="M52" s="679">
        <f t="shared" si="72"/>
        <v>0</v>
      </c>
      <c r="N52" s="679">
        <f t="shared" si="73"/>
        <v>0</v>
      </c>
      <c r="O52" s="679">
        <f t="shared" si="74"/>
        <v>0</v>
      </c>
      <c r="P52" s="679">
        <f t="shared" si="75"/>
        <v>0</v>
      </c>
      <c r="Q52" s="679">
        <f t="shared" si="76"/>
        <v>0</v>
      </c>
      <c r="R52" s="679">
        <f t="shared" si="77"/>
        <v>0</v>
      </c>
      <c r="S52" s="679">
        <f t="shared" si="78"/>
        <v>0</v>
      </c>
      <c r="U52" s="769"/>
      <c r="V52" s="778"/>
      <c r="X52" s="771">
        <f t="shared" si="82"/>
        <v>1</v>
      </c>
      <c r="Y52" s="771">
        <f t="shared" si="82"/>
        <v>0</v>
      </c>
      <c r="Z52" s="771">
        <f t="shared" si="82"/>
        <v>0</v>
      </c>
      <c r="AA52" s="771">
        <f t="shared" si="82"/>
        <v>0</v>
      </c>
      <c r="AB52" s="771">
        <f t="shared" si="82"/>
        <v>0</v>
      </c>
      <c r="AC52" s="771">
        <f t="shared" si="82"/>
        <v>0</v>
      </c>
      <c r="AD52" s="771">
        <f t="shared" si="82"/>
        <v>0</v>
      </c>
      <c r="AE52" s="771">
        <f t="shared" si="82"/>
        <v>0</v>
      </c>
      <c r="AF52" s="771">
        <f t="shared" si="82"/>
        <v>0</v>
      </c>
      <c r="AG52" s="771">
        <f t="shared" si="82"/>
        <v>0</v>
      </c>
      <c r="AH52" s="771">
        <f t="shared" si="82"/>
        <v>0</v>
      </c>
      <c r="AI52" s="771">
        <f t="shared" si="82"/>
        <v>0</v>
      </c>
      <c r="AJ52" s="771">
        <f t="shared" si="82"/>
        <v>0</v>
      </c>
      <c r="AK52" s="771">
        <f t="shared" si="82"/>
        <v>0</v>
      </c>
      <c r="AL52" s="771">
        <f t="shared" si="82"/>
        <v>0</v>
      </c>
      <c r="AM52" s="772">
        <f t="shared" si="83"/>
        <v>1</v>
      </c>
    </row>
    <row r="53" spans="2:39" x14ac:dyDescent="0.3">
      <c r="B53" s="250" t="str">
        <f t="shared" si="80"/>
        <v>Other</v>
      </c>
      <c r="C53" s="523"/>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79"/>
      <c r="V53" s="780"/>
      <c r="X53" s="771">
        <f t="shared" si="82"/>
        <v>1</v>
      </c>
      <c r="Y53" s="771">
        <f t="shared" si="82"/>
        <v>0</v>
      </c>
      <c r="Z53" s="771">
        <f t="shared" si="82"/>
        <v>0</v>
      </c>
      <c r="AA53" s="771">
        <f t="shared" si="82"/>
        <v>0</v>
      </c>
      <c r="AB53" s="771">
        <f t="shared" si="82"/>
        <v>0</v>
      </c>
      <c r="AC53" s="771">
        <f t="shared" si="82"/>
        <v>0</v>
      </c>
      <c r="AD53" s="771">
        <f>AD$6</f>
        <v>0</v>
      </c>
      <c r="AE53" s="771">
        <f t="shared" si="82"/>
        <v>0</v>
      </c>
      <c r="AF53" s="771">
        <f t="shared" si="82"/>
        <v>0</v>
      </c>
      <c r="AG53" s="771">
        <f t="shared" si="82"/>
        <v>0</v>
      </c>
      <c r="AH53" s="771">
        <f t="shared" si="82"/>
        <v>0</v>
      </c>
      <c r="AI53" s="771">
        <f t="shared" si="82"/>
        <v>0</v>
      </c>
      <c r="AJ53" s="771">
        <f t="shared" si="82"/>
        <v>0</v>
      </c>
      <c r="AK53" s="771">
        <f t="shared" si="82"/>
        <v>0</v>
      </c>
      <c r="AL53" s="771">
        <f t="shared" si="82"/>
        <v>0</v>
      </c>
      <c r="AM53" s="772">
        <f t="shared" ref="AM53" si="84">SUM(X53:AI53)</f>
        <v>1</v>
      </c>
    </row>
    <row r="54" spans="2:39" x14ac:dyDescent="0.3">
      <c r="B54" s="131" t="s">
        <v>119</v>
      </c>
      <c r="C54" s="524"/>
      <c r="D54" s="680">
        <f>SUM(D42:D53)</f>
        <v>0</v>
      </c>
      <c r="E54" s="680">
        <f t="shared" ref="E54" si="85">SUM(E42:E53)</f>
        <v>0</v>
      </c>
      <c r="F54" s="680">
        <f t="shared" ref="F54" si="86">SUM(F42:F53)</f>
        <v>0</v>
      </c>
      <c r="G54" s="680">
        <f t="shared" ref="G54" si="87">SUM(G42:G53)</f>
        <v>0</v>
      </c>
      <c r="H54" s="680">
        <f t="shared" ref="H54" si="88">SUM(H42:H53)</f>
        <v>0</v>
      </c>
      <c r="I54" s="680">
        <f t="shared" ref="I54" si="89">SUM(I42:I53)</f>
        <v>0</v>
      </c>
      <c r="J54" s="680">
        <f t="shared" ref="J54" si="90">SUM(J42:J53)</f>
        <v>0</v>
      </c>
      <c r="K54" s="680">
        <f t="shared" ref="K54" si="91">SUM(K42:K53)</f>
        <v>0</v>
      </c>
      <c r="L54" s="680">
        <f t="shared" ref="L54" si="92">SUM(L42:L53)</f>
        <v>0</v>
      </c>
      <c r="M54" s="680">
        <f t="shared" ref="M54" si="93">SUM(M42:M53)</f>
        <v>0</v>
      </c>
      <c r="N54" s="680">
        <f t="shared" ref="N54" si="94">SUM(N42:N53)</f>
        <v>0</v>
      </c>
      <c r="O54" s="680">
        <f t="shared" ref="O54" si="95">SUM(O42:O53)</f>
        <v>0</v>
      </c>
      <c r="P54" s="680">
        <f t="shared" ref="P54" si="96">SUM(P42:P53)</f>
        <v>0</v>
      </c>
      <c r="Q54" s="680">
        <f t="shared" ref="Q54" si="97">SUM(Q42:Q53)</f>
        <v>0</v>
      </c>
      <c r="R54" s="680">
        <f t="shared" ref="R54" si="98">SUM(R42:R53)</f>
        <v>0</v>
      </c>
      <c r="S54" s="680">
        <f t="shared" ref="S54" si="99">SUM(S42:S53)</f>
        <v>0</v>
      </c>
      <c r="U54" s="775">
        <f>SUM(U42:U53)</f>
        <v>0</v>
      </c>
      <c r="V54" s="781">
        <f>SUM(V42:V52)</f>
        <v>0</v>
      </c>
      <c r="X54" s="782"/>
      <c r="Y54" s="782"/>
      <c r="Z54" s="782"/>
      <c r="AA54" s="782"/>
      <c r="AB54" s="782"/>
      <c r="AC54" s="782"/>
      <c r="AD54" s="782"/>
      <c r="AE54" s="782"/>
      <c r="AF54" s="782"/>
      <c r="AG54" s="782"/>
      <c r="AH54" s="782"/>
    </row>
    <row r="56" spans="2:39" s="478" customFormat="1" x14ac:dyDescent="0.3">
      <c r="B56" s="476" t="s">
        <v>124</v>
      </c>
      <c r="C56" s="522"/>
      <c r="U56" s="759"/>
      <c r="V56" s="758"/>
      <c r="W56" s="759"/>
      <c r="X56" s="763" t="s">
        <v>99</v>
      </c>
      <c r="Y56" s="783"/>
      <c r="Z56" s="783"/>
      <c r="AA56" s="783"/>
      <c r="AB56" s="783"/>
      <c r="AC56" s="783"/>
      <c r="AD56" s="783"/>
      <c r="AE56" s="759"/>
      <c r="AF56" s="759"/>
      <c r="AG56" s="759"/>
      <c r="AH56" s="759"/>
      <c r="AI56" s="759"/>
      <c r="AJ56" s="759"/>
      <c r="AK56" s="759"/>
      <c r="AL56" s="759"/>
      <c r="AM56" s="759"/>
    </row>
    <row r="57" spans="2:39" s="478" customFormat="1" x14ac:dyDescent="0.3">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8" t="str">
        <f>U$9</f>
        <v>TOTAL stock</v>
      </c>
      <c r="V57" s="768" t="str">
        <f>V$9</f>
        <v>City vehicles</v>
      </c>
      <c r="W57" s="759"/>
      <c r="X57" s="765" t="str">
        <f t="shared" ref="X57:AL57" si="101">D57</f>
        <v>Z01</v>
      </c>
      <c r="Y57" s="765" t="str">
        <f t="shared" si="101"/>
        <v>Z02</v>
      </c>
      <c r="Z57" s="765" t="str">
        <f t="shared" si="101"/>
        <v>Z03</v>
      </c>
      <c r="AA57" s="765" t="str">
        <f t="shared" si="101"/>
        <v>Z04</v>
      </c>
      <c r="AB57" s="765" t="str">
        <f t="shared" si="101"/>
        <v>Z05</v>
      </c>
      <c r="AC57" s="765" t="str">
        <f t="shared" si="101"/>
        <v>Z06</v>
      </c>
      <c r="AD57" s="765" t="str">
        <f t="shared" si="101"/>
        <v>Z07</v>
      </c>
      <c r="AE57" s="765" t="str">
        <f t="shared" si="101"/>
        <v>Z08</v>
      </c>
      <c r="AF57" s="765" t="str">
        <f t="shared" si="101"/>
        <v>Z09</v>
      </c>
      <c r="AG57" s="765" t="str">
        <f t="shared" si="101"/>
        <v>Z10</v>
      </c>
      <c r="AH57" s="765" t="str">
        <f t="shared" si="101"/>
        <v>Z11</v>
      </c>
      <c r="AI57" s="765" t="str">
        <f t="shared" si="101"/>
        <v>Z12</v>
      </c>
      <c r="AJ57" s="765" t="str">
        <f t="shared" si="101"/>
        <v>Z13</v>
      </c>
      <c r="AK57" s="765" t="str">
        <f t="shared" si="101"/>
        <v>Z14</v>
      </c>
      <c r="AL57" s="765" t="str">
        <f t="shared" si="101"/>
        <v>Z15</v>
      </c>
      <c r="AM57" s="765" t="s">
        <v>100</v>
      </c>
    </row>
    <row r="58" spans="2:39" s="19" customFormat="1" x14ac:dyDescent="0.3">
      <c r="B58" s="245" t="str">
        <f>B42</f>
        <v>Biodiesel</v>
      </c>
      <c r="C58" s="324"/>
      <c r="D58" s="681">
        <f>$V58*X58</f>
        <v>0</v>
      </c>
      <c r="E58" s="681">
        <f t="shared" ref="E58:E69" si="102">$V58*Y58</f>
        <v>0</v>
      </c>
      <c r="F58" s="681">
        <f t="shared" ref="F58:F69" si="103">$V58*Z58</f>
        <v>0</v>
      </c>
      <c r="G58" s="681">
        <f t="shared" ref="G58:G69" si="104">$V58*AA58</f>
        <v>0</v>
      </c>
      <c r="H58" s="681">
        <f t="shared" ref="H58:H69" si="105">$V58*AB58</f>
        <v>0</v>
      </c>
      <c r="I58" s="681">
        <f t="shared" ref="I58:I69" si="106">$V58*AC58</f>
        <v>0</v>
      </c>
      <c r="J58" s="681">
        <f t="shared" ref="J58:J69" si="107">$V58*AD58</f>
        <v>0</v>
      </c>
      <c r="K58" s="681">
        <f t="shared" ref="K58:K69" si="108">$V58*AE58</f>
        <v>0</v>
      </c>
      <c r="L58" s="681">
        <f t="shared" ref="L58:L69" si="109">$V58*AF58</f>
        <v>0</v>
      </c>
      <c r="M58" s="681">
        <f t="shared" ref="M58:M69" si="110">$V58*AG58</f>
        <v>0</v>
      </c>
      <c r="N58" s="681">
        <f t="shared" ref="N58:N69" si="111">$V58*AH58</f>
        <v>0</v>
      </c>
      <c r="O58" s="681">
        <f t="shared" ref="O58:O69" si="112">$V58*AI58</f>
        <v>0</v>
      </c>
      <c r="P58" s="681">
        <f t="shared" ref="P58:P69" si="113">$V58*AJ58</f>
        <v>0</v>
      </c>
      <c r="Q58" s="681">
        <f t="shared" ref="Q58:Q69" si="114">$V58*AK58</f>
        <v>0</v>
      </c>
      <c r="R58" s="681">
        <f t="shared" ref="R58:R69" si="115">$V58*AL58</f>
        <v>0</v>
      </c>
      <c r="S58" s="681">
        <f t="shared" ref="S58:S69" si="116">$V58*AM58</f>
        <v>0</v>
      </c>
      <c r="U58" s="769"/>
      <c r="V58" s="778"/>
      <c r="W58" s="759"/>
      <c r="X58" s="771">
        <f>X$6</f>
        <v>1</v>
      </c>
      <c r="Y58" s="771">
        <f t="shared" ref="Y58:AL58" si="117">Y$6</f>
        <v>0</v>
      </c>
      <c r="Z58" s="771">
        <f t="shared" si="117"/>
        <v>0</v>
      </c>
      <c r="AA58" s="771">
        <f t="shared" si="117"/>
        <v>0</v>
      </c>
      <c r="AB58" s="771">
        <f t="shared" si="117"/>
        <v>0</v>
      </c>
      <c r="AC58" s="771">
        <f t="shared" si="117"/>
        <v>0</v>
      </c>
      <c r="AD58" s="771">
        <f t="shared" si="117"/>
        <v>0</v>
      </c>
      <c r="AE58" s="771">
        <f t="shared" si="117"/>
        <v>0</v>
      </c>
      <c r="AF58" s="771">
        <f t="shared" si="117"/>
        <v>0</v>
      </c>
      <c r="AG58" s="771">
        <f t="shared" si="117"/>
        <v>0</v>
      </c>
      <c r="AH58" s="771">
        <f t="shared" si="117"/>
        <v>0</v>
      </c>
      <c r="AI58" s="771">
        <f t="shared" si="117"/>
        <v>0</v>
      </c>
      <c r="AJ58" s="771">
        <f t="shared" si="117"/>
        <v>0</v>
      </c>
      <c r="AK58" s="771">
        <f t="shared" si="117"/>
        <v>0</v>
      </c>
      <c r="AL58" s="771">
        <f t="shared" si="117"/>
        <v>0</v>
      </c>
      <c r="AM58" s="772">
        <f>SUM(X58:AI58)</f>
        <v>1</v>
      </c>
    </row>
    <row r="59" spans="2:39" s="19" customFormat="1" x14ac:dyDescent="0.3">
      <c r="B59" s="245" t="str">
        <f t="shared" ref="B59:B69" si="118">B43</f>
        <v>Diesel</v>
      </c>
      <c r="C59" s="324"/>
      <c r="D59" s="681">
        <f t="shared" ref="D59:D69" si="119">$V59*X59</f>
        <v>0</v>
      </c>
      <c r="E59" s="681">
        <f t="shared" si="102"/>
        <v>0</v>
      </c>
      <c r="F59" s="681">
        <f t="shared" si="103"/>
        <v>0</v>
      </c>
      <c r="G59" s="681">
        <f t="shared" si="104"/>
        <v>0</v>
      </c>
      <c r="H59" s="681">
        <f t="shared" si="105"/>
        <v>0</v>
      </c>
      <c r="I59" s="681">
        <f t="shared" si="106"/>
        <v>0</v>
      </c>
      <c r="J59" s="681">
        <f t="shared" si="107"/>
        <v>0</v>
      </c>
      <c r="K59" s="681">
        <f t="shared" si="108"/>
        <v>0</v>
      </c>
      <c r="L59" s="681">
        <f t="shared" si="109"/>
        <v>0</v>
      </c>
      <c r="M59" s="681">
        <f t="shared" si="110"/>
        <v>0</v>
      </c>
      <c r="N59" s="681">
        <f t="shared" si="111"/>
        <v>0</v>
      </c>
      <c r="O59" s="681">
        <f t="shared" si="112"/>
        <v>0</v>
      </c>
      <c r="P59" s="681">
        <f t="shared" si="113"/>
        <v>0</v>
      </c>
      <c r="Q59" s="681">
        <f t="shared" si="114"/>
        <v>0</v>
      </c>
      <c r="R59" s="681">
        <f t="shared" si="115"/>
        <v>0</v>
      </c>
      <c r="S59" s="681">
        <f t="shared" si="116"/>
        <v>0</v>
      </c>
      <c r="U59" s="769"/>
      <c r="V59" s="778"/>
      <c r="W59" s="759"/>
      <c r="X59" s="771">
        <f t="shared" ref="X59:AL69" si="120">X$6</f>
        <v>1</v>
      </c>
      <c r="Y59" s="771">
        <f t="shared" si="120"/>
        <v>0</v>
      </c>
      <c r="Z59" s="771">
        <f t="shared" si="120"/>
        <v>0</v>
      </c>
      <c r="AA59" s="771">
        <f t="shared" si="120"/>
        <v>0</v>
      </c>
      <c r="AB59" s="771">
        <f t="shared" si="120"/>
        <v>0</v>
      </c>
      <c r="AC59" s="771">
        <f t="shared" si="120"/>
        <v>0</v>
      </c>
      <c r="AD59" s="771">
        <f t="shared" si="120"/>
        <v>0</v>
      </c>
      <c r="AE59" s="771">
        <f t="shared" si="120"/>
        <v>0</v>
      </c>
      <c r="AF59" s="771">
        <f t="shared" si="120"/>
        <v>0</v>
      </c>
      <c r="AG59" s="771">
        <f t="shared" si="120"/>
        <v>0</v>
      </c>
      <c r="AH59" s="771">
        <f t="shared" si="120"/>
        <v>0</v>
      </c>
      <c r="AI59" s="771">
        <f t="shared" si="120"/>
        <v>0</v>
      </c>
      <c r="AJ59" s="771">
        <f t="shared" si="120"/>
        <v>0</v>
      </c>
      <c r="AK59" s="771">
        <f t="shared" si="120"/>
        <v>0</v>
      </c>
      <c r="AL59" s="771">
        <f t="shared" si="120"/>
        <v>0</v>
      </c>
      <c r="AM59" s="772">
        <f>SUM(X59:AI59)</f>
        <v>1</v>
      </c>
    </row>
    <row r="60" spans="2:39" s="19" customFormat="1" x14ac:dyDescent="0.3">
      <c r="B60" s="245" t="str">
        <f t="shared" si="118"/>
        <v>Battery electric (BEV)</v>
      </c>
      <c r="C60" s="324"/>
      <c r="D60" s="681">
        <f t="shared" si="119"/>
        <v>0</v>
      </c>
      <c r="E60" s="681">
        <f t="shared" si="102"/>
        <v>0</v>
      </c>
      <c r="F60" s="681">
        <f t="shared" si="103"/>
        <v>0</v>
      </c>
      <c r="G60" s="681">
        <f t="shared" si="104"/>
        <v>0</v>
      </c>
      <c r="H60" s="681">
        <f t="shared" si="105"/>
        <v>0</v>
      </c>
      <c r="I60" s="681">
        <f t="shared" si="106"/>
        <v>0</v>
      </c>
      <c r="J60" s="681">
        <f t="shared" si="107"/>
        <v>0</v>
      </c>
      <c r="K60" s="681">
        <f t="shared" si="108"/>
        <v>0</v>
      </c>
      <c r="L60" s="681">
        <f t="shared" si="109"/>
        <v>0</v>
      </c>
      <c r="M60" s="681">
        <f t="shared" si="110"/>
        <v>0</v>
      </c>
      <c r="N60" s="681">
        <f t="shared" si="111"/>
        <v>0</v>
      </c>
      <c r="O60" s="681">
        <f t="shared" si="112"/>
        <v>0</v>
      </c>
      <c r="P60" s="681">
        <f t="shared" si="113"/>
        <v>0</v>
      </c>
      <c r="Q60" s="681">
        <f t="shared" si="114"/>
        <v>0</v>
      </c>
      <c r="R60" s="681">
        <f t="shared" si="115"/>
        <v>0</v>
      </c>
      <c r="S60" s="681">
        <f t="shared" si="116"/>
        <v>0</v>
      </c>
      <c r="U60" s="769"/>
      <c r="V60" s="778"/>
      <c r="W60" s="759"/>
      <c r="X60" s="771">
        <f t="shared" si="120"/>
        <v>1</v>
      </c>
      <c r="Y60" s="771">
        <f t="shared" si="120"/>
        <v>0</v>
      </c>
      <c r="Z60" s="771">
        <f t="shared" si="120"/>
        <v>0</v>
      </c>
      <c r="AA60" s="771">
        <f t="shared" si="120"/>
        <v>0</v>
      </c>
      <c r="AB60" s="771">
        <f t="shared" si="120"/>
        <v>0</v>
      </c>
      <c r="AC60" s="771">
        <f t="shared" si="120"/>
        <v>0</v>
      </c>
      <c r="AD60" s="771">
        <f t="shared" si="120"/>
        <v>0</v>
      </c>
      <c r="AE60" s="771">
        <f t="shared" si="120"/>
        <v>0</v>
      </c>
      <c r="AF60" s="771">
        <f t="shared" si="120"/>
        <v>0</v>
      </c>
      <c r="AG60" s="771">
        <f t="shared" si="120"/>
        <v>0</v>
      </c>
      <c r="AH60" s="771">
        <f t="shared" si="120"/>
        <v>0</v>
      </c>
      <c r="AI60" s="771">
        <f t="shared" si="120"/>
        <v>0</v>
      </c>
      <c r="AJ60" s="771">
        <f t="shared" si="120"/>
        <v>0</v>
      </c>
      <c r="AK60" s="771">
        <f t="shared" si="120"/>
        <v>0</v>
      </c>
      <c r="AL60" s="771">
        <f t="shared" si="120"/>
        <v>0</v>
      </c>
      <c r="AM60" s="772">
        <f t="shared" ref="AM60:AM68" si="121">SUM(X60:AI60)</f>
        <v>1</v>
      </c>
    </row>
    <row r="61" spans="2:39" s="19" customFormat="1" x14ac:dyDescent="0.3">
      <c r="B61" s="245" t="str">
        <f t="shared" si="118"/>
        <v>Ethanol</v>
      </c>
      <c r="C61" s="324"/>
      <c r="D61" s="681">
        <f t="shared" si="119"/>
        <v>0</v>
      </c>
      <c r="E61" s="681">
        <f t="shared" si="102"/>
        <v>0</v>
      </c>
      <c r="F61" s="681">
        <f t="shared" si="103"/>
        <v>0</v>
      </c>
      <c r="G61" s="681">
        <f t="shared" si="104"/>
        <v>0</v>
      </c>
      <c r="H61" s="681">
        <f t="shared" si="105"/>
        <v>0</v>
      </c>
      <c r="I61" s="681">
        <f t="shared" si="106"/>
        <v>0</v>
      </c>
      <c r="J61" s="681">
        <f t="shared" si="107"/>
        <v>0</v>
      </c>
      <c r="K61" s="681">
        <f t="shared" si="108"/>
        <v>0</v>
      </c>
      <c r="L61" s="681">
        <f t="shared" si="109"/>
        <v>0</v>
      </c>
      <c r="M61" s="681">
        <f t="shared" si="110"/>
        <v>0</v>
      </c>
      <c r="N61" s="681">
        <f t="shared" si="111"/>
        <v>0</v>
      </c>
      <c r="O61" s="681">
        <f t="shared" si="112"/>
        <v>0</v>
      </c>
      <c r="P61" s="681">
        <f t="shared" si="113"/>
        <v>0</v>
      </c>
      <c r="Q61" s="681">
        <f t="shared" si="114"/>
        <v>0</v>
      </c>
      <c r="R61" s="681">
        <f t="shared" si="115"/>
        <v>0</v>
      </c>
      <c r="S61" s="681">
        <f t="shared" si="116"/>
        <v>0</v>
      </c>
      <c r="U61" s="769"/>
      <c r="V61" s="778"/>
      <c r="W61" s="759"/>
      <c r="X61" s="771">
        <f t="shared" si="120"/>
        <v>1</v>
      </c>
      <c r="Y61" s="771">
        <f t="shared" si="120"/>
        <v>0</v>
      </c>
      <c r="Z61" s="771">
        <f t="shared" si="120"/>
        <v>0</v>
      </c>
      <c r="AA61" s="771">
        <f t="shared" si="120"/>
        <v>0</v>
      </c>
      <c r="AB61" s="771">
        <f t="shared" si="120"/>
        <v>0</v>
      </c>
      <c r="AC61" s="771">
        <f t="shared" si="120"/>
        <v>0</v>
      </c>
      <c r="AD61" s="771">
        <f t="shared" si="120"/>
        <v>0</v>
      </c>
      <c r="AE61" s="771">
        <f t="shared" si="120"/>
        <v>0</v>
      </c>
      <c r="AF61" s="771">
        <f t="shared" si="120"/>
        <v>0</v>
      </c>
      <c r="AG61" s="771">
        <f t="shared" si="120"/>
        <v>0</v>
      </c>
      <c r="AH61" s="771">
        <f t="shared" si="120"/>
        <v>0</v>
      </c>
      <c r="AI61" s="771">
        <f t="shared" si="120"/>
        <v>0</v>
      </c>
      <c r="AJ61" s="771">
        <f t="shared" si="120"/>
        <v>0</v>
      </c>
      <c r="AK61" s="771">
        <f t="shared" si="120"/>
        <v>0</v>
      </c>
      <c r="AL61" s="771">
        <f t="shared" si="120"/>
        <v>0</v>
      </c>
      <c r="AM61" s="772">
        <f t="shared" si="121"/>
        <v>1</v>
      </c>
    </row>
    <row r="62" spans="2:39" s="19" customFormat="1" x14ac:dyDescent="0.3">
      <c r="B62" s="245" t="str">
        <f t="shared" si="118"/>
        <v>Gas (CNG)</v>
      </c>
      <c r="C62" s="324"/>
      <c r="D62" s="681">
        <f t="shared" si="119"/>
        <v>0</v>
      </c>
      <c r="E62" s="681">
        <f t="shared" si="102"/>
        <v>0</v>
      </c>
      <c r="F62" s="681">
        <f t="shared" si="103"/>
        <v>0</v>
      </c>
      <c r="G62" s="681">
        <f t="shared" si="104"/>
        <v>0</v>
      </c>
      <c r="H62" s="681">
        <f t="shared" si="105"/>
        <v>0</v>
      </c>
      <c r="I62" s="681">
        <f t="shared" si="106"/>
        <v>0</v>
      </c>
      <c r="J62" s="681">
        <f t="shared" si="107"/>
        <v>0</v>
      </c>
      <c r="K62" s="681">
        <f t="shared" si="108"/>
        <v>0</v>
      </c>
      <c r="L62" s="681">
        <f t="shared" si="109"/>
        <v>0</v>
      </c>
      <c r="M62" s="681">
        <f t="shared" si="110"/>
        <v>0</v>
      </c>
      <c r="N62" s="681">
        <f t="shared" si="111"/>
        <v>0</v>
      </c>
      <c r="O62" s="681">
        <f t="shared" si="112"/>
        <v>0</v>
      </c>
      <c r="P62" s="681">
        <f t="shared" si="113"/>
        <v>0</v>
      </c>
      <c r="Q62" s="681">
        <f t="shared" si="114"/>
        <v>0</v>
      </c>
      <c r="R62" s="681">
        <f t="shared" si="115"/>
        <v>0</v>
      </c>
      <c r="S62" s="681">
        <f t="shared" si="116"/>
        <v>0</v>
      </c>
      <c r="U62" s="769"/>
      <c r="V62" s="778"/>
      <c r="W62" s="759"/>
      <c r="X62" s="771">
        <f t="shared" si="120"/>
        <v>1</v>
      </c>
      <c r="Y62" s="771">
        <f t="shared" si="120"/>
        <v>0</v>
      </c>
      <c r="Z62" s="771">
        <f t="shared" si="120"/>
        <v>0</v>
      </c>
      <c r="AA62" s="771">
        <f t="shared" si="120"/>
        <v>0</v>
      </c>
      <c r="AB62" s="771">
        <f t="shared" si="120"/>
        <v>0</v>
      </c>
      <c r="AC62" s="771">
        <f t="shared" si="120"/>
        <v>0</v>
      </c>
      <c r="AD62" s="771">
        <f t="shared" si="120"/>
        <v>0</v>
      </c>
      <c r="AE62" s="771">
        <f t="shared" si="120"/>
        <v>0</v>
      </c>
      <c r="AF62" s="771">
        <f t="shared" si="120"/>
        <v>0</v>
      </c>
      <c r="AG62" s="771">
        <f t="shared" si="120"/>
        <v>0</v>
      </c>
      <c r="AH62" s="771">
        <f t="shared" si="120"/>
        <v>0</v>
      </c>
      <c r="AI62" s="771">
        <f t="shared" si="120"/>
        <v>0</v>
      </c>
      <c r="AJ62" s="771">
        <f t="shared" si="120"/>
        <v>0</v>
      </c>
      <c r="AK62" s="771">
        <f t="shared" si="120"/>
        <v>0</v>
      </c>
      <c r="AL62" s="771">
        <f t="shared" si="120"/>
        <v>0</v>
      </c>
      <c r="AM62" s="772">
        <f t="shared" si="121"/>
        <v>1</v>
      </c>
    </row>
    <row r="63" spans="2:39" s="19" customFormat="1" x14ac:dyDescent="0.3">
      <c r="B63" s="245" t="str">
        <f t="shared" si="118"/>
        <v>Gasoline</v>
      </c>
      <c r="C63" s="324"/>
      <c r="D63" s="681">
        <f t="shared" si="119"/>
        <v>0</v>
      </c>
      <c r="E63" s="681">
        <f t="shared" si="102"/>
        <v>0</v>
      </c>
      <c r="F63" s="681">
        <f t="shared" si="103"/>
        <v>0</v>
      </c>
      <c r="G63" s="681">
        <f t="shared" si="104"/>
        <v>0</v>
      </c>
      <c r="H63" s="681">
        <f t="shared" si="105"/>
        <v>0</v>
      </c>
      <c r="I63" s="681">
        <f t="shared" si="106"/>
        <v>0</v>
      </c>
      <c r="J63" s="681">
        <f t="shared" si="107"/>
        <v>0</v>
      </c>
      <c r="K63" s="681">
        <f t="shared" si="108"/>
        <v>0</v>
      </c>
      <c r="L63" s="681">
        <f t="shared" si="109"/>
        <v>0</v>
      </c>
      <c r="M63" s="681">
        <f t="shared" si="110"/>
        <v>0</v>
      </c>
      <c r="N63" s="681">
        <f t="shared" si="111"/>
        <v>0</v>
      </c>
      <c r="O63" s="681">
        <f t="shared" si="112"/>
        <v>0</v>
      </c>
      <c r="P63" s="681">
        <f t="shared" si="113"/>
        <v>0</v>
      </c>
      <c r="Q63" s="681">
        <f t="shared" si="114"/>
        <v>0</v>
      </c>
      <c r="R63" s="681">
        <f t="shared" si="115"/>
        <v>0</v>
      </c>
      <c r="S63" s="681">
        <f t="shared" si="116"/>
        <v>0</v>
      </c>
      <c r="U63" s="769"/>
      <c r="V63" s="778"/>
      <c r="W63" s="759"/>
      <c r="X63" s="771">
        <f t="shared" si="120"/>
        <v>1</v>
      </c>
      <c r="Y63" s="771">
        <f t="shared" si="120"/>
        <v>0</v>
      </c>
      <c r="Z63" s="771">
        <f t="shared" si="120"/>
        <v>0</v>
      </c>
      <c r="AA63" s="771">
        <f t="shared" si="120"/>
        <v>0</v>
      </c>
      <c r="AB63" s="771">
        <f t="shared" si="120"/>
        <v>0</v>
      </c>
      <c r="AC63" s="771">
        <f t="shared" si="120"/>
        <v>0</v>
      </c>
      <c r="AD63" s="771">
        <f t="shared" si="120"/>
        <v>0</v>
      </c>
      <c r="AE63" s="771">
        <f t="shared" si="120"/>
        <v>0</v>
      </c>
      <c r="AF63" s="771">
        <f t="shared" si="120"/>
        <v>0</v>
      </c>
      <c r="AG63" s="771">
        <f t="shared" si="120"/>
        <v>0</v>
      </c>
      <c r="AH63" s="771">
        <f t="shared" si="120"/>
        <v>0</v>
      </c>
      <c r="AI63" s="771">
        <f t="shared" si="120"/>
        <v>0</v>
      </c>
      <c r="AJ63" s="771">
        <f t="shared" si="120"/>
        <v>0</v>
      </c>
      <c r="AK63" s="771">
        <f t="shared" si="120"/>
        <v>0</v>
      </c>
      <c r="AL63" s="771">
        <f t="shared" si="120"/>
        <v>0</v>
      </c>
      <c r="AM63" s="772">
        <f t="shared" si="121"/>
        <v>1</v>
      </c>
    </row>
    <row r="64" spans="2:39" s="19" customFormat="1" x14ac:dyDescent="0.3">
      <c r="B64" s="245" t="str">
        <f t="shared" si="118"/>
        <v>Hybrid Electric - diesel</v>
      </c>
      <c r="C64" s="173"/>
      <c r="D64" s="681">
        <f t="shared" si="119"/>
        <v>0</v>
      </c>
      <c r="E64" s="681">
        <f t="shared" si="102"/>
        <v>0</v>
      </c>
      <c r="F64" s="681">
        <f t="shared" si="103"/>
        <v>0</v>
      </c>
      <c r="G64" s="681">
        <f t="shared" si="104"/>
        <v>0</v>
      </c>
      <c r="H64" s="681">
        <f t="shared" si="105"/>
        <v>0</v>
      </c>
      <c r="I64" s="681">
        <f t="shared" si="106"/>
        <v>0</v>
      </c>
      <c r="J64" s="681">
        <f t="shared" si="107"/>
        <v>0</v>
      </c>
      <c r="K64" s="681">
        <f t="shared" si="108"/>
        <v>0</v>
      </c>
      <c r="L64" s="681">
        <f t="shared" si="109"/>
        <v>0</v>
      </c>
      <c r="M64" s="681">
        <f t="shared" si="110"/>
        <v>0</v>
      </c>
      <c r="N64" s="681">
        <f t="shared" si="111"/>
        <v>0</v>
      </c>
      <c r="O64" s="681">
        <f t="shared" si="112"/>
        <v>0</v>
      </c>
      <c r="P64" s="681">
        <f t="shared" si="113"/>
        <v>0</v>
      </c>
      <c r="Q64" s="681">
        <f t="shared" si="114"/>
        <v>0</v>
      </c>
      <c r="R64" s="681">
        <f t="shared" si="115"/>
        <v>0</v>
      </c>
      <c r="S64" s="681">
        <f t="shared" si="116"/>
        <v>0</v>
      </c>
      <c r="U64" s="769"/>
      <c r="V64" s="778"/>
      <c r="W64" s="759"/>
      <c r="X64" s="771">
        <f t="shared" si="120"/>
        <v>1</v>
      </c>
      <c r="Y64" s="771">
        <f t="shared" si="120"/>
        <v>0</v>
      </c>
      <c r="Z64" s="771">
        <f t="shared" si="120"/>
        <v>0</v>
      </c>
      <c r="AA64" s="771">
        <f t="shared" si="120"/>
        <v>0</v>
      </c>
      <c r="AB64" s="771">
        <f t="shared" si="120"/>
        <v>0</v>
      </c>
      <c r="AC64" s="771">
        <f t="shared" si="120"/>
        <v>0</v>
      </c>
      <c r="AD64" s="771">
        <f t="shared" si="120"/>
        <v>0</v>
      </c>
      <c r="AE64" s="771">
        <f t="shared" si="120"/>
        <v>0</v>
      </c>
      <c r="AF64" s="771">
        <f t="shared" si="120"/>
        <v>0</v>
      </c>
      <c r="AG64" s="771">
        <f t="shared" si="120"/>
        <v>0</v>
      </c>
      <c r="AH64" s="771">
        <f t="shared" si="120"/>
        <v>0</v>
      </c>
      <c r="AI64" s="771">
        <f t="shared" si="120"/>
        <v>0</v>
      </c>
      <c r="AJ64" s="771">
        <f t="shared" si="120"/>
        <v>0</v>
      </c>
      <c r="AK64" s="771">
        <f t="shared" si="120"/>
        <v>0</v>
      </c>
      <c r="AL64" s="771">
        <f t="shared" si="120"/>
        <v>0</v>
      </c>
      <c r="AM64" s="772">
        <f t="shared" si="121"/>
        <v>1</v>
      </c>
    </row>
    <row r="65" spans="2:39" s="19" customFormat="1" x14ac:dyDescent="0.3">
      <c r="B65" s="245" t="str">
        <f t="shared" si="118"/>
        <v>Hybrid Electric - gasoline</v>
      </c>
      <c r="C65" s="173"/>
      <c r="D65" s="681">
        <f t="shared" si="119"/>
        <v>0</v>
      </c>
      <c r="E65" s="681">
        <f t="shared" si="102"/>
        <v>0</v>
      </c>
      <c r="F65" s="681">
        <f t="shared" si="103"/>
        <v>0</v>
      </c>
      <c r="G65" s="681">
        <f t="shared" si="104"/>
        <v>0</v>
      </c>
      <c r="H65" s="681">
        <f t="shared" si="105"/>
        <v>0</v>
      </c>
      <c r="I65" s="681">
        <f t="shared" si="106"/>
        <v>0</v>
      </c>
      <c r="J65" s="681">
        <f t="shared" si="107"/>
        <v>0</v>
      </c>
      <c r="K65" s="681">
        <f t="shared" si="108"/>
        <v>0</v>
      </c>
      <c r="L65" s="681">
        <f t="shared" si="109"/>
        <v>0</v>
      </c>
      <c r="M65" s="681">
        <f t="shared" si="110"/>
        <v>0</v>
      </c>
      <c r="N65" s="681">
        <f t="shared" si="111"/>
        <v>0</v>
      </c>
      <c r="O65" s="681">
        <f t="shared" si="112"/>
        <v>0</v>
      </c>
      <c r="P65" s="681">
        <f t="shared" si="113"/>
        <v>0</v>
      </c>
      <c r="Q65" s="681">
        <f t="shared" si="114"/>
        <v>0</v>
      </c>
      <c r="R65" s="681">
        <f t="shared" si="115"/>
        <v>0</v>
      </c>
      <c r="S65" s="681">
        <f t="shared" si="116"/>
        <v>0</v>
      </c>
      <c r="U65" s="769"/>
      <c r="V65" s="778"/>
      <c r="W65" s="759"/>
      <c r="X65" s="771">
        <f t="shared" si="120"/>
        <v>1</v>
      </c>
      <c r="Y65" s="771">
        <f t="shared" si="120"/>
        <v>0</v>
      </c>
      <c r="Z65" s="771">
        <f t="shared" si="120"/>
        <v>0</v>
      </c>
      <c r="AA65" s="771">
        <f t="shared" si="120"/>
        <v>0</v>
      </c>
      <c r="AB65" s="771">
        <f t="shared" si="120"/>
        <v>0</v>
      </c>
      <c r="AC65" s="771">
        <f t="shared" si="120"/>
        <v>0</v>
      </c>
      <c r="AD65" s="771">
        <f t="shared" si="120"/>
        <v>0</v>
      </c>
      <c r="AE65" s="771">
        <f t="shared" si="120"/>
        <v>0</v>
      </c>
      <c r="AF65" s="771">
        <f t="shared" si="120"/>
        <v>0</v>
      </c>
      <c r="AG65" s="771">
        <f t="shared" si="120"/>
        <v>0</v>
      </c>
      <c r="AH65" s="771">
        <f t="shared" si="120"/>
        <v>0</v>
      </c>
      <c r="AI65" s="771">
        <f t="shared" si="120"/>
        <v>0</v>
      </c>
      <c r="AJ65" s="771">
        <f t="shared" si="120"/>
        <v>0</v>
      </c>
      <c r="AK65" s="771">
        <f t="shared" si="120"/>
        <v>0</v>
      </c>
      <c r="AL65" s="771">
        <f t="shared" si="120"/>
        <v>0</v>
      </c>
      <c r="AM65" s="772">
        <f t="shared" si="121"/>
        <v>1</v>
      </c>
    </row>
    <row r="66" spans="2:39" s="19" customFormat="1" x14ac:dyDescent="0.3">
      <c r="B66" s="245" t="str">
        <f t="shared" si="118"/>
        <v>LPG</v>
      </c>
      <c r="C66" s="324"/>
      <c r="D66" s="681">
        <f t="shared" si="119"/>
        <v>0</v>
      </c>
      <c r="E66" s="681">
        <f t="shared" si="102"/>
        <v>0</v>
      </c>
      <c r="F66" s="681">
        <f t="shared" si="103"/>
        <v>0</v>
      </c>
      <c r="G66" s="681">
        <f t="shared" si="104"/>
        <v>0</v>
      </c>
      <c r="H66" s="681">
        <f t="shared" si="105"/>
        <v>0</v>
      </c>
      <c r="I66" s="681">
        <f t="shared" si="106"/>
        <v>0</v>
      </c>
      <c r="J66" s="681">
        <f t="shared" si="107"/>
        <v>0</v>
      </c>
      <c r="K66" s="681">
        <f t="shared" si="108"/>
        <v>0</v>
      </c>
      <c r="L66" s="681">
        <f t="shared" si="109"/>
        <v>0</v>
      </c>
      <c r="M66" s="681">
        <f t="shared" si="110"/>
        <v>0</v>
      </c>
      <c r="N66" s="681">
        <f t="shared" si="111"/>
        <v>0</v>
      </c>
      <c r="O66" s="681">
        <f t="shared" si="112"/>
        <v>0</v>
      </c>
      <c r="P66" s="681">
        <f t="shared" si="113"/>
        <v>0</v>
      </c>
      <c r="Q66" s="681">
        <f t="shared" si="114"/>
        <v>0</v>
      </c>
      <c r="R66" s="681">
        <f t="shared" si="115"/>
        <v>0</v>
      </c>
      <c r="S66" s="681">
        <f t="shared" si="116"/>
        <v>0</v>
      </c>
      <c r="U66" s="769"/>
      <c r="V66" s="778"/>
      <c r="W66" s="759"/>
      <c r="X66" s="771">
        <f t="shared" si="120"/>
        <v>1</v>
      </c>
      <c r="Y66" s="771">
        <f t="shared" si="120"/>
        <v>0</v>
      </c>
      <c r="Z66" s="771">
        <f t="shared" si="120"/>
        <v>0</v>
      </c>
      <c r="AA66" s="771">
        <f t="shared" si="120"/>
        <v>0</v>
      </c>
      <c r="AB66" s="771">
        <f t="shared" si="120"/>
        <v>0</v>
      </c>
      <c r="AC66" s="771">
        <f t="shared" si="120"/>
        <v>0</v>
      </c>
      <c r="AD66" s="771">
        <f t="shared" si="120"/>
        <v>0</v>
      </c>
      <c r="AE66" s="771">
        <f t="shared" si="120"/>
        <v>0</v>
      </c>
      <c r="AF66" s="771">
        <f t="shared" si="120"/>
        <v>0</v>
      </c>
      <c r="AG66" s="771">
        <f t="shared" si="120"/>
        <v>0</v>
      </c>
      <c r="AH66" s="771">
        <f t="shared" si="120"/>
        <v>0</v>
      </c>
      <c r="AI66" s="771">
        <f t="shared" si="120"/>
        <v>0</v>
      </c>
      <c r="AJ66" s="771">
        <f t="shared" si="120"/>
        <v>0</v>
      </c>
      <c r="AK66" s="771">
        <f t="shared" si="120"/>
        <v>0</v>
      </c>
      <c r="AL66" s="771">
        <f t="shared" si="120"/>
        <v>0</v>
      </c>
      <c r="AM66" s="772">
        <f t="shared" si="121"/>
        <v>1</v>
      </c>
    </row>
    <row r="67" spans="2:39" s="19" customFormat="1" x14ac:dyDescent="0.3">
      <c r="B67" s="245" t="str">
        <f t="shared" si="118"/>
        <v>Plugin Hybrid Electric - diesel</v>
      </c>
      <c r="C67" s="173"/>
      <c r="D67" s="681">
        <f t="shared" si="119"/>
        <v>0</v>
      </c>
      <c r="E67" s="681">
        <f t="shared" si="102"/>
        <v>0</v>
      </c>
      <c r="F67" s="681">
        <f t="shared" si="103"/>
        <v>0</v>
      </c>
      <c r="G67" s="681">
        <f t="shared" si="104"/>
        <v>0</v>
      </c>
      <c r="H67" s="681">
        <f t="shared" si="105"/>
        <v>0</v>
      </c>
      <c r="I67" s="681">
        <f t="shared" si="106"/>
        <v>0</v>
      </c>
      <c r="J67" s="681">
        <f t="shared" si="107"/>
        <v>0</v>
      </c>
      <c r="K67" s="681">
        <f t="shared" si="108"/>
        <v>0</v>
      </c>
      <c r="L67" s="681">
        <f t="shared" si="109"/>
        <v>0</v>
      </c>
      <c r="M67" s="681">
        <f t="shared" si="110"/>
        <v>0</v>
      </c>
      <c r="N67" s="681">
        <f t="shared" si="111"/>
        <v>0</v>
      </c>
      <c r="O67" s="681">
        <f t="shared" si="112"/>
        <v>0</v>
      </c>
      <c r="P67" s="681">
        <f t="shared" si="113"/>
        <v>0</v>
      </c>
      <c r="Q67" s="681">
        <f t="shared" si="114"/>
        <v>0</v>
      </c>
      <c r="R67" s="681">
        <f t="shared" si="115"/>
        <v>0</v>
      </c>
      <c r="S67" s="681">
        <f t="shared" si="116"/>
        <v>0</v>
      </c>
      <c r="U67" s="769"/>
      <c r="V67" s="778"/>
      <c r="W67" s="759"/>
      <c r="X67" s="771">
        <f t="shared" si="120"/>
        <v>1</v>
      </c>
      <c r="Y67" s="771">
        <f t="shared" si="120"/>
        <v>0</v>
      </c>
      <c r="Z67" s="771">
        <f t="shared" si="120"/>
        <v>0</v>
      </c>
      <c r="AA67" s="771">
        <f t="shared" si="120"/>
        <v>0</v>
      </c>
      <c r="AB67" s="771">
        <f t="shared" si="120"/>
        <v>0</v>
      </c>
      <c r="AC67" s="771">
        <f t="shared" si="120"/>
        <v>0</v>
      </c>
      <c r="AD67" s="771">
        <f t="shared" si="120"/>
        <v>0</v>
      </c>
      <c r="AE67" s="771">
        <f t="shared" si="120"/>
        <v>0</v>
      </c>
      <c r="AF67" s="771">
        <f t="shared" si="120"/>
        <v>0</v>
      </c>
      <c r="AG67" s="771">
        <f t="shared" si="120"/>
        <v>0</v>
      </c>
      <c r="AH67" s="771">
        <f t="shared" si="120"/>
        <v>0</v>
      </c>
      <c r="AI67" s="771">
        <f t="shared" si="120"/>
        <v>0</v>
      </c>
      <c r="AJ67" s="771">
        <f t="shared" si="120"/>
        <v>0</v>
      </c>
      <c r="AK67" s="771">
        <f t="shared" si="120"/>
        <v>0</v>
      </c>
      <c r="AL67" s="771">
        <f t="shared" si="120"/>
        <v>0</v>
      </c>
      <c r="AM67" s="772">
        <f t="shared" si="121"/>
        <v>1</v>
      </c>
    </row>
    <row r="68" spans="2:39" s="19" customFormat="1" x14ac:dyDescent="0.3">
      <c r="B68" s="245" t="str">
        <f t="shared" si="118"/>
        <v>Plugin Hybrid Electric - gasoline</v>
      </c>
      <c r="C68" s="173"/>
      <c r="D68" s="681">
        <f t="shared" si="119"/>
        <v>0</v>
      </c>
      <c r="E68" s="681">
        <f t="shared" si="102"/>
        <v>0</v>
      </c>
      <c r="F68" s="681">
        <f t="shared" si="103"/>
        <v>0</v>
      </c>
      <c r="G68" s="681">
        <f t="shared" si="104"/>
        <v>0</v>
      </c>
      <c r="H68" s="681">
        <f t="shared" si="105"/>
        <v>0</v>
      </c>
      <c r="I68" s="681">
        <f t="shared" si="106"/>
        <v>0</v>
      </c>
      <c r="J68" s="681">
        <f t="shared" si="107"/>
        <v>0</v>
      </c>
      <c r="K68" s="681">
        <f t="shared" si="108"/>
        <v>0</v>
      </c>
      <c r="L68" s="681">
        <f t="shared" si="109"/>
        <v>0</v>
      </c>
      <c r="M68" s="681">
        <f t="shared" si="110"/>
        <v>0</v>
      </c>
      <c r="N68" s="681">
        <f t="shared" si="111"/>
        <v>0</v>
      </c>
      <c r="O68" s="681">
        <f t="shared" si="112"/>
        <v>0</v>
      </c>
      <c r="P68" s="681">
        <f t="shared" si="113"/>
        <v>0</v>
      </c>
      <c r="Q68" s="681">
        <f t="shared" si="114"/>
        <v>0</v>
      </c>
      <c r="R68" s="681">
        <f t="shared" si="115"/>
        <v>0</v>
      </c>
      <c r="S68" s="681">
        <f t="shared" si="116"/>
        <v>0</v>
      </c>
      <c r="U68" s="769"/>
      <c r="V68" s="778"/>
      <c r="W68" s="759"/>
      <c r="X68" s="771">
        <f t="shared" si="120"/>
        <v>1</v>
      </c>
      <c r="Y68" s="771">
        <f t="shared" si="120"/>
        <v>0</v>
      </c>
      <c r="Z68" s="771">
        <f t="shared" si="120"/>
        <v>0</v>
      </c>
      <c r="AA68" s="771">
        <f t="shared" si="120"/>
        <v>0</v>
      </c>
      <c r="AB68" s="771">
        <f t="shared" si="120"/>
        <v>0</v>
      </c>
      <c r="AC68" s="771">
        <f t="shared" si="120"/>
        <v>0</v>
      </c>
      <c r="AD68" s="771">
        <f t="shared" si="120"/>
        <v>0</v>
      </c>
      <c r="AE68" s="771">
        <f t="shared" si="120"/>
        <v>0</v>
      </c>
      <c r="AF68" s="771">
        <f t="shared" si="120"/>
        <v>0</v>
      </c>
      <c r="AG68" s="771">
        <f t="shared" si="120"/>
        <v>0</v>
      </c>
      <c r="AH68" s="771">
        <f t="shared" si="120"/>
        <v>0</v>
      </c>
      <c r="AI68" s="771">
        <f t="shared" si="120"/>
        <v>0</v>
      </c>
      <c r="AJ68" s="771">
        <f t="shared" si="120"/>
        <v>0</v>
      </c>
      <c r="AK68" s="771">
        <f t="shared" si="120"/>
        <v>0</v>
      </c>
      <c r="AL68" s="771">
        <f t="shared" si="120"/>
        <v>0</v>
      </c>
      <c r="AM68" s="772">
        <f t="shared" si="121"/>
        <v>1</v>
      </c>
    </row>
    <row r="69" spans="2:39" s="19" customFormat="1" x14ac:dyDescent="0.3">
      <c r="B69" s="250" t="str">
        <f t="shared" si="118"/>
        <v>Other</v>
      </c>
      <c r="C69" s="525"/>
      <c r="D69" s="682">
        <f t="shared" si="119"/>
        <v>0</v>
      </c>
      <c r="E69" s="682">
        <f t="shared" si="102"/>
        <v>0</v>
      </c>
      <c r="F69" s="682">
        <f t="shared" si="103"/>
        <v>0</v>
      </c>
      <c r="G69" s="682">
        <f t="shared" si="104"/>
        <v>0</v>
      </c>
      <c r="H69" s="682">
        <f t="shared" si="105"/>
        <v>0</v>
      </c>
      <c r="I69" s="682">
        <f t="shared" si="106"/>
        <v>0</v>
      </c>
      <c r="J69" s="682">
        <f t="shared" si="107"/>
        <v>0</v>
      </c>
      <c r="K69" s="682">
        <f t="shared" si="108"/>
        <v>0</v>
      </c>
      <c r="L69" s="682">
        <f t="shared" si="109"/>
        <v>0</v>
      </c>
      <c r="M69" s="682">
        <f t="shared" si="110"/>
        <v>0</v>
      </c>
      <c r="N69" s="682">
        <f t="shared" si="111"/>
        <v>0</v>
      </c>
      <c r="O69" s="682">
        <f t="shared" si="112"/>
        <v>0</v>
      </c>
      <c r="P69" s="682">
        <f t="shared" si="113"/>
        <v>0</v>
      </c>
      <c r="Q69" s="682">
        <f t="shared" si="114"/>
        <v>0</v>
      </c>
      <c r="R69" s="682">
        <f t="shared" si="115"/>
        <v>0</v>
      </c>
      <c r="S69" s="682">
        <f t="shared" si="116"/>
        <v>0</v>
      </c>
      <c r="U69" s="779"/>
      <c r="V69" s="780"/>
      <c r="W69" s="759"/>
      <c r="X69" s="771">
        <f t="shared" si="120"/>
        <v>1</v>
      </c>
      <c r="Y69" s="771">
        <f t="shared" si="120"/>
        <v>0</v>
      </c>
      <c r="Z69" s="771">
        <f t="shared" si="120"/>
        <v>0</v>
      </c>
      <c r="AA69" s="771">
        <f t="shared" si="120"/>
        <v>0</v>
      </c>
      <c r="AB69" s="771">
        <f t="shared" si="120"/>
        <v>0</v>
      </c>
      <c r="AC69" s="771">
        <f t="shared" si="120"/>
        <v>0</v>
      </c>
      <c r="AD69" s="771">
        <f>AD$6</f>
        <v>0</v>
      </c>
      <c r="AE69" s="771">
        <f t="shared" si="120"/>
        <v>0</v>
      </c>
      <c r="AF69" s="771">
        <f t="shared" si="120"/>
        <v>0</v>
      </c>
      <c r="AG69" s="771">
        <f t="shared" si="120"/>
        <v>0</v>
      </c>
      <c r="AH69" s="771">
        <f t="shared" si="120"/>
        <v>0</v>
      </c>
      <c r="AI69" s="771">
        <f t="shared" si="120"/>
        <v>0</v>
      </c>
      <c r="AJ69" s="771">
        <f t="shared" si="120"/>
        <v>0</v>
      </c>
      <c r="AK69" s="771">
        <f t="shared" si="120"/>
        <v>0</v>
      </c>
      <c r="AL69" s="771">
        <f t="shared" si="120"/>
        <v>0</v>
      </c>
      <c r="AM69" s="772">
        <f t="shared" ref="AM69" si="122">SUM(X69:AI69)</f>
        <v>1</v>
      </c>
    </row>
    <row r="70" spans="2:39" s="19" customFormat="1" x14ac:dyDescent="0.3">
      <c r="B70" s="477" t="s">
        <v>119</v>
      </c>
      <c r="C70" s="526"/>
      <c r="D70" s="680">
        <f>SUM(D58:D69)</f>
        <v>0</v>
      </c>
      <c r="E70" s="680">
        <f t="shared" ref="E70" si="123">SUM(E58:E69)</f>
        <v>0</v>
      </c>
      <c r="F70" s="680">
        <f t="shared" ref="F70" si="124">SUM(F58:F69)</f>
        <v>0</v>
      </c>
      <c r="G70" s="680">
        <f t="shared" ref="G70" si="125">SUM(G58:G69)</f>
        <v>0</v>
      </c>
      <c r="H70" s="680">
        <f t="shared" ref="H70" si="126">SUM(H58:H69)</f>
        <v>0</v>
      </c>
      <c r="I70" s="680">
        <f t="shared" ref="I70" si="127">SUM(I58:I69)</f>
        <v>0</v>
      </c>
      <c r="J70" s="680">
        <f t="shared" ref="J70" si="128">SUM(J58:J69)</f>
        <v>0</v>
      </c>
      <c r="K70" s="680">
        <f t="shared" ref="K70" si="129">SUM(K58:K69)</f>
        <v>0</v>
      </c>
      <c r="L70" s="680">
        <f t="shared" ref="L70" si="130">SUM(L58:L69)</f>
        <v>0</v>
      </c>
      <c r="M70" s="680">
        <f t="shared" ref="M70" si="131">SUM(M58:M69)</f>
        <v>0</v>
      </c>
      <c r="N70" s="680">
        <f t="shared" ref="N70" si="132">SUM(N58:N69)</f>
        <v>0</v>
      </c>
      <c r="O70" s="680">
        <f t="shared" ref="O70" si="133">SUM(O58:O69)</f>
        <v>0</v>
      </c>
      <c r="P70" s="680">
        <f t="shared" ref="P70" si="134">SUM(P58:P69)</f>
        <v>0</v>
      </c>
      <c r="Q70" s="680">
        <f t="shared" ref="Q70" si="135">SUM(Q58:Q69)</f>
        <v>0</v>
      </c>
      <c r="R70" s="680">
        <f t="shared" ref="R70" si="136">SUM(R58:R69)</f>
        <v>0</v>
      </c>
      <c r="S70" s="680">
        <f t="shared" ref="S70" si="137">SUM(S58:S69)</f>
        <v>0</v>
      </c>
      <c r="U70" s="775">
        <f>SUM(U58:U69)</f>
        <v>0</v>
      </c>
      <c r="V70" s="781">
        <f>SUM(V58:V68)</f>
        <v>0</v>
      </c>
      <c r="W70" s="759"/>
      <c r="X70" s="782"/>
      <c r="Y70" s="782"/>
      <c r="Z70" s="782"/>
      <c r="AA70" s="782"/>
      <c r="AB70" s="782"/>
      <c r="AC70" s="782"/>
      <c r="AD70" s="782"/>
      <c r="AE70" s="782"/>
      <c r="AF70" s="782"/>
      <c r="AG70" s="782"/>
      <c r="AH70" s="782"/>
      <c r="AI70" s="759"/>
      <c r="AJ70" s="759"/>
      <c r="AK70" s="759"/>
      <c r="AL70" s="759"/>
      <c r="AM70" s="759"/>
    </row>
    <row r="71" spans="2:39" s="123" customFormat="1" x14ac:dyDescent="0.3">
      <c r="C71" s="527"/>
      <c r="U71" s="759"/>
      <c r="V71" s="758"/>
      <c r="W71" s="759"/>
      <c r="X71" s="759"/>
      <c r="Y71" s="759"/>
      <c r="Z71" s="759"/>
      <c r="AA71" s="759"/>
      <c r="AB71" s="759"/>
      <c r="AC71" s="759"/>
      <c r="AD71" s="759"/>
      <c r="AE71" s="759"/>
      <c r="AF71" s="759"/>
      <c r="AG71" s="759"/>
      <c r="AH71" s="759"/>
      <c r="AI71" s="759"/>
      <c r="AJ71" s="759"/>
      <c r="AK71" s="759"/>
      <c r="AL71" s="759"/>
      <c r="AM71" s="759"/>
    </row>
    <row r="72" spans="2:39" s="478" customFormat="1" x14ac:dyDescent="0.3">
      <c r="B72" s="476" t="s">
        <v>125</v>
      </c>
      <c r="C72" s="522"/>
      <c r="U72" s="784"/>
      <c r="V72" s="758"/>
      <c r="W72" s="759"/>
      <c r="X72" s="763" t="s">
        <v>99</v>
      </c>
      <c r="Y72" s="759"/>
      <c r="Z72" s="759"/>
      <c r="AA72" s="759"/>
      <c r="AB72" s="759"/>
      <c r="AC72" s="759"/>
      <c r="AD72" s="759"/>
      <c r="AE72" s="759"/>
      <c r="AF72" s="759"/>
      <c r="AG72" s="759"/>
      <c r="AH72" s="759"/>
      <c r="AI72" s="759"/>
      <c r="AJ72" s="759"/>
      <c r="AK72" s="759"/>
      <c r="AL72" s="759"/>
      <c r="AM72" s="759"/>
    </row>
    <row r="73" spans="2:39" s="478" customFormat="1" x14ac:dyDescent="0.3">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8" t="str">
        <f>U$9</f>
        <v>TOTAL stock</v>
      </c>
      <c r="V73" s="768" t="str">
        <f>V$9</f>
        <v>City vehicles</v>
      </c>
      <c r="W73" s="759"/>
      <c r="X73" s="765" t="str">
        <f t="shared" ref="X73:AL73" si="139">D73</f>
        <v>Z01</v>
      </c>
      <c r="Y73" s="765" t="str">
        <f t="shared" si="139"/>
        <v>Z02</v>
      </c>
      <c r="Z73" s="765" t="str">
        <f t="shared" si="139"/>
        <v>Z03</v>
      </c>
      <c r="AA73" s="765" t="str">
        <f t="shared" si="139"/>
        <v>Z04</v>
      </c>
      <c r="AB73" s="765" t="str">
        <f t="shared" si="139"/>
        <v>Z05</v>
      </c>
      <c r="AC73" s="765" t="str">
        <f t="shared" si="139"/>
        <v>Z06</v>
      </c>
      <c r="AD73" s="765" t="str">
        <f t="shared" si="139"/>
        <v>Z07</v>
      </c>
      <c r="AE73" s="765" t="str">
        <f t="shared" si="139"/>
        <v>Z08</v>
      </c>
      <c r="AF73" s="765" t="str">
        <f t="shared" si="139"/>
        <v>Z09</v>
      </c>
      <c r="AG73" s="765" t="str">
        <f t="shared" si="139"/>
        <v>Z10</v>
      </c>
      <c r="AH73" s="765" t="str">
        <f t="shared" si="139"/>
        <v>Z11</v>
      </c>
      <c r="AI73" s="765" t="str">
        <f t="shared" si="139"/>
        <v>Z12</v>
      </c>
      <c r="AJ73" s="765" t="str">
        <f t="shared" si="139"/>
        <v>Z13</v>
      </c>
      <c r="AK73" s="765" t="str">
        <f t="shared" si="139"/>
        <v>Z14</v>
      </c>
      <c r="AL73" s="765" t="str">
        <f t="shared" si="139"/>
        <v>Z15</v>
      </c>
      <c r="AM73" s="765" t="s">
        <v>100</v>
      </c>
    </row>
    <row r="74" spans="2:39" s="19" customFormat="1" x14ac:dyDescent="0.3">
      <c r="B74" s="245" t="str">
        <f>B58</f>
        <v>Biodiesel</v>
      </c>
      <c r="C74" s="324"/>
      <c r="D74" s="681">
        <f>$V74*X74</f>
        <v>0</v>
      </c>
      <c r="E74" s="681">
        <f t="shared" ref="E74:E85" si="140">$V74*Y74</f>
        <v>0</v>
      </c>
      <c r="F74" s="681">
        <f t="shared" ref="F74:F85" si="141">$V74*Z74</f>
        <v>0</v>
      </c>
      <c r="G74" s="681">
        <f t="shared" ref="G74:G85" si="142">$V74*AA74</f>
        <v>0</v>
      </c>
      <c r="H74" s="681">
        <f t="shared" ref="H74:H85" si="143">$V74*AB74</f>
        <v>0</v>
      </c>
      <c r="I74" s="681">
        <f t="shared" ref="I74:I85" si="144">$V74*AC74</f>
        <v>0</v>
      </c>
      <c r="J74" s="681">
        <f t="shared" ref="J74:J85" si="145">$V74*AD74</f>
        <v>0</v>
      </c>
      <c r="K74" s="681">
        <f t="shared" ref="K74:K85" si="146">$V74*AE74</f>
        <v>0</v>
      </c>
      <c r="L74" s="681">
        <f t="shared" ref="L74:L85" si="147">$V74*AF74</f>
        <v>0</v>
      </c>
      <c r="M74" s="681">
        <f t="shared" ref="M74:M85" si="148">$V74*AG74</f>
        <v>0</v>
      </c>
      <c r="N74" s="681">
        <f t="shared" ref="N74:N85" si="149">$V74*AH74</f>
        <v>0</v>
      </c>
      <c r="O74" s="681">
        <f t="shared" ref="O74:O85" si="150">$V74*AI74</f>
        <v>0</v>
      </c>
      <c r="P74" s="681">
        <f t="shared" ref="P74:P85" si="151">$V74*AJ74</f>
        <v>0</v>
      </c>
      <c r="Q74" s="681">
        <f t="shared" ref="Q74:Q85" si="152">$V74*AK74</f>
        <v>0</v>
      </c>
      <c r="R74" s="681">
        <f t="shared" ref="R74:R85" si="153">$V74*AL74</f>
        <v>0</v>
      </c>
      <c r="S74" s="681">
        <f t="shared" ref="S74:S85" si="154">$V74*AM74</f>
        <v>0</v>
      </c>
      <c r="U74" s="769"/>
      <c r="V74" s="769"/>
      <c r="W74" s="759"/>
      <c r="X74" s="771">
        <f>X$6</f>
        <v>1</v>
      </c>
      <c r="Y74" s="771">
        <f t="shared" ref="Y74:AL74" si="155">Y$6</f>
        <v>0</v>
      </c>
      <c r="Z74" s="771">
        <f t="shared" si="155"/>
        <v>0</v>
      </c>
      <c r="AA74" s="771">
        <f t="shared" si="155"/>
        <v>0</v>
      </c>
      <c r="AB74" s="771">
        <f t="shared" si="155"/>
        <v>0</v>
      </c>
      <c r="AC74" s="771">
        <f t="shared" si="155"/>
        <v>0</v>
      </c>
      <c r="AD74" s="771">
        <f t="shared" si="155"/>
        <v>0</v>
      </c>
      <c r="AE74" s="771">
        <f t="shared" si="155"/>
        <v>0</v>
      </c>
      <c r="AF74" s="771">
        <f t="shared" si="155"/>
        <v>0</v>
      </c>
      <c r="AG74" s="771">
        <f t="shared" si="155"/>
        <v>0</v>
      </c>
      <c r="AH74" s="771">
        <f t="shared" si="155"/>
        <v>0</v>
      </c>
      <c r="AI74" s="771">
        <f t="shared" si="155"/>
        <v>0</v>
      </c>
      <c r="AJ74" s="771">
        <f t="shared" si="155"/>
        <v>0</v>
      </c>
      <c r="AK74" s="771">
        <f t="shared" si="155"/>
        <v>0</v>
      </c>
      <c r="AL74" s="771">
        <f t="shared" si="155"/>
        <v>0</v>
      </c>
      <c r="AM74" s="772">
        <f>SUM(X74:AI74)</f>
        <v>1</v>
      </c>
    </row>
    <row r="75" spans="2:39" s="19" customFormat="1" x14ac:dyDescent="0.3">
      <c r="B75" s="245" t="str">
        <f t="shared" ref="B75:B85" si="156">B59</f>
        <v>Diesel</v>
      </c>
      <c r="C75" s="324"/>
      <c r="D75" s="681">
        <f t="shared" ref="D75:D85" si="157">$V75*X75</f>
        <v>0</v>
      </c>
      <c r="E75" s="681">
        <f t="shared" si="140"/>
        <v>0</v>
      </c>
      <c r="F75" s="681">
        <f t="shared" si="141"/>
        <v>0</v>
      </c>
      <c r="G75" s="681">
        <f t="shared" si="142"/>
        <v>0</v>
      </c>
      <c r="H75" s="681">
        <f t="shared" si="143"/>
        <v>0</v>
      </c>
      <c r="I75" s="681">
        <f t="shared" si="144"/>
        <v>0</v>
      </c>
      <c r="J75" s="681">
        <f t="shared" si="145"/>
        <v>0</v>
      </c>
      <c r="K75" s="681">
        <f t="shared" si="146"/>
        <v>0</v>
      </c>
      <c r="L75" s="681">
        <f t="shared" si="147"/>
        <v>0</v>
      </c>
      <c r="M75" s="681">
        <f t="shared" si="148"/>
        <v>0</v>
      </c>
      <c r="N75" s="681">
        <f t="shared" si="149"/>
        <v>0</v>
      </c>
      <c r="O75" s="681">
        <f t="shared" si="150"/>
        <v>0</v>
      </c>
      <c r="P75" s="681">
        <f t="shared" si="151"/>
        <v>0</v>
      </c>
      <c r="Q75" s="681">
        <f t="shared" si="152"/>
        <v>0</v>
      </c>
      <c r="R75" s="681">
        <f t="shared" si="153"/>
        <v>0</v>
      </c>
      <c r="S75" s="681">
        <f t="shared" si="154"/>
        <v>0</v>
      </c>
      <c r="U75" s="769"/>
      <c r="V75" s="769"/>
      <c r="W75" s="759"/>
      <c r="X75" s="771">
        <f t="shared" ref="X75:AL85" si="158">X$6</f>
        <v>1</v>
      </c>
      <c r="Y75" s="771">
        <f t="shared" si="158"/>
        <v>0</v>
      </c>
      <c r="Z75" s="771">
        <f t="shared" si="158"/>
        <v>0</v>
      </c>
      <c r="AA75" s="771">
        <f t="shared" si="158"/>
        <v>0</v>
      </c>
      <c r="AB75" s="771">
        <f t="shared" si="158"/>
        <v>0</v>
      </c>
      <c r="AC75" s="771">
        <f t="shared" si="158"/>
        <v>0</v>
      </c>
      <c r="AD75" s="771">
        <f t="shared" si="158"/>
        <v>0</v>
      </c>
      <c r="AE75" s="771">
        <f t="shared" si="158"/>
        <v>0</v>
      </c>
      <c r="AF75" s="771">
        <f t="shared" si="158"/>
        <v>0</v>
      </c>
      <c r="AG75" s="771">
        <f t="shared" si="158"/>
        <v>0</v>
      </c>
      <c r="AH75" s="771">
        <f t="shared" si="158"/>
        <v>0</v>
      </c>
      <c r="AI75" s="771">
        <f t="shared" si="158"/>
        <v>0</v>
      </c>
      <c r="AJ75" s="771">
        <f t="shared" si="158"/>
        <v>0</v>
      </c>
      <c r="AK75" s="771">
        <f t="shared" si="158"/>
        <v>0</v>
      </c>
      <c r="AL75" s="771">
        <f t="shared" si="158"/>
        <v>0</v>
      </c>
      <c r="AM75" s="772">
        <f>SUM(X75:AI75)</f>
        <v>1</v>
      </c>
    </row>
    <row r="76" spans="2:39" s="19" customFormat="1" x14ac:dyDescent="0.3">
      <c r="B76" s="245" t="str">
        <f t="shared" si="156"/>
        <v>Battery electric (BEV)</v>
      </c>
      <c r="C76" s="324"/>
      <c r="D76" s="681">
        <f t="shared" si="157"/>
        <v>0</v>
      </c>
      <c r="E76" s="681">
        <f t="shared" si="140"/>
        <v>0</v>
      </c>
      <c r="F76" s="681">
        <f t="shared" si="141"/>
        <v>0</v>
      </c>
      <c r="G76" s="681">
        <f t="shared" si="142"/>
        <v>0</v>
      </c>
      <c r="H76" s="681">
        <f t="shared" si="143"/>
        <v>0</v>
      </c>
      <c r="I76" s="681">
        <f t="shared" si="144"/>
        <v>0</v>
      </c>
      <c r="J76" s="681">
        <f t="shared" si="145"/>
        <v>0</v>
      </c>
      <c r="K76" s="681">
        <f t="shared" si="146"/>
        <v>0</v>
      </c>
      <c r="L76" s="681">
        <f t="shared" si="147"/>
        <v>0</v>
      </c>
      <c r="M76" s="681">
        <f t="shared" si="148"/>
        <v>0</v>
      </c>
      <c r="N76" s="681">
        <f t="shared" si="149"/>
        <v>0</v>
      </c>
      <c r="O76" s="681">
        <f t="shared" si="150"/>
        <v>0</v>
      </c>
      <c r="P76" s="681">
        <f t="shared" si="151"/>
        <v>0</v>
      </c>
      <c r="Q76" s="681">
        <f t="shared" si="152"/>
        <v>0</v>
      </c>
      <c r="R76" s="681">
        <f t="shared" si="153"/>
        <v>0</v>
      </c>
      <c r="S76" s="681">
        <f t="shared" si="154"/>
        <v>0</v>
      </c>
      <c r="U76" s="769"/>
      <c r="V76" s="769"/>
      <c r="W76" s="759"/>
      <c r="X76" s="771">
        <f t="shared" si="158"/>
        <v>1</v>
      </c>
      <c r="Y76" s="771">
        <f t="shared" si="158"/>
        <v>0</v>
      </c>
      <c r="Z76" s="771">
        <f t="shared" si="158"/>
        <v>0</v>
      </c>
      <c r="AA76" s="771">
        <f t="shared" si="158"/>
        <v>0</v>
      </c>
      <c r="AB76" s="771">
        <f t="shared" si="158"/>
        <v>0</v>
      </c>
      <c r="AC76" s="771">
        <f t="shared" si="158"/>
        <v>0</v>
      </c>
      <c r="AD76" s="771">
        <f t="shared" si="158"/>
        <v>0</v>
      </c>
      <c r="AE76" s="771">
        <f t="shared" si="158"/>
        <v>0</v>
      </c>
      <c r="AF76" s="771">
        <f t="shared" si="158"/>
        <v>0</v>
      </c>
      <c r="AG76" s="771">
        <f t="shared" si="158"/>
        <v>0</v>
      </c>
      <c r="AH76" s="771">
        <f t="shared" si="158"/>
        <v>0</v>
      </c>
      <c r="AI76" s="771">
        <f t="shared" si="158"/>
        <v>0</v>
      </c>
      <c r="AJ76" s="771">
        <f t="shared" si="158"/>
        <v>0</v>
      </c>
      <c r="AK76" s="771">
        <f t="shared" si="158"/>
        <v>0</v>
      </c>
      <c r="AL76" s="771">
        <f t="shared" si="158"/>
        <v>0</v>
      </c>
      <c r="AM76" s="772">
        <f t="shared" ref="AM76:AM84" si="159">SUM(X76:AI76)</f>
        <v>1</v>
      </c>
    </row>
    <row r="77" spans="2:39" s="19" customFormat="1" x14ac:dyDescent="0.3">
      <c r="B77" s="245" t="str">
        <f t="shared" si="156"/>
        <v>Ethanol</v>
      </c>
      <c r="C77" s="324"/>
      <c r="D77" s="681">
        <f t="shared" si="157"/>
        <v>0</v>
      </c>
      <c r="E77" s="681">
        <f t="shared" si="140"/>
        <v>0</v>
      </c>
      <c r="F77" s="681">
        <f t="shared" si="141"/>
        <v>0</v>
      </c>
      <c r="G77" s="681">
        <f t="shared" si="142"/>
        <v>0</v>
      </c>
      <c r="H77" s="681">
        <f t="shared" si="143"/>
        <v>0</v>
      </c>
      <c r="I77" s="681">
        <f t="shared" si="144"/>
        <v>0</v>
      </c>
      <c r="J77" s="681">
        <f t="shared" si="145"/>
        <v>0</v>
      </c>
      <c r="K77" s="681">
        <f t="shared" si="146"/>
        <v>0</v>
      </c>
      <c r="L77" s="681">
        <f t="shared" si="147"/>
        <v>0</v>
      </c>
      <c r="M77" s="681">
        <f t="shared" si="148"/>
        <v>0</v>
      </c>
      <c r="N77" s="681">
        <f t="shared" si="149"/>
        <v>0</v>
      </c>
      <c r="O77" s="681">
        <f t="shared" si="150"/>
        <v>0</v>
      </c>
      <c r="P77" s="681">
        <f t="shared" si="151"/>
        <v>0</v>
      </c>
      <c r="Q77" s="681">
        <f t="shared" si="152"/>
        <v>0</v>
      </c>
      <c r="R77" s="681">
        <f t="shared" si="153"/>
        <v>0</v>
      </c>
      <c r="S77" s="681">
        <f t="shared" si="154"/>
        <v>0</v>
      </c>
      <c r="U77" s="769"/>
      <c r="V77" s="769"/>
      <c r="W77" s="759"/>
      <c r="X77" s="771">
        <f t="shared" si="158"/>
        <v>1</v>
      </c>
      <c r="Y77" s="771">
        <f t="shared" si="158"/>
        <v>0</v>
      </c>
      <c r="Z77" s="771">
        <f t="shared" si="158"/>
        <v>0</v>
      </c>
      <c r="AA77" s="771">
        <f t="shared" si="158"/>
        <v>0</v>
      </c>
      <c r="AB77" s="771">
        <f t="shared" si="158"/>
        <v>0</v>
      </c>
      <c r="AC77" s="771">
        <f t="shared" si="158"/>
        <v>0</v>
      </c>
      <c r="AD77" s="771">
        <f t="shared" si="158"/>
        <v>0</v>
      </c>
      <c r="AE77" s="771">
        <f t="shared" si="158"/>
        <v>0</v>
      </c>
      <c r="AF77" s="771">
        <f t="shared" si="158"/>
        <v>0</v>
      </c>
      <c r="AG77" s="771">
        <f t="shared" si="158"/>
        <v>0</v>
      </c>
      <c r="AH77" s="771">
        <f t="shared" si="158"/>
        <v>0</v>
      </c>
      <c r="AI77" s="771">
        <f t="shared" si="158"/>
        <v>0</v>
      </c>
      <c r="AJ77" s="771">
        <f t="shared" si="158"/>
        <v>0</v>
      </c>
      <c r="AK77" s="771">
        <f t="shared" si="158"/>
        <v>0</v>
      </c>
      <c r="AL77" s="771">
        <f t="shared" si="158"/>
        <v>0</v>
      </c>
      <c r="AM77" s="772">
        <f t="shared" si="159"/>
        <v>1</v>
      </c>
    </row>
    <row r="78" spans="2:39" s="19" customFormat="1" x14ac:dyDescent="0.3">
      <c r="B78" s="245" t="str">
        <f t="shared" si="156"/>
        <v>Gas (CNG)</v>
      </c>
      <c r="C78" s="324"/>
      <c r="D78" s="681">
        <f t="shared" si="157"/>
        <v>0</v>
      </c>
      <c r="E78" s="681">
        <f t="shared" si="140"/>
        <v>0</v>
      </c>
      <c r="F78" s="681">
        <f t="shared" si="141"/>
        <v>0</v>
      </c>
      <c r="G78" s="681">
        <f t="shared" si="142"/>
        <v>0</v>
      </c>
      <c r="H78" s="681">
        <f t="shared" si="143"/>
        <v>0</v>
      </c>
      <c r="I78" s="681">
        <f t="shared" si="144"/>
        <v>0</v>
      </c>
      <c r="J78" s="681">
        <f t="shared" si="145"/>
        <v>0</v>
      </c>
      <c r="K78" s="681">
        <f t="shared" si="146"/>
        <v>0</v>
      </c>
      <c r="L78" s="681">
        <f t="shared" si="147"/>
        <v>0</v>
      </c>
      <c r="M78" s="681">
        <f t="shared" si="148"/>
        <v>0</v>
      </c>
      <c r="N78" s="681">
        <f t="shared" si="149"/>
        <v>0</v>
      </c>
      <c r="O78" s="681">
        <f t="shared" si="150"/>
        <v>0</v>
      </c>
      <c r="P78" s="681">
        <f t="shared" si="151"/>
        <v>0</v>
      </c>
      <c r="Q78" s="681">
        <f t="shared" si="152"/>
        <v>0</v>
      </c>
      <c r="R78" s="681">
        <f t="shared" si="153"/>
        <v>0</v>
      </c>
      <c r="S78" s="681">
        <f t="shared" si="154"/>
        <v>0</v>
      </c>
      <c r="U78" s="769"/>
      <c r="V78" s="769"/>
      <c r="W78" s="759"/>
      <c r="X78" s="771">
        <f t="shared" si="158"/>
        <v>1</v>
      </c>
      <c r="Y78" s="771">
        <f t="shared" si="158"/>
        <v>0</v>
      </c>
      <c r="Z78" s="771">
        <f t="shared" si="158"/>
        <v>0</v>
      </c>
      <c r="AA78" s="771">
        <f t="shared" si="158"/>
        <v>0</v>
      </c>
      <c r="AB78" s="771">
        <f t="shared" si="158"/>
        <v>0</v>
      </c>
      <c r="AC78" s="771">
        <f t="shared" si="158"/>
        <v>0</v>
      </c>
      <c r="AD78" s="771">
        <f t="shared" si="158"/>
        <v>0</v>
      </c>
      <c r="AE78" s="771">
        <f t="shared" si="158"/>
        <v>0</v>
      </c>
      <c r="AF78" s="771">
        <f t="shared" si="158"/>
        <v>0</v>
      </c>
      <c r="AG78" s="771">
        <f t="shared" si="158"/>
        <v>0</v>
      </c>
      <c r="AH78" s="771">
        <f t="shared" si="158"/>
        <v>0</v>
      </c>
      <c r="AI78" s="771">
        <f t="shared" si="158"/>
        <v>0</v>
      </c>
      <c r="AJ78" s="771">
        <f t="shared" si="158"/>
        <v>0</v>
      </c>
      <c r="AK78" s="771">
        <f t="shared" si="158"/>
        <v>0</v>
      </c>
      <c r="AL78" s="771">
        <f t="shared" si="158"/>
        <v>0</v>
      </c>
      <c r="AM78" s="772">
        <f t="shared" si="159"/>
        <v>1</v>
      </c>
    </row>
    <row r="79" spans="2:39" s="19" customFormat="1" x14ac:dyDescent="0.3">
      <c r="B79" s="245" t="str">
        <f t="shared" si="156"/>
        <v>Gasoline</v>
      </c>
      <c r="C79" s="324"/>
      <c r="D79" s="681">
        <f t="shared" si="157"/>
        <v>0</v>
      </c>
      <c r="E79" s="681">
        <f t="shared" si="140"/>
        <v>0</v>
      </c>
      <c r="F79" s="681">
        <f t="shared" si="141"/>
        <v>0</v>
      </c>
      <c r="G79" s="681">
        <f t="shared" si="142"/>
        <v>0</v>
      </c>
      <c r="H79" s="681">
        <f t="shared" si="143"/>
        <v>0</v>
      </c>
      <c r="I79" s="681">
        <f t="shared" si="144"/>
        <v>0</v>
      </c>
      <c r="J79" s="681">
        <f t="shared" si="145"/>
        <v>0</v>
      </c>
      <c r="K79" s="681">
        <f t="shared" si="146"/>
        <v>0</v>
      </c>
      <c r="L79" s="681">
        <f t="shared" si="147"/>
        <v>0</v>
      </c>
      <c r="M79" s="681">
        <f t="shared" si="148"/>
        <v>0</v>
      </c>
      <c r="N79" s="681">
        <f t="shared" si="149"/>
        <v>0</v>
      </c>
      <c r="O79" s="681">
        <f t="shared" si="150"/>
        <v>0</v>
      </c>
      <c r="P79" s="681">
        <f t="shared" si="151"/>
        <v>0</v>
      </c>
      <c r="Q79" s="681">
        <f t="shared" si="152"/>
        <v>0</v>
      </c>
      <c r="R79" s="681">
        <f t="shared" si="153"/>
        <v>0</v>
      </c>
      <c r="S79" s="681">
        <f t="shared" si="154"/>
        <v>0</v>
      </c>
      <c r="U79" s="769"/>
      <c r="V79" s="769"/>
      <c r="W79" s="759"/>
      <c r="X79" s="771">
        <f t="shared" si="158"/>
        <v>1</v>
      </c>
      <c r="Y79" s="771">
        <f t="shared" si="158"/>
        <v>0</v>
      </c>
      <c r="Z79" s="771">
        <f t="shared" si="158"/>
        <v>0</v>
      </c>
      <c r="AA79" s="771">
        <f t="shared" si="158"/>
        <v>0</v>
      </c>
      <c r="AB79" s="771">
        <f t="shared" si="158"/>
        <v>0</v>
      </c>
      <c r="AC79" s="771">
        <f t="shared" si="158"/>
        <v>0</v>
      </c>
      <c r="AD79" s="771">
        <f t="shared" si="158"/>
        <v>0</v>
      </c>
      <c r="AE79" s="771">
        <f t="shared" si="158"/>
        <v>0</v>
      </c>
      <c r="AF79" s="771">
        <f t="shared" si="158"/>
        <v>0</v>
      </c>
      <c r="AG79" s="771">
        <f t="shared" si="158"/>
        <v>0</v>
      </c>
      <c r="AH79" s="771">
        <f t="shared" si="158"/>
        <v>0</v>
      </c>
      <c r="AI79" s="771">
        <f t="shared" si="158"/>
        <v>0</v>
      </c>
      <c r="AJ79" s="771">
        <f t="shared" si="158"/>
        <v>0</v>
      </c>
      <c r="AK79" s="771">
        <f t="shared" si="158"/>
        <v>0</v>
      </c>
      <c r="AL79" s="771">
        <f t="shared" si="158"/>
        <v>0</v>
      </c>
      <c r="AM79" s="772">
        <f t="shared" si="159"/>
        <v>1</v>
      </c>
    </row>
    <row r="80" spans="2:39" s="19" customFormat="1" x14ac:dyDescent="0.3">
      <c r="B80" s="245" t="str">
        <f t="shared" si="156"/>
        <v>Hybrid Electric - diesel</v>
      </c>
      <c r="C80" s="173"/>
      <c r="D80" s="681">
        <f t="shared" si="157"/>
        <v>0</v>
      </c>
      <c r="E80" s="681">
        <f t="shared" si="140"/>
        <v>0</v>
      </c>
      <c r="F80" s="681">
        <f t="shared" si="141"/>
        <v>0</v>
      </c>
      <c r="G80" s="681">
        <f t="shared" si="142"/>
        <v>0</v>
      </c>
      <c r="H80" s="681">
        <f t="shared" si="143"/>
        <v>0</v>
      </c>
      <c r="I80" s="681">
        <f t="shared" si="144"/>
        <v>0</v>
      </c>
      <c r="J80" s="681">
        <f t="shared" si="145"/>
        <v>0</v>
      </c>
      <c r="K80" s="681">
        <f t="shared" si="146"/>
        <v>0</v>
      </c>
      <c r="L80" s="681">
        <f t="shared" si="147"/>
        <v>0</v>
      </c>
      <c r="M80" s="681">
        <f t="shared" si="148"/>
        <v>0</v>
      </c>
      <c r="N80" s="681">
        <f t="shared" si="149"/>
        <v>0</v>
      </c>
      <c r="O80" s="681">
        <f t="shared" si="150"/>
        <v>0</v>
      </c>
      <c r="P80" s="681">
        <f t="shared" si="151"/>
        <v>0</v>
      </c>
      <c r="Q80" s="681">
        <f t="shared" si="152"/>
        <v>0</v>
      </c>
      <c r="R80" s="681">
        <f t="shared" si="153"/>
        <v>0</v>
      </c>
      <c r="S80" s="681">
        <f t="shared" si="154"/>
        <v>0</v>
      </c>
      <c r="U80" s="769"/>
      <c r="V80" s="769"/>
      <c r="W80" s="759"/>
      <c r="X80" s="771">
        <f t="shared" si="158"/>
        <v>1</v>
      </c>
      <c r="Y80" s="771">
        <f t="shared" si="158"/>
        <v>0</v>
      </c>
      <c r="Z80" s="771">
        <f t="shared" si="158"/>
        <v>0</v>
      </c>
      <c r="AA80" s="771">
        <f t="shared" si="158"/>
        <v>0</v>
      </c>
      <c r="AB80" s="771">
        <f t="shared" si="158"/>
        <v>0</v>
      </c>
      <c r="AC80" s="771">
        <f t="shared" si="158"/>
        <v>0</v>
      </c>
      <c r="AD80" s="771">
        <f t="shared" si="158"/>
        <v>0</v>
      </c>
      <c r="AE80" s="771">
        <f t="shared" si="158"/>
        <v>0</v>
      </c>
      <c r="AF80" s="771">
        <f t="shared" si="158"/>
        <v>0</v>
      </c>
      <c r="AG80" s="771">
        <f t="shared" si="158"/>
        <v>0</v>
      </c>
      <c r="AH80" s="771">
        <f t="shared" si="158"/>
        <v>0</v>
      </c>
      <c r="AI80" s="771">
        <f t="shared" si="158"/>
        <v>0</v>
      </c>
      <c r="AJ80" s="771">
        <f t="shared" si="158"/>
        <v>0</v>
      </c>
      <c r="AK80" s="771">
        <f t="shared" si="158"/>
        <v>0</v>
      </c>
      <c r="AL80" s="771">
        <f t="shared" si="158"/>
        <v>0</v>
      </c>
      <c r="AM80" s="772">
        <f t="shared" si="159"/>
        <v>1</v>
      </c>
    </row>
    <row r="81" spans="2:39" s="19" customFormat="1" x14ac:dyDescent="0.3">
      <c r="B81" s="245" t="str">
        <f t="shared" si="156"/>
        <v>Hybrid Electric - gasoline</v>
      </c>
      <c r="C81" s="173"/>
      <c r="D81" s="681">
        <f t="shared" si="157"/>
        <v>0</v>
      </c>
      <c r="E81" s="681">
        <f t="shared" si="140"/>
        <v>0</v>
      </c>
      <c r="F81" s="681">
        <f t="shared" si="141"/>
        <v>0</v>
      </c>
      <c r="G81" s="681">
        <f t="shared" si="142"/>
        <v>0</v>
      </c>
      <c r="H81" s="681">
        <f t="shared" si="143"/>
        <v>0</v>
      </c>
      <c r="I81" s="681">
        <f t="shared" si="144"/>
        <v>0</v>
      </c>
      <c r="J81" s="681">
        <f t="shared" si="145"/>
        <v>0</v>
      </c>
      <c r="K81" s="681">
        <f t="shared" si="146"/>
        <v>0</v>
      </c>
      <c r="L81" s="681">
        <f t="shared" si="147"/>
        <v>0</v>
      </c>
      <c r="M81" s="681">
        <f t="shared" si="148"/>
        <v>0</v>
      </c>
      <c r="N81" s="681">
        <f t="shared" si="149"/>
        <v>0</v>
      </c>
      <c r="O81" s="681">
        <f t="shared" si="150"/>
        <v>0</v>
      </c>
      <c r="P81" s="681">
        <f t="shared" si="151"/>
        <v>0</v>
      </c>
      <c r="Q81" s="681">
        <f t="shared" si="152"/>
        <v>0</v>
      </c>
      <c r="R81" s="681">
        <f t="shared" si="153"/>
        <v>0</v>
      </c>
      <c r="S81" s="681">
        <f t="shared" si="154"/>
        <v>0</v>
      </c>
      <c r="U81" s="769"/>
      <c r="V81" s="769"/>
      <c r="W81" s="759"/>
      <c r="X81" s="771">
        <f t="shared" si="158"/>
        <v>1</v>
      </c>
      <c r="Y81" s="771">
        <f t="shared" si="158"/>
        <v>0</v>
      </c>
      <c r="Z81" s="771">
        <f t="shared" si="158"/>
        <v>0</v>
      </c>
      <c r="AA81" s="771">
        <f t="shared" si="158"/>
        <v>0</v>
      </c>
      <c r="AB81" s="771">
        <f t="shared" si="158"/>
        <v>0</v>
      </c>
      <c r="AC81" s="771">
        <f t="shared" si="158"/>
        <v>0</v>
      </c>
      <c r="AD81" s="771">
        <f t="shared" si="158"/>
        <v>0</v>
      </c>
      <c r="AE81" s="771">
        <f t="shared" si="158"/>
        <v>0</v>
      </c>
      <c r="AF81" s="771">
        <f t="shared" si="158"/>
        <v>0</v>
      </c>
      <c r="AG81" s="771">
        <f t="shared" si="158"/>
        <v>0</v>
      </c>
      <c r="AH81" s="771">
        <f t="shared" si="158"/>
        <v>0</v>
      </c>
      <c r="AI81" s="771">
        <f t="shared" si="158"/>
        <v>0</v>
      </c>
      <c r="AJ81" s="771">
        <f t="shared" si="158"/>
        <v>0</v>
      </c>
      <c r="AK81" s="771">
        <f t="shared" si="158"/>
        <v>0</v>
      </c>
      <c r="AL81" s="771">
        <f t="shared" si="158"/>
        <v>0</v>
      </c>
      <c r="AM81" s="772">
        <f t="shared" si="159"/>
        <v>1</v>
      </c>
    </row>
    <row r="82" spans="2:39" s="19" customFormat="1" x14ac:dyDescent="0.3">
      <c r="B82" s="245" t="str">
        <f t="shared" si="156"/>
        <v>LPG</v>
      </c>
      <c r="C82" s="324"/>
      <c r="D82" s="681">
        <f t="shared" si="157"/>
        <v>0</v>
      </c>
      <c r="E82" s="681">
        <f t="shared" si="140"/>
        <v>0</v>
      </c>
      <c r="F82" s="681">
        <f t="shared" si="141"/>
        <v>0</v>
      </c>
      <c r="G82" s="681">
        <f t="shared" si="142"/>
        <v>0</v>
      </c>
      <c r="H82" s="681">
        <f t="shared" si="143"/>
        <v>0</v>
      </c>
      <c r="I82" s="681">
        <f t="shared" si="144"/>
        <v>0</v>
      </c>
      <c r="J82" s="681">
        <f t="shared" si="145"/>
        <v>0</v>
      </c>
      <c r="K82" s="681">
        <f t="shared" si="146"/>
        <v>0</v>
      </c>
      <c r="L82" s="681">
        <f t="shared" si="147"/>
        <v>0</v>
      </c>
      <c r="M82" s="681">
        <f t="shared" si="148"/>
        <v>0</v>
      </c>
      <c r="N82" s="681">
        <f t="shared" si="149"/>
        <v>0</v>
      </c>
      <c r="O82" s="681">
        <f t="shared" si="150"/>
        <v>0</v>
      </c>
      <c r="P82" s="681">
        <f t="shared" si="151"/>
        <v>0</v>
      </c>
      <c r="Q82" s="681">
        <f t="shared" si="152"/>
        <v>0</v>
      </c>
      <c r="R82" s="681">
        <f t="shared" si="153"/>
        <v>0</v>
      </c>
      <c r="S82" s="681">
        <f t="shared" si="154"/>
        <v>0</v>
      </c>
      <c r="U82" s="769"/>
      <c r="V82" s="769"/>
      <c r="W82" s="759"/>
      <c r="X82" s="771">
        <f t="shared" si="158"/>
        <v>1</v>
      </c>
      <c r="Y82" s="771">
        <f t="shared" si="158"/>
        <v>0</v>
      </c>
      <c r="Z82" s="771">
        <f t="shared" si="158"/>
        <v>0</v>
      </c>
      <c r="AA82" s="771">
        <f t="shared" si="158"/>
        <v>0</v>
      </c>
      <c r="AB82" s="771">
        <f t="shared" si="158"/>
        <v>0</v>
      </c>
      <c r="AC82" s="771">
        <f t="shared" si="158"/>
        <v>0</v>
      </c>
      <c r="AD82" s="771">
        <f t="shared" si="158"/>
        <v>0</v>
      </c>
      <c r="AE82" s="771">
        <f t="shared" si="158"/>
        <v>0</v>
      </c>
      <c r="AF82" s="771">
        <f t="shared" si="158"/>
        <v>0</v>
      </c>
      <c r="AG82" s="771">
        <f t="shared" si="158"/>
        <v>0</v>
      </c>
      <c r="AH82" s="771">
        <f t="shared" si="158"/>
        <v>0</v>
      </c>
      <c r="AI82" s="771">
        <f t="shared" si="158"/>
        <v>0</v>
      </c>
      <c r="AJ82" s="771">
        <f t="shared" si="158"/>
        <v>0</v>
      </c>
      <c r="AK82" s="771">
        <f t="shared" si="158"/>
        <v>0</v>
      </c>
      <c r="AL82" s="771">
        <f t="shared" si="158"/>
        <v>0</v>
      </c>
      <c r="AM82" s="772">
        <f t="shared" si="159"/>
        <v>1</v>
      </c>
    </row>
    <row r="83" spans="2:39" s="19" customFormat="1" x14ac:dyDescent="0.3">
      <c r="B83" s="245" t="str">
        <f t="shared" si="156"/>
        <v>Plugin Hybrid Electric - diesel</v>
      </c>
      <c r="C83" s="173"/>
      <c r="D83" s="681">
        <f t="shared" si="157"/>
        <v>0</v>
      </c>
      <c r="E83" s="681">
        <f t="shared" si="140"/>
        <v>0</v>
      </c>
      <c r="F83" s="681">
        <f t="shared" si="141"/>
        <v>0</v>
      </c>
      <c r="G83" s="681">
        <f t="shared" si="142"/>
        <v>0</v>
      </c>
      <c r="H83" s="681">
        <f t="shared" si="143"/>
        <v>0</v>
      </c>
      <c r="I83" s="681">
        <f t="shared" si="144"/>
        <v>0</v>
      </c>
      <c r="J83" s="681">
        <f t="shared" si="145"/>
        <v>0</v>
      </c>
      <c r="K83" s="681">
        <f t="shared" si="146"/>
        <v>0</v>
      </c>
      <c r="L83" s="681">
        <f t="shared" si="147"/>
        <v>0</v>
      </c>
      <c r="M83" s="681">
        <f t="shared" si="148"/>
        <v>0</v>
      </c>
      <c r="N83" s="681">
        <f t="shared" si="149"/>
        <v>0</v>
      </c>
      <c r="O83" s="681">
        <f t="shared" si="150"/>
        <v>0</v>
      </c>
      <c r="P83" s="681">
        <f t="shared" si="151"/>
        <v>0</v>
      </c>
      <c r="Q83" s="681">
        <f t="shared" si="152"/>
        <v>0</v>
      </c>
      <c r="R83" s="681">
        <f t="shared" si="153"/>
        <v>0</v>
      </c>
      <c r="S83" s="681">
        <f t="shared" si="154"/>
        <v>0</v>
      </c>
      <c r="U83" s="769"/>
      <c r="V83" s="769"/>
      <c r="W83" s="759"/>
      <c r="X83" s="771">
        <f t="shared" si="158"/>
        <v>1</v>
      </c>
      <c r="Y83" s="771">
        <f t="shared" si="158"/>
        <v>0</v>
      </c>
      <c r="Z83" s="771">
        <f t="shared" si="158"/>
        <v>0</v>
      </c>
      <c r="AA83" s="771">
        <f t="shared" si="158"/>
        <v>0</v>
      </c>
      <c r="AB83" s="771">
        <f t="shared" si="158"/>
        <v>0</v>
      </c>
      <c r="AC83" s="771">
        <f t="shared" si="158"/>
        <v>0</v>
      </c>
      <c r="AD83" s="771">
        <f t="shared" si="158"/>
        <v>0</v>
      </c>
      <c r="AE83" s="771">
        <f t="shared" si="158"/>
        <v>0</v>
      </c>
      <c r="AF83" s="771">
        <f t="shared" si="158"/>
        <v>0</v>
      </c>
      <c r="AG83" s="771">
        <f t="shared" si="158"/>
        <v>0</v>
      </c>
      <c r="AH83" s="771">
        <f t="shared" si="158"/>
        <v>0</v>
      </c>
      <c r="AI83" s="771">
        <f t="shared" si="158"/>
        <v>0</v>
      </c>
      <c r="AJ83" s="771">
        <f t="shared" si="158"/>
        <v>0</v>
      </c>
      <c r="AK83" s="771">
        <f t="shared" si="158"/>
        <v>0</v>
      </c>
      <c r="AL83" s="771">
        <f t="shared" si="158"/>
        <v>0</v>
      </c>
      <c r="AM83" s="772">
        <f t="shared" si="159"/>
        <v>1</v>
      </c>
    </row>
    <row r="84" spans="2:39" s="19" customFormat="1" x14ac:dyDescent="0.3">
      <c r="B84" s="245" t="str">
        <f t="shared" si="156"/>
        <v>Plugin Hybrid Electric - gasoline</v>
      </c>
      <c r="C84" s="173"/>
      <c r="D84" s="681">
        <f t="shared" si="157"/>
        <v>0</v>
      </c>
      <c r="E84" s="681">
        <f t="shared" si="140"/>
        <v>0</v>
      </c>
      <c r="F84" s="681">
        <f t="shared" si="141"/>
        <v>0</v>
      </c>
      <c r="G84" s="681">
        <f t="shared" si="142"/>
        <v>0</v>
      </c>
      <c r="H84" s="681">
        <f t="shared" si="143"/>
        <v>0</v>
      </c>
      <c r="I84" s="681">
        <f t="shared" si="144"/>
        <v>0</v>
      </c>
      <c r="J84" s="681">
        <f t="shared" si="145"/>
        <v>0</v>
      </c>
      <c r="K84" s="681">
        <f t="shared" si="146"/>
        <v>0</v>
      </c>
      <c r="L84" s="681">
        <f t="shared" si="147"/>
        <v>0</v>
      </c>
      <c r="M84" s="681">
        <f t="shared" si="148"/>
        <v>0</v>
      </c>
      <c r="N84" s="681">
        <f t="shared" si="149"/>
        <v>0</v>
      </c>
      <c r="O84" s="681">
        <f t="shared" si="150"/>
        <v>0</v>
      </c>
      <c r="P84" s="681">
        <f t="shared" si="151"/>
        <v>0</v>
      </c>
      <c r="Q84" s="681">
        <f t="shared" si="152"/>
        <v>0</v>
      </c>
      <c r="R84" s="681">
        <f t="shared" si="153"/>
        <v>0</v>
      </c>
      <c r="S84" s="681">
        <f t="shared" si="154"/>
        <v>0</v>
      </c>
      <c r="U84" s="769"/>
      <c r="V84" s="769"/>
      <c r="W84" s="759"/>
      <c r="X84" s="771">
        <f t="shared" si="158"/>
        <v>1</v>
      </c>
      <c r="Y84" s="771">
        <f t="shared" si="158"/>
        <v>0</v>
      </c>
      <c r="Z84" s="771">
        <f t="shared" si="158"/>
        <v>0</v>
      </c>
      <c r="AA84" s="771">
        <f t="shared" si="158"/>
        <v>0</v>
      </c>
      <c r="AB84" s="771">
        <f t="shared" si="158"/>
        <v>0</v>
      </c>
      <c r="AC84" s="771">
        <f t="shared" si="158"/>
        <v>0</v>
      </c>
      <c r="AD84" s="771">
        <f t="shared" si="158"/>
        <v>0</v>
      </c>
      <c r="AE84" s="771">
        <f t="shared" si="158"/>
        <v>0</v>
      </c>
      <c r="AF84" s="771">
        <f t="shared" si="158"/>
        <v>0</v>
      </c>
      <c r="AG84" s="771">
        <f t="shared" si="158"/>
        <v>0</v>
      </c>
      <c r="AH84" s="771">
        <f t="shared" si="158"/>
        <v>0</v>
      </c>
      <c r="AI84" s="771">
        <f t="shared" si="158"/>
        <v>0</v>
      </c>
      <c r="AJ84" s="771">
        <f t="shared" si="158"/>
        <v>0</v>
      </c>
      <c r="AK84" s="771">
        <f t="shared" si="158"/>
        <v>0</v>
      </c>
      <c r="AL84" s="771">
        <f t="shared" si="158"/>
        <v>0</v>
      </c>
      <c r="AM84" s="772">
        <f t="shared" si="159"/>
        <v>1</v>
      </c>
    </row>
    <row r="85" spans="2:39" s="19" customFormat="1" x14ac:dyDescent="0.3">
      <c r="B85" s="250" t="str">
        <f t="shared" si="156"/>
        <v>Other</v>
      </c>
      <c r="C85" s="525"/>
      <c r="D85" s="682">
        <f t="shared" si="157"/>
        <v>0</v>
      </c>
      <c r="E85" s="682">
        <f t="shared" si="140"/>
        <v>0</v>
      </c>
      <c r="F85" s="682">
        <f t="shared" si="141"/>
        <v>0</v>
      </c>
      <c r="G85" s="682">
        <f t="shared" si="142"/>
        <v>0</v>
      </c>
      <c r="H85" s="682">
        <f t="shared" si="143"/>
        <v>0</v>
      </c>
      <c r="I85" s="682">
        <f t="shared" si="144"/>
        <v>0</v>
      </c>
      <c r="J85" s="682">
        <f t="shared" si="145"/>
        <v>0</v>
      </c>
      <c r="K85" s="682">
        <f t="shared" si="146"/>
        <v>0</v>
      </c>
      <c r="L85" s="682">
        <f t="shared" si="147"/>
        <v>0</v>
      </c>
      <c r="M85" s="682">
        <f t="shared" si="148"/>
        <v>0</v>
      </c>
      <c r="N85" s="682">
        <f t="shared" si="149"/>
        <v>0</v>
      </c>
      <c r="O85" s="682">
        <f t="shared" si="150"/>
        <v>0</v>
      </c>
      <c r="P85" s="682">
        <f t="shared" si="151"/>
        <v>0</v>
      </c>
      <c r="Q85" s="682">
        <f t="shared" si="152"/>
        <v>0</v>
      </c>
      <c r="R85" s="682">
        <f t="shared" si="153"/>
        <v>0</v>
      </c>
      <c r="S85" s="682">
        <f t="shared" si="154"/>
        <v>0</v>
      </c>
      <c r="U85" s="779"/>
      <c r="V85" s="779"/>
      <c r="W85" s="759"/>
      <c r="X85" s="771">
        <f t="shared" si="158"/>
        <v>1</v>
      </c>
      <c r="Y85" s="771">
        <f t="shared" si="158"/>
        <v>0</v>
      </c>
      <c r="Z85" s="771">
        <f t="shared" si="158"/>
        <v>0</v>
      </c>
      <c r="AA85" s="771">
        <f t="shared" si="158"/>
        <v>0</v>
      </c>
      <c r="AB85" s="771">
        <f t="shared" si="158"/>
        <v>0</v>
      </c>
      <c r="AC85" s="771">
        <f t="shared" si="158"/>
        <v>0</v>
      </c>
      <c r="AD85" s="771">
        <f>AD$6</f>
        <v>0</v>
      </c>
      <c r="AE85" s="771">
        <f t="shared" si="158"/>
        <v>0</v>
      </c>
      <c r="AF85" s="771">
        <f t="shared" si="158"/>
        <v>0</v>
      </c>
      <c r="AG85" s="771">
        <f t="shared" si="158"/>
        <v>0</v>
      </c>
      <c r="AH85" s="771">
        <f t="shared" si="158"/>
        <v>0</v>
      </c>
      <c r="AI85" s="771">
        <f t="shared" si="158"/>
        <v>0</v>
      </c>
      <c r="AJ85" s="771">
        <f t="shared" si="158"/>
        <v>0</v>
      </c>
      <c r="AK85" s="771">
        <f t="shared" si="158"/>
        <v>0</v>
      </c>
      <c r="AL85" s="771">
        <f t="shared" si="158"/>
        <v>0</v>
      </c>
      <c r="AM85" s="772">
        <f t="shared" ref="AM85" si="160">SUM(X85:AI85)</f>
        <v>1</v>
      </c>
    </row>
    <row r="86" spans="2:39" s="19" customFormat="1" x14ac:dyDescent="0.3">
      <c r="B86" s="477" t="s">
        <v>119</v>
      </c>
      <c r="C86" s="526"/>
      <c r="D86" s="680">
        <f>SUM(D74:D85)</f>
        <v>0</v>
      </c>
      <c r="E86" s="680">
        <f t="shared" ref="E86" si="161">SUM(E74:E85)</f>
        <v>0</v>
      </c>
      <c r="F86" s="680">
        <f t="shared" ref="F86" si="162">SUM(F74:F85)</f>
        <v>0</v>
      </c>
      <c r="G86" s="680">
        <f t="shared" ref="G86" si="163">SUM(G74:G85)</f>
        <v>0</v>
      </c>
      <c r="H86" s="680">
        <f t="shared" ref="H86" si="164">SUM(H74:H85)</f>
        <v>0</v>
      </c>
      <c r="I86" s="680">
        <f t="shared" ref="I86" si="165">SUM(I74:I85)</f>
        <v>0</v>
      </c>
      <c r="J86" s="680">
        <f t="shared" ref="J86" si="166">SUM(J74:J85)</f>
        <v>0</v>
      </c>
      <c r="K86" s="680">
        <f t="shared" ref="K86" si="167">SUM(K74:K85)</f>
        <v>0</v>
      </c>
      <c r="L86" s="680">
        <f t="shared" ref="L86" si="168">SUM(L74:L85)</f>
        <v>0</v>
      </c>
      <c r="M86" s="680">
        <f t="shared" ref="M86" si="169">SUM(M74:M85)</f>
        <v>0</v>
      </c>
      <c r="N86" s="680">
        <f t="shared" ref="N86" si="170">SUM(N74:N85)</f>
        <v>0</v>
      </c>
      <c r="O86" s="680">
        <f t="shared" ref="O86" si="171">SUM(O74:O85)</f>
        <v>0</v>
      </c>
      <c r="P86" s="680">
        <f t="shared" ref="P86" si="172">SUM(P74:P85)</f>
        <v>0</v>
      </c>
      <c r="Q86" s="680">
        <f t="shared" ref="Q86" si="173">SUM(Q74:Q85)</f>
        <v>0</v>
      </c>
      <c r="R86" s="680">
        <f t="shared" ref="R86" si="174">SUM(R74:R85)</f>
        <v>0</v>
      </c>
      <c r="S86" s="680">
        <f t="shared" ref="S86" si="175">SUM(S74:S85)</f>
        <v>0</v>
      </c>
      <c r="U86" s="775">
        <f>SUM(U74:U85)</f>
        <v>0</v>
      </c>
      <c r="V86" s="781">
        <f>SUM(V74:V84)</f>
        <v>0</v>
      </c>
      <c r="W86" s="759"/>
      <c r="X86" s="782"/>
      <c r="Y86" s="782"/>
      <c r="Z86" s="782"/>
      <c r="AA86" s="782"/>
      <c r="AB86" s="782"/>
      <c r="AC86" s="782"/>
      <c r="AD86" s="782"/>
      <c r="AE86" s="782"/>
      <c r="AF86" s="782"/>
      <c r="AG86" s="782"/>
      <c r="AH86" s="782"/>
      <c r="AI86" s="759"/>
      <c r="AJ86" s="759"/>
      <c r="AK86" s="759"/>
      <c r="AL86" s="759"/>
      <c r="AM86" s="759"/>
    </row>
    <row r="87" spans="2:39" x14ac:dyDescent="0.3">
      <c r="V87" s="781"/>
    </row>
    <row r="88" spans="2:39" x14ac:dyDescent="0.3">
      <c r="B88" s="441" t="s">
        <v>126</v>
      </c>
      <c r="C88" s="522"/>
      <c r="V88" s="785"/>
      <c r="X88" s="763" t="s">
        <v>99</v>
      </c>
    </row>
    <row r="89" spans="2:39" x14ac:dyDescent="0.3">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8" t="s">
        <v>105</v>
      </c>
      <c r="V89" s="768" t="str">
        <f>V$9</f>
        <v>City vehicles</v>
      </c>
      <c r="X89" s="765" t="str">
        <f t="shared" ref="X89:AL89" si="177">D89</f>
        <v>Z01</v>
      </c>
      <c r="Y89" s="765" t="str">
        <f t="shared" si="177"/>
        <v>Z02</v>
      </c>
      <c r="Z89" s="765" t="str">
        <f t="shared" si="177"/>
        <v>Z03</v>
      </c>
      <c r="AA89" s="765" t="str">
        <f t="shared" si="177"/>
        <v>Z04</v>
      </c>
      <c r="AB89" s="765" t="str">
        <f t="shared" si="177"/>
        <v>Z05</v>
      </c>
      <c r="AC89" s="765" t="str">
        <f t="shared" si="177"/>
        <v>Z06</v>
      </c>
      <c r="AD89" s="765" t="str">
        <f t="shared" si="177"/>
        <v>Z07</v>
      </c>
      <c r="AE89" s="765" t="str">
        <f t="shared" si="177"/>
        <v>Z08</v>
      </c>
      <c r="AF89" s="765" t="str">
        <f t="shared" si="177"/>
        <v>Z09</v>
      </c>
      <c r="AG89" s="765" t="str">
        <f t="shared" si="177"/>
        <v>Z10</v>
      </c>
      <c r="AH89" s="765" t="str">
        <f t="shared" si="177"/>
        <v>Z11</v>
      </c>
      <c r="AI89" s="765" t="str">
        <f t="shared" si="177"/>
        <v>Z12</v>
      </c>
      <c r="AJ89" s="765" t="str">
        <f t="shared" si="177"/>
        <v>Z13</v>
      </c>
      <c r="AK89" s="765" t="str">
        <f t="shared" si="177"/>
        <v>Z14</v>
      </c>
      <c r="AL89" s="765" t="str">
        <f t="shared" si="177"/>
        <v>Z15</v>
      </c>
      <c r="AM89" s="765" t="s">
        <v>100</v>
      </c>
    </row>
    <row r="90" spans="2:39" x14ac:dyDescent="0.3">
      <c r="B90" s="245" t="str">
        <f>B74</f>
        <v>Biodiesel</v>
      </c>
      <c r="C90" s="286" t="s">
        <v>127</v>
      </c>
      <c r="D90" s="679">
        <f>$V90*X90</f>
        <v>0</v>
      </c>
      <c r="E90" s="679">
        <f t="shared" ref="E90:E101" si="178">$V90*Y90</f>
        <v>0</v>
      </c>
      <c r="F90" s="679">
        <f t="shared" ref="F90:F101" si="179">$V90*Z90</f>
        <v>0</v>
      </c>
      <c r="G90" s="679">
        <f t="shared" ref="G90:G101" si="180">$V90*AA90</f>
        <v>0</v>
      </c>
      <c r="H90" s="679">
        <f t="shared" ref="H90:H101" si="181">$V90*AB90</f>
        <v>0</v>
      </c>
      <c r="I90" s="679">
        <f t="shared" ref="I90:I101" si="182">$V90*AC90</f>
        <v>0</v>
      </c>
      <c r="J90" s="679">
        <f t="shared" ref="J90:J101" si="183">$V90*AD90</f>
        <v>0</v>
      </c>
      <c r="K90" s="679">
        <f t="shared" ref="K90:K101" si="184">$V90*AE90</f>
        <v>0</v>
      </c>
      <c r="L90" s="679">
        <f t="shared" ref="L90:L101" si="185">$V90*AF90</f>
        <v>0</v>
      </c>
      <c r="M90" s="679">
        <f t="shared" ref="M90:M101" si="186">$V90*AG90</f>
        <v>0</v>
      </c>
      <c r="N90" s="679">
        <f t="shared" ref="N90:N101" si="187">$V90*AH90</f>
        <v>0</v>
      </c>
      <c r="O90" s="679">
        <f t="shared" ref="O90:O101" si="188">$V90*AI90</f>
        <v>0</v>
      </c>
      <c r="P90" s="679">
        <f t="shared" ref="P90:P101" si="189">$V90*AJ90</f>
        <v>0</v>
      </c>
      <c r="Q90" s="679">
        <f t="shared" ref="Q90:Q101" si="190">$V90*AK90</f>
        <v>0</v>
      </c>
      <c r="R90" s="679">
        <f t="shared" ref="R90:R101" si="191">$V90*AL90</f>
        <v>0</v>
      </c>
      <c r="S90" s="679">
        <f t="shared" ref="S90:S101" si="192">$V90*AM90</f>
        <v>0</v>
      </c>
      <c r="U90" s="786"/>
      <c r="V90" s="770"/>
      <c r="X90" s="771">
        <f>X$6</f>
        <v>1</v>
      </c>
      <c r="Y90" s="771">
        <f t="shared" ref="Y90:AL90" si="193">Y$6</f>
        <v>0</v>
      </c>
      <c r="Z90" s="771">
        <f t="shared" si="193"/>
        <v>0</v>
      </c>
      <c r="AA90" s="771">
        <f t="shared" si="193"/>
        <v>0</v>
      </c>
      <c r="AB90" s="771">
        <f t="shared" si="193"/>
        <v>0</v>
      </c>
      <c r="AC90" s="771">
        <f t="shared" si="193"/>
        <v>0</v>
      </c>
      <c r="AD90" s="771">
        <f t="shared" si="193"/>
        <v>0</v>
      </c>
      <c r="AE90" s="771">
        <f t="shared" si="193"/>
        <v>0</v>
      </c>
      <c r="AF90" s="771">
        <f t="shared" si="193"/>
        <v>0</v>
      </c>
      <c r="AG90" s="771">
        <f t="shared" si="193"/>
        <v>0</v>
      </c>
      <c r="AH90" s="771">
        <f t="shared" si="193"/>
        <v>0</v>
      </c>
      <c r="AI90" s="771">
        <f t="shared" si="193"/>
        <v>0</v>
      </c>
      <c r="AJ90" s="771">
        <f t="shared" si="193"/>
        <v>0</v>
      </c>
      <c r="AK90" s="771">
        <f t="shared" si="193"/>
        <v>0</v>
      </c>
      <c r="AL90" s="771">
        <f t="shared" si="193"/>
        <v>0</v>
      </c>
      <c r="AM90" s="772">
        <f>SUM(X90:AI90)</f>
        <v>1</v>
      </c>
    </row>
    <row r="91" spans="2:39" x14ac:dyDescent="0.3">
      <c r="B91" s="245" t="str">
        <f t="shared" ref="B91:B101" si="194">B75</f>
        <v>Diesel</v>
      </c>
      <c r="C91" s="286" t="s">
        <v>128</v>
      </c>
      <c r="D91" s="679">
        <f t="shared" ref="D91:D101" si="195">$V91*X91</f>
        <v>0</v>
      </c>
      <c r="E91" s="679">
        <f t="shared" si="178"/>
        <v>0</v>
      </c>
      <c r="F91" s="679">
        <f t="shared" si="179"/>
        <v>0</v>
      </c>
      <c r="G91" s="679">
        <f t="shared" si="180"/>
        <v>0</v>
      </c>
      <c r="H91" s="679">
        <f t="shared" si="181"/>
        <v>0</v>
      </c>
      <c r="I91" s="679">
        <f t="shared" si="182"/>
        <v>0</v>
      </c>
      <c r="J91" s="679">
        <f t="shared" si="183"/>
        <v>0</v>
      </c>
      <c r="K91" s="679">
        <f t="shared" si="184"/>
        <v>0</v>
      </c>
      <c r="L91" s="679">
        <f t="shared" si="185"/>
        <v>0</v>
      </c>
      <c r="M91" s="679">
        <f t="shared" si="186"/>
        <v>0</v>
      </c>
      <c r="N91" s="679">
        <f t="shared" si="187"/>
        <v>0</v>
      </c>
      <c r="O91" s="679">
        <f t="shared" si="188"/>
        <v>0</v>
      </c>
      <c r="P91" s="679">
        <f t="shared" si="189"/>
        <v>0</v>
      </c>
      <c r="Q91" s="679">
        <f t="shared" si="190"/>
        <v>0</v>
      </c>
      <c r="R91" s="679">
        <f t="shared" si="191"/>
        <v>0</v>
      </c>
      <c r="S91" s="679">
        <f t="shared" si="192"/>
        <v>0</v>
      </c>
      <c r="U91" s="786"/>
      <c r="V91" s="770"/>
      <c r="X91" s="771">
        <f t="shared" ref="X91:AL101" si="196">X$6</f>
        <v>1</v>
      </c>
      <c r="Y91" s="771">
        <f t="shared" si="196"/>
        <v>0</v>
      </c>
      <c r="Z91" s="771">
        <f t="shared" si="196"/>
        <v>0</v>
      </c>
      <c r="AA91" s="771">
        <f t="shared" si="196"/>
        <v>0</v>
      </c>
      <c r="AB91" s="771">
        <f t="shared" si="196"/>
        <v>0</v>
      </c>
      <c r="AC91" s="771">
        <f t="shared" si="196"/>
        <v>0</v>
      </c>
      <c r="AD91" s="771">
        <f t="shared" si="196"/>
        <v>0</v>
      </c>
      <c r="AE91" s="771">
        <f t="shared" si="196"/>
        <v>0</v>
      </c>
      <c r="AF91" s="771">
        <f t="shared" si="196"/>
        <v>0</v>
      </c>
      <c r="AG91" s="771">
        <f t="shared" si="196"/>
        <v>0</v>
      </c>
      <c r="AH91" s="771">
        <f t="shared" si="196"/>
        <v>0</v>
      </c>
      <c r="AI91" s="771">
        <f t="shared" si="196"/>
        <v>0</v>
      </c>
      <c r="AJ91" s="771">
        <f t="shared" si="196"/>
        <v>0</v>
      </c>
      <c r="AK91" s="771">
        <f t="shared" si="196"/>
        <v>0</v>
      </c>
      <c r="AL91" s="771">
        <f t="shared" si="196"/>
        <v>0</v>
      </c>
      <c r="AM91" s="772">
        <f>SUM(X91:AI91)</f>
        <v>1</v>
      </c>
    </row>
    <row r="92" spans="2:39" x14ac:dyDescent="0.3">
      <c r="B92" s="245" t="str">
        <f t="shared" si="194"/>
        <v>Battery electric (BEV)</v>
      </c>
      <c r="C92" s="286" t="s">
        <v>129</v>
      </c>
      <c r="D92" s="679">
        <f t="shared" si="195"/>
        <v>0</v>
      </c>
      <c r="E92" s="679">
        <f t="shared" si="178"/>
        <v>0</v>
      </c>
      <c r="F92" s="679">
        <f t="shared" si="179"/>
        <v>0</v>
      </c>
      <c r="G92" s="679">
        <f t="shared" si="180"/>
        <v>0</v>
      </c>
      <c r="H92" s="679">
        <f t="shared" si="181"/>
        <v>0</v>
      </c>
      <c r="I92" s="679">
        <f t="shared" si="182"/>
        <v>0</v>
      </c>
      <c r="J92" s="679">
        <f t="shared" si="183"/>
        <v>0</v>
      </c>
      <c r="K92" s="679">
        <f t="shared" si="184"/>
        <v>0</v>
      </c>
      <c r="L92" s="679">
        <f t="shared" si="185"/>
        <v>0</v>
      </c>
      <c r="M92" s="679">
        <f t="shared" si="186"/>
        <v>0</v>
      </c>
      <c r="N92" s="679">
        <f t="shared" si="187"/>
        <v>0</v>
      </c>
      <c r="O92" s="679">
        <f t="shared" si="188"/>
        <v>0</v>
      </c>
      <c r="P92" s="679">
        <f t="shared" si="189"/>
        <v>0</v>
      </c>
      <c r="Q92" s="679">
        <f t="shared" si="190"/>
        <v>0</v>
      </c>
      <c r="R92" s="679">
        <f t="shared" si="191"/>
        <v>0</v>
      </c>
      <c r="S92" s="679">
        <f t="shared" si="192"/>
        <v>0</v>
      </c>
      <c r="U92" s="786"/>
      <c r="V92" s="770"/>
      <c r="X92" s="771">
        <f t="shared" si="196"/>
        <v>1</v>
      </c>
      <c r="Y92" s="771">
        <f t="shared" si="196"/>
        <v>0</v>
      </c>
      <c r="Z92" s="771">
        <f t="shared" si="196"/>
        <v>0</v>
      </c>
      <c r="AA92" s="771">
        <f t="shared" si="196"/>
        <v>0</v>
      </c>
      <c r="AB92" s="771">
        <f t="shared" si="196"/>
        <v>0</v>
      </c>
      <c r="AC92" s="771">
        <f t="shared" si="196"/>
        <v>0</v>
      </c>
      <c r="AD92" s="771">
        <f t="shared" si="196"/>
        <v>0</v>
      </c>
      <c r="AE92" s="771">
        <f t="shared" si="196"/>
        <v>0</v>
      </c>
      <c r="AF92" s="771">
        <f t="shared" si="196"/>
        <v>0</v>
      </c>
      <c r="AG92" s="771">
        <f t="shared" si="196"/>
        <v>0</v>
      </c>
      <c r="AH92" s="771">
        <f t="shared" si="196"/>
        <v>0</v>
      </c>
      <c r="AI92" s="771">
        <f t="shared" si="196"/>
        <v>0</v>
      </c>
      <c r="AJ92" s="771">
        <f t="shared" si="196"/>
        <v>0</v>
      </c>
      <c r="AK92" s="771">
        <f t="shared" si="196"/>
        <v>0</v>
      </c>
      <c r="AL92" s="771">
        <f t="shared" si="196"/>
        <v>0</v>
      </c>
      <c r="AM92" s="772">
        <f t="shared" ref="AM92:AM101" si="197">SUM(X92:AI92)</f>
        <v>1</v>
      </c>
    </row>
    <row r="93" spans="2:39" x14ac:dyDescent="0.3">
      <c r="B93" s="245" t="str">
        <f t="shared" si="194"/>
        <v>Ethanol</v>
      </c>
      <c r="C93" s="286" t="s">
        <v>130</v>
      </c>
      <c r="D93" s="679">
        <f t="shared" si="195"/>
        <v>0</v>
      </c>
      <c r="E93" s="679">
        <f t="shared" si="178"/>
        <v>0</v>
      </c>
      <c r="F93" s="679">
        <f t="shared" si="179"/>
        <v>0</v>
      </c>
      <c r="G93" s="679">
        <f t="shared" si="180"/>
        <v>0</v>
      </c>
      <c r="H93" s="679">
        <f t="shared" si="181"/>
        <v>0</v>
      </c>
      <c r="I93" s="679">
        <f t="shared" si="182"/>
        <v>0</v>
      </c>
      <c r="J93" s="679">
        <f t="shared" si="183"/>
        <v>0</v>
      </c>
      <c r="K93" s="679">
        <f t="shared" si="184"/>
        <v>0</v>
      </c>
      <c r="L93" s="679">
        <f t="shared" si="185"/>
        <v>0</v>
      </c>
      <c r="M93" s="679">
        <f t="shared" si="186"/>
        <v>0</v>
      </c>
      <c r="N93" s="679">
        <f t="shared" si="187"/>
        <v>0</v>
      </c>
      <c r="O93" s="679">
        <f t="shared" si="188"/>
        <v>0</v>
      </c>
      <c r="P93" s="679">
        <f t="shared" si="189"/>
        <v>0</v>
      </c>
      <c r="Q93" s="679">
        <f t="shared" si="190"/>
        <v>0</v>
      </c>
      <c r="R93" s="679">
        <f t="shared" si="191"/>
        <v>0</v>
      </c>
      <c r="S93" s="679">
        <f t="shared" si="192"/>
        <v>0</v>
      </c>
      <c r="U93" s="786"/>
      <c r="V93" s="770"/>
      <c r="X93" s="771">
        <f t="shared" si="196"/>
        <v>1</v>
      </c>
      <c r="Y93" s="771">
        <f t="shared" si="196"/>
        <v>0</v>
      </c>
      <c r="Z93" s="771">
        <f t="shared" si="196"/>
        <v>0</v>
      </c>
      <c r="AA93" s="771">
        <f t="shared" si="196"/>
        <v>0</v>
      </c>
      <c r="AB93" s="771">
        <f t="shared" si="196"/>
        <v>0</v>
      </c>
      <c r="AC93" s="771">
        <f t="shared" si="196"/>
        <v>0</v>
      </c>
      <c r="AD93" s="771">
        <f t="shared" si="196"/>
        <v>0</v>
      </c>
      <c r="AE93" s="771">
        <f t="shared" si="196"/>
        <v>0</v>
      </c>
      <c r="AF93" s="771">
        <f t="shared" si="196"/>
        <v>0</v>
      </c>
      <c r="AG93" s="771">
        <f t="shared" si="196"/>
        <v>0</v>
      </c>
      <c r="AH93" s="771">
        <f t="shared" si="196"/>
        <v>0</v>
      </c>
      <c r="AI93" s="771">
        <f t="shared" si="196"/>
        <v>0</v>
      </c>
      <c r="AJ93" s="771">
        <f t="shared" si="196"/>
        <v>0</v>
      </c>
      <c r="AK93" s="771">
        <f t="shared" si="196"/>
        <v>0</v>
      </c>
      <c r="AL93" s="771">
        <f t="shared" si="196"/>
        <v>0</v>
      </c>
      <c r="AM93" s="772">
        <f t="shared" si="197"/>
        <v>1</v>
      </c>
    </row>
    <row r="94" spans="2:39" x14ac:dyDescent="0.3">
      <c r="B94" s="245" t="str">
        <f t="shared" si="194"/>
        <v>Gas (CNG)</v>
      </c>
      <c r="C94" s="286" t="s">
        <v>131</v>
      </c>
      <c r="D94" s="679">
        <f t="shared" si="195"/>
        <v>0</v>
      </c>
      <c r="E94" s="679">
        <f t="shared" si="178"/>
        <v>0</v>
      </c>
      <c r="F94" s="679">
        <f t="shared" si="179"/>
        <v>0</v>
      </c>
      <c r="G94" s="679">
        <f t="shared" si="180"/>
        <v>0</v>
      </c>
      <c r="H94" s="679">
        <f t="shared" si="181"/>
        <v>0</v>
      </c>
      <c r="I94" s="679">
        <f t="shared" si="182"/>
        <v>0</v>
      </c>
      <c r="J94" s="679">
        <f t="shared" si="183"/>
        <v>0</v>
      </c>
      <c r="K94" s="679">
        <f t="shared" si="184"/>
        <v>0</v>
      </c>
      <c r="L94" s="679">
        <f t="shared" si="185"/>
        <v>0</v>
      </c>
      <c r="M94" s="679">
        <f t="shared" si="186"/>
        <v>0</v>
      </c>
      <c r="N94" s="679">
        <f t="shared" si="187"/>
        <v>0</v>
      </c>
      <c r="O94" s="679">
        <f t="shared" si="188"/>
        <v>0</v>
      </c>
      <c r="P94" s="679">
        <f t="shared" si="189"/>
        <v>0</v>
      </c>
      <c r="Q94" s="679">
        <f t="shared" si="190"/>
        <v>0</v>
      </c>
      <c r="R94" s="679">
        <f t="shared" si="191"/>
        <v>0</v>
      </c>
      <c r="S94" s="679">
        <f t="shared" si="192"/>
        <v>0</v>
      </c>
      <c r="U94" s="786"/>
      <c r="V94" s="770"/>
      <c r="X94" s="771">
        <f t="shared" si="196"/>
        <v>1</v>
      </c>
      <c r="Y94" s="771">
        <f t="shared" si="196"/>
        <v>0</v>
      </c>
      <c r="Z94" s="771">
        <f t="shared" si="196"/>
        <v>0</v>
      </c>
      <c r="AA94" s="771">
        <f t="shared" si="196"/>
        <v>0</v>
      </c>
      <c r="AB94" s="771">
        <f t="shared" si="196"/>
        <v>0</v>
      </c>
      <c r="AC94" s="771">
        <f t="shared" si="196"/>
        <v>0</v>
      </c>
      <c r="AD94" s="771">
        <f t="shared" si="196"/>
        <v>0</v>
      </c>
      <c r="AE94" s="771">
        <f t="shared" si="196"/>
        <v>0</v>
      </c>
      <c r="AF94" s="771">
        <f t="shared" si="196"/>
        <v>0</v>
      </c>
      <c r="AG94" s="771">
        <f t="shared" si="196"/>
        <v>0</v>
      </c>
      <c r="AH94" s="771">
        <f t="shared" si="196"/>
        <v>0</v>
      </c>
      <c r="AI94" s="771">
        <f t="shared" si="196"/>
        <v>0</v>
      </c>
      <c r="AJ94" s="771">
        <f t="shared" si="196"/>
        <v>0</v>
      </c>
      <c r="AK94" s="771">
        <f t="shared" si="196"/>
        <v>0</v>
      </c>
      <c r="AL94" s="771">
        <f t="shared" si="196"/>
        <v>0</v>
      </c>
      <c r="AM94" s="772">
        <f t="shared" si="197"/>
        <v>1</v>
      </c>
    </row>
    <row r="95" spans="2:39" x14ac:dyDescent="0.3">
      <c r="B95" s="245" t="str">
        <f t="shared" si="194"/>
        <v>Gasoline</v>
      </c>
      <c r="C95" s="286" t="s">
        <v>132</v>
      </c>
      <c r="D95" s="679">
        <f t="shared" si="195"/>
        <v>0</v>
      </c>
      <c r="E95" s="679">
        <f t="shared" si="178"/>
        <v>0</v>
      </c>
      <c r="F95" s="679">
        <f t="shared" si="179"/>
        <v>0</v>
      </c>
      <c r="G95" s="679">
        <f t="shared" si="180"/>
        <v>0</v>
      </c>
      <c r="H95" s="679">
        <f t="shared" si="181"/>
        <v>0</v>
      </c>
      <c r="I95" s="679">
        <f t="shared" si="182"/>
        <v>0</v>
      </c>
      <c r="J95" s="679">
        <f t="shared" si="183"/>
        <v>0</v>
      </c>
      <c r="K95" s="679">
        <f t="shared" si="184"/>
        <v>0</v>
      </c>
      <c r="L95" s="679">
        <f t="shared" si="185"/>
        <v>0</v>
      </c>
      <c r="M95" s="679">
        <f t="shared" si="186"/>
        <v>0</v>
      </c>
      <c r="N95" s="679">
        <f t="shared" si="187"/>
        <v>0</v>
      </c>
      <c r="O95" s="679">
        <f t="shared" si="188"/>
        <v>0</v>
      </c>
      <c r="P95" s="679">
        <f t="shared" si="189"/>
        <v>0</v>
      </c>
      <c r="Q95" s="679">
        <f t="shared" si="190"/>
        <v>0</v>
      </c>
      <c r="R95" s="679">
        <f t="shared" si="191"/>
        <v>0</v>
      </c>
      <c r="S95" s="679">
        <f t="shared" si="192"/>
        <v>0</v>
      </c>
      <c r="U95" s="786"/>
      <c r="V95" s="770"/>
      <c r="X95" s="771">
        <f t="shared" si="196"/>
        <v>1</v>
      </c>
      <c r="Y95" s="771">
        <f t="shared" si="196"/>
        <v>0</v>
      </c>
      <c r="Z95" s="771">
        <f t="shared" si="196"/>
        <v>0</v>
      </c>
      <c r="AA95" s="771">
        <f t="shared" si="196"/>
        <v>0</v>
      </c>
      <c r="AB95" s="771">
        <f t="shared" si="196"/>
        <v>0</v>
      </c>
      <c r="AC95" s="771">
        <f t="shared" si="196"/>
        <v>0</v>
      </c>
      <c r="AD95" s="771">
        <f t="shared" si="196"/>
        <v>0</v>
      </c>
      <c r="AE95" s="771">
        <f t="shared" si="196"/>
        <v>0</v>
      </c>
      <c r="AF95" s="771">
        <f t="shared" si="196"/>
        <v>0</v>
      </c>
      <c r="AG95" s="771">
        <f t="shared" si="196"/>
        <v>0</v>
      </c>
      <c r="AH95" s="771">
        <f t="shared" si="196"/>
        <v>0</v>
      </c>
      <c r="AI95" s="771">
        <f t="shared" si="196"/>
        <v>0</v>
      </c>
      <c r="AJ95" s="771">
        <f t="shared" si="196"/>
        <v>0</v>
      </c>
      <c r="AK95" s="771">
        <f t="shared" si="196"/>
        <v>0</v>
      </c>
      <c r="AL95" s="771">
        <f t="shared" si="196"/>
        <v>0</v>
      </c>
      <c r="AM95" s="772">
        <f t="shared" si="197"/>
        <v>1</v>
      </c>
    </row>
    <row r="96" spans="2:39" x14ac:dyDescent="0.3">
      <c r="B96" s="245" t="str">
        <f t="shared" si="194"/>
        <v>Hybrid Electric - diesel</v>
      </c>
      <c r="C96" s="286" t="s">
        <v>133</v>
      </c>
      <c r="D96" s="679">
        <f t="shared" si="195"/>
        <v>0</v>
      </c>
      <c r="E96" s="679">
        <f t="shared" si="178"/>
        <v>0</v>
      </c>
      <c r="F96" s="679">
        <f t="shared" si="179"/>
        <v>0</v>
      </c>
      <c r="G96" s="679">
        <f t="shared" si="180"/>
        <v>0</v>
      </c>
      <c r="H96" s="679">
        <f t="shared" si="181"/>
        <v>0</v>
      </c>
      <c r="I96" s="679">
        <f t="shared" si="182"/>
        <v>0</v>
      </c>
      <c r="J96" s="679">
        <f t="shared" si="183"/>
        <v>0</v>
      </c>
      <c r="K96" s="679">
        <f t="shared" si="184"/>
        <v>0</v>
      </c>
      <c r="L96" s="679">
        <f t="shared" si="185"/>
        <v>0</v>
      </c>
      <c r="M96" s="679">
        <f t="shared" si="186"/>
        <v>0</v>
      </c>
      <c r="N96" s="679">
        <f t="shared" si="187"/>
        <v>0</v>
      </c>
      <c r="O96" s="679">
        <f t="shared" si="188"/>
        <v>0</v>
      </c>
      <c r="P96" s="679">
        <f t="shared" si="189"/>
        <v>0</v>
      </c>
      <c r="Q96" s="679">
        <f t="shared" si="190"/>
        <v>0</v>
      </c>
      <c r="R96" s="679">
        <f t="shared" si="191"/>
        <v>0</v>
      </c>
      <c r="S96" s="679">
        <f t="shared" si="192"/>
        <v>0</v>
      </c>
      <c r="U96" s="786"/>
      <c r="V96" s="770"/>
      <c r="X96" s="771">
        <f t="shared" si="196"/>
        <v>1</v>
      </c>
      <c r="Y96" s="771">
        <f t="shared" si="196"/>
        <v>0</v>
      </c>
      <c r="Z96" s="771">
        <f t="shared" si="196"/>
        <v>0</v>
      </c>
      <c r="AA96" s="771">
        <f t="shared" si="196"/>
        <v>0</v>
      </c>
      <c r="AB96" s="771">
        <f t="shared" si="196"/>
        <v>0</v>
      </c>
      <c r="AC96" s="771">
        <f t="shared" si="196"/>
        <v>0</v>
      </c>
      <c r="AD96" s="771">
        <f t="shared" si="196"/>
        <v>0</v>
      </c>
      <c r="AE96" s="771">
        <f t="shared" si="196"/>
        <v>0</v>
      </c>
      <c r="AF96" s="771">
        <f t="shared" si="196"/>
        <v>0</v>
      </c>
      <c r="AG96" s="771">
        <f t="shared" si="196"/>
        <v>0</v>
      </c>
      <c r="AH96" s="771">
        <f t="shared" si="196"/>
        <v>0</v>
      </c>
      <c r="AI96" s="771">
        <f t="shared" si="196"/>
        <v>0</v>
      </c>
      <c r="AJ96" s="771">
        <f t="shared" si="196"/>
        <v>0</v>
      </c>
      <c r="AK96" s="771">
        <f t="shared" si="196"/>
        <v>0</v>
      </c>
      <c r="AL96" s="771">
        <f t="shared" si="196"/>
        <v>0</v>
      </c>
      <c r="AM96" s="772">
        <f t="shared" si="197"/>
        <v>1</v>
      </c>
    </row>
    <row r="97" spans="2:39" x14ac:dyDescent="0.3">
      <c r="B97" s="245" t="str">
        <f t="shared" si="194"/>
        <v>Hybrid Electric - gasoline</v>
      </c>
      <c r="C97" s="286" t="s">
        <v>134</v>
      </c>
      <c r="D97" s="679">
        <f t="shared" si="195"/>
        <v>0</v>
      </c>
      <c r="E97" s="679">
        <f t="shared" si="178"/>
        <v>0</v>
      </c>
      <c r="F97" s="679">
        <f t="shared" si="179"/>
        <v>0</v>
      </c>
      <c r="G97" s="679">
        <f t="shared" si="180"/>
        <v>0</v>
      </c>
      <c r="H97" s="679">
        <f t="shared" si="181"/>
        <v>0</v>
      </c>
      <c r="I97" s="679">
        <f t="shared" si="182"/>
        <v>0</v>
      </c>
      <c r="J97" s="679">
        <f t="shared" si="183"/>
        <v>0</v>
      </c>
      <c r="K97" s="679">
        <f t="shared" si="184"/>
        <v>0</v>
      </c>
      <c r="L97" s="679">
        <f t="shared" si="185"/>
        <v>0</v>
      </c>
      <c r="M97" s="679">
        <f t="shared" si="186"/>
        <v>0</v>
      </c>
      <c r="N97" s="679">
        <f t="shared" si="187"/>
        <v>0</v>
      </c>
      <c r="O97" s="679">
        <f t="shared" si="188"/>
        <v>0</v>
      </c>
      <c r="P97" s="679">
        <f t="shared" si="189"/>
        <v>0</v>
      </c>
      <c r="Q97" s="679">
        <f t="shared" si="190"/>
        <v>0</v>
      </c>
      <c r="R97" s="679">
        <f t="shared" si="191"/>
        <v>0</v>
      </c>
      <c r="S97" s="679">
        <f t="shared" si="192"/>
        <v>0</v>
      </c>
      <c r="U97" s="786"/>
      <c r="V97" s="770"/>
      <c r="X97" s="771">
        <f t="shared" si="196"/>
        <v>1</v>
      </c>
      <c r="Y97" s="771">
        <f t="shared" si="196"/>
        <v>0</v>
      </c>
      <c r="Z97" s="771">
        <f t="shared" si="196"/>
        <v>0</v>
      </c>
      <c r="AA97" s="771">
        <f t="shared" si="196"/>
        <v>0</v>
      </c>
      <c r="AB97" s="771">
        <f t="shared" si="196"/>
        <v>0</v>
      </c>
      <c r="AC97" s="771">
        <f t="shared" si="196"/>
        <v>0</v>
      </c>
      <c r="AD97" s="771">
        <f t="shared" si="196"/>
        <v>0</v>
      </c>
      <c r="AE97" s="771">
        <f t="shared" si="196"/>
        <v>0</v>
      </c>
      <c r="AF97" s="771">
        <f t="shared" si="196"/>
        <v>0</v>
      </c>
      <c r="AG97" s="771">
        <f t="shared" si="196"/>
        <v>0</v>
      </c>
      <c r="AH97" s="771">
        <f t="shared" si="196"/>
        <v>0</v>
      </c>
      <c r="AI97" s="771">
        <f t="shared" si="196"/>
        <v>0</v>
      </c>
      <c r="AJ97" s="771">
        <f t="shared" si="196"/>
        <v>0</v>
      </c>
      <c r="AK97" s="771">
        <f t="shared" si="196"/>
        <v>0</v>
      </c>
      <c r="AL97" s="771">
        <f t="shared" si="196"/>
        <v>0</v>
      </c>
      <c r="AM97" s="772">
        <f t="shared" si="197"/>
        <v>1</v>
      </c>
    </row>
    <row r="98" spans="2:39" x14ac:dyDescent="0.3">
      <c r="B98" s="245" t="str">
        <f t="shared" si="194"/>
        <v>LPG</v>
      </c>
      <c r="C98" s="286" t="s">
        <v>135</v>
      </c>
      <c r="D98" s="679">
        <f t="shared" si="195"/>
        <v>0</v>
      </c>
      <c r="E98" s="679">
        <f t="shared" si="178"/>
        <v>0</v>
      </c>
      <c r="F98" s="679">
        <f t="shared" si="179"/>
        <v>0</v>
      </c>
      <c r="G98" s="679">
        <f t="shared" si="180"/>
        <v>0</v>
      </c>
      <c r="H98" s="679">
        <f t="shared" si="181"/>
        <v>0</v>
      </c>
      <c r="I98" s="679">
        <f t="shared" si="182"/>
        <v>0</v>
      </c>
      <c r="J98" s="679">
        <f t="shared" si="183"/>
        <v>0</v>
      </c>
      <c r="K98" s="679">
        <f t="shared" si="184"/>
        <v>0</v>
      </c>
      <c r="L98" s="679">
        <f t="shared" si="185"/>
        <v>0</v>
      </c>
      <c r="M98" s="679">
        <f t="shared" si="186"/>
        <v>0</v>
      </c>
      <c r="N98" s="679">
        <f t="shared" si="187"/>
        <v>0</v>
      </c>
      <c r="O98" s="679">
        <f t="shared" si="188"/>
        <v>0</v>
      </c>
      <c r="P98" s="679">
        <f t="shared" si="189"/>
        <v>0</v>
      </c>
      <c r="Q98" s="679">
        <f t="shared" si="190"/>
        <v>0</v>
      </c>
      <c r="R98" s="679">
        <f t="shared" si="191"/>
        <v>0</v>
      </c>
      <c r="S98" s="679">
        <f t="shared" si="192"/>
        <v>0</v>
      </c>
      <c r="U98" s="786"/>
      <c r="V98" s="770"/>
      <c r="X98" s="771">
        <f t="shared" si="196"/>
        <v>1</v>
      </c>
      <c r="Y98" s="771">
        <f t="shared" si="196"/>
        <v>0</v>
      </c>
      <c r="Z98" s="771">
        <f t="shared" si="196"/>
        <v>0</v>
      </c>
      <c r="AA98" s="771">
        <f t="shared" si="196"/>
        <v>0</v>
      </c>
      <c r="AB98" s="771">
        <f t="shared" si="196"/>
        <v>0</v>
      </c>
      <c r="AC98" s="771">
        <f t="shared" si="196"/>
        <v>0</v>
      </c>
      <c r="AD98" s="771">
        <f t="shared" si="196"/>
        <v>0</v>
      </c>
      <c r="AE98" s="771">
        <f t="shared" si="196"/>
        <v>0</v>
      </c>
      <c r="AF98" s="771">
        <f t="shared" si="196"/>
        <v>0</v>
      </c>
      <c r="AG98" s="771">
        <f t="shared" si="196"/>
        <v>0</v>
      </c>
      <c r="AH98" s="771">
        <f t="shared" si="196"/>
        <v>0</v>
      </c>
      <c r="AI98" s="771">
        <f t="shared" si="196"/>
        <v>0</v>
      </c>
      <c r="AJ98" s="771">
        <f t="shared" si="196"/>
        <v>0</v>
      </c>
      <c r="AK98" s="771">
        <f t="shared" si="196"/>
        <v>0</v>
      </c>
      <c r="AL98" s="771">
        <f t="shared" si="196"/>
        <v>0</v>
      </c>
      <c r="AM98" s="772">
        <f t="shared" si="197"/>
        <v>1</v>
      </c>
    </row>
    <row r="99" spans="2:39" x14ac:dyDescent="0.3">
      <c r="B99" s="245" t="str">
        <f t="shared" si="194"/>
        <v>Plugin Hybrid Electric - diesel</v>
      </c>
      <c r="C99" s="286" t="s">
        <v>136</v>
      </c>
      <c r="D99" s="679">
        <f t="shared" si="195"/>
        <v>0</v>
      </c>
      <c r="E99" s="679">
        <f t="shared" si="178"/>
        <v>0</v>
      </c>
      <c r="F99" s="679">
        <f t="shared" si="179"/>
        <v>0</v>
      </c>
      <c r="G99" s="679">
        <f t="shared" si="180"/>
        <v>0</v>
      </c>
      <c r="H99" s="679">
        <f t="shared" si="181"/>
        <v>0</v>
      </c>
      <c r="I99" s="679">
        <f t="shared" si="182"/>
        <v>0</v>
      </c>
      <c r="J99" s="679">
        <f t="shared" si="183"/>
        <v>0</v>
      </c>
      <c r="K99" s="679">
        <f t="shared" si="184"/>
        <v>0</v>
      </c>
      <c r="L99" s="679">
        <f t="shared" si="185"/>
        <v>0</v>
      </c>
      <c r="M99" s="679">
        <f t="shared" si="186"/>
        <v>0</v>
      </c>
      <c r="N99" s="679">
        <f t="shared" si="187"/>
        <v>0</v>
      </c>
      <c r="O99" s="679">
        <f t="shared" si="188"/>
        <v>0</v>
      </c>
      <c r="P99" s="679">
        <f t="shared" si="189"/>
        <v>0</v>
      </c>
      <c r="Q99" s="679">
        <f t="shared" si="190"/>
        <v>0</v>
      </c>
      <c r="R99" s="679">
        <f t="shared" si="191"/>
        <v>0</v>
      </c>
      <c r="S99" s="679">
        <f t="shared" si="192"/>
        <v>0</v>
      </c>
      <c r="U99" s="786"/>
      <c r="V99" s="770"/>
      <c r="X99" s="771">
        <f t="shared" si="196"/>
        <v>1</v>
      </c>
      <c r="Y99" s="771">
        <f t="shared" si="196"/>
        <v>0</v>
      </c>
      <c r="Z99" s="771">
        <f t="shared" si="196"/>
        <v>0</v>
      </c>
      <c r="AA99" s="771">
        <f t="shared" si="196"/>
        <v>0</v>
      </c>
      <c r="AB99" s="771">
        <f t="shared" si="196"/>
        <v>0</v>
      </c>
      <c r="AC99" s="771">
        <f t="shared" si="196"/>
        <v>0</v>
      </c>
      <c r="AD99" s="771">
        <f t="shared" si="196"/>
        <v>0</v>
      </c>
      <c r="AE99" s="771">
        <f t="shared" si="196"/>
        <v>0</v>
      </c>
      <c r="AF99" s="771">
        <f t="shared" si="196"/>
        <v>0</v>
      </c>
      <c r="AG99" s="771">
        <f t="shared" si="196"/>
        <v>0</v>
      </c>
      <c r="AH99" s="771">
        <f t="shared" si="196"/>
        <v>0</v>
      </c>
      <c r="AI99" s="771">
        <f t="shared" si="196"/>
        <v>0</v>
      </c>
      <c r="AJ99" s="771">
        <f t="shared" si="196"/>
        <v>0</v>
      </c>
      <c r="AK99" s="771">
        <f t="shared" si="196"/>
        <v>0</v>
      </c>
      <c r="AL99" s="771">
        <f t="shared" si="196"/>
        <v>0</v>
      </c>
      <c r="AM99" s="772">
        <f t="shared" si="197"/>
        <v>1</v>
      </c>
    </row>
    <row r="100" spans="2:39" x14ac:dyDescent="0.3">
      <c r="B100" s="245" t="str">
        <f t="shared" si="194"/>
        <v>Plugin Hybrid Electric - gasoline</v>
      </c>
      <c r="C100" s="286" t="s">
        <v>137</v>
      </c>
      <c r="D100" s="679">
        <f t="shared" si="195"/>
        <v>0</v>
      </c>
      <c r="E100" s="679">
        <f t="shared" si="178"/>
        <v>0</v>
      </c>
      <c r="F100" s="679">
        <f t="shared" si="179"/>
        <v>0</v>
      </c>
      <c r="G100" s="679">
        <f t="shared" si="180"/>
        <v>0</v>
      </c>
      <c r="H100" s="679">
        <f t="shared" si="181"/>
        <v>0</v>
      </c>
      <c r="I100" s="679">
        <f t="shared" si="182"/>
        <v>0</v>
      </c>
      <c r="J100" s="679">
        <f t="shared" si="183"/>
        <v>0</v>
      </c>
      <c r="K100" s="679">
        <f t="shared" si="184"/>
        <v>0</v>
      </c>
      <c r="L100" s="679">
        <f t="shared" si="185"/>
        <v>0</v>
      </c>
      <c r="M100" s="679">
        <f t="shared" si="186"/>
        <v>0</v>
      </c>
      <c r="N100" s="679">
        <f t="shared" si="187"/>
        <v>0</v>
      </c>
      <c r="O100" s="679">
        <f t="shared" si="188"/>
        <v>0</v>
      </c>
      <c r="P100" s="679">
        <f t="shared" si="189"/>
        <v>0</v>
      </c>
      <c r="Q100" s="679">
        <f t="shared" si="190"/>
        <v>0</v>
      </c>
      <c r="R100" s="679">
        <f t="shared" si="191"/>
        <v>0</v>
      </c>
      <c r="S100" s="679">
        <f t="shared" si="192"/>
        <v>0</v>
      </c>
      <c r="U100" s="786"/>
      <c r="V100" s="770"/>
      <c r="X100" s="771">
        <f t="shared" si="196"/>
        <v>1</v>
      </c>
      <c r="Y100" s="771">
        <f t="shared" si="196"/>
        <v>0</v>
      </c>
      <c r="Z100" s="771">
        <f t="shared" si="196"/>
        <v>0</v>
      </c>
      <c r="AA100" s="771">
        <f t="shared" si="196"/>
        <v>0</v>
      </c>
      <c r="AB100" s="771">
        <f t="shared" si="196"/>
        <v>0</v>
      </c>
      <c r="AC100" s="771">
        <f t="shared" si="196"/>
        <v>0</v>
      </c>
      <c r="AD100" s="771">
        <f t="shared" si="196"/>
        <v>0</v>
      </c>
      <c r="AE100" s="771">
        <f t="shared" si="196"/>
        <v>0</v>
      </c>
      <c r="AF100" s="771">
        <f t="shared" si="196"/>
        <v>0</v>
      </c>
      <c r="AG100" s="771">
        <f t="shared" si="196"/>
        <v>0</v>
      </c>
      <c r="AH100" s="771">
        <f t="shared" si="196"/>
        <v>0</v>
      </c>
      <c r="AI100" s="771">
        <f t="shared" si="196"/>
        <v>0</v>
      </c>
      <c r="AJ100" s="771">
        <f t="shared" si="196"/>
        <v>0</v>
      </c>
      <c r="AK100" s="771">
        <f t="shared" si="196"/>
        <v>0</v>
      </c>
      <c r="AL100" s="771">
        <f t="shared" si="196"/>
        <v>0</v>
      </c>
      <c r="AM100" s="772">
        <f t="shared" si="197"/>
        <v>1</v>
      </c>
    </row>
    <row r="101" spans="2:39" x14ac:dyDescent="0.3">
      <c r="B101" s="250" t="str">
        <f t="shared" si="194"/>
        <v>Other</v>
      </c>
      <c r="C101" s="523"/>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7"/>
      <c r="V101" s="774"/>
      <c r="X101" s="771">
        <f t="shared" si="196"/>
        <v>1</v>
      </c>
      <c r="Y101" s="771">
        <f t="shared" si="196"/>
        <v>0</v>
      </c>
      <c r="Z101" s="771">
        <f t="shared" si="196"/>
        <v>0</v>
      </c>
      <c r="AA101" s="771">
        <f t="shared" si="196"/>
        <v>0</v>
      </c>
      <c r="AB101" s="771">
        <f t="shared" si="196"/>
        <v>0</v>
      </c>
      <c r="AC101" s="771">
        <f t="shared" si="196"/>
        <v>0</v>
      </c>
      <c r="AD101" s="771">
        <f>AD$6</f>
        <v>0</v>
      </c>
      <c r="AE101" s="771">
        <f t="shared" si="196"/>
        <v>0</v>
      </c>
      <c r="AF101" s="771">
        <f t="shared" si="196"/>
        <v>0</v>
      </c>
      <c r="AG101" s="771">
        <f t="shared" si="196"/>
        <v>0</v>
      </c>
      <c r="AH101" s="771">
        <f t="shared" si="196"/>
        <v>0</v>
      </c>
      <c r="AI101" s="771">
        <f t="shared" si="196"/>
        <v>0</v>
      </c>
      <c r="AJ101" s="771">
        <f t="shared" si="196"/>
        <v>0</v>
      </c>
      <c r="AK101" s="771">
        <f t="shared" si="196"/>
        <v>0</v>
      </c>
      <c r="AL101" s="771">
        <f t="shared" si="196"/>
        <v>0</v>
      </c>
      <c r="AM101" s="772">
        <f t="shared" si="197"/>
        <v>1</v>
      </c>
    </row>
    <row r="102" spans="2:39" x14ac:dyDescent="0.3">
      <c r="B102" s="131" t="s">
        <v>119</v>
      </c>
      <c r="C102" s="524"/>
      <c r="D102" s="680">
        <f>SUM(D90:D101)</f>
        <v>0</v>
      </c>
      <c r="E102" s="680">
        <f t="shared" ref="E102" si="198">SUM(E90:E101)</f>
        <v>0</v>
      </c>
      <c r="F102" s="680">
        <f t="shared" ref="F102" si="199">SUM(F90:F101)</f>
        <v>0</v>
      </c>
      <c r="G102" s="680">
        <f t="shared" ref="G102" si="200">SUM(G90:G101)</f>
        <v>0</v>
      </c>
      <c r="H102" s="680">
        <f t="shared" ref="H102" si="201">SUM(H90:H101)</f>
        <v>0</v>
      </c>
      <c r="I102" s="680">
        <f t="shared" ref="I102" si="202">SUM(I90:I101)</f>
        <v>0</v>
      </c>
      <c r="J102" s="680">
        <f t="shared" ref="J102" si="203">SUM(J90:J101)</f>
        <v>0</v>
      </c>
      <c r="K102" s="680">
        <f t="shared" ref="K102" si="204">SUM(K90:K101)</f>
        <v>0</v>
      </c>
      <c r="L102" s="680">
        <f t="shared" ref="L102" si="205">SUM(L90:L101)</f>
        <v>0</v>
      </c>
      <c r="M102" s="680">
        <f t="shared" ref="M102" si="206">SUM(M90:M101)</f>
        <v>0</v>
      </c>
      <c r="N102" s="680">
        <f t="shared" ref="N102" si="207">SUM(N90:N101)</f>
        <v>0</v>
      </c>
      <c r="O102" s="680">
        <f t="shared" ref="O102" si="208">SUM(O90:O101)</f>
        <v>0</v>
      </c>
      <c r="P102" s="680">
        <f t="shared" ref="P102" si="209">SUM(P90:P101)</f>
        <v>0</v>
      </c>
      <c r="Q102" s="680">
        <f t="shared" ref="Q102" si="210">SUM(Q90:Q101)</f>
        <v>0</v>
      </c>
      <c r="R102" s="680">
        <f t="shared" ref="R102" si="211">SUM(R90:R101)</f>
        <v>0</v>
      </c>
      <c r="S102" s="680">
        <f t="shared" ref="S102" si="212">SUM(S90:S101)</f>
        <v>0</v>
      </c>
      <c r="U102" s="775">
        <f>SUM(U90:U101)</f>
        <v>0</v>
      </c>
      <c r="V102" s="781">
        <f>SUM(V90:V101)</f>
        <v>0</v>
      </c>
    </row>
    <row r="104" spans="2:39" x14ac:dyDescent="0.3">
      <c r="B104" s="441" t="s">
        <v>138</v>
      </c>
      <c r="C104" s="522"/>
      <c r="V104" s="785"/>
      <c r="X104" s="763" t="s">
        <v>99</v>
      </c>
    </row>
    <row r="105" spans="2:39" x14ac:dyDescent="0.3">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8" t="s">
        <v>105</v>
      </c>
      <c r="V105" s="768" t="str">
        <f>V$9</f>
        <v>City vehicles</v>
      </c>
      <c r="X105" s="765" t="str">
        <f t="shared" ref="X105:AL105" si="214">D105</f>
        <v>Z01</v>
      </c>
      <c r="Y105" s="765" t="str">
        <f t="shared" si="214"/>
        <v>Z02</v>
      </c>
      <c r="Z105" s="765" t="str">
        <f t="shared" si="214"/>
        <v>Z03</v>
      </c>
      <c r="AA105" s="765" t="str">
        <f t="shared" si="214"/>
        <v>Z04</v>
      </c>
      <c r="AB105" s="765" t="str">
        <f t="shared" si="214"/>
        <v>Z05</v>
      </c>
      <c r="AC105" s="765" t="str">
        <f t="shared" si="214"/>
        <v>Z06</v>
      </c>
      <c r="AD105" s="765" t="str">
        <f t="shared" si="214"/>
        <v>Z07</v>
      </c>
      <c r="AE105" s="765" t="str">
        <f t="shared" si="214"/>
        <v>Z08</v>
      </c>
      <c r="AF105" s="765" t="str">
        <f t="shared" si="214"/>
        <v>Z09</v>
      </c>
      <c r="AG105" s="765" t="str">
        <f t="shared" si="214"/>
        <v>Z10</v>
      </c>
      <c r="AH105" s="765" t="str">
        <f t="shared" si="214"/>
        <v>Z11</v>
      </c>
      <c r="AI105" s="765" t="str">
        <f t="shared" si="214"/>
        <v>Z12</v>
      </c>
      <c r="AJ105" s="765" t="str">
        <f t="shared" si="214"/>
        <v>Z13</v>
      </c>
      <c r="AK105" s="765" t="str">
        <f t="shared" si="214"/>
        <v>Z14</v>
      </c>
      <c r="AL105" s="765" t="str">
        <f t="shared" si="214"/>
        <v>Z15</v>
      </c>
      <c r="AM105" s="765" t="s">
        <v>100</v>
      </c>
    </row>
    <row r="106" spans="2:39" x14ac:dyDescent="0.3">
      <c r="B106" s="245" t="str">
        <f>B90</f>
        <v>Biodiesel</v>
      </c>
      <c r="C106" s="286" t="s">
        <v>139</v>
      </c>
      <c r="D106" s="679">
        <f>$V106*X106</f>
        <v>0</v>
      </c>
      <c r="E106" s="679">
        <f t="shared" ref="E106:E117" si="215">$V106*Y106</f>
        <v>0</v>
      </c>
      <c r="F106" s="679">
        <f t="shared" ref="F106:F117" si="216">$V106*Z106</f>
        <v>0</v>
      </c>
      <c r="G106" s="679">
        <f t="shared" ref="G106:G117" si="217">$V106*AA106</f>
        <v>0</v>
      </c>
      <c r="H106" s="679">
        <f t="shared" ref="H106:H117" si="218">$V106*AB106</f>
        <v>0</v>
      </c>
      <c r="I106" s="679">
        <f t="shared" ref="I106:I117" si="219">$V106*AC106</f>
        <v>0</v>
      </c>
      <c r="J106" s="679">
        <f t="shared" ref="J106:J117" si="220">$V106*AD106</f>
        <v>0</v>
      </c>
      <c r="K106" s="679">
        <f t="shared" ref="K106:K117" si="221">$V106*AE106</f>
        <v>0</v>
      </c>
      <c r="L106" s="679">
        <f t="shared" ref="L106:L117" si="222">$V106*AF106</f>
        <v>0</v>
      </c>
      <c r="M106" s="679">
        <f t="shared" ref="M106:M117" si="223">$V106*AG106</f>
        <v>0</v>
      </c>
      <c r="N106" s="679">
        <f t="shared" ref="N106:N117" si="224">$V106*AH106</f>
        <v>0</v>
      </c>
      <c r="O106" s="679">
        <f t="shared" ref="O106:O117" si="225">$V106*AI106</f>
        <v>0</v>
      </c>
      <c r="P106" s="679">
        <f t="shared" ref="P106:P117" si="226">$V106*AJ106</f>
        <v>0</v>
      </c>
      <c r="Q106" s="679">
        <f t="shared" ref="Q106:Q117" si="227">$V106*AK106</f>
        <v>0</v>
      </c>
      <c r="R106" s="679">
        <f t="shared" ref="R106:R117" si="228">$V106*AL106</f>
        <v>0</v>
      </c>
      <c r="S106" s="679">
        <f t="shared" ref="S106:S117" si="229">$V106*AM106</f>
        <v>0</v>
      </c>
      <c r="U106" s="786"/>
      <c r="V106" s="770"/>
      <c r="X106" s="771">
        <f>X$6</f>
        <v>1</v>
      </c>
      <c r="Y106" s="771">
        <f t="shared" ref="Y106:AL106" si="230">Y$6</f>
        <v>0</v>
      </c>
      <c r="Z106" s="771">
        <f t="shared" si="230"/>
        <v>0</v>
      </c>
      <c r="AA106" s="771">
        <f t="shared" si="230"/>
        <v>0</v>
      </c>
      <c r="AB106" s="771">
        <f t="shared" si="230"/>
        <v>0</v>
      </c>
      <c r="AC106" s="771">
        <f t="shared" si="230"/>
        <v>0</v>
      </c>
      <c r="AD106" s="771">
        <f t="shared" si="230"/>
        <v>0</v>
      </c>
      <c r="AE106" s="771">
        <f t="shared" si="230"/>
        <v>0</v>
      </c>
      <c r="AF106" s="771">
        <f t="shared" si="230"/>
        <v>0</v>
      </c>
      <c r="AG106" s="771">
        <f t="shared" si="230"/>
        <v>0</v>
      </c>
      <c r="AH106" s="771">
        <f t="shared" si="230"/>
        <v>0</v>
      </c>
      <c r="AI106" s="771">
        <f t="shared" si="230"/>
        <v>0</v>
      </c>
      <c r="AJ106" s="771">
        <f t="shared" si="230"/>
        <v>0</v>
      </c>
      <c r="AK106" s="771">
        <f t="shared" si="230"/>
        <v>0</v>
      </c>
      <c r="AL106" s="771">
        <f t="shared" si="230"/>
        <v>0</v>
      </c>
      <c r="AM106" s="772">
        <f>SUM(X106:AI106)</f>
        <v>1</v>
      </c>
    </row>
    <row r="107" spans="2:39" x14ac:dyDescent="0.3">
      <c r="B107" s="245" t="str">
        <f t="shared" ref="B107:B117" si="231">B91</f>
        <v>Diesel</v>
      </c>
      <c r="C107" s="286" t="s">
        <v>140</v>
      </c>
      <c r="D107" s="679">
        <f t="shared" ref="D107:D117" si="232">$V107*X107</f>
        <v>0</v>
      </c>
      <c r="E107" s="679">
        <f t="shared" si="215"/>
        <v>0</v>
      </c>
      <c r="F107" s="679">
        <f t="shared" si="216"/>
        <v>0</v>
      </c>
      <c r="G107" s="679">
        <f t="shared" si="217"/>
        <v>0</v>
      </c>
      <c r="H107" s="679">
        <f t="shared" si="218"/>
        <v>0</v>
      </c>
      <c r="I107" s="679">
        <f t="shared" si="219"/>
        <v>0</v>
      </c>
      <c r="J107" s="679">
        <f t="shared" si="220"/>
        <v>0</v>
      </c>
      <c r="K107" s="679">
        <f t="shared" si="221"/>
        <v>0</v>
      </c>
      <c r="L107" s="679">
        <f t="shared" si="222"/>
        <v>0</v>
      </c>
      <c r="M107" s="679">
        <f t="shared" si="223"/>
        <v>0</v>
      </c>
      <c r="N107" s="679">
        <f t="shared" si="224"/>
        <v>0</v>
      </c>
      <c r="O107" s="679">
        <f t="shared" si="225"/>
        <v>0</v>
      </c>
      <c r="P107" s="679">
        <f t="shared" si="226"/>
        <v>0</v>
      </c>
      <c r="Q107" s="679">
        <f t="shared" si="227"/>
        <v>0</v>
      </c>
      <c r="R107" s="679">
        <f t="shared" si="228"/>
        <v>0</v>
      </c>
      <c r="S107" s="679">
        <f t="shared" si="229"/>
        <v>0</v>
      </c>
      <c r="T107" s="310"/>
      <c r="U107" s="786"/>
      <c r="V107" s="770"/>
      <c r="X107" s="771">
        <f t="shared" ref="X107:AL117" si="233">X$6</f>
        <v>1</v>
      </c>
      <c r="Y107" s="771">
        <f t="shared" si="233"/>
        <v>0</v>
      </c>
      <c r="Z107" s="771">
        <f t="shared" si="233"/>
        <v>0</v>
      </c>
      <c r="AA107" s="771">
        <f t="shared" si="233"/>
        <v>0</v>
      </c>
      <c r="AB107" s="771">
        <f t="shared" si="233"/>
        <v>0</v>
      </c>
      <c r="AC107" s="771">
        <f t="shared" si="233"/>
        <v>0</v>
      </c>
      <c r="AD107" s="771">
        <f t="shared" si="233"/>
        <v>0</v>
      </c>
      <c r="AE107" s="771">
        <f t="shared" si="233"/>
        <v>0</v>
      </c>
      <c r="AF107" s="771">
        <f t="shared" si="233"/>
        <v>0</v>
      </c>
      <c r="AG107" s="771">
        <f t="shared" si="233"/>
        <v>0</v>
      </c>
      <c r="AH107" s="771">
        <f t="shared" si="233"/>
        <v>0</v>
      </c>
      <c r="AI107" s="771">
        <f t="shared" si="233"/>
        <v>0</v>
      </c>
      <c r="AJ107" s="771">
        <f t="shared" si="233"/>
        <v>0</v>
      </c>
      <c r="AK107" s="771">
        <f t="shared" si="233"/>
        <v>0</v>
      </c>
      <c r="AL107" s="771">
        <f t="shared" si="233"/>
        <v>0</v>
      </c>
      <c r="AM107" s="772">
        <f>SUM(X107:AI107)</f>
        <v>1</v>
      </c>
    </row>
    <row r="108" spans="2:39" x14ac:dyDescent="0.3">
      <c r="B108" s="245" t="str">
        <f t="shared" si="231"/>
        <v>Battery electric (BEV)</v>
      </c>
      <c r="C108" s="286" t="s">
        <v>141</v>
      </c>
      <c r="D108" s="679">
        <f t="shared" si="232"/>
        <v>0</v>
      </c>
      <c r="E108" s="679">
        <f t="shared" si="215"/>
        <v>0</v>
      </c>
      <c r="F108" s="679">
        <f t="shared" si="216"/>
        <v>0</v>
      </c>
      <c r="G108" s="679">
        <f t="shared" si="217"/>
        <v>0</v>
      </c>
      <c r="H108" s="679">
        <f t="shared" si="218"/>
        <v>0</v>
      </c>
      <c r="I108" s="679">
        <f t="shared" si="219"/>
        <v>0</v>
      </c>
      <c r="J108" s="679">
        <f t="shared" si="220"/>
        <v>0</v>
      </c>
      <c r="K108" s="679">
        <f t="shared" si="221"/>
        <v>0</v>
      </c>
      <c r="L108" s="679">
        <f t="shared" si="222"/>
        <v>0</v>
      </c>
      <c r="M108" s="679">
        <f t="shared" si="223"/>
        <v>0</v>
      </c>
      <c r="N108" s="679">
        <f t="shared" si="224"/>
        <v>0</v>
      </c>
      <c r="O108" s="679">
        <f t="shared" si="225"/>
        <v>0</v>
      </c>
      <c r="P108" s="679">
        <f t="shared" si="226"/>
        <v>0</v>
      </c>
      <c r="Q108" s="679">
        <f t="shared" si="227"/>
        <v>0</v>
      </c>
      <c r="R108" s="679">
        <f t="shared" si="228"/>
        <v>0</v>
      </c>
      <c r="S108" s="679">
        <f t="shared" si="229"/>
        <v>0</v>
      </c>
      <c r="U108" s="786"/>
      <c r="V108" s="770"/>
      <c r="X108" s="771">
        <f t="shared" si="233"/>
        <v>1</v>
      </c>
      <c r="Y108" s="771">
        <f t="shared" si="233"/>
        <v>0</v>
      </c>
      <c r="Z108" s="771">
        <f t="shared" si="233"/>
        <v>0</v>
      </c>
      <c r="AA108" s="771">
        <f t="shared" si="233"/>
        <v>0</v>
      </c>
      <c r="AB108" s="771">
        <f t="shared" si="233"/>
        <v>0</v>
      </c>
      <c r="AC108" s="771">
        <f t="shared" si="233"/>
        <v>0</v>
      </c>
      <c r="AD108" s="771">
        <f t="shared" si="233"/>
        <v>0</v>
      </c>
      <c r="AE108" s="771">
        <f t="shared" si="233"/>
        <v>0</v>
      </c>
      <c r="AF108" s="771">
        <f t="shared" si="233"/>
        <v>0</v>
      </c>
      <c r="AG108" s="771">
        <f t="shared" si="233"/>
        <v>0</v>
      </c>
      <c r="AH108" s="771">
        <f t="shared" si="233"/>
        <v>0</v>
      </c>
      <c r="AI108" s="771">
        <f t="shared" si="233"/>
        <v>0</v>
      </c>
      <c r="AJ108" s="771">
        <f t="shared" si="233"/>
        <v>0</v>
      </c>
      <c r="AK108" s="771">
        <f t="shared" si="233"/>
        <v>0</v>
      </c>
      <c r="AL108" s="771">
        <f t="shared" si="233"/>
        <v>0</v>
      </c>
      <c r="AM108" s="772">
        <f t="shared" ref="AM108:AM117" si="234">SUM(X108:AI108)</f>
        <v>1</v>
      </c>
    </row>
    <row r="109" spans="2:39" x14ac:dyDescent="0.3">
      <c r="B109" s="245" t="str">
        <f t="shared" si="231"/>
        <v>Ethanol</v>
      </c>
      <c r="C109" s="286" t="s">
        <v>142</v>
      </c>
      <c r="D109" s="679">
        <f t="shared" si="232"/>
        <v>0</v>
      </c>
      <c r="E109" s="679">
        <f t="shared" si="215"/>
        <v>0</v>
      </c>
      <c r="F109" s="679">
        <f t="shared" si="216"/>
        <v>0</v>
      </c>
      <c r="G109" s="679">
        <f t="shared" si="217"/>
        <v>0</v>
      </c>
      <c r="H109" s="679">
        <f t="shared" si="218"/>
        <v>0</v>
      </c>
      <c r="I109" s="679">
        <f t="shared" si="219"/>
        <v>0</v>
      </c>
      <c r="J109" s="679">
        <f t="shared" si="220"/>
        <v>0</v>
      </c>
      <c r="K109" s="679">
        <f t="shared" si="221"/>
        <v>0</v>
      </c>
      <c r="L109" s="679">
        <f t="shared" si="222"/>
        <v>0</v>
      </c>
      <c r="M109" s="679">
        <f t="shared" si="223"/>
        <v>0</v>
      </c>
      <c r="N109" s="679">
        <f t="shared" si="224"/>
        <v>0</v>
      </c>
      <c r="O109" s="679">
        <f t="shared" si="225"/>
        <v>0</v>
      </c>
      <c r="P109" s="679">
        <f t="shared" si="226"/>
        <v>0</v>
      </c>
      <c r="Q109" s="679">
        <f t="shared" si="227"/>
        <v>0</v>
      </c>
      <c r="R109" s="679">
        <f t="shared" si="228"/>
        <v>0</v>
      </c>
      <c r="S109" s="679">
        <f t="shared" si="229"/>
        <v>0</v>
      </c>
      <c r="U109" s="786"/>
      <c r="V109" s="770"/>
      <c r="X109" s="771">
        <f t="shared" si="233"/>
        <v>1</v>
      </c>
      <c r="Y109" s="771">
        <f t="shared" si="233"/>
        <v>0</v>
      </c>
      <c r="Z109" s="771">
        <f t="shared" si="233"/>
        <v>0</v>
      </c>
      <c r="AA109" s="771">
        <f t="shared" si="233"/>
        <v>0</v>
      </c>
      <c r="AB109" s="771">
        <f t="shared" si="233"/>
        <v>0</v>
      </c>
      <c r="AC109" s="771">
        <f t="shared" si="233"/>
        <v>0</v>
      </c>
      <c r="AD109" s="771">
        <f t="shared" si="233"/>
        <v>0</v>
      </c>
      <c r="AE109" s="771">
        <f t="shared" si="233"/>
        <v>0</v>
      </c>
      <c r="AF109" s="771">
        <f t="shared" si="233"/>
        <v>0</v>
      </c>
      <c r="AG109" s="771">
        <f t="shared" si="233"/>
        <v>0</v>
      </c>
      <c r="AH109" s="771">
        <f t="shared" si="233"/>
        <v>0</v>
      </c>
      <c r="AI109" s="771">
        <f t="shared" si="233"/>
        <v>0</v>
      </c>
      <c r="AJ109" s="771">
        <f t="shared" si="233"/>
        <v>0</v>
      </c>
      <c r="AK109" s="771">
        <f t="shared" si="233"/>
        <v>0</v>
      </c>
      <c r="AL109" s="771">
        <f t="shared" si="233"/>
        <v>0</v>
      </c>
      <c r="AM109" s="772">
        <f t="shared" si="234"/>
        <v>1</v>
      </c>
    </row>
    <row r="110" spans="2:39" x14ac:dyDescent="0.3">
      <c r="B110" s="245" t="str">
        <f t="shared" si="231"/>
        <v>Gas (CNG)</v>
      </c>
      <c r="C110" s="286" t="s">
        <v>143</v>
      </c>
      <c r="D110" s="679">
        <f t="shared" si="232"/>
        <v>0</v>
      </c>
      <c r="E110" s="679">
        <f t="shared" si="215"/>
        <v>0</v>
      </c>
      <c r="F110" s="679">
        <f t="shared" si="216"/>
        <v>0</v>
      </c>
      <c r="G110" s="679">
        <f t="shared" si="217"/>
        <v>0</v>
      </c>
      <c r="H110" s="679">
        <f t="shared" si="218"/>
        <v>0</v>
      </c>
      <c r="I110" s="679">
        <f t="shared" si="219"/>
        <v>0</v>
      </c>
      <c r="J110" s="679">
        <f t="shared" si="220"/>
        <v>0</v>
      </c>
      <c r="K110" s="679">
        <f t="shared" si="221"/>
        <v>0</v>
      </c>
      <c r="L110" s="679">
        <f t="shared" si="222"/>
        <v>0</v>
      </c>
      <c r="M110" s="679">
        <f t="shared" si="223"/>
        <v>0</v>
      </c>
      <c r="N110" s="679">
        <f t="shared" si="224"/>
        <v>0</v>
      </c>
      <c r="O110" s="679">
        <f t="shared" si="225"/>
        <v>0</v>
      </c>
      <c r="P110" s="679">
        <f t="shared" si="226"/>
        <v>0</v>
      </c>
      <c r="Q110" s="679">
        <f t="shared" si="227"/>
        <v>0</v>
      </c>
      <c r="R110" s="679">
        <f t="shared" si="228"/>
        <v>0</v>
      </c>
      <c r="S110" s="679">
        <f t="shared" si="229"/>
        <v>0</v>
      </c>
      <c r="U110" s="786"/>
      <c r="V110" s="770"/>
      <c r="X110" s="771">
        <f t="shared" si="233"/>
        <v>1</v>
      </c>
      <c r="Y110" s="771">
        <f t="shared" si="233"/>
        <v>0</v>
      </c>
      <c r="Z110" s="771">
        <f t="shared" si="233"/>
        <v>0</v>
      </c>
      <c r="AA110" s="771">
        <f t="shared" si="233"/>
        <v>0</v>
      </c>
      <c r="AB110" s="771">
        <f t="shared" si="233"/>
        <v>0</v>
      </c>
      <c r="AC110" s="771">
        <f t="shared" si="233"/>
        <v>0</v>
      </c>
      <c r="AD110" s="771">
        <f t="shared" si="233"/>
        <v>0</v>
      </c>
      <c r="AE110" s="771">
        <f t="shared" si="233"/>
        <v>0</v>
      </c>
      <c r="AF110" s="771">
        <f t="shared" si="233"/>
        <v>0</v>
      </c>
      <c r="AG110" s="771">
        <f t="shared" si="233"/>
        <v>0</v>
      </c>
      <c r="AH110" s="771">
        <f t="shared" si="233"/>
        <v>0</v>
      </c>
      <c r="AI110" s="771">
        <f t="shared" si="233"/>
        <v>0</v>
      </c>
      <c r="AJ110" s="771">
        <f t="shared" si="233"/>
        <v>0</v>
      </c>
      <c r="AK110" s="771">
        <f t="shared" si="233"/>
        <v>0</v>
      </c>
      <c r="AL110" s="771">
        <f t="shared" si="233"/>
        <v>0</v>
      </c>
      <c r="AM110" s="772">
        <f t="shared" si="234"/>
        <v>1</v>
      </c>
    </row>
    <row r="111" spans="2:39" x14ac:dyDescent="0.3">
      <c r="B111" s="245" t="str">
        <f t="shared" si="231"/>
        <v>Gasoline</v>
      </c>
      <c r="C111" s="286" t="s">
        <v>144</v>
      </c>
      <c r="D111" s="679">
        <f t="shared" si="232"/>
        <v>0</v>
      </c>
      <c r="E111" s="679">
        <f t="shared" si="215"/>
        <v>0</v>
      </c>
      <c r="F111" s="679">
        <f t="shared" si="216"/>
        <v>0</v>
      </c>
      <c r="G111" s="679">
        <f t="shared" si="217"/>
        <v>0</v>
      </c>
      <c r="H111" s="679">
        <f t="shared" si="218"/>
        <v>0</v>
      </c>
      <c r="I111" s="679">
        <f t="shared" si="219"/>
        <v>0</v>
      </c>
      <c r="J111" s="679">
        <f t="shared" si="220"/>
        <v>0</v>
      </c>
      <c r="K111" s="679">
        <f t="shared" si="221"/>
        <v>0</v>
      </c>
      <c r="L111" s="679">
        <f t="shared" si="222"/>
        <v>0</v>
      </c>
      <c r="M111" s="679">
        <f t="shared" si="223"/>
        <v>0</v>
      </c>
      <c r="N111" s="679">
        <f t="shared" si="224"/>
        <v>0</v>
      </c>
      <c r="O111" s="679">
        <f t="shared" si="225"/>
        <v>0</v>
      </c>
      <c r="P111" s="679">
        <f t="shared" si="226"/>
        <v>0</v>
      </c>
      <c r="Q111" s="679">
        <f t="shared" si="227"/>
        <v>0</v>
      </c>
      <c r="R111" s="679">
        <f t="shared" si="228"/>
        <v>0</v>
      </c>
      <c r="S111" s="679">
        <f t="shared" si="229"/>
        <v>0</v>
      </c>
      <c r="U111" s="786"/>
      <c r="V111" s="770"/>
      <c r="X111" s="771">
        <f t="shared" si="233"/>
        <v>1</v>
      </c>
      <c r="Y111" s="771">
        <f t="shared" si="233"/>
        <v>0</v>
      </c>
      <c r="Z111" s="771">
        <f t="shared" si="233"/>
        <v>0</v>
      </c>
      <c r="AA111" s="771">
        <f t="shared" si="233"/>
        <v>0</v>
      </c>
      <c r="AB111" s="771">
        <f t="shared" si="233"/>
        <v>0</v>
      </c>
      <c r="AC111" s="771">
        <f t="shared" si="233"/>
        <v>0</v>
      </c>
      <c r="AD111" s="771">
        <f t="shared" si="233"/>
        <v>0</v>
      </c>
      <c r="AE111" s="771">
        <f t="shared" si="233"/>
        <v>0</v>
      </c>
      <c r="AF111" s="771">
        <f t="shared" si="233"/>
        <v>0</v>
      </c>
      <c r="AG111" s="771">
        <f t="shared" si="233"/>
        <v>0</v>
      </c>
      <c r="AH111" s="771">
        <f t="shared" si="233"/>
        <v>0</v>
      </c>
      <c r="AI111" s="771">
        <f t="shared" si="233"/>
        <v>0</v>
      </c>
      <c r="AJ111" s="771">
        <f t="shared" si="233"/>
        <v>0</v>
      </c>
      <c r="AK111" s="771">
        <f t="shared" si="233"/>
        <v>0</v>
      </c>
      <c r="AL111" s="771">
        <f t="shared" si="233"/>
        <v>0</v>
      </c>
      <c r="AM111" s="772">
        <f t="shared" si="234"/>
        <v>1</v>
      </c>
    </row>
    <row r="112" spans="2:39" x14ac:dyDescent="0.3">
      <c r="B112" s="245" t="str">
        <f t="shared" si="231"/>
        <v>Hybrid Electric - diesel</v>
      </c>
      <c r="C112" s="286" t="s">
        <v>145</v>
      </c>
      <c r="D112" s="679">
        <f t="shared" si="232"/>
        <v>0</v>
      </c>
      <c r="E112" s="679">
        <f t="shared" si="215"/>
        <v>0</v>
      </c>
      <c r="F112" s="679">
        <f t="shared" si="216"/>
        <v>0</v>
      </c>
      <c r="G112" s="679">
        <f t="shared" si="217"/>
        <v>0</v>
      </c>
      <c r="H112" s="679">
        <f t="shared" si="218"/>
        <v>0</v>
      </c>
      <c r="I112" s="679">
        <f t="shared" si="219"/>
        <v>0</v>
      </c>
      <c r="J112" s="679">
        <f t="shared" si="220"/>
        <v>0</v>
      </c>
      <c r="K112" s="679">
        <f t="shared" si="221"/>
        <v>0</v>
      </c>
      <c r="L112" s="679">
        <f t="shared" si="222"/>
        <v>0</v>
      </c>
      <c r="M112" s="679">
        <f t="shared" si="223"/>
        <v>0</v>
      </c>
      <c r="N112" s="679">
        <f t="shared" si="224"/>
        <v>0</v>
      </c>
      <c r="O112" s="679">
        <f t="shared" si="225"/>
        <v>0</v>
      </c>
      <c r="P112" s="679">
        <f t="shared" si="226"/>
        <v>0</v>
      </c>
      <c r="Q112" s="679">
        <f t="shared" si="227"/>
        <v>0</v>
      </c>
      <c r="R112" s="679">
        <f t="shared" si="228"/>
        <v>0</v>
      </c>
      <c r="S112" s="679">
        <f t="shared" si="229"/>
        <v>0</v>
      </c>
      <c r="U112" s="786"/>
      <c r="V112" s="770"/>
      <c r="X112" s="771">
        <f t="shared" si="233"/>
        <v>1</v>
      </c>
      <c r="Y112" s="771">
        <f t="shared" si="233"/>
        <v>0</v>
      </c>
      <c r="Z112" s="771">
        <f t="shared" si="233"/>
        <v>0</v>
      </c>
      <c r="AA112" s="771">
        <f t="shared" si="233"/>
        <v>0</v>
      </c>
      <c r="AB112" s="771">
        <f t="shared" si="233"/>
        <v>0</v>
      </c>
      <c r="AC112" s="771">
        <f t="shared" si="233"/>
        <v>0</v>
      </c>
      <c r="AD112" s="771">
        <f t="shared" si="233"/>
        <v>0</v>
      </c>
      <c r="AE112" s="771">
        <f t="shared" si="233"/>
        <v>0</v>
      </c>
      <c r="AF112" s="771">
        <f t="shared" si="233"/>
        <v>0</v>
      </c>
      <c r="AG112" s="771">
        <f t="shared" si="233"/>
        <v>0</v>
      </c>
      <c r="AH112" s="771">
        <f t="shared" si="233"/>
        <v>0</v>
      </c>
      <c r="AI112" s="771">
        <f t="shared" si="233"/>
        <v>0</v>
      </c>
      <c r="AJ112" s="771">
        <f t="shared" si="233"/>
        <v>0</v>
      </c>
      <c r="AK112" s="771">
        <f t="shared" si="233"/>
        <v>0</v>
      </c>
      <c r="AL112" s="771">
        <f t="shared" si="233"/>
        <v>0</v>
      </c>
      <c r="AM112" s="772">
        <f t="shared" si="234"/>
        <v>1</v>
      </c>
    </row>
    <row r="113" spans="2:39" x14ac:dyDescent="0.3">
      <c r="B113" s="245" t="str">
        <f t="shared" si="231"/>
        <v>Hybrid Electric - gasoline</v>
      </c>
      <c r="C113" s="286" t="s">
        <v>146</v>
      </c>
      <c r="D113" s="679">
        <f t="shared" si="232"/>
        <v>0</v>
      </c>
      <c r="E113" s="679">
        <f t="shared" si="215"/>
        <v>0</v>
      </c>
      <c r="F113" s="679">
        <f t="shared" si="216"/>
        <v>0</v>
      </c>
      <c r="G113" s="679">
        <f t="shared" si="217"/>
        <v>0</v>
      </c>
      <c r="H113" s="679">
        <f t="shared" si="218"/>
        <v>0</v>
      </c>
      <c r="I113" s="679">
        <f t="shared" si="219"/>
        <v>0</v>
      </c>
      <c r="J113" s="679">
        <f t="shared" si="220"/>
        <v>0</v>
      </c>
      <c r="K113" s="679">
        <f t="shared" si="221"/>
        <v>0</v>
      </c>
      <c r="L113" s="679">
        <f t="shared" si="222"/>
        <v>0</v>
      </c>
      <c r="M113" s="679">
        <f t="shared" si="223"/>
        <v>0</v>
      </c>
      <c r="N113" s="679">
        <f t="shared" si="224"/>
        <v>0</v>
      </c>
      <c r="O113" s="679">
        <f t="shared" si="225"/>
        <v>0</v>
      </c>
      <c r="P113" s="679">
        <f t="shared" si="226"/>
        <v>0</v>
      </c>
      <c r="Q113" s="679">
        <f t="shared" si="227"/>
        <v>0</v>
      </c>
      <c r="R113" s="679">
        <f t="shared" si="228"/>
        <v>0</v>
      </c>
      <c r="S113" s="679">
        <f t="shared" si="229"/>
        <v>0</v>
      </c>
      <c r="U113" s="786"/>
      <c r="V113" s="770"/>
      <c r="X113" s="771">
        <f t="shared" si="233"/>
        <v>1</v>
      </c>
      <c r="Y113" s="771">
        <f t="shared" si="233"/>
        <v>0</v>
      </c>
      <c r="Z113" s="771">
        <f t="shared" si="233"/>
        <v>0</v>
      </c>
      <c r="AA113" s="771">
        <f t="shared" si="233"/>
        <v>0</v>
      </c>
      <c r="AB113" s="771">
        <f t="shared" si="233"/>
        <v>0</v>
      </c>
      <c r="AC113" s="771">
        <f t="shared" si="233"/>
        <v>0</v>
      </c>
      <c r="AD113" s="771">
        <f t="shared" si="233"/>
        <v>0</v>
      </c>
      <c r="AE113" s="771">
        <f t="shared" si="233"/>
        <v>0</v>
      </c>
      <c r="AF113" s="771">
        <f t="shared" si="233"/>
        <v>0</v>
      </c>
      <c r="AG113" s="771">
        <f t="shared" si="233"/>
        <v>0</v>
      </c>
      <c r="AH113" s="771">
        <f t="shared" si="233"/>
        <v>0</v>
      </c>
      <c r="AI113" s="771">
        <f t="shared" si="233"/>
        <v>0</v>
      </c>
      <c r="AJ113" s="771">
        <f t="shared" si="233"/>
        <v>0</v>
      </c>
      <c r="AK113" s="771">
        <f t="shared" si="233"/>
        <v>0</v>
      </c>
      <c r="AL113" s="771">
        <f t="shared" si="233"/>
        <v>0</v>
      </c>
      <c r="AM113" s="772">
        <f t="shared" si="234"/>
        <v>1</v>
      </c>
    </row>
    <row r="114" spans="2:39" x14ac:dyDescent="0.3">
      <c r="B114" s="245" t="str">
        <f t="shared" si="231"/>
        <v>LPG</v>
      </c>
      <c r="C114" s="286" t="s">
        <v>147</v>
      </c>
      <c r="D114" s="679">
        <f t="shared" si="232"/>
        <v>0</v>
      </c>
      <c r="E114" s="679">
        <f t="shared" si="215"/>
        <v>0</v>
      </c>
      <c r="F114" s="679">
        <f t="shared" si="216"/>
        <v>0</v>
      </c>
      <c r="G114" s="679">
        <f t="shared" si="217"/>
        <v>0</v>
      </c>
      <c r="H114" s="679">
        <f t="shared" si="218"/>
        <v>0</v>
      </c>
      <c r="I114" s="679">
        <f t="shared" si="219"/>
        <v>0</v>
      </c>
      <c r="J114" s="679">
        <f t="shared" si="220"/>
        <v>0</v>
      </c>
      <c r="K114" s="679">
        <f t="shared" si="221"/>
        <v>0</v>
      </c>
      <c r="L114" s="679">
        <f t="shared" si="222"/>
        <v>0</v>
      </c>
      <c r="M114" s="679">
        <f t="shared" si="223"/>
        <v>0</v>
      </c>
      <c r="N114" s="679">
        <f t="shared" si="224"/>
        <v>0</v>
      </c>
      <c r="O114" s="679">
        <f t="shared" si="225"/>
        <v>0</v>
      </c>
      <c r="P114" s="679">
        <f t="shared" si="226"/>
        <v>0</v>
      </c>
      <c r="Q114" s="679">
        <f t="shared" si="227"/>
        <v>0</v>
      </c>
      <c r="R114" s="679">
        <f t="shared" si="228"/>
        <v>0</v>
      </c>
      <c r="S114" s="679">
        <f t="shared" si="229"/>
        <v>0</v>
      </c>
      <c r="U114" s="786"/>
      <c r="V114" s="770"/>
      <c r="X114" s="771">
        <f t="shared" si="233"/>
        <v>1</v>
      </c>
      <c r="Y114" s="771">
        <f t="shared" si="233"/>
        <v>0</v>
      </c>
      <c r="Z114" s="771">
        <f t="shared" si="233"/>
        <v>0</v>
      </c>
      <c r="AA114" s="771">
        <f t="shared" si="233"/>
        <v>0</v>
      </c>
      <c r="AB114" s="771">
        <f t="shared" si="233"/>
        <v>0</v>
      </c>
      <c r="AC114" s="771">
        <f t="shared" si="233"/>
        <v>0</v>
      </c>
      <c r="AD114" s="771">
        <f t="shared" si="233"/>
        <v>0</v>
      </c>
      <c r="AE114" s="771">
        <f t="shared" si="233"/>
        <v>0</v>
      </c>
      <c r="AF114" s="771">
        <f t="shared" si="233"/>
        <v>0</v>
      </c>
      <c r="AG114" s="771">
        <f t="shared" si="233"/>
        <v>0</v>
      </c>
      <c r="AH114" s="771">
        <f t="shared" si="233"/>
        <v>0</v>
      </c>
      <c r="AI114" s="771">
        <f t="shared" si="233"/>
        <v>0</v>
      </c>
      <c r="AJ114" s="771">
        <f t="shared" si="233"/>
        <v>0</v>
      </c>
      <c r="AK114" s="771">
        <f t="shared" si="233"/>
        <v>0</v>
      </c>
      <c r="AL114" s="771">
        <f t="shared" si="233"/>
        <v>0</v>
      </c>
      <c r="AM114" s="772">
        <f t="shared" si="234"/>
        <v>1</v>
      </c>
    </row>
    <row r="115" spans="2:39" x14ac:dyDescent="0.3">
      <c r="B115" s="245" t="str">
        <f t="shared" si="231"/>
        <v>Plugin Hybrid Electric - diesel</v>
      </c>
      <c r="C115" s="286" t="s">
        <v>148</v>
      </c>
      <c r="D115" s="679">
        <f t="shared" si="232"/>
        <v>0</v>
      </c>
      <c r="E115" s="679">
        <f t="shared" si="215"/>
        <v>0</v>
      </c>
      <c r="F115" s="679">
        <f t="shared" si="216"/>
        <v>0</v>
      </c>
      <c r="G115" s="679">
        <f t="shared" si="217"/>
        <v>0</v>
      </c>
      <c r="H115" s="679">
        <f t="shared" si="218"/>
        <v>0</v>
      </c>
      <c r="I115" s="679">
        <f t="shared" si="219"/>
        <v>0</v>
      </c>
      <c r="J115" s="679">
        <f t="shared" si="220"/>
        <v>0</v>
      </c>
      <c r="K115" s="679">
        <f t="shared" si="221"/>
        <v>0</v>
      </c>
      <c r="L115" s="679">
        <f t="shared" si="222"/>
        <v>0</v>
      </c>
      <c r="M115" s="679">
        <f t="shared" si="223"/>
        <v>0</v>
      </c>
      <c r="N115" s="679">
        <f t="shared" si="224"/>
        <v>0</v>
      </c>
      <c r="O115" s="679">
        <f t="shared" si="225"/>
        <v>0</v>
      </c>
      <c r="P115" s="679">
        <f t="shared" si="226"/>
        <v>0</v>
      </c>
      <c r="Q115" s="679">
        <f t="shared" si="227"/>
        <v>0</v>
      </c>
      <c r="R115" s="679">
        <f t="shared" si="228"/>
        <v>0</v>
      </c>
      <c r="S115" s="679">
        <f t="shared" si="229"/>
        <v>0</v>
      </c>
      <c r="U115" s="786"/>
      <c r="V115" s="770"/>
      <c r="X115" s="771">
        <f t="shared" si="233"/>
        <v>1</v>
      </c>
      <c r="Y115" s="771">
        <f t="shared" si="233"/>
        <v>0</v>
      </c>
      <c r="Z115" s="771">
        <f t="shared" si="233"/>
        <v>0</v>
      </c>
      <c r="AA115" s="771">
        <f t="shared" si="233"/>
        <v>0</v>
      </c>
      <c r="AB115" s="771">
        <f t="shared" si="233"/>
        <v>0</v>
      </c>
      <c r="AC115" s="771">
        <f t="shared" si="233"/>
        <v>0</v>
      </c>
      <c r="AD115" s="771">
        <f t="shared" si="233"/>
        <v>0</v>
      </c>
      <c r="AE115" s="771">
        <f t="shared" si="233"/>
        <v>0</v>
      </c>
      <c r="AF115" s="771">
        <f t="shared" si="233"/>
        <v>0</v>
      </c>
      <c r="AG115" s="771">
        <f t="shared" si="233"/>
        <v>0</v>
      </c>
      <c r="AH115" s="771">
        <f t="shared" si="233"/>
        <v>0</v>
      </c>
      <c r="AI115" s="771">
        <f t="shared" si="233"/>
        <v>0</v>
      </c>
      <c r="AJ115" s="771">
        <f t="shared" si="233"/>
        <v>0</v>
      </c>
      <c r="AK115" s="771">
        <f t="shared" si="233"/>
        <v>0</v>
      </c>
      <c r="AL115" s="771">
        <f t="shared" si="233"/>
        <v>0</v>
      </c>
      <c r="AM115" s="772">
        <f t="shared" si="234"/>
        <v>1</v>
      </c>
    </row>
    <row r="116" spans="2:39" x14ac:dyDescent="0.3">
      <c r="B116" s="245" t="str">
        <f t="shared" si="231"/>
        <v>Plugin Hybrid Electric - gasoline</v>
      </c>
      <c r="C116" s="286" t="s">
        <v>149</v>
      </c>
      <c r="D116" s="679">
        <f t="shared" si="232"/>
        <v>0</v>
      </c>
      <c r="E116" s="679">
        <f t="shared" si="215"/>
        <v>0</v>
      </c>
      <c r="F116" s="679">
        <f t="shared" si="216"/>
        <v>0</v>
      </c>
      <c r="G116" s="679">
        <f t="shared" si="217"/>
        <v>0</v>
      </c>
      <c r="H116" s="679">
        <f t="shared" si="218"/>
        <v>0</v>
      </c>
      <c r="I116" s="679">
        <f t="shared" si="219"/>
        <v>0</v>
      </c>
      <c r="J116" s="679">
        <f t="shared" si="220"/>
        <v>0</v>
      </c>
      <c r="K116" s="679">
        <f t="shared" si="221"/>
        <v>0</v>
      </c>
      <c r="L116" s="679">
        <f t="shared" si="222"/>
        <v>0</v>
      </c>
      <c r="M116" s="679">
        <f t="shared" si="223"/>
        <v>0</v>
      </c>
      <c r="N116" s="679">
        <f t="shared" si="224"/>
        <v>0</v>
      </c>
      <c r="O116" s="679">
        <f t="shared" si="225"/>
        <v>0</v>
      </c>
      <c r="P116" s="679">
        <f t="shared" si="226"/>
        <v>0</v>
      </c>
      <c r="Q116" s="679">
        <f t="shared" si="227"/>
        <v>0</v>
      </c>
      <c r="R116" s="679">
        <f t="shared" si="228"/>
        <v>0</v>
      </c>
      <c r="S116" s="679">
        <f t="shared" si="229"/>
        <v>0</v>
      </c>
      <c r="U116" s="786"/>
      <c r="V116" s="770"/>
      <c r="X116" s="771">
        <f t="shared" si="233"/>
        <v>1</v>
      </c>
      <c r="Y116" s="771">
        <f t="shared" si="233"/>
        <v>0</v>
      </c>
      <c r="Z116" s="771">
        <f t="shared" si="233"/>
        <v>0</v>
      </c>
      <c r="AA116" s="771">
        <f t="shared" si="233"/>
        <v>0</v>
      </c>
      <c r="AB116" s="771">
        <f t="shared" si="233"/>
        <v>0</v>
      </c>
      <c r="AC116" s="771">
        <f t="shared" si="233"/>
        <v>0</v>
      </c>
      <c r="AD116" s="771">
        <f t="shared" si="233"/>
        <v>0</v>
      </c>
      <c r="AE116" s="771">
        <f t="shared" si="233"/>
        <v>0</v>
      </c>
      <c r="AF116" s="771">
        <f t="shared" si="233"/>
        <v>0</v>
      </c>
      <c r="AG116" s="771">
        <f t="shared" si="233"/>
        <v>0</v>
      </c>
      <c r="AH116" s="771">
        <f t="shared" si="233"/>
        <v>0</v>
      </c>
      <c r="AI116" s="771">
        <f t="shared" si="233"/>
        <v>0</v>
      </c>
      <c r="AJ116" s="771">
        <f t="shared" si="233"/>
        <v>0</v>
      </c>
      <c r="AK116" s="771">
        <f t="shared" si="233"/>
        <v>0</v>
      </c>
      <c r="AL116" s="771">
        <f t="shared" si="233"/>
        <v>0</v>
      </c>
      <c r="AM116" s="772">
        <f t="shared" si="234"/>
        <v>1</v>
      </c>
    </row>
    <row r="117" spans="2:39" x14ac:dyDescent="0.3">
      <c r="B117" s="250" t="str">
        <f t="shared" si="231"/>
        <v>Other</v>
      </c>
      <c r="C117" s="523"/>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7"/>
      <c r="V117" s="774"/>
      <c r="X117" s="771">
        <f t="shared" si="233"/>
        <v>1</v>
      </c>
      <c r="Y117" s="771">
        <f t="shared" si="233"/>
        <v>0</v>
      </c>
      <c r="Z117" s="771">
        <f t="shared" si="233"/>
        <v>0</v>
      </c>
      <c r="AA117" s="771">
        <f t="shared" si="233"/>
        <v>0</v>
      </c>
      <c r="AB117" s="771">
        <f t="shared" si="233"/>
        <v>0</v>
      </c>
      <c r="AC117" s="771">
        <f t="shared" si="233"/>
        <v>0</v>
      </c>
      <c r="AD117" s="771">
        <f>AD$6</f>
        <v>0</v>
      </c>
      <c r="AE117" s="771">
        <f t="shared" si="233"/>
        <v>0</v>
      </c>
      <c r="AF117" s="771">
        <f t="shared" si="233"/>
        <v>0</v>
      </c>
      <c r="AG117" s="771">
        <f t="shared" si="233"/>
        <v>0</v>
      </c>
      <c r="AH117" s="771">
        <f t="shared" si="233"/>
        <v>0</v>
      </c>
      <c r="AI117" s="771">
        <f t="shared" si="233"/>
        <v>0</v>
      </c>
      <c r="AJ117" s="771">
        <f t="shared" si="233"/>
        <v>0</v>
      </c>
      <c r="AK117" s="771">
        <f t="shared" si="233"/>
        <v>0</v>
      </c>
      <c r="AL117" s="771">
        <f t="shared" si="233"/>
        <v>0</v>
      </c>
      <c r="AM117" s="772">
        <f t="shared" si="234"/>
        <v>1</v>
      </c>
    </row>
    <row r="118" spans="2:39" x14ac:dyDescent="0.3">
      <c r="B118" s="131" t="s">
        <v>119</v>
      </c>
      <c r="C118" s="524"/>
      <c r="D118" s="680">
        <f>SUM(D106:D117)</f>
        <v>0</v>
      </c>
      <c r="E118" s="680">
        <f t="shared" ref="E118" si="235">SUM(E106:E117)</f>
        <v>0</v>
      </c>
      <c r="F118" s="680">
        <f t="shared" ref="F118" si="236">SUM(F106:F117)</f>
        <v>0</v>
      </c>
      <c r="G118" s="680">
        <f t="shared" ref="G118" si="237">SUM(G106:G117)</f>
        <v>0</v>
      </c>
      <c r="H118" s="680">
        <f t="shared" ref="H118" si="238">SUM(H106:H117)</f>
        <v>0</v>
      </c>
      <c r="I118" s="680">
        <f t="shared" ref="I118" si="239">SUM(I106:I117)</f>
        <v>0</v>
      </c>
      <c r="J118" s="680">
        <f t="shared" ref="J118" si="240">SUM(J106:J117)</f>
        <v>0</v>
      </c>
      <c r="K118" s="680">
        <f t="shared" ref="K118" si="241">SUM(K106:K117)</f>
        <v>0</v>
      </c>
      <c r="L118" s="680">
        <f t="shared" ref="L118" si="242">SUM(L106:L117)</f>
        <v>0</v>
      </c>
      <c r="M118" s="680">
        <f t="shared" ref="M118" si="243">SUM(M106:M117)</f>
        <v>0</v>
      </c>
      <c r="N118" s="680">
        <f t="shared" ref="N118" si="244">SUM(N106:N117)</f>
        <v>0</v>
      </c>
      <c r="O118" s="680">
        <f t="shared" ref="O118" si="245">SUM(O106:O117)</f>
        <v>0</v>
      </c>
      <c r="P118" s="680">
        <f t="shared" ref="P118" si="246">SUM(P106:P117)</f>
        <v>0</v>
      </c>
      <c r="Q118" s="680">
        <f t="shared" ref="Q118" si="247">SUM(Q106:Q117)</f>
        <v>0</v>
      </c>
      <c r="R118" s="680">
        <f t="shared" ref="R118" si="248">SUM(R106:R117)</f>
        <v>0</v>
      </c>
      <c r="S118" s="680">
        <f t="shared" ref="S118" si="249">SUM(S106:S117)</f>
        <v>0</v>
      </c>
      <c r="U118" s="775">
        <f>SUM(U106:U117)</f>
        <v>0</v>
      </c>
      <c r="V118" s="781">
        <f>SUM(V106:V117)</f>
        <v>0</v>
      </c>
    </row>
    <row r="120" spans="2:39" x14ac:dyDescent="0.3">
      <c r="B120" s="441" t="s">
        <v>150</v>
      </c>
      <c r="C120" s="522"/>
      <c r="V120" s="785"/>
      <c r="X120" s="763" t="s">
        <v>99</v>
      </c>
    </row>
    <row r="121" spans="2:39" x14ac:dyDescent="0.3">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8" t="s">
        <v>105</v>
      </c>
      <c r="V121" s="768" t="str">
        <f>V$9</f>
        <v>City vehicles</v>
      </c>
      <c r="X121" s="765" t="str">
        <f t="shared" ref="X121:AL121" si="251">D121</f>
        <v>Z01</v>
      </c>
      <c r="Y121" s="765" t="str">
        <f t="shared" si="251"/>
        <v>Z02</v>
      </c>
      <c r="Z121" s="765" t="str">
        <f t="shared" si="251"/>
        <v>Z03</v>
      </c>
      <c r="AA121" s="765" t="str">
        <f t="shared" si="251"/>
        <v>Z04</v>
      </c>
      <c r="AB121" s="765" t="str">
        <f t="shared" si="251"/>
        <v>Z05</v>
      </c>
      <c r="AC121" s="765" t="str">
        <f t="shared" si="251"/>
        <v>Z06</v>
      </c>
      <c r="AD121" s="765" t="str">
        <f t="shared" si="251"/>
        <v>Z07</v>
      </c>
      <c r="AE121" s="765" t="str">
        <f t="shared" si="251"/>
        <v>Z08</v>
      </c>
      <c r="AF121" s="765" t="str">
        <f t="shared" si="251"/>
        <v>Z09</v>
      </c>
      <c r="AG121" s="765" t="str">
        <f t="shared" si="251"/>
        <v>Z10</v>
      </c>
      <c r="AH121" s="765" t="str">
        <f t="shared" si="251"/>
        <v>Z11</v>
      </c>
      <c r="AI121" s="765" t="str">
        <f t="shared" si="251"/>
        <v>Z12</v>
      </c>
      <c r="AJ121" s="765" t="str">
        <f t="shared" si="251"/>
        <v>Z13</v>
      </c>
      <c r="AK121" s="765" t="str">
        <f t="shared" si="251"/>
        <v>Z14</v>
      </c>
      <c r="AL121" s="765" t="str">
        <f t="shared" si="251"/>
        <v>Z15</v>
      </c>
      <c r="AM121" s="765" t="s">
        <v>100</v>
      </c>
    </row>
    <row r="122" spans="2:39" x14ac:dyDescent="0.3">
      <c r="B122" s="245" t="str">
        <f>B106</f>
        <v>Biodiesel</v>
      </c>
      <c r="C122" s="286" t="s">
        <v>151</v>
      </c>
      <c r="D122" s="679">
        <f>$V122*X122</f>
        <v>0</v>
      </c>
      <c r="E122" s="679">
        <f t="shared" ref="E122:E133" si="252">$V122*Y122</f>
        <v>0</v>
      </c>
      <c r="F122" s="679">
        <f t="shared" ref="F122:F133" si="253">$V122*Z122</f>
        <v>0</v>
      </c>
      <c r="G122" s="679">
        <f t="shared" ref="G122:G133" si="254">$V122*AA122</f>
        <v>0</v>
      </c>
      <c r="H122" s="679">
        <f t="shared" ref="H122:H133" si="255">$V122*AB122</f>
        <v>0</v>
      </c>
      <c r="I122" s="679">
        <f t="shared" ref="I122:I133" si="256">$V122*AC122</f>
        <v>0</v>
      </c>
      <c r="J122" s="679">
        <f t="shared" ref="J122:J133" si="257">$V122*AD122</f>
        <v>0</v>
      </c>
      <c r="K122" s="679">
        <f t="shared" ref="K122:K133" si="258">$V122*AE122</f>
        <v>0</v>
      </c>
      <c r="L122" s="679">
        <f t="shared" ref="L122:L133" si="259">$V122*AF122</f>
        <v>0</v>
      </c>
      <c r="M122" s="679">
        <f t="shared" ref="M122:M133" si="260">$V122*AG122</f>
        <v>0</v>
      </c>
      <c r="N122" s="679">
        <f t="shared" ref="N122:N133" si="261">$V122*AH122</f>
        <v>0</v>
      </c>
      <c r="O122" s="679">
        <f t="shared" ref="O122:O133" si="262">$V122*AI122</f>
        <v>0</v>
      </c>
      <c r="P122" s="679">
        <f t="shared" ref="P122:P133" si="263">$V122*AJ122</f>
        <v>0</v>
      </c>
      <c r="Q122" s="679">
        <f t="shared" ref="Q122:Q133" si="264">$V122*AK122</f>
        <v>0</v>
      </c>
      <c r="R122" s="679">
        <f t="shared" ref="R122:R133" si="265">$V122*AL122</f>
        <v>0</v>
      </c>
      <c r="S122" s="679">
        <f t="shared" ref="S122:S133" si="266">$V122*AM122</f>
        <v>0</v>
      </c>
      <c r="U122" s="769"/>
      <c r="V122" s="770"/>
      <c r="X122" s="771">
        <f>X$6</f>
        <v>1</v>
      </c>
      <c r="Y122" s="771">
        <f t="shared" ref="Y122:AL122" si="267">Y$6</f>
        <v>0</v>
      </c>
      <c r="Z122" s="771">
        <f t="shared" si="267"/>
        <v>0</v>
      </c>
      <c r="AA122" s="771">
        <f t="shared" si="267"/>
        <v>0</v>
      </c>
      <c r="AB122" s="771">
        <f t="shared" si="267"/>
        <v>0</v>
      </c>
      <c r="AC122" s="771">
        <f t="shared" si="267"/>
        <v>0</v>
      </c>
      <c r="AD122" s="771">
        <f t="shared" si="267"/>
        <v>0</v>
      </c>
      <c r="AE122" s="771">
        <f t="shared" si="267"/>
        <v>0</v>
      </c>
      <c r="AF122" s="771">
        <f t="shared" si="267"/>
        <v>0</v>
      </c>
      <c r="AG122" s="771">
        <f t="shared" si="267"/>
        <v>0</v>
      </c>
      <c r="AH122" s="771">
        <f t="shared" si="267"/>
        <v>0</v>
      </c>
      <c r="AI122" s="771">
        <f t="shared" si="267"/>
        <v>0</v>
      </c>
      <c r="AJ122" s="771">
        <f t="shared" si="267"/>
        <v>0</v>
      </c>
      <c r="AK122" s="771">
        <f t="shared" si="267"/>
        <v>0</v>
      </c>
      <c r="AL122" s="771">
        <f t="shared" si="267"/>
        <v>0</v>
      </c>
      <c r="AM122" s="772">
        <f>SUM(X122:AI122)</f>
        <v>1</v>
      </c>
    </row>
    <row r="123" spans="2:39" x14ac:dyDescent="0.3">
      <c r="B123" s="245" t="str">
        <f t="shared" ref="B123:B133" si="268">B107</f>
        <v>Diesel</v>
      </c>
      <c r="C123" s="286" t="s">
        <v>152</v>
      </c>
      <c r="D123" s="679">
        <f t="shared" ref="D123:D133" si="269">$V123*X123</f>
        <v>0</v>
      </c>
      <c r="E123" s="679">
        <f t="shared" si="252"/>
        <v>0</v>
      </c>
      <c r="F123" s="679">
        <f t="shared" si="253"/>
        <v>0</v>
      </c>
      <c r="G123" s="679">
        <f t="shared" si="254"/>
        <v>0</v>
      </c>
      <c r="H123" s="679">
        <f t="shared" si="255"/>
        <v>0</v>
      </c>
      <c r="I123" s="679">
        <f t="shared" si="256"/>
        <v>0</v>
      </c>
      <c r="J123" s="679">
        <f t="shared" si="257"/>
        <v>0</v>
      </c>
      <c r="K123" s="679">
        <f t="shared" si="258"/>
        <v>0</v>
      </c>
      <c r="L123" s="679">
        <f t="shared" si="259"/>
        <v>0</v>
      </c>
      <c r="M123" s="679">
        <f t="shared" si="260"/>
        <v>0</v>
      </c>
      <c r="N123" s="679">
        <f t="shared" si="261"/>
        <v>0</v>
      </c>
      <c r="O123" s="679">
        <f t="shared" si="262"/>
        <v>0</v>
      </c>
      <c r="P123" s="679">
        <f t="shared" si="263"/>
        <v>0</v>
      </c>
      <c r="Q123" s="679">
        <f t="shared" si="264"/>
        <v>0</v>
      </c>
      <c r="R123" s="679">
        <f t="shared" si="265"/>
        <v>0</v>
      </c>
      <c r="S123" s="679">
        <f t="shared" si="266"/>
        <v>0</v>
      </c>
      <c r="U123" s="769"/>
      <c r="V123" s="770"/>
      <c r="X123" s="771">
        <f t="shared" ref="X123:AL133" si="270">X$6</f>
        <v>1</v>
      </c>
      <c r="Y123" s="771">
        <f t="shared" si="270"/>
        <v>0</v>
      </c>
      <c r="Z123" s="771">
        <f t="shared" si="270"/>
        <v>0</v>
      </c>
      <c r="AA123" s="771">
        <f t="shared" si="270"/>
        <v>0</v>
      </c>
      <c r="AB123" s="771">
        <f t="shared" si="270"/>
        <v>0</v>
      </c>
      <c r="AC123" s="771">
        <f t="shared" si="270"/>
        <v>0</v>
      </c>
      <c r="AD123" s="771">
        <f t="shared" si="270"/>
        <v>0</v>
      </c>
      <c r="AE123" s="771">
        <f t="shared" si="270"/>
        <v>0</v>
      </c>
      <c r="AF123" s="771">
        <f t="shared" si="270"/>
        <v>0</v>
      </c>
      <c r="AG123" s="771">
        <f t="shared" si="270"/>
        <v>0</v>
      </c>
      <c r="AH123" s="771">
        <f t="shared" si="270"/>
        <v>0</v>
      </c>
      <c r="AI123" s="771">
        <f t="shared" si="270"/>
        <v>0</v>
      </c>
      <c r="AJ123" s="771">
        <f t="shared" si="270"/>
        <v>0</v>
      </c>
      <c r="AK123" s="771">
        <f t="shared" si="270"/>
        <v>0</v>
      </c>
      <c r="AL123" s="771">
        <f t="shared" si="270"/>
        <v>0</v>
      </c>
      <c r="AM123" s="772">
        <f>SUM(X123:AI123)</f>
        <v>1</v>
      </c>
    </row>
    <row r="124" spans="2:39" x14ac:dyDescent="0.3">
      <c r="B124" s="245" t="str">
        <f t="shared" si="268"/>
        <v>Battery electric (BEV)</v>
      </c>
      <c r="C124" s="286" t="s">
        <v>153</v>
      </c>
      <c r="D124" s="679">
        <f t="shared" si="269"/>
        <v>0</v>
      </c>
      <c r="E124" s="679">
        <f t="shared" si="252"/>
        <v>0</v>
      </c>
      <c r="F124" s="679">
        <f t="shared" si="253"/>
        <v>0</v>
      </c>
      <c r="G124" s="679">
        <f t="shared" si="254"/>
        <v>0</v>
      </c>
      <c r="H124" s="679">
        <f t="shared" si="255"/>
        <v>0</v>
      </c>
      <c r="I124" s="679">
        <f t="shared" si="256"/>
        <v>0</v>
      </c>
      <c r="J124" s="679">
        <f t="shared" si="257"/>
        <v>0</v>
      </c>
      <c r="K124" s="679">
        <f t="shared" si="258"/>
        <v>0</v>
      </c>
      <c r="L124" s="679">
        <f t="shared" si="259"/>
        <v>0</v>
      </c>
      <c r="M124" s="679">
        <f t="shared" si="260"/>
        <v>0</v>
      </c>
      <c r="N124" s="679">
        <f t="shared" si="261"/>
        <v>0</v>
      </c>
      <c r="O124" s="679">
        <f t="shared" si="262"/>
        <v>0</v>
      </c>
      <c r="P124" s="679">
        <f t="shared" si="263"/>
        <v>0</v>
      </c>
      <c r="Q124" s="679">
        <f t="shared" si="264"/>
        <v>0</v>
      </c>
      <c r="R124" s="679">
        <f t="shared" si="265"/>
        <v>0</v>
      </c>
      <c r="S124" s="679">
        <f t="shared" si="266"/>
        <v>0</v>
      </c>
      <c r="U124" s="769"/>
      <c r="V124" s="770"/>
      <c r="X124" s="771">
        <f t="shared" si="270"/>
        <v>1</v>
      </c>
      <c r="Y124" s="771">
        <f t="shared" si="270"/>
        <v>0</v>
      </c>
      <c r="Z124" s="771">
        <f t="shared" si="270"/>
        <v>0</v>
      </c>
      <c r="AA124" s="771">
        <f t="shared" si="270"/>
        <v>0</v>
      </c>
      <c r="AB124" s="771">
        <f t="shared" si="270"/>
        <v>0</v>
      </c>
      <c r="AC124" s="771">
        <f t="shared" si="270"/>
        <v>0</v>
      </c>
      <c r="AD124" s="771">
        <f t="shared" si="270"/>
        <v>0</v>
      </c>
      <c r="AE124" s="771">
        <f t="shared" si="270"/>
        <v>0</v>
      </c>
      <c r="AF124" s="771">
        <f t="shared" si="270"/>
        <v>0</v>
      </c>
      <c r="AG124" s="771">
        <f t="shared" si="270"/>
        <v>0</v>
      </c>
      <c r="AH124" s="771">
        <f t="shared" si="270"/>
        <v>0</v>
      </c>
      <c r="AI124" s="771">
        <f t="shared" si="270"/>
        <v>0</v>
      </c>
      <c r="AJ124" s="771">
        <f t="shared" si="270"/>
        <v>0</v>
      </c>
      <c r="AK124" s="771">
        <f t="shared" si="270"/>
        <v>0</v>
      </c>
      <c r="AL124" s="771">
        <f t="shared" si="270"/>
        <v>0</v>
      </c>
      <c r="AM124" s="772">
        <f t="shared" ref="AM124:AM133" si="271">SUM(X124:AI124)</f>
        <v>1</v>
      </c>
    </row>
    <row r="125" spans="2:39" x14ac:dyDescent="0.3">
      <c r="B125" s="245" t="str">
        <f t="shared" si="268"/>
        <v>Ethanol</v>
      </c>
      <c r="C125" s="286" t="s">
        <v>154</v>
      </c>
      <c r="D125" s="679">
        <f t="shared" si="269"/>
        <v>0</v>
      </c>
      <c r="E125" s="679">
        <f t="shared" si="252"/>
        <v>0</v>
      </c>
      <c r="F125" s="679">
        <f t="shared" si="253"/>
        <v>0</v>
      </c>
      <c r="G125" s="679">
        <f t="shared" si="254"/>
        <v>0</v>
      </c>
      <c r="H125" s="679">
        <f t="shared" si="255"/>
        <v>0</v>
      </c>
      <c r="I125" s="679">
        <f t="shared" si="256"/>
        <v>0</v>
      </c>
      <c r="J125" s="679">
        <f t="shared" si="257"/>
        <v>0</v>
      </c>
      <c r="K125" s="679">
        <f t="shared" si="258"/>
        <v>0</v>
      </c>
      <c r="L125" s="679">
        <f t="shared" si="259"/>
        <v>0</v>
      </c>
      <c r="M125" s="679">
        <f t="shared" si="260"/>
        <v>0</v>
      </c>
      <c r="N125" s="679">
        <f t="shared" si="261"/>
        <v>0</v>
      </c>
      <c r="O125" s="679">
        <f t="shared" si="262"/>
        <v>0</v>
      </c>
      <c r="P125" s="679">
        <f t="shared" si="263"/>
        <v>0</v>
      </c>
      <c r="Q125" s="679">
        <f t="shared" si="264"/>
        <v>0</v>
      </c>
      <c r="R125" s="679">
        <f t="shared" si="265"/>
        <v>0</v>
      </c>
      <c r="S125" s="679">
        <f t="shared" si="266"/>
        <v>0</v>
      </c>
      <c r="U125" s="769"/>
      <c r="V125" s="770"/>
      <c r="X125" s="771">
        <f t="shared" si="270"/>
        <v>1</v>
      </c>
      <c r="Y125" s="771">
        <f t="shared" si="270"/>
        <v>0</v>
      </c>
      <c r="Z125" s="771">
        <f t="shared" si="270"/>
        <v>0</v>
      </c>
      <c r="AA125" s="771">
        <f t="shared" si="270"/>
        <v>0</v>
      </c>
      <c r="AB125" s="771">
        <f t="shared" si="270"/>
        <v>0</v>
      </c>
      <c r="AC125" s="771">
        <f t="shared" si="270"/>
        <v>0</v>
      </c>
      <c r="AD125" s="771">
        <f t="shared" si="270"/>
        <v>0</v>
      </c>
      <c r="AE125" s="771">
        <f t="shared" si="270"/>
        <v>0</v>
      </c>
      <c r="AF125" s="771">
        <f t="shared" si="270"/>
        <v>0</v>
      </c>
      <c r="AG125" s="771">
        <f t="shared" si="270"/>
        <v>0</v>
      </c>
      <c r="AH125" s="771">
        <f t="shared" si="270"/>
        <v>0</v>
      </c>
      <c r="AI125" s="771">
        <f t="shared" si="270"/>
        <v>0</v>
      </c>
      <c r="AJ125" s="771">
        <f t="shared" si="270"/>
        <v>0</v>
      </c>
      <c r="AK125" s="771">
        <f t="shared" si="270"/>
        <v>0</v>
      </c>
      <c r="AL125" s="771">
        <f t="shared" si="270"/>
        <v>0</v>
      </c>
      <c r="AM125" s="772">
        <f t="shared" si="271"/>
        <v>1</v>
      </c>
    </row>
    <row r="126" spans="2:39" x14ac:dyDescent="0.3">
      <c r="B126" s="245" t="str">
        <f t="shared" si="268"/>
        <v>Gas (CNG)</v>
      </c>
      <c r="C126" s="286" t="s">
        <v>155</v>
      </c>
      <c r="D126" s="679">
        <f t="shared" si="269"/>
        <v>0</v>
      </c>
      <c r="E126" s="679">
        <f t="shared" si="252"/>
        <v>0</v>
      </c>
      <c r="F126" s="679">
        <f t="shared" si="253"/>
        <v>0</v>
      </c>
      <c r="G126" s="679">
        <f t="shared" si="254"/>
        <v>0</v>
      </c>
      <c r="H126" s="679">
        <f t="shared" si="255"/>
        <v>0</v>
      </c>
      <c r="I126" s="679">
        <f t="shared" si="256"/>
        <v>0</v>
      </c>
      <c r="J126" s="679">
        <f t="shared" si="257"/>
        <v>0</v>
      </c>
      <c r="K126" s="679">
        <f t="shared" si="258"/>
        <v>0</v>
      </c>
      <c r="L126" s="679">
        <f t="shared" si="259"/>
        <v>0</v>
      </c>
      <c r="M126" s="679">
        <f t="shared" si="260"/>
        <v>0</v>
      </c>
      <c r="N126" s="679">
        <f t="shared" si="261"/>
        <v>0</v>
      </c>
      <c r="O126" s="679">
        <f t="shared" si="262"/>
        <v>0</v>
      </c>
      <c r="P126" s="679">
        <f t="shared" si="263"/>
        <v>0</v>
      </c>
      <c r="Q126" s="679">
        <f t="shared" si="264"/>
        <v>0</v>
      </c>
      <c r="R126" s="679">
        <f t="shared" si="265"/>
        <v>0</v>
      </c>
      <c r="S126" s="679">
        <f t="shared" si="266"/>
        <v>0</v>
      </c>
      <c r="U126" s="769"/>
      <c r="V126" s="770"/>
      <c r="X126" s="771">
        <f t="shared" si="270"/>
        <v>1</v>
      </c>
      <c r="Y126" s="771">
        <f t="shared" si="270"/>
        <v>0</v>
      </c>
      <c r="Z126" s="771">
        <f t="shared" si="270"/>
        <v>0</v>
      </c>
      <c r="AA126" s="771">
        <f t="shared" si="270"/>
        <v>0</v>
      </c>
      <c r="AB126" s="771">
        <f t="shared" si="270"/>
        <v>0</v>
      </c>
      <c r="AC126" s="771">
        <f t="shared" si="270"/>
        <v>0</v>
      </c>
      <c r="AD126" s="771">
        <f t="shared" si="270"/>
        <v>0</v>
      </c>
      <c r="AE126" s="771">
        <f t="shared" si="270"/>
        <v>0</v>
      </c>
      <c r="AF126" s="771">
        <f t="shared" si="270"/>
        <v>0</v>
      </c>
      <c r="AG126" s="771">
        <f t="shared" si="270"/>
        <v>0</v>
      </c>
      <c r="AH126" s="771">
        <f t="shared" si="270"/>
        <v>0</v>
      </c>
      <c r="AI126" s="771">
        <f t="shared" si="270"/>
        <v>0</v>
      </c>
      <c r="AJ126" s="771">
        <f t="shared" si="270"/>
        <v>0</v>
      </c>
      <c r="AK126" s="771">
        <f t="shared" si="270"/>
        <v>0</v>
      </c>
      <c r="AL126" s="771">
        <f t="shared" si="270"/>
        <v>0</v>
      </c>
      <c r="AM126" s="772">
        <f t="shared" si="271"/>
        <v>1</v>
      </c>
    </row>
    <row r="127" spans="2:39" x14ac:dyDescent="0.3">
      <c r="B127" s="245" t="str">
        <f t="shared" si="268"/>
        <v>Gasoline</v>
      </c>
      <c r="C127" s="286" t="s">
        <v>156</v>
      </c>
      <c r="D127" s="679">
        <f t="shared" si="269"/>
        <v>0</v>
      </c>
      <c r="E127" s="679">
        <f t="shared" si="252"/>
        <v>0</v>
      </c>
      <c r="F127" s="679">
        <f t="shared" si="253"/>
        <v>0</v>
      </c>
      <c r="G127" s="679">
        <f t="shared" si="254"/>
        <v>0</v>
      </c>
      <c r="H127" s="679">
        <f t="shared" si="255"/>
        <v>0</v>
      </c>
      <c r="I127" s="679">
        <f t="shared" si="256"/>
        <v>0</v>
      </c>
      <c r="J127" s="679">
        <f t="shared" si="257"/>
        <v>0</v>
      </c>
      <c r="K127" s="679">
        <f t="shared" si="258"/>
        <v>0</v>
      </c>
      <c r="L127" s="679">
        <f t="shared" si="259"/>
        <v>0</v>
      </c>
      <c r="M127" s="679">
        <f t="shared" si="260"/>
        <v>0</v>
      </c>
      <c r="N127" s="679">
        <f t="shared" si="261"/>
        <v>0</v>
      </c>
      <c r="O127" s="679">
        <f t="shared" si="262"/>
        <v>0</v>
      </c>
      <c r="P127" s="679">
        <f t="shared" si="263"/>
        <v>0</v>
      </c>
      <c r="Q127" s="679">
        <f t="shared" si="264"/>
        <v>0</v>
      </c>
      <c r="R127" s="679">
        <f t="shared" si="265"/>
        <v>0</v>
      </c>
      <c r="S127" s="679">
        <f t="shared" si="266"/>
        <v>0</v>
      </c>
      <c r="U127" s="769"/>
      <c r="V127" s="770"/>
      <c r="X127" s="771">
        <f t="shared" si="270"/>
        <v>1</v>
      </c>
      <c r="Y127" s="771">
        <f t="shared" si="270"/>
        <v>0</v>
      </c>
      <c r="Z127" s="771">
        <f t="shared" si="270"/>
        <v>0</v>
      </c>
      <c r="AA127" s="771">
        <f t="shared" si="270"/>
        <v>0</v>
      </c>
      <c r="AB127" s="771">
        <f t="shared" si="270"/>
        <v>0</v>
      </c>
      <c r="AC127" s="771">
        <f t="shared" si="270"/>
        <v>0</v>
      </c>
      <c r="AD127" s="771">
        <f t="shared" si="270"/>
        <v>0</v>
      </c>
      <c r="AE127" s="771">
        <f t="shared" si="270"/>
        <v>0</v>
      </c>
      <c r="AF127" s="771">
        <f t="shared" si="270"/>
        <v>0</v>
      </c>
      <c r="AG127" s="771">
        <f t="shared" si="270"/>
        <v>0</v>
      </c>
      <c r="AH127" s="771">
        <f t="shared" si="270"/>
        <v>0</v>
      </c>
      <c r="AI127" s="771">
        <f t="shared" si="270"/>
        <v>0</v>
      </c>
      <c r="AJ127" s="771">
        <f t="shared" si="270"/>
        <v>0</v>
      </c>
      <c r="AK127" s="771">
        <f t="shared" si="270"/>
        <v>0</v>
      </c>
      <c r="AL127" s="771">
        <f t="shared" si="270"/>
        <v>0</v>
      </c>
      <c r="AM127" s="772">
        <f t="shared" si="271"/>
        <v>1</v>
      </c>
    </row>
    <row r="128" spans="2:39" x14ac:dyDescent="0.3">
      <c r="B128" s="245" t="str">
        <f t="shared" si="268"/>
        <v>Hybrid Electric - diesel</v>
      </c>
      <c r="C128" s="286" t="s">
        <v>157</v>
      </c>
      <c r="D128" s="679">
        <f t="shared" si="269"/>
        <v>0</v>
      </c>
      <c r="E128" s="679">
        <f t="shared" si="252"/>
        <v>0</v>
      </c>
      <c r="F128" s="679">
        <f t="shared" si="253"/>
        <v>0</v>
      </c>
      <c r="G128" s="679">
        <f t="shared" si="254"/>
        <v>0</v>
      </c>
      <c r="H128" s="679">
        <f t="shared" si="255"/>
        <v>0</v>
      </c>
      <c r="I128" s="679">
        <f t="shared" si="256"/>
        <v>0</v>
      </c>
      <c r="J128" s="679">
        <f t="shared" si="257"/>
        <v>0</v>
      </c>
      <c r="K128" s="679">
        <f t="shared" si="258"/>
        <v>0</v>
      </c>
      <c r="L128" s="679">
        <f t="shared" si="259"/>
        <v>0</v>
      </c>
      <c r="M128" s="679">
        <f t="shared" si="260"/>
        <v>0</v>
      </c>
      <c r="N128" s="679">
        <f t="shared" si="261"/>
        <v>0</v>
      </c>
      <c r="O128" s="679">
        <f t="shared" si="262"/>
        <v>0</v>
      </c>
      <c r="P128" s="679">
        <f t="shared" si="263"/>
        <v>0</v>
      </c>
      <c r="Q128" s="679">
        <f t="shared" si="264"/>
        <v>0</v>
      </c>
      <c r="R128" s="679">
        <f t="shared" si="265"/>
        <v>0</v>
      </c>
      <c r="S128" s="679">
        <f t="shared" si="266"/>
        <v>0</v>
      </c>
      <c r="U128" s="769"/>
      <c r="V128" s="770"/>
      <c r="X128" s="771">
        <f t="shared" si="270"/>
        <v>1</v>
      </c>
      <c r="Y128" s="771">
        <f t="shared" si="270"/>
        <v>0</v>
      </c>
      <c r="Z128" s="771">
        <f t="shared" si="270"/>
        <v>0</v>
      </c>
      <c r="AA128" s="771">
        <f t="shared" si="270"/>
        <v>0</v>
      </c>
      <c r="AB128" s="771">
        <f t="shared" si="270"/>
        <v>0</v>
      </c>
      <c r="AC128" s="771">
        <f t="shared" si="270"/>
        <v>0</v>
      </c>
      <c r="AD128" s="771">
        <f t="shared" si="270"/>
        <v>0</v>
      </c>
      <c r="AE128" s="771">
        <f t="shared" si="270"/>
        <v>0</v>
      </c>
      <c r="AF128" s="771">
        <f t="shared" si="270"/>
        <v>0</v>
      </c>
      <c r="AG128" s="771">
        <f t="shared" si="270"/>
        <v>0</v>
      </c>
      <c r="AH128" s="771">
        <f t="shared" si="270"/>
        <v>0</v>
      </c>
      <c r="AI128" s="771">
        <f t="shared" si="270"/>
        <v>0</v>
      </c>
      <c r="AJ128" s="771">
        <f t="shared" si="270"/>
        <v>0</v>
      </c>
      <c r="AK128" s="771">
        <f t="shared" si="270"/>
        <v>0</v>
      </c>
      <c r="AL128" s="771">
        <f t="shared" si="270"/>
        <v>0</v>
      </c>
      <c r="AM128" s="772">
        <f t="shared" si="271"/>
        <v>1</v>
      </c>
    </row>
    <row r="129" spans="2:39" x14ac:dyDescent="0.3">
      <c r="B129" s="245" t="str">
        <f t="shared" si="268"/>
        <v>Hybrid Electric - gasoline</v>
      </c>
      <c r="C129" s="286" t="s">
        <v>158</v>
      </c>
      <c r="D129" s="679">
        <f t="shared" si="269"/>
        <v>0</v>
      </c>
      <c r="E129" s="679">
        <f t="shared" si="252"/>
        <v>0</v>
      </c>
      <c r="F129" s="679">
        <f t="shared" si="253"/>
        <v>0</v>
      </c>
      <c r="G129" s="679">
        <f t="shared" si="254"/>
        <v>0</v>
      </c>
      <c r="H129" s="679">
        <f t="shared" si="255"/>
        <v>0</v>
      </c>
      <c r="I129" s="679">
        <f t="shared" si="256"/>
        <v>0</v>
      </c>
      <c r="J129" s="679">
        <f t="shared" si="257"/>
        <v>0</v>
      </c>
      <c r="K129" s="679">
        <f t="shared" si="258"/>
        <v>0</v>
      </c>
      <c r="L129" s="679">
        <f t="shared" si="259"/>
        <v>0</v>
      </c>
      <c r="M129" s="679">
        <f t="shared" si="260"/>
        <v>0</v>
      </c>
      <c r="N129" s="679">
        <f t="shared" si="261"/>
        <v>0</v>
      </c>
      <c r="O129" s="679">
        <f t="shared" si="262"/>
        <v>0</v>
      </c>
      <c r="P129" s="679">
        <f t="shared" si="263"/>
        <v>0</v>
      </c>
      <c r="Q129" s="679">
        <f t="shared" si="264"/>
        <v>0</v>
      </c>
      <c r="R129" s="679">
        <f t="shared" si="265"/>
        <v>0</v>
      </c>
      <c r="S129" s="679">
        <f t="shared" si="266"/>
        <v>0</v>
      </c>
      <c r="U129" s="769"/>
      <c r="V129" s="770"/>
      <c r="X129" s="771">
        <f t="shared" si="270"/>
        <v>1</v>
      </c>
      <c r="Y129" s="771">
        <f t="shared" si="270"/>
        <v>0</v>
      </c>
      <c r="Z129" s="771">
        <f t="shared" si="270"/>
        <v>0</v>
      </c>
      <c r="AA129" s="771">
        <f t="shared" si="270"/>
        <v>0</v>
      </c>
      <c r="AB129" s="771">
        <f t="shared" si="270"/>
        <v>0</v>
      </c>
      <c r="AC129" s="771">
        <f t="shared" si="270"/>
        <v>0</v>
      </c>
      <c r="AD129" s="771">
        <f t="shared" si="270"/>
        <v>0</v>
      </c>
      <c r="AE129" s="771">
        <f t="shared" si="270"/>
        <v>0</v>
      </c>
      <c r="AF129" s="771">
        <f t="shared" si="270"/>
        <v>0</v>
      </c>
      <c r="AG129" s="771">
        <f t="shared" si="270"/>
        <v>0</v>
      </c>
      <c r="AH129" s="771">
        <f t="shared" si="270"/>
        <v>0</v>
      </c>
      <c r="AI129" s="771">
        <f t="shared" si="270"/>
        <v>0</v>
      </c>
      <c r="AJ129" s="771">
        <f t="shared" si="270"/>
        <v>0</v>
      </c>
      <c r="AK129" s="771">
        <f t="shared" si="270"/>
        <v>0</v>
      </c>
      <c r="AL129" s="771">
        <f t="shared" si="270"/>
        <v>0</v>
      </c>
      <c r="AM129" s="772">
        <f t="shared" si="271"/>
        <v>1</v>
      </c>
    </row>
    <row r="130" spans="2:39" x14ac:dyDescent="0.3">
      <c r="B130" s="245" t="str">
        <f t="shared" si="268"/>
        <v>LPG</v>
      </c>
      <c r="C130" s="286" t="s">
        <v>159</v>
      </c>
      <c r="D130" s="679">
        <f t="shared" si="269"/>
        <v>0</v>
      </c>
      <c r="E130" s="679">
        <f t="shared" si="252"/>
        <v>0</v>
      </c>
      <c r="F130" s="679">
        <f t="shared" si="253"/>
        <v>0</v>
      </c>
      <c r="G130" s="679">
        <f t="shared" si="254"/>
        <v>0</v>
      </c>
      <c r="H130" s="679">
        <f t="shared" si="255"/>
        <v>0</v>
      </c>
      <c r="I130" s="679">
        <f t="shared" si="256"/>
        <v>0</v>
      </c>
      <c r="J130" s="679">
        <f t="shared" si="257"/>
        <v>0</v>
      </c>
      <c r="K130" s="679">
        <f t="shared" si="258"/>
        <v>0</v>
      </c>
      <c r="L130" s="679">
        <f t="shared" si="259"/>
        <v>0</v>
      </c>
      <c r="M130" s="679">
        <f t="shared" si="260"/>
        <v>0</v>
      </c>
      <c r="N130" s="679">
        <f t="shared" si="261"/>
        <v>0</v>
      </c>
      <c r="O130" s="679">
        <f t="shared" si="262"/>
        <v>0</v>
      </c>
      <c r="P130" s="679">
        <f t="shared" si="263"/>
        <v>0</v>
      </c>
      <c r="Q130" s="679">
        <f t="shared" si="264"/>
        <v>0</v>
      </c>
      <c r="R130" s="679">
        <f t="shared" si="265"/>
        <v>0</v>
      </c>
      <c r="S130" s="679">
        <f t="shared" si="266"/>
        <v>0</v>
      </c>
      <c r="U130" s="769"/>
      <c r="V130" s="770"/>
      <c r="X130" s="771">
        <f t="shared" si="270"/>
        <v>1</v>
      </c>
      <c r="Y130" s="771">
        <f t="shared" si="270"/>
        <v>0</v>
      </c>
      <c r="Z130" s="771">
        <f t="shared" si="270"/>
        <v>0</v>
      </c>
      <c r="AA130" s="771">
        <f t="shared" si="270"/>
        <v>0</v>
      </c>
      <c r="AB130" s="771">
        <f t="shared" si="270"/>
        <v>0</v>
      </c>
      <c r="AC130" s="771">
        <f t="shared" si="270"/>
        <v>0</v>
      </c>
      <c r="AD130" s="771">
        <f t="shared" si="270"/>
        <v>0</v>
      </c>
      <c r="AE130" s="771">
        <f t="shared" si="270"/>
        <v>0</v>
      </c>
      <c r="AF130" s="771">
        <f t="shared" si="270"/>
        <v>0</v>
      </c>
      <c r="AG130" s="771">
        <f t="shared" si="270"/>
        <v>0</v>
      </c>
      <c r="AH130" s="771">
        <f t="shared" si="270"/>
        <v>0</v>
      </c>
      <c r="AI130" s="771">
        <f t="shared" si="270"/>
        <v>0</v>
      </c>
      <c r="AJ130" s="771">
        <f t="shared" si="270"/>
        <v>0</v>
      </c>
      <c r="AK130" s="771">
        <f t="shared" si="270"/>
        <v>0</v>
      </c>
      <c r="AL130" s="771">
        <f t="shared" si="270"/>
        <v>0</v>
      </c>
      <c r="AM130" s="772">
        <f t="shared" si="271"/>
        <v>1</v>
      </c>
    </row>
    <row r="131" spans="2:39" x14ac:dyDescent="0.3">
      <c r="B131" s="245" t="str">
        <f t="shared" si="268"/>
        <v>Plugin Hybrid Electric - diesel</v>
      </c>
      <c r="C131" s="286" t="s">
        <v>160</v>
      </c>
      <c r="D131" s="679">
        <f t="shared" si="269"/>
        <v>0</v>
      </c>
      <c r="E131" s="679">
        <f t="shared" si="252"/>
        <v>0</v>
      </c>
      <c r="F131" s="679">
        <f t="shared" si="253"/>
        <v>0</v>
      </c>
      <c r="G131" s="679">
        <f t="shared" si="254"/>
        <v>0</v>
      </c>
      <c r="H131" s="679">
        <f t="shared" si="255"/>
        <v>0</v>
      </c>
      <c r="I131" s="679">
        <f t="shared" si="256"/>
        <v>0</v>
      </c>
      <c r="J131" s="679">
        <f t="shared" si="257"/>
        <v>0</v>
      </c>
      <c r="K131" s="679">
        <f t="shared" si="258"/>
        <v>0</v>
      </c>
      <c r="L131" s="679">
        <f t="shared" si="259"/>
        <v>0</v>
      </c>
      <c r="M131" s="679">
        <f t="shared" si="260"/>
        <v>0</v>
      </c>
      <c r="N131" s="679">
        <f t="shared" si="261"/>
        <v>0</v>
      </c>
      <c r="O131" s="679">
        <f t="shared" si="262"/>
        <v>0</v>
      </c>
      <c r="P131" s="679">
        <f t="shared" si="263"/>
        <v>0</v>
      </c>
      <c r="Q131" s="679">
        <f t="shared" si="264"/>
        <v>0</v>
      </c>
      <c r="R131" s="679">
        <f t="shared" si="265"/>
        <v>0</v>
      </c>
      <c r="S131" s="679">
        <f t="shared" si="266"/>
        <v>0</v>
      </c>
      <c r="U131" s="769"/>
      <c r="V131" s="770"/>
      <c r="X131" s="771">
        <f t="shared" si="270"/>
        <v>1</v>
      </c>
      <c r="Y131" s="771">
        <f t="shared" si="270"/>
        <v>0</v>
      </c>
      <c r="Z131" s="771">
        <f t="shared" si="270"/>
        <v>0</v>
      </c>
      <c r="AA131" s="771">
        <f t="shared" si="270"/>
        <v>0</v>
      </c>
      <c r="AB131" s="771">
        <f t="shared" si="270"/>
        <v>0</v>
      </c>
      <c r="AC131" s="771">
        <f t="shared" si="270"/>
        <v>0</v>
      </c>
      <c r="AD131" s="771">
        <f t="shared" si="270"/>
        <v>0</v>
      </c>
      <c r="AE131" s="771">
        <f t="shared" si="270"/>
        <v>0</v>
      </c>
      <c r="AF131" s="771">
        <f t="shared" si="270"/>
        <v>0</v>
      </c>
      <c r="AG131" s="771">
        <f t="shared" si="270"/>
        <v>0</v>
      </c>
      <c r="AH131" s="771">
        <f t="shared" si="270"/>
        <v>0</v>
      </c>
      <c r="AI131" s="771">
        <f t="shared" si="270"/>
        <v>0</v>
      </c>
      <c r="AJ131" s="771">
        <f t="shared" si="270"/>
        <v>0</v>
      </c>
      <c r="AK131" s="771">
        <f t="shared" si="270"/>
        <v>0</v>
      </c>
      <c r="AL131" s="771">
        <f t="shared" si="270"/>
        <v>0</v>
      </c>
      <c r="AM131" s="772">
        <f t="shared" si="271"/>
        <v>1</v>
      </c>
    </row>
    <row r="132" spans="2:39" x14ac:dyDescent="0.3">
      <c r="B132" s="245" t="str">
        <f t="shared" si="268"/>
        <v>Plugin Hybrid Electric - gasoline</v>
      </c>
      <c r="C132" s="286" t="s">
        <v>161</v>
      </c>
      <c r="D132" s="679">
        <f t="shared" si="269"/>
        <v>0</v>
      </c>
      <c r="E132" s="679">
        <f t="shared" si="252"/>
        <v>0</v>
      </c>
      <c r="F132" s="679">
        <f t="shared" si="253"/>
        <v>0</v>
      </c>
      <c r="G132" s="679">
        <f t="shared" si="254"/>
        <v>0</v>
      </c>
      <c r="H132" s="679">
        <f t="shared" si="255"/>
        <v>0</v>
      </c>
      <c r="I132" s="679">
        <f t="shared" si="256"/>
        <v>0</v>
      </c>
      <c r="J132" s="679">
        <f t="shared" si="257"/>
        <v>0</v>
      </c>
      <c r="K132" s="679">
        <f t="shared" si="258"/>
        <v>0</v>
      </c>
      <c r="L132" s="679">
        <f t="shared" si="259"/>
        <v>0</v>
      </c>
      <c r="M132" s="679">
        <f t="shared" si="260"/>
        <v>0</v>
      </c>
      <c r="N132" s="679">
        <f t="shared" si="261"/>
        <v>0</v>
      </c>
      <c r="O132" s="679">
        <f t="shared" si="262"/>
        <v>0</v>
      </c>
      <c r="P132" s="679">
        <f t="shared" si="263"/>
        <v>0</v>
      </c>
      <c r="Q132" s="679">
        <f t="shared" si="264"/>
        <v>0</v>
      </c>
      <c r="R132" s="679">
        <f t="shared" si="265"/>
        <v>0</v>
      </c>
      <c r="S132" s="679">
        <f t="shared" si="266"/>
        <v>0</v>
      </c>
      <c r="U132" s="769"/>
      <c r="V132" s="770"/>
      <c r="X132" s="771">
        <f t="shared" si="270"/>
        <v>1</v>
      </c>
      <c r="Y132" s="771">
        <f t="shared" si="270"/>
        <v>0</v>
      </c>
      <c r="Z132" s="771">
        <f t="shared" si="270"/>
        <v>0</v>
      </c>
      <c r="AA132" s="771">
        <f t="shared" si="270"/>
        <v>0</v>
      </c>
      <c r="AB132" s="771">
        <f t="shared" si="270"/>
        <v>0</v>
      </c>
      <c r="AC132" s="771">
        <f t="shared" si="270"/>
        <v>0</v>
      </c>
      <c r="AD132" s="771">
        <f t="shared" si="270"/>
        <v>0</v>
      </c>
      <c r="AE132" s="771">
        <f t="shared" si="270"/>
        <v>0</v>
      </c>
      <c r="AF132" s="771">
        <f t="shared" si="270"/>
        <v>0</v>
      </c>
      <c r="AG132" s="771">
        <f t="shared" si="270"/>
        <v>0</v>
      </c>
      <c r="AH132" s="771">
        <f t="shared" si="270"/>
        <v>0</v>
      </c>
      <c r="AI132" s="771">
        <f t="shared" si="270"/>
        <v>0</v>
      </c>
      <c r="AJ132" s="771">
        <f t="shared" si="270"/>
        <v>0</v>
      </c>
      <c r="AK132" s="771">
        <f t="shared" si="270"/>
        <v>0</v>
      </c>
      <c r="AL132" s="771">
        <f t="shared" si="270"/>
        <v>0</v>
      </c>
      <c r="AM132" s="772">
        <f t="shared" si="271"/>
        <v>1</v>
      </c>
    </row>
    <row r="133" spans="2:39" x14ac:dyDescent="0.3">
      <c r="B133" s="250" t="str">
        <f t="shared" si="268"/>
        <v>Other</v>
      </c>
      <c r="C133" s="523"/>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8"/>
      <c r="V133" s="774"/>
      <c r="X133" s="771">
        <f t="shared" si="270"/>
        <v>1</v>
      </c>
      <c r="Y133" s="771">
        <f t="shared" si="270"/>
        <v>0</v>
      </c>
      <c r="Z133" s="771">
        <f t="shared" si="270"/>
        <v>0</v>
      </c>
      <c r="AA133" s="771">
        <f t="shared" si="270"/>
        <v>0</v>
      </c>
      <c r="AB133" s="771">
        <f t="shared" si="270"/>
        <v>0</v>
      </c>
      <c r="AC133" s="771">
        <f t="shared" si="270"/>
        <v>0</v>
      </c>
      <c r="AD133" s="771">
        <f>AD$6</f>
        <v>0</v>
      </c>
      <c r="AE133" s="771">
        <f t="shared" si="270"/>
        <v>0</v>
      </c>
      <c r="AF133" s="771">
        <f t="shared" si="270"/>
        <v>0</v>
      </c>
      <c r="AG133" s="771">
        <f t="shared" si="270"/>
        <v>0</v>
      </c>
      <c r="AH133" s="771">
        <f t="shared" si="270"/>
        <v>0</v>
      </c>
      <c r="AI133" s="771">
        <f t="shared" si="270"/>
        <v>0</v>
      </c>
      <c r="AJ133" s="771">
        <f t="shared" si="270"/>
        <v>0</v>
      </c>
      <c r="AK133" s="771">
        <f t="shared" si="270"/>
        <v>0</v>
      </c>
      <c r="AL133" s="771">
        <f t="shared" si="270"/>
        <v>0</v>
      </c>
      <c r="AM133" s="772">
        <f t="shared" si="271"/>
        <v>1</v>
      </c>
    </row>
    <row r="134" spans="2:39" x14ac:dyDescent="0.3">
      <c r="B134" s="131" t="s">
        <v>119</v>
      </c>
      <c r="C134" s="524"/>
      <c r="D134" s="680">
        <f>SUM(D122:D133)</f>
        <v>0</v>
      </c>
      <c r="E134" s="680">
        <f>SUM(E122:E133)</f>
        <v>0</v>
      </c>
      <c r="F134" s="680">
        <f t="shared" ref="F134" si="272">SUM(F122:F133)</f>
        <v>0</v>
      </c>
      <c r="G134" s="680">
        <f t="shared" ref="G134" si="273">SUM(G122:G133)</f>
        <v>0</v>
      </c>
      <c r="H134" s="680">
        <f t="shared" ref="H134" si="274">SUM(H122:H133)</f>
        <v>0</v>
      </c>
      <c r="I134" s="680">
        <f t="shared" ref="I134" si="275">SUM(I122:I133)</f>
        <v>0</v>
      </c>
      <c r="J134" s="680">
        <f t="shared" ref="J134" si="276">SUM(J122:J133)</f>
        <v>0</v>
      </c>
      <c r="K134" s="680">
        <f t="shared" ref="K134" si="277">SUM(K122:K133)</f>
        <v>0</v>
      </c>
      <c r="L134" s="680">
        <f t="shared" ref="L134" si="278">SUM(L122:L133)</f>
        <v>0</v>
      </c>
      <c r="M134" s="680">
        <f t="shared" ref="M134" si="279">SUM(M122:M133)</f>
        <v>0</v>
      </c>
      <c r="N134" s="680">
        <f t="shared" ref="N134" si="280">SUM(N122:N133)</f>
        <v>0</v>
      </c>
      <c r="O134" s="680">
        <f t="shared" ref="O134" si="281">SUM(O122:O133)</f>
        <v>0</v>
      </c>
      <c r="P134" s="680">
        <f t="shared" ref="P134" si="282">SUM(P122:P133)</f>
        <v>0</v>
      </c>
      <c r="Q134" s="680">
        <f t="shared" ref="Q134" si="283">SUM(Q122:Q133)</f>
        <v>0</v>
      </c>
      <c r="R134" s="680">
        <f t="shared" ref="R134" si="284">SUM(R122:R133)</f>
        <v>0</v>
      </c>
      <c r="S134" s="680">
        <f t="shared" ref="S134" si="285">SUM(S122:S133)</f>
        <v>0</v>
      </c>
      <c r="U134" s="775">
        <f>SUM(U122:U133)</f>
        <v>0</v>
      </c>
      <c r="V134" s="781">
        <f>SUM(V122:V133)</f>
        <v>0</v>
      </c>
    </row>
    <row r="136" spans="2:39" x14ac:dyDescent="0.3">
      <c r="B136" s="441" t="s">
        <v>162</v>
      </c>
      <c r="C136" s="522"/>
      <c r="V136" s="785"/>
      <c r="X136" s="763" t="s">
        <v>99</v>
      </c>
    </row>
    <row r="137" spans="2:39" x14ac:dyDescent="0.3">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8" t="s">
        <v>105</v>
      </c>
      <c r="V137" s="768" t="str">
        <f>V$9</f>
        <v>City vehicles</v>
      </c>
      <c r="X137" s="765" t="str">
        <f t="shared" ref="X137:AL137" si="287">D137</f>
        <v>Z01</v>
      </c>
      <c r="Y137" s="765" t="str">
        <f t="shared" si="287"/>
        <v>Z02</v>
      </c>
      <c r="Z137" s="765" t="str">
        <f t="shared" si="287"/>
        <v>Z03</v>
      </c>
      <c r="AA137" s="765" t="str">
        <f t="shared" si="287"/>
        <v>Z04</v>
      </c>
      <c r="AB137" s="765" t="str">
        <f t="shared" si="287"/>
        <v>Z05</v>
      </c>
      <c r="AC137" s="765" t="str">
        <f t="shared" si="287"/>
        <v>Z06</v>
      </c>
      <c r="AD137" s="765" t="str">
        <f t="shared" si="287"/>
        <v>Z07</v>
      </c>
      <c r="AE137" s="765" t="str">
        <f t="shared" si="287"/>
        <v>Z08</v>
      </c>
      <c r="AF137" s="765" t="str">
        <f t="shared" si="287"/>
        <v>Z09</v>
      </c>
      <c r="AG137" s="765" t="str">
        <f t="shared" si="287"/>
        <v>Z10</v>
      </c>
      <c r="AH137" s="765" t="str">
        <f t="shared" si="287"/>
        <v>Z11</v>
      </c>
      <c r="AI137" s="765" t="str">
        <f t="shared" si="287"/>
        <v>Z12</v>
      </c>
      <c r="AJ137" s="765" t="str">
        <f t="shared" si="287"/>
        <v>Z13</v>
      </c>
      <c r="AK137" s="765" t="str">
        <f t="shared" si="287"/>
        <v>Z14</v>
      </c>
      <c r="AL137" s="765" t="str">
        <f t="shared" si="287"/>
        <v>Z15</v>
      </c>
      <c r="AM137" s="765" t="s">
        <v>100</v>
      </c>
    </row>
    <row r="138" spans="2:39" x14ac:dyDescent="0.3">
      <c r="B138" s="245" t="s">
        <v>163</v>
      </c>
      <c r="C138" s="286" t="str">
        <f>T_NCAP_AF!C297</f>
        <v>TYEP900</v>
      </c>
      <c r="D138" s="679">
        <f>$V138*X138</f>
        <v>0</v>
      </c>
      <c r="E138" s="679">
        <f t="shared" ref="E138:E139" si="288">$V138*Y138</f>
        <v>0</v>
      </c>
      <c r="F138" s="679">
        <f t="shared" ref="F138:F139" si="289">$V138*Z138</f>
        <v>0</v>
      </c>
      <c r="G138" s="679">
        <f t="shared" ref="G138:G139" si="290">$V138*AA138</f>
        <v>0</v>
      </c>
      <c r="H138" s="679">
        <f t="shared" ref="H138:H139" si="291">$V138*AB138</f>
        <v>0</v>
      </c>
      <c r="I138" s="679">
        <f t="shared" ref="I138:I139" si="292">$V138*AC138</f>
        <v>0</v>
      </c>
      <c r="J138" s="679">
        <f t="shared" ref="J138:J139" si="293">$V138*AD138</f>
        <v>0</v>
      </c>
      <c r="K138" s="679">
        <f t="shared" ref="K138:K139" si="294">$V138*AE138</f>
        <v>0</v>
      </c>
      <c r="L138" s="679">
        <f t="shared" ref="L138:L139" si="295">$V138*AF138</f>
        <v>0</v>
      </c>
      <c r="M138" s="679">
        <f t="shared" ref="M138:M139" si="296">$V138*AG138</f>
        <v>0</v>
      </c>
      <c r="N138" s="679">
        <f t="shared" ref="N138:N139" si="297">$V138*AH138</f>
        <v>0</v>
      </c>
      <c r="O138" s="679">
        <f t="shared" ref="O138:O139" si="298">$V138*AI138</f>
        <v>0</v>
      </c>
      <c r="P138" s="679">
        <f t="shared" ref="P138:P139" si="299">$V138*AJ138</f>
        <v>0</v>
      </c>
      <c r="Q138" s="679">
        <f t="shared" ref="Q138:Q139" si="300">$V138*AK138</f>
        <v>0</v>
      </c>
      <c r="R138" s="679">
        <f t="shared" ref="R138:R139" si="301">$V138*AL138</f>
        <v>0</v>
      </c>
      <c r="S138" s="679">
        <f t="shared" ref="S138:S139" si="302">$V138*AM138</f>
        <v>0</v>
      </c>
      <c r="U138" s="789"/>
      <c r="V138" s="789"/>
      <c r="X138" s="771">
        <f t="shared" ref="X138:AL139" si="303">X$6</f>
        <v>1</v>
      </c>
      <c r="Y138" s="771">
        <f t="shared" si="303"/>
        <v>0</v>
      </c>
      <c r="Z138" s="771">
        <f t="shared" si="303"/>
        <v>0</v>
      </c>
      <c r="AA138" s="771">
        <f t="shared" si="303"/>
        <v>0</v>
      </c>
      <c r="AB138" s="771">
        <f t="shared" si="303"/>
        <v>0</v>
      </c>
      <c r="AC138" s="771">
        <f t="shared" si="303"/>
        <v>0</v>
      </c>
      <c r="AD138" s="771">
        <f t="shared" si="303"/>
        <v>0</v>
      </c>
      <c r="AE138" s="771">
        <f t="shared" si="303"/>
        <v>0</v>
      </c>
      <c r="AF138" s="771">
        <f t="shared" si="303"/>
        <v>0</v>
      </c>
      <c r="AG138" s="771">
        <f t="shared" si="303"/>
        <v>0</v>
      </c>
      <c r="AH138" s="771">
        <f t="shared" si="303"/>
        <v>0</v>
      </c>
      <c r="AI138" s="771">
        <f t="shared" si="303"/>
        <v>0</v>
      </c>
      <c r="AJ138" s="771">
        <f t="shared" si="303"/>
        <v>0</v>
      </c>
      <c r="AK138" s="771">
        <f t="shared" si="303"/>
        <v>0</v>
      </c>
      <c r="AL138" s="771">
        <f t="shared" si="303"/>
        <v>0</v>
      </c>
      <c r="AM138" s="772">
        <f t="shared" ref="AM138:AM139" si="304">SUM(X138:AI138)</f>
        <v>1</v>
      </c>
    </row>
    <row r="139" spans="2:39" x14ac:dyDescent="0.3">
      <c r="B139" s="250" t="s">
        <v>164</v>
      </c>
      <c r="C139" s="523"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0"/>
      <c r="V139" s="790"/>
      <c r="X139" s="771">
        <f t="shared" si="303"/>
        <v>1</v>
      </c>
      <c r="Y139" s="771">
        <f t="shared" si="303"/>
        <v>0</v>
      </c>
      <c r="Z139" s="771">
        <f t="shared" si="303"/>
        <v>0</v>
      </c>
      <c r="AA139" s="771">
        <f t="shared" si="303"/>
        <v>0</v>
      </c>
      <c r="AB139" s="771">
        <f t="shared" si="303"/>
        <v>0</v>
      </c>
      <c r="AC139" s="771">
        <f t="shared" si="303"/>
        <v>0</v>
      </c>
      <c r="AD139" s="771">
        <f>AD$6</f>
        <v>0</v>
      </c>
      <c r="AE139" s="771">
        <f t="shared" si="303"/>
        <v>0</v>
      </c>
      <c r="AF139" s="771">
        <f t="shared" si="303"/>
        <v>0</v>
      </c>
      <c r="AG139" s="771">
        <f t="shared" si="303"/>
        <v>0</v>
      </c>
      <c r="AH139" s="771">
        <f t="shared" si="303"/>
        <v>0</v>
      </c>
      <c r="AI139" s="771">
        <f t="shared" si="303"/>
        <v>0</v>
      </c>
      <c r="AJ139" s="771">
        <f t="shared" si="303"/>
        <v>0</v>
      </c>
      <c r="AK139" s="771">
        <f t="shared" si="303"/>
        <v>0</v>
      </c>
      <c r="AL139" s="771">
        <f t="shared" si="303"/>
        <v>0</v>
      </c>
      <c r="AM139" s="772">
        <f t="shared" si="304"/>
        <v>1</v>
      </c>
    </row>
    <row r="140" spans="2:39" x14ac:dyDescent="0.3">
      <c r="B140" s="131" t="s">
        <v>119</v>
      </c>
      <c r="C140" s="524"/>
      <c r="D140" s="680">
        <f>SUM(D138:D139)</f>
        <v>0</v>
      </c>
      <c r="E140" s="680">
        <f t="shared" ref="E140:S140" si="306">SUM(E138:E139)</f>
        <v>0</v>
      </c>
      <c r="F140" s="680">
        <f t="shared" si="306"/>
        <v>0</v>
      </c>
      <c r="G140" s="680">
        <f t="shared" si="306"/>
        <v>0</v>
      </c>
      <c r="H140" s="680">
        <f t="shared" si="306"/>
        <v>0</v>
      </c>
      <c r="I140" s="680">
        <f t="shared" si="306"/>
        <v>0</v>
      </c>
      <c r="J140" s="680">
        <f t="shared" si="306"/>
        <v>0</v>
      </c>
      <c r="K140" s="680">
        <f t="shared" si="306"/>
        <v>0</v>
      </c>
      <c r="L140" s="680">
        <f t="shared" si="306"/>
        <v>0</v>
      </c>
      <c r="M140" s="680">
        <f t="shared" si="306"/>
        <v>0</v>
      </c>
      <c r="N140" s="680">
        <f t="shared" si="306"/>
        <v>0</v>
      </c>
      <c r="O140" s="680">
        <f t="shared" si="306"/>
        <v>0</v>
      </c>
      <c r="P140" s="680">
        <f t="shared" si="306"/>
        <v>0</v>
      </c>
      <c r="Q140" s="680">
        <f t="shared" si="306"/>
        <v>0</v>
      </c>
      <c r="R140" s="680">
        <f t="shared" si="306"/>
        <v>0</v>
      </c>
      <c r="S140" s="680">
        <f t="shared" si="306"/>
        <v>0</v>
      </c>
      <c r="U140" s="775">
        <f>SUM(U138:U139)</f>
        <v>0</v>
      </c>
      <c r="V140" s="758">
        <f>SUM(V138:V139)</f>
        <v>0</v>
      </c>
    </row>
    <row r="142" spans="2:39" x14ac:dyDescent="0.3">
      <c r="B142" s="441" t="s">
        <v>165</v>
      </c>
      <c r="C142" s="522"/>
      <c r="V142" s="785"/>
      <c r="X142" s="763" t="s">
        <v>99</v>
      </c>
    </row>
    <row r="143" spans="2:39" x14ac:dyDescent="0.3">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8" t="s">
        <v>105</v>
      </c>
      <c r="V143" s="768" t="str">
        <f>V$9</f>
        <v>City vehicles</v>
      </c>
      <c r="X143" s="765" t="str">
        <f t="shared" ref="X143" si="308">D143</f>
        <v>Z01</v>
      </c>
      <c r="Y143" s="765" t="str">
        <f t="shared" ref="Y143" si="309">E143</f>
        <v>Z02</v>
      </c>
      <c r="Z143" s="765" t="str">
        <f t="shared" ref="Z143" si="310">F143</f>
        <v>Z03</v>
      </c>
      <c r="AA143" s="765" t="str">
        <f t="shared" ref="AA143" si="311">G143</f>
        <v>Z04</v>
      </c>
      <c r="AB143" s="765" t="str">
        <f t="shared" ref="AB143" si="312">H143</f>
        <v>Z05</v>
      </c>
      <c r="AC143" s="765" t="str">
        <f t="shared" ref="AC143" si="313">I143</f>
        <v>Z06</v>
      </c>
      <c r="AD143" s="765" t="str">
        <f t="shared" ref="AD143" si="314">J143</f>
        <v>Z07</v>
      </c>
      <c r="AE143" s="765" t="str">
        <f t="shared" ref="AE143" si="315">K143</f>
        <v>Z08</v>
      </c>
      <c r="AF143" s="765" t="str">
        <f t="shared" ref="AF143" si="316">L143</f>
        <v>Z09</v>
      </c>
      <c r="AG143" s="765" t="str">
        <f t="shared" ref="AG143" si="317">M143</f>
        <v>Z10</v>
      </c>
      <c r="AH143" s="765" t="str">
        <f t="shared" ref="AH143" si="318">N143</f>
        <v>Z11</v>
      </c>
      <c r="AI143" s="765" t="str">
        <f t="shared" ref="AI143" si="319">O143</f>
        <v>Z12</v>
      </c>
      <c r="AJ143" s="765" t="str">
        <f t="shared" ref="AJ143" si="320">P143</f>
        <v>Z13</v>
      </c>
      <c r="AK143" s="765" t="str">
        <f t="shared" ref="AK143" si="321">Q143</f>
        <v>Z14</v>
      </c>
      <c r="AL143" s="765" t="str">
        <f t="shared" ref="AL143" si="322">R143</f>
        <v>Z15</v>
      </c>
      <c r="AM143" s="765" t="s">
        <v>100</v>
      </c>
    </row>
    <row r="144" spans="2:39" x14ac:dyDescent="0.3">
      <c r="B144" s="245" t="s">
        <v>163</v>
      </c>
      <c r="C144" s="286" t="s">
        <v>166</v>
      </c>
      <c r="D144" s="679">
        <f>$V144*X144</f>
        <v>0</v>
      </c>
      <c r="E144" s="679">
        <f t="shared" ref="E144:E145" si="323">$V144*Y144</f>
        <v>0</v>
      </c>
      <c r="F144" s="679">
        <f t="shared" ref="F144:F145" si="324">$V144*Z144</f>
        <v>0</v>
      </c>
      <c r="G144" s="679">
        <f t="shared" ref="G144:G145" si="325">$V144*AA144</f>
        <v>0</v>
      </c>
      <c r="H144" s="679">
        <f t="shared" ref="H144:H145" si="326">$V144*AB144</f>
        <v>0</v>
      </c>
      <c r="I144" s="679">
        <f t="shared" ref="I144:I145" si="327">$V144*AC144</f>
        <v>0</v>
      </c>
      <c r="J144" s="679">
        <f t="shared" ref="J144:J145" si="328">$V144*AD144</f>
        <v>0</v>
      </c>
      <c r="K144" s="679">
        <f t="shared" ref="K144:K145" si="329">$V144*AE144</f>
        <v>0</v>
      </c>
      <c r="L144" s="679">
        <f t="shared" ref="L144:L145" si="330">$V144*AF144</f>
        <v>0</v>
      </c>
      <c r="M144" s="679">
        <f t="shared" ref="M144:M145" si="331">$V144*AG144</f>
        <v>0</v>
      </c>
      <c r="N144" s="679">
        <f t="shared" ref="N144:N145" si="332">$V144*AH144</f>
        <v>0</v>
      </c>
      <c r="O144" s="679">
        <f t="shared" ref="O144:O145" si="333">$V144*AI144</f>
        <v>0</v>
      </c>
      <c r="P144" s="679">
        <f t="shared" ref="P144:P145" si="334">$V144*AJ144</f>
        <v>0</v>
      </c>
      <c r="Q144" s="679">
        <f t="shared" ref="Q144:Q145" si="335">$V144*AK144</f>
        <v>0</v>
      </c>
      <c r="R144" s="679">
        <f t="shared" ref="R144:R145" si="336">$V144*AL144</f>
        <v>0</v>
      </c>
      <c r="S144" s="679">
        <f t="shared" ref="S144:S145" si="337">$V144*AM144</f>
        <v>0</v>
      </c>
      <c r="U144" s="789"/>
      <c r="V144" s="791"/>
      <c r="X144" s="771">
        <f t="shared" ref="X144:AL144" si="338">X$6</f>
        <v>1</v>
      </c>
      <c r="Y144" s="771">
        <f t="shared" si="338"/>
        <v>0</v>
      </c>
      <c r="Z144" s="771">
        <f t="shared" si="338"/>
        <v>0</v>
      </c>
      <c r="AA144" s="771">
        <f t="shared" si="338"/>
        <v>0</v>
      </c>
      <c r="AB144" s="771">
        <f t="shared" si="338"/>
        <v>0</v>
      </c>
      <c r="AC144" s="771">
        <f t="shared" si="338"/>
        <v>0</v>
      </c>
      <c r="AD144" s="771">
        <f>AD$6</f>
        <v>0</v>
      </c>
      <c r="AE144" s="771">
        <f t="shared" si="338"/>
        <v>0</v>
      </c>
      <c r="AF144" s="771">
        <f t="shared" si="338"/>
        <v>0</v>
      </c>
      <c r="AG144" s="771">
        <f t="shared" si="338"/>
        <v>0</v>
      </c>
      <c r="AH144" s="771">
        <f t="shared" si="338"/>
        <v>0</v>
      </c>
      <c r="AI144" s="771">
        <f t="shared" si="338"/>
        <v>0</v>
      </c>
      <c r="AJ144" s="771">
        <f t="shared" si="338"/>
        <v>0</v>
      </c>
      <c r="AK144" s="771">
        <f t="shared" si="338"/>
        <v>0</v>
      </c>
      <c r="AL144" s="771">
        <f t="shared" si="338"/>
        <v>0</v>
      </c>
      <c r="AM144" s="772">
        <f t="shared" ref="AM144" si="339">SUM(X144:AI144)</f>
        <v>1</v>
      </c>
    </row>
    <row r="145" spans="2:39" x14ac:dyDescent="0.3">
      <c r="B145" s="250" t="s">
        <v>164</v>
      </c>
      <c r="C145" s="523"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0"/>
      <c r="V145" s="792"/>
      <c r="X145" s="771">
        <f t="shared" ref="X145:AL155" si="341">X$6</f>
        <v>1</v>
      </c>
      <c r="Y145" s="771">
        <f t="shared" si="341"/>
        <v>0</v>
      </c>
      <c r="Z145" s="771">
        <f t="shared" si="341"/>
        <v>0</v>
      </c>
      <c r="AA145" s="771">
        <f t="shared" si="341"/>
        <v>0</v>
      </c>
      <c r="AB145" s="771">
        <f t="shared" si="341"/>
        <v>0</v>
      </c>
      <c r="AC145" s="771">
        <f t="shared" si="341"/>
        <v>0</v>
      </c>
      <c r="AD145" s="771">
        <f t="shared" si="341"/>
        <v>0</v>
      </c>
      <c r="AE145" s="771">
        <f t="shared" si="341"/>
        <v>0</v>
      </c>
      <c r="AF145" s="771">
        <f t="shared" si="341"/>
        <v>0</v>
      </c>
      <c r="AG145" s="771">
        <f t="shared" si="341"/>
        <v>0</v>
      </c>
      <c r="AH145" s="771">
        <f t="shared" si="341"/>
        <v>0</v>
      </c>
      <c r="AI145" s="771">
        <f t="shared" si="341"/>
        <v>0</v>
      </c>
      <c r="AJ145" s="771">
        <f t="shared" si="341"/>
        <v>0</v>
      </c>
      <c r="AK145" s="771">
        <f t="shared" si="341"/>
        <v>0</v>
      </c>
      <c r="AL145" s="771">
        <f t="shared" si="341"/>
        <v>0</v>
      </c>
      <c r="AM145" s="772">
        <f t="shared" ref="AM145" si="342">SUM(X145:AI145)</f>
        <v>1</v>
      </c>
    </row>
    <row r="146" spans="2:39" x14ac:dyDescent="0.3">
      <c r="B146" s="131" t="s">
        <v>119</v>
      </c>
      <c r="C146" s="524"/>
      <c r="D146" s="680">
        <f>SUM(D144:D145)</f>
        <v>0</v>
      </c>
      <c r="E146" s="680">
        <f t="shared" ref="E146:S146" si="343">SUM(E144:E145)</f>
        <v>0</v>
      </c>
      <c r="F146" s="680">
        <f t="shared" si="343"/>
        <v>0</v>
      </c>
      <c r="G146" s="680">
        <f t="shared" si="343"/>
        <v>0</v>
      </c>
      <c r="H146" s="680">
        <f t="shared" si="343"/>
        <v>0</v>
      </c>
      <c r="I146" s="680">
        <f t="shared" si="343"/>
        <v>0</v>
      </c>
      <c r="J146" s="680">
        <f t="shared" si="343"/>
        <v>0</v>
      </c>
      <c r="K146" s="680">
        <f t="shared" si="343"/>
        <v>0</v>
      </c>
      <c r="L146" s="680">
        <f t="shared" si="343"/>
        <v>0</v>
      </c>
      <c r="M146" s="680">
        <f t="shared" si="343"/>
        <v>0</v>
      </c>
      <c r="N146" s="680">
        <f t="shared" si="343"/>
        <v>0</v>
      </c>
      <c r="O146" s="680">
        <f t="shared" si="343"/>
        <v>0</v>
      </c>
      <c r="P146" s="680">
        <f t="shared" si="343"/>
        <v>0</v>
      </c>
      <c r="Q146" s="680">
        <f t="shared" si="343"/>
        <v>0</v>
      </c>
      <c r="R146" s="680">
        <f t="shared" si="343"/>
        <v>0</v>
      </c>
      <c r="S146" s="680">
        <f t="shared" si="343"/>
        <v>0</v>
      </c>
      <c r="U146" s="775">
        <f>SUM(U144:U144)</f>
        <v>0</v>
      </c>
      <c r="V146" s="758">
        <f>SUM(V144:V144)</f>
        <v>0</v>
      </c>
    </row>
    <row r="148" spans="2:39" x14ac:dyDescent="0.3">
      <c r="B148" s="441" t="s">
        <v>168</v>
      </c>
      <c r="C148" s="522"/>
      <c r="V148" s="785"/>
      <c r="X148" s="763" t="s">
        <v>99</v>
      </c>
    </row>
    <row r="149" spans="2:39" x14ac:dyDescent="0.3">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8" t="s">
        <v>105</v>
      </c>
      <c r="V149" s="768" t="str">
        <f>V$9</f>
        <v>City vehicles</v>
      </c>
      <c r="X149" s="765" t="str">
        <f t="shared" ref="X149" si="345">D149</f>
        <v>Z01</v>
      </c>
      <c r="Y149" s="765" t="str">
        <f t="shared" ref="Y149" si="346">E149</f>
        <v>Z02</v>
      </c>
      <c r="Z149" s="765" t="str">
        <f t="shared" ref="Z149" si="347">F149</f>
        <v>Z03</v>
      </c>
      <c r="AA149" s="765" t="str">
        <f t="shared" ref="AA149" si="348">G149</f>
        <v>Z04</v>
      </c>
      <c r="AB149" s="765" t="str">
        <f t="shared" ref="AB149" si="349">H149</f>
        <v>Z05</v>
      </c>
      <c r="AC149" s="765" t="str">
        <f t="shared" ref="AC149" si="350">I149</f>
        <v>Z06</v>
      </c>
      <c r="AD149" s="765" t="str">
        <f t="shared" ref="AD149" si="351">J149</f>
        <v>Z07</v>
      </c>
      <c r="AE149" s="765" t="str">
        <f t="shared" ref="AE149" si="352">K149</f>
        <v>Z08</v>
      </c>
      <c r="AF149" s="765" t="str">
        <f t="shared" ref="AF149" si="353">L149</f>
        <v>Z09</v>
      </c>
      <c r="AG149" s="765" t="str">
        <f t="shared" ref="AG149" si="354">M149</f>
        <v>Z10</v>
      </c>
      <c r="AH149" s="765" t="str">
        <f t="shared" ref="AH149" si="355">N149</f>
        <v>Z11</v>
      </c>
      <c r="AI149" s="765" t="str">
        <f t="shared" ref="AI149" si="356">O149</f>
        <v>Z12</v>
      </c>
      <c r="AJ149" s="765" t="str">
        <f t="shared" ref="AJ149" si="357">P149</f>
        <v>Z13</v>
      </c>
      <c r="AK149" s="765" t="str">
        <f t="shared" ref="AK149" si="358">Q149</f>
        <v>Z14</v>
      </c>
      <c r="AL149" s="765" t="str">
        <f t="shared" ref="AL149" si="359">R149</f>
        <v>Z15</v>
      </c>
      <c r="AM149" s="765" t="s">
        <v>100</v>
      </c>
    </row>
    <row r="150" spans="2:39" x14ac:dyDescent="0.3">
      <c r="B150" s="250" t="s">
        <v>163</v>
      </c>
      <c r="C150" s="523"/>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0"/>
      <c r="V150" s="780"/>
      <c r="X150" s="771">
        <f t="shared" si="341"/>
        <v>1</v>
      </c>
      <c r="Y150" s="771">
        <f t="shared" si="341"/>
        <v>0</v>
      </c>
      <c r="Z150" s="771">
        <f t="shared" si="341"/>
        <v>0</v>
      </c>
      <c r="AA150" s="771">
        <f t="shared" si="341"/>
        <v>0</v>
      </c>
      <c r="AB150" s="771">
        <f t="shared" si="341"/>
        <v>0</v>
      </c>
      <c r="AC150" s="771">
        <f t="shared" si="341"/>
        <v>0</v>
      </c>
      <c r="AD150" s="771">
        <f t="shared" si="341"/>
        <v>0</v>
      </c>
      <c r="AE150" s="771">
        <f t="shared" si="341"/>
        <v>0</v>
      </c>
      <c r="AF150" s="771">
        <f t="shared" si="341"/>
        <v>0</v>
      </c>
      <c r="AG150" s="771">
        <f t="shared" si="341"/>
        <v>0</v>
      </c>
      <c r="AH150" s="771">
        <f t="shared" si="341"/>
        <v>0</v>
      </c>
      <c r="AI150" s="771">
        <f t="shared" si="341"/>
        <v>0</v>
      </c>
      <c r="AJ150" s="771">
        <f t="shared" si="341"/>
        <v>0</v>
      </c>
      <c r="AK150" s="771">
        <f t="shared" si="341"/>
        <v>0</v>
      </c>
      <c r="AL150" s="771">
        <f t="shared" si="341"/>
        <v>0</v>
      </c>
      <c r="AM150" s="772">
        <f>SUM(X150:AI150)</f>
        <v>1</v>
      </c>
    </row>
    <row r="151" spans="2:39" x14ac:dyDescent="0.3">
      <c r="B151" s="131" t="s">
        <v>119</v>
      </c>
      <c r="C151" s="524"/>
      <c r="D151" s="680">
        <f t="shared" ref="D151:S151" si="361">SUM(D150:D150)</f>
        <v>0</v>
      </c>
      <c r="E151" s="680">
        <f t="shared" si="361"/>
        <v>0</v>
      </c>
      <c r="F151" s="680">
        <f t="shared" si="361"/>
        <v>0</v>
      </c>
      <c r="G151" s="680">
        <f t="shared" si="361"/>
        <v>0</v>
      </c>
      <c r="H151" s="680">
        <f t="shared" si="361"/>
        <v>0</v>
      </c>
      <c r="I151" s="680">
        <f t="shared" si="361"/>
        <v>0</v>
      </c>
      <c r="J151" s="680">
        <f t="shared" si="361"/>
        <v>0</v>
      </c>
      <c r="K151" s="680">
        <f t="shared" si="361"/>
        <v>0</v>
      </c>
      <c r="L151" s="680">
        <f t="shared" si="361"/>
        <v>0</v>
      </c>
      <c r="M151" s="680">
        <f t="shared" si="361"/>
        <v>0</v>
      </c>
      <c r="N151" s="680">
        <f t="shared" si="361"/>
        <v>0</v>
      </c>
      <c r="O151" s="680">
        <f t="shared" si="361"/>
        <v>0</v>
      </c>
      <c r="P151" s="680">
        <f t="shared" si="361"/>
        <v>0</v>
      </c>
      <c r="Q151" s="680">
        <f t="shared" si="361"/>
        <v>0</v>
      </c>
      <c r="R151" s="680">
        <f t="shared" si="361"/>
        <v>0</v>
      </c>
      <c r="S151" s="680">
        <f t="shared" si="361"/>
        <v>0</v>
      </c>
      <c r="U151" s="775">
        <f>SUM(U150:U150)</f>
        <v>0</v>
      </c>
      <c r="V151" s="758">
        <f>SUM(V150:V150)</f>
        <v>0</v>
      </c>
    </row>
    <row r="153" spans="2:39" x14ac:dyDescent="0.3">
      <c r="B153" s="441" t="s">
        <v>169</v>
      </c>
      <c r="C153" s="522"/>
      <c r="V153" s="785"/>
      <c r="X153" s="763" t="s">
        <v>99</v>
      </c>
    </row>
    <row r="154" spans="2:39" x14ac:dyDescent="0.3">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8" t="s">
        <v>105</v>
      </c>
      <c r="V154" s="768" t="str">
        <f>V$9</f>
        <v>City vehicles</v>
      </c>
      <c r="X154" s="765" t="str">
        <f t="shared" ref="X154" si="363">D154</f>
        <v>Z01</v>
      </c>
      <c r="Y154" s="765" t="str">
        <f t="shared" ref="Y154" si="364">E154</f>
        <v>Z02</v>
      </c>
      <c r="Z154" s="765" t="str">
        <f t="shared" ref="Z154" si="365">F154</f>
        <v>Z03</v>
      </c>
      <c r="AA154" s="765" t="str">
        <f t="shared" ref="AA154" si="366">G154</f>
        <v>Z04</v>
      </c>
      <c r="AB154" s="765" t="str">
        <f t="shared" ref="AB154" si="367">H154</f>
        <v>Z05</v>
      </c>
      <c r="AC154" s="765" t="str">
        <f t="shared" ref="AC154" si="368">I154</f>
        <v>Z06</v>
      </c>
      <c r="AD154" s="765" t="str">
        <f t="shared" ref="AD154" si="369">J154</f>
        <v>Z07</v>
      </c>
      <c r="AE154" s="765" t="str">
        <f t="shared" ref="AE154" si="370">K154</f>
        <v>Z08</v>
      </c>
      <c r="AF154" s="765" t="str">
        <f t="shared" ref="AF154" si="371">L154</f>
        <v>Z09</v>
      </c>
      <c r="AG154" s="765" t="str">
        <f t="shared" ref="AG154" si="372">M154</f>
        <v>Z10</v>
      </c>
      <c r="AH154" s="765" t="str">
        <f t="shared" ref="AH154" si="373">N154</f>
        <v>Z11</v>
      </c>
      <c r="AI154" s="765" t="str">
        <f t="shared" ref="AI154" si="374">O154</f>
        <v>Z12</v>
      </c>
      <c r="AJ154" s="765" t="str">
        <f t="shared" ref="AJ154" si="375">P154</f>
        <v>Z13</v>
      </c>
      <c r="AK154" s="765" t="str">
        <f t="shared" ref="AK154" si="376">Q154</f>
        <v>Z14</v>
      </c>
      <c r="AL154" s="765" t="str">
        <f t="shared" ref="AL154" si="377">R154</f>
        <v>Z15</v>
      </c>
      <c r="AM154" s="765" t="s">
        <v>100</v>
      </c>
    </row>
    <row r="155" spans="2:39" x14ac:dyDescent="0.3">
      <c r="B155" s="250" t="s">
        <v>163</v>
      </c>
      <c r="C155" s="523"/>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0"/>
      <c r="V155" s="780"/>
      <c r="X155" s="771">
        <f t="shared" si="341"/>
        <v>1</v>
      </c>
      <c r="Y155" s="771">
        <f t="shared" si="341"/>
        <v>0</v>
      </c>
      <c r="Z155" s="771">
        <f t="shared" si="341"/>
        <v>0</v>
      </c>
      <c r="AA155" s="771">
        <f t="shared" si="341"/>
        <v>0</v>
      </c>
      <c r="AB155" s="771">
        <f t="shared" si="341"/>
        <v>0</v>
      </c>
      <c r="AC155" s="771">
        <f t="shared" si="341"/>
        <v>0</v>
      </c>
      <c r="AD155" s="771">
        <f t="shared" si="341"/>
        <v>0</v>
      </c>
      <c r="AE155" s="771">
        <f t="shared" si="341"/>
        <v>0</v>
      </c>
      <c r="AF155" s="771">
        <f t="shared" si="341"/>
        <v>0</v>
      </c>
      <c r="AG155" s="771">
        <f t="shared" si="341"/>
        <v>0</v>
      </c>
      <c r="AH155" s="771">
        <f t="shared" si="341"/>
        <v>0</v>
      </c>
      <c r="AI155" s="771">
        <f t="shared" si="341"/>
        <v>0</v>
      </c>
      <c r="AJ155" s="771">
        <f t="shared" si="341"/>
        <v>0</v>
      </c>
      <c r="AK155" s="771">
        <f t="shared" si="341"/>
        <v>0</v>
      </c>
      <c r="AL155" s="771">
        <f t="shared" si="341"/>
        <v>0</v>
      </c>
      <c r="AM155" s="772">
        <f>SUM(X155:AI155)</f>
        <v>1</v>
      </c>
    </row>
    <row r="156" spans="2:39" x14ac:dyDescent="0.3">
      <c r="B156" s="131" t="s">
        <v>119</v>
      </c>
      <c r="C156" s="524"/>
      <c r="D156" s="680">
        <f t="shared" ref="D156:S156" si="379">SUM(D155:D155)</f>
        <v>0</v>
      </c>
      <c r="E156" s="680">
        <f t="shared" si="379"/>
        <v>0</v>
      </c>
      <c r="F156" s="680">
        <f t="shared" si="379"/>
        <v>0</v>
      </c>
      <c r="G156" s="680">
        <f t="shared" si="379"/>
        <v>0</v>
      </c>
      <c r="H156" s="680">
        <f t="shared" si="379"/>
        <v>0</v>
      </c>
      <c r="I156" s="680">
        <f t="shared" si="379"/>
        <v>0</v>
      </c>
      <c r="J156" s="680">
        <f t="shared" si="379"/>
        <v>0</v>
      </c>
      <c r="K156" s="680">
        <f t="shared" si="379"/>
        <v>0</v>
      </c>
      <c r="L156" s="680">
        <f t="shared" si="379"/>
        <v>0</v>
      </c>
      <c r="M156" s="680">
        <f t="shared" si="379"/>
        <v>0</v>
      </c>
      <c r="N156" s="680">
        <f t="shared" si="379"/>
        <v>0</v>
      </c>
      <c r="O156" s="680">
        <f t="shared" si="379"/>
        <v>0</v>
      </c>
      <c r="P156" s="680">
        <f t="shared" si="379"/>
        <v>0</v>
      </c>
      <c r="Q156" s="680">
        <f t="shared" si="379"/>
        <v>0</v>
      </c>
      <c r="R156" s="680">
        <f t="shared" si="379"/>
        <v>0</v>
      </c>
      <c r="S156" s="680">
        <f t="shared" si="379"/>
        <v>0</v>
      </c>
      <c r="U156" s="775">
        <f>SUM(U155:U155)</f>
        <v>0</v>
      </c>
      <c r="V156" s="758">
        <f>SUM(V155:V155)</f>
        <v>0</v>
      </c>
    </row>
    <row r="158" spans="2:39" x14ac:dyDescent="0.3">
      <c r="B158" s="441" t="s">
        <v>170</v>
      </c>
      <c r="C158" s="522"/>
      <c r="V158" s="785"/>
      <c r="X158" s="763" t="s">
        <v>99</v>
      </c>
    </row>
    <row r="159" spans="2:39" x14ac:dyDescent="0.3">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8" t="s">
        <v>105</v>
      </c>
      <c r="V159" s="768" t="str">
        <f>V$9</f>
        <v>City vehicles</v>
      </c>
      <c r="X159" s="765" t="str">
        <f t="shared" ref="X159:AL159" si="381">D159</f>
        <v>Z01</v>
      </c>
      <c r="Y159" s="765" t="str">
        <f t="shared" si="381"/>
        <v>Z02</v>
      </c>
      <c r="Z159" s="765" t="str">
        <f t="shared" si="381"/>
        <v>Z03</v>
      </c>
      <c r="AA159" s="765" t="str">
        <f t="shared" si="381"/>
        <v>Z04</v>
      </c>
      <c r="AB159" s="765" t="str">
        <f t="shared" si="381"/>
        <v>Z05</v>
      </c>
      <c r="AC159" s="765" t="str">
        <f t="shared" si="381"/>
        <v>Z06</v>
      </c>
      <c r="AD159" s="765" t="str">
        <f t="shared" si="381"/>
        <v>Z07</v>
      </c>
      <c r="AE159" s="765" t="str">
        <f t="shared" si="381"/>
        <v>Z08</v>
      </c>
      <c r="AF159" s="765" t="str">
        <f t="shared" si="381"/>
        <v>Z09</v>
      </c>
      <c r="AG159" s="765" t="str">
        <f t="shared" si="381"/>
        <v>Z10</v>
      </c>
      <c r="AH159" s="765" t="str">
        <f t="shared" si="381"/>
        <v>Z11</v>
      </c>
      <c r="AI159" s="765" t="str">
        <f t="shared" si="381"/>
        <v>Z12</v>
      </c>
      <c r="AJ159" s="765" t="str">
        <f t="shared" si="381"/>
        <v>Z13</v>
      </c>
      <c r="AK159" s="765" t="str">
        <f t="shared" si="381"/>
        <v>Z14</v>
      </c>
      <c r="AL159" s="765" t="str">
        <f t="shared" si="381"/>
        <v>Z15</v>
      </c>
      <c r="AM159" s="765" t="s">
        <v>100</v>
      </c>
    </row>
    <row r="160" spans="2:39" ht="14.1" customHeight="1" x14ac:dyDescent="0.3">
      <c r="B160" s="250" t="s">
        <v>164</v>
      </c>
      <c r="C160" s="523"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0"/>
      <c r="V160" s="792"/>
      <c r="X160" s="771">
        <f t="shared" ref="X160:AL160" si="383">X$6</f>
        <v>1</v>
      </c>
      <c r="Y160" s="771">
        <f t="shared" si="383"/>
        <v>0</v>
      </c>
      <c r="Z160" s="771">
        <f t="shared" si="383"/>
        <v>0</v>
      </c>
      <c r="AA160" s="771">
        <f t="shared" si="383"/>
        <v>0</v>
      </c>
      <c r="AB160" s="771">
        <f t="shared" si="383"/>
        <v>0</v>
      </c>
      <c r="AC160" s="771">
        <f t="shared" si="383"/>
        <v>0</v>
      </c>
      <c r="AD160" s="771">
        <f t="shared" si="383"/>
        <v>0</v>
      </c>
      <c r="AE160" s="771">
        <f t="shared" si="383"/>
        <v>0</v>
      </c>
      <c r="AF160" s="771">
        <f t="shared" si="383"/>
        <v>0</v>
      </c>
      <c r="AG160" s="771">
        <f t="shared" si="383"/>
        <v>0</v>
      </c>
      <c r="AH160" s="771">
        <f t="shared" si="383"/>
        <v>0</v>
      </c>
      <c r="AI160" s="771">
        <f t="shared" si="383"/>
        <v>0</v>
      </c>
      <c r="AJ160" s="771">
        <f t="shared" si="383"/>
        <v>0</v>
      </c>
      <c r="AK160" s="771">
        <f t="shared" si="383"/>
        <v>0</v>
      </c>
      <c r="AL160" s="771">
        <f t="shared" si="383"/>
        <v>0</v>
      </c>
      <c r="AM160" s="772">
        <f t="shared" ref="AM160" si="384">SUM(X160:AI160)</f>
        <v>1</v>
      </c>
    </row>
    <row r="161" spans="2:39" x14ac:dyDescent="0.3">
      <c r="B161" s="131" t="s">
        <v>119</v>
      </c>
      <c r="C161" s="524"/>
      <c r="D161" s="680">
        <f>SUM(D160:D160)</f>
        <v>0</v>
      </c>
      <c r="E161" s="680">
        <f t="shared" ref="E161:R161" si="385">SUM(E160:E160)</f>
        <v>0</v>
      </c>
      <c r="F161" s="680">
        <f t="shared" si="385"/>
        <v>0</v>
      </c>
      <c r="G161" s="680">
        <f t="shared" si="385"/>
        <v>0</v>
      </c>
      <c r="H161" s="680">
        <f t="shared" si="385"/>
        <v>0</v>
      </c>
      <c r="I161" s="680">
        <f t="shared" si="385"/>
        <v>0</v>
      </c>
      <c r="J161" s="680">
        <f t="shared" si="385"/>
        <v>0</v>
      </c>
      <c r="K161" s="680">
        <f t="shared" si="385"/>
        <v>0</v>
      </c>
      <c r="L161" s="680">
        <f t="shared" si="385"/>
        <v>0</v>
      </c>
      <c r="M161" s="680">
        <f t="shared" si="385"/>
        <v>0</v>
      </c>
      <c r="N161" s="680">
        <f t="shared" si="385"/>
        <v>0</v>
      </c>
      <c r="O161" s="680">
        <f t="shared" si="385"/>
        <v>0</v>
      </c>
      <c r="P161" s="680">
        <f t="shared" si="385"/>
        <v>0</v>
      </c>
      <c r="Q161" s="680">
        <f t="shared" si="385"/>
        <v>0</v>
      </c>
      <c r="R161" s="680">
        <f t="shared" si="385"/>
        <v>0</v>
      </c>
      <c r="S161" s="680">
        <f>SUM(S160:S160)</f>
        <v>0</v>
      </c>
      <c r="U161" s="775">
        <f>SUM(U160)</f>
        <v>0</v>
      </c>
      <c r="V161" s="758">
        <f>SUM(V160)</f>
        <v>0</v>
      </c>
    </row>
    <row r="163" spans="2:39" x14ac:dyDescent="0.3">
      <c r="B163" s="476" t="s">
        <v>172</v>
      </c>
      <c r="C163" s="522"/>
      <c r="X163" s="763" t="s">
        <v>99</v>
      </c>
    </row>
    <row r="164" spans="2:39" x14ac:dyDescent="0.3">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8" t="s">
        <v>105</v>
      </c>
      <c r="V164" s="768" t="str">
        <f>V$9</f>
        <v>City vehicles</v>
      </c>
      <c r="X164" s="765" t="str">
        <f t="shared" ref="X164:AL164" si="387">D164</f>
        <v>Z01</v>
      </c>
      <c r="Y164" s="765" t="str">
        <f t="shared" si="387"/>
        <v>Z02</v>
      </c>
      <c r="Z164" s="765" t="str">
        <f t="shared" si="387"/>
        <v>Z03</v>
      </c>
      <c r="AA164" s="765" t="str">
        <f t="shared" si="387"/>
        <v>Z04</v>
      </c>
      <c r="AB164" s="765" t="str">
        <f t="shared" si="387"/>
        <v>Z05</v>
      </c>
      <c r="AC164" s="765" t="str">
        <f t="shared" si="387"/>
        <v>Z06</v>
      </c>
      <c r="AD164" s="765" t="str">
        <f t="shared" si="387"/>
        <v>Z07</v>
      </c>
      <c r="AE164" s="765" t="str">
        <f t="shared" si="387"/>
        <v>Z08</v>
      </c>
      <c r="AF164" s="765" t="str">
        <f t="shared" si="387"/>
        <v>Z09</v>
      </c>
      <c r="AG164" s="765" t="str">
        <f t="shared" si="387"/>
        <v>Z10</v>
      </c>
      <c r="AH164" s="765" t="str">
        <f t="shared" si="387"/>
        <v>Z11</v>
      </c>
      <c r="AI164" s="765" t="str">
        <f t="shared" si="387"/>
        <v>Z12</v>
      </c>
      <c r="AJ164" s="765" t="str">
        <f t="shared" si="387"/>
        <v>Z13</v>
      </c>
      <c r="AK164" s="765" t="str">
        <f t="shared" si="387"/>
        <v>Z14</v>
      </c>
      <c r="AL164" s="765" t="str">
        <f t="shared" si="387"/>
        <v>Z15</v>
      </c>
      <c r="AM164" s="765" t="s">
        <v>100</v>
      </c>
    </row>
    <row r="165" spans="2:39" s="123" customFormat="1" x14ac:dyDescent="0.3">
      <c r="B165" s="383" t="s">
        <v>173</v>
      </c>
      <c r="C165" s="383"/>
      <c r="D165" s="683">
        <f>$V165*X165</f>
        <v>0</v>
      </c>
      <c r="E165" s="683">
        <f t="shared" ref="E165:E175" si="388">$V165*Y165</f>
        <v>0</v>
      </c>
      <c r="F165" s="683">
        <f t="shared" ref="F165:F175" si="389">$V165*Z165</f>
        <v>0</v>
      </c>
      <c r="G165" s="683">
        <f t="shared" ref="G165:G175" si="390">$V165*AA165</f>
        <v>0</v>
      </c>
      <c r="H165" s="683">
        <f t="shared" ref="H165:H175" si="391">$V165*AB165</f>
        <v>0</v>
      </c>
      <c r="I165" s="683">
        <f t="shared" ref="I165:I175" si="392">$V165*AC165</f>
        <v>0</v>
      </c>
      <c r="J165" s="683">
        <f t="shared" ref="J165:J175" si="393">$V165*AD165</f>
        <v>0</v>
      </c>
      <c r="K165" s="683">
        <f t="shared" ref="K165:K175" si="394">$V165*AE165</f>
        <v>0</v>
      </c>
      <c r="L165" s="683">
        <f t="shared" ref="L165:L175" si="395">$V165*AF165</f>
        <v>0</v>
      </c>
      <c r="M165" s="683">
        <f t="shared" ref="M165:M175" si="396">$V165*AG165</f>
        <v>0</v>
      </c>
      <c r="N165" s="683">
        <f t="shared" ref="N165:N175" si="397">$V165*AH165</f>
        <v>0</v>
      </c>
      <c r="O165" s="683">
        <f t="shared" ref="O165:O175" si="398">$V165*AI165</f>
        <v>0</v>
      </c>
      <c r="P165" s="683">
        <f t="shared" ref="P165:P175" si="399">$V165*AJ165</f>
        <v>0</v>
      </c>
      <c r="Q165" s="683">
        <f t="shared" ref="Q165:Q175" si="400">$V165*AK165</f>
        <v>0</v>
      </c>
      <c r="R165" s="683">
        <f t="shared" ref="R165:R175" si="401">$V165*AL165</f>
        <v>0</v>
      </c>
      <c r="S165" s="683">
        <f t="shared" ref="S165:S175" si="402">$V165*AM165</f>
        <v>0</v>
      </c>
      <c r="U165" s="793"/>
      <c r="V165" s="793"/>
      <c r="W165" s="759"/>
      <c r="X165" s="771">
        <f t="shared" ref="X165:AL175" si="403">X$6</f>
        <v>1</v>
      </c>
      <c r="Y165" s="771">
        <f t="shared" si="403"/>
        <v>0</v>
      </c>
      <c r="Z165" s="771">
        <f t="shared" si="403"/>
        <v>0</v>
      </c>
      <c r="AA165" s="771">
        <f t="shared" si="403"/>
        <v>0</v>
      </c>
      <c r="AB165" s="771">
        <f t="shared" si="403"/>
        <v>0</v>
      </c>
      <c r="AC165" s="771">
        <f t="shared" si="403"/>
        <v>0</v>
      </c>
      <c r="AD165" s="771">
        <f t="shared" si="403"/>
        <v>0</v>
      </c>
      <c r="AE165" s="771">
        <f t="shared" si="403"/>
        <v>0</v>
      </c>
      <c r="AF165" s="771">
        <f t="shared" si="403"/>
        <v>0</v>
      </c>
      <c r="AG165" s="771">
        <f t="shared" si="403"/>
        <v>0</v>
      </c>
      <c r="AH165" s="771">
        <f t="shared" si="403"/>
        <v>0</v>
      </c>
      <c r="AI165" s="771">
        <f t="shared" si="403"/>
        <v>0</v>
      </c>
      <c r="AJ165" s="771">
        <f t="shared" si="403"/>
        <v>0</v>
      </c>
      <c r="AK165" s="771">
        <f t="shared" si="403"/>
        <v>0</v>
      </c>
      <c r="AL165" s="771">
        <f t="shared" si="403"/>
        <v>0</v>
      </c>
      <c r="AM165" s="772">
        <f t="shared" ref="AM165:AM175" si="404">SUM(X165:AI165)</f>
        <v>1</v>
      </c>
    </row>
    <row r="166" spans="2:39" s="123" customFormat="1" x14ac:dyDescent="0.3">
      <c r="B166" s="384" t="s">
        <v>174</v>
      </c>
      <c r="C166" s="383"/>
      <c r="D166" s="683">
        <f t="shared" ref="D166:D175" si="405">$V166*X166</f>
        <v>0</v>
      </c>
      <c r="E166" s="683">
        <f t="shared" si="388"/>
        <v>0</v>
      </c>
      <c r="F166" s="683">
        <f t="shared" si="389"/>
        <v>0</v>
      </c>
      <c r="G166" s="683">
        <f t="shared" si="390"/>
        <v>0</v>
      </c>
      <c r="H166" s="683">
        <f t="shared" si="391"/>
        <v>0</v>
      </c>
      <c r="I166" s="683">
        <f t="shared" si="392"/>
        <v>0</v>
      </c>
      <c r="J166" s="683">
        <f t="shared" si="393"/>
        <v>0</v>
      </c>
      <c r="K166" s="683">
        <f t="shared" si="394"/>
        <v>0</v>
      </c>
      <c r="L166" s="683">
        <f t="shared" si="395"/>
        <v>0</v>
      </c>
      <c r="M166" s="683">
        <f t="shared" si="396"/>
        <v>0</v>
      </c>
      <c r="N166" s="683">
        <f t="shared" si="397"/>
        <v>0</v>
      </c>
      <c r="O166" s="683">
        <f t="shared" si="398"/>
        <v>0</v>
      </c>
      <c r="P166" s="683">
        <f t="shared" si="399"/>
        <v>0</v>
      </c>
      <c r="Q166" s="683">
        <f t="shared" si="400"/>
        <v>0</v>
      </c>
      <c r="R166" s="683">
        <f t="shared" si="401"/>
        <v>0</v>
      </c>
      <c r="S166" s="683">
        <f t="shared" si="402"/>
        <v>0</v>
      </c>
      <c r="U166" s="793"/>
      <c r="V166" s="793"/>
      <c r="W166" s="759"/>
      <c r="X166" s="771">
        <f t="shared" si="403"/>
        <v>1</v>
      </c>
      <c r="Y166" s="771">
        <f t="shared" si="403"/>
        <v>0</v>
      </c>
      <c r="Z166" s="771">
        <f t="shared" si="403"/>
        <v>0</v>
      </c>
      <c r="AA166" s="771">
        <f t="shared" si="403"/>
        <v>0</v>
      </c>
      <c r="AB166" s="771">
        <f t="shared" si="403"/>
        <v>0</v>
      </c>
      <c r="AC166" s="771">
        <f t="shared" si="403"/>
        <v>0</v>
      </c>
      <c r="AD166" s="771">
        <f t="shared" si="403"/>
        <v>0</v>
      </c>
      <c r="AE166" s="771">
        <f t="shared" si="403"/>
        <v>0</v>
      </c>
      <c r="AF166" s="771">
        <f t="shared" si="403"/>
        <v>0</v>
      </c>
      <c r="AG166" s="771">
        <f t="shared" si="403"/>
        <v>0</v>
      </c>
      <c r="AH166" s="771">
        <f t="shared" si="403"/>
        <v>0</v>
      </c>
      <c r="AI166" s="771">
        <f t="shared" si="403"/>
        <v>0</v>
      </c>
      <c r="AJ166" s="771">
        <f t="shared" si="403"/>
        <v>0</v>
      </c>
      <c r="AK166" s="771">
        <f t="shared" si="403"/>
        <v>0</v>
      </c>
      <c r="AL166" s="771">
        <f t="shared" si="403"/>
        <v>0</v>
      </c>
      <c r="AM166" s="772">
        <f t="shared" si="404"/>
        <v>1</v>
      </c>
    </row>
    <row r="167" spans="2:39" s="123" customFormat="1" x14ac:dyDescent="0.3">
      <c r="B167" s="384" t="s">
        <v>175</v>
      </c>
      <c r="C167" s="383"/>
      <c r="D167" s="683">
        <f t="shared" si="405"/>
        <v>0</v>
      </c>
      <c r="E167" s="683">
        <f t="shared" si="388"/>
        <v>0</v>
      </c>
      <c r="F167" s="683">
        <f t="shared" si="389"/>
        <v>0</v>
      </c>
      <c r="G167" s="683">
        <f t="shared" si="390"/>
        <v>0</v>
      </c>
      <c r="H167" s="683">
        <f t="shared" si="391"/>
        <v>0</v>
      </c>
      <c r="I167" s="683">
        <f t="shared" si="392"/>
        <v>0</v>
      </c>
      <c r="J167" s="683">
        <f t="shared" si="393"/>
        <v>0</v>
      </c>
      <c r="K167" s="683">
        <f t="shared" si="394"/>
        <v>0</v>
      </c>
      <c r="L167" s="683">
        <f t="shared" si="395"/>
        <v>0</v>
      </c>
      <c r="M167" s="683">
        <f t="shared" si="396"/>
        <v>0</v>
      </c>
      <c r="N167" s="683">
        <f t="shared" si="397"/>
        <v>0</v>
      </c>
      <c r="O167" s="683">
        <f t="shared" si="398"/>
        <v>0</v>
      </c>
      <c r="P167" s="683">
        <f t="shared" si="399"/>
        <v>0</v>
      </c>
      <c r="Q167" s="683">
        <f t="shared" si="400"/>
        <v>0</v>
      </c>
      <c r="R167" s="683">
        <f t="shared" si="401"/>
        <v>0</v>
      </c>
      <c r="S167" s="683">
        <f t="shared" si="402"/>
        <v>0</v>
      </c>
      <c r="U167" s="793"/>
      <c r="V167" s="793"/>
      <c r="W167" s="759"/>
      <c r="X167" s="771">
        <f t="shared" si="403"/>
        <v>1</v>
      </c>
      <c r="Y167" s="771">
        <f t="shared" si="403"/>
        <v>0</v>
      </c>
      <c r="Z167" s="771">
        <f t="shared" si="403"/>
        <v>0</v>
      </c>
      <c r="AA167" s="771">
        <f t="shared" si="403"/>
        <v>0</v>
      </c>
      <c r="AB167" s="771">
        <f t="shared" si="403"/>
        <v>0</v>
      </c>
      <c r="AC167" s="771">
        <f t="shared" si="403"/>
        <v>0</v>
      </c>
      <c r="AD167" s="771">
        <f t="shared" si="403"/>
        <v>0</v>
      </c>
      <c r="AE167" s="771">
        <f t="shared" si="403"/>
        <v>0</v>
      </c>
      <c r="AF167" s="771">
        <f t="shared" si="403"/>
        <v>0</v>
      </c>
      <c r="AG167" s="771">
        <f t="shared" si="403"/>
        <v>0</v>
      </c>
      <c r="AH167" s="771">
        <f t="shared" si="403"/>
        <v>0</v>
      </c>
      <c r="AI167" s="771">
        <f t="shared" si="403"/>
        <v>0</v>
      </c>
      <c r="AJ167" s="771">
        <f t="shared" si="403"/>
        <v>0</v>
      </c>
      <c r="AK167" s="771">
        <f t="shared" si="403"/>
        <v>0</v>
      </c>
      <c r="AL167" s="771">
        <f t="shared" si="403"/>
        <v>0</v>
      </c>
      <c r="AM167" s="772">
        <f t="shared" si="404"/>
        <v>1</v>
      </c>
    </row>
    <row r="168" spans="2:39" s="123" customFormat="1" x14ac:dyDescent="0.3">
      <c r="B168" s="384" t="s">
        <v>176</v>
      </c>
      <c r="C168" s="383"/>
      <c r="D168" s="683">
        <f t="shared" si="405"/>
        <v>0</v>
      </c>
      <c r="E168" s="683">
        <f t="shared" si="388"/>
        <v>0</v>
      </c>
      <c r="F168" s="683">
        <f t="shared" si="389"/>
        <v>0</v>
      </c>
      <c r="G168" s="683">
        <f t="shared" si="390"/>
        <v>0</v>
      </c>
      <c r="H168" s="683">
        <f t="shared" si="391"/>
        <v>0</v>
      </c>
      <c r="I168" s="683">
        <f t="shared" si="392"/>
        <v>0</v>
      </c>
      <c r="J168" s="683">
        <f t="shared" si="393"/>
        <v>0</v>
      </c>
      <c r="K168" s="683">
        <f t="shared" si="394"/>
        <v>0</v>
      </c>
      <c r="L168" s="683">
        <f t="shared" si="395"/>
        <v>0</v>
      </c>
      <c r="M168" s="683">
        <f t="shared" si="396"/>
        <v>0</v>
      </c>
      <c r="N168" s="683">
        <f t="shared" si="397"/>
        <v>0</v>
      </c>
      <c r="O168" s="683">
        <f t="shared" si="398"/>
        <v>0</v>
      </c>
      <c r="P168" s="683">
        <f t="shared" si="399"/>
        <v>0</v>
      </c>
      <c r="Q168" s="683">
        <f t="shared" si="400"/>
        <v>0</v>
      </c>
      <c r="R168" s="683">
        <f t="shared" si="401"/>
        <v>0</v>
      </c>
      <c r="S168" s="683">
        <f t="shared" si="402"/>
        <v>0</v>
      </c>
      <c r="U168" s="793"/>
      <c r="V168" s="793"/>
      <c r="W168" s="759"/>
      <c r="X168" s="771">
        <f t="shared" si="403"/>
        <v>1</v>
      </c>
      <c r="Y168" s="771">
        <f t="shared" si="403"/>
        <v>0</v>
      </c>
      <c r="Z168" s="771">
        <f t="shared" si="403"/>
        <v>0</v>
      </c>
      <c r="AA168" s="771">
        <f t="shared" si="403"/>
        <v>0</v>
      </c>
      <c r="AB168" s="771">
        <f t="shared" si="403"/>
        <v>0</v>
      </c>
      <c r="AC168" s="771">
        <f t="shared" si="403"/>
        <v>0</v>
      </c>
      <c r="AD168" s="771">
        <f t="shared" si="403"/>
        <v>0</v>
      </c>
      <c r="AE168" s="771">
        <f t="shared" si="403"/>
        <v>0</v>
      </c>
      <c r="AF168" s="771">
        <f t="shared" si="403"/>
        <v>0</v>
      </c>
      <c r="AG168" s="771">
        <f t="shared" si="403"/>
        <v>0</v>
      </c>
      <c r="AH168" s="771">
        <f t="shared" si="403"/>
        <v>0</v>
      </c>
      <c r="AI168" s="771">
        <f t="shared" si="403"/>
        <v>0</v>
      </c>
      <c r="AJ168" s="771">
        <f t="shared" si="403"/>
        <v>0</v>
      </c>
      <c r="AK168" s="771">
        <f t="shared" si="403"/>
        <v>0</v>
      </c>
      <c r="AL168" s="771">
        <f t="shared" si="403"/>
        <v>0</v>
      </c>
      <c r="AM168" s="772">
        <f t="shared" si="404"/>
        <v>1</v>
      </c>
    </row>
    <row r="169" spans="2:39" s="123" customFormat="1" x14ac:dyDescent="0.3">
      <c r="B169" s="384" t="s">
        <v>177</v>
      </c>
      <c r="C169" s="383"/>
      <c r="D169" s="683">
        <f t="shared" si="405"/>
        <v>0</v>
      </c>
      <c r="E169" s="683">
        <f t="shared" si="388"/>
        <v>0</v>
      </c>
      <c r="F169" s="683">
        <f t="shared" si="389"/>
        <v>0</v>
      </c>
      <c r="G169" s="683">
        <f t="shared" si="390"/>
        <v>0</v>
      </c>
      <c r="H169" s="683">
        <f t="shared" si="391"/>
        <v>0</v>
      </c>
      <c r="I169" s="683">
        <f t="shared" si="392"/>
        <v>0</v>
      </c>
      <c r="J169" s="683">
        <f t="shared" si="393"/>
        <v>0</v>
      </c>
      <c r="K169" s="683">
        <f t="shared" si="394"/>
        <v>0</v>
      </c>
      <c r="L169" s="683">
        <f t="shared" si="395"/>
        <v>0</v>
      </c>
      <c r="M169" s="683">
        <f t="shared" si="396"/>
        <v>0</v>
      </c>
      <c r="N169" s="683">
        <f t="shared" si="397"/>
        <v>0</v>
      </c>
      <c r="O169" s="683">
        <f t="shared" si="398"/>
        <v>0</v>
      </c>
      <c r="P169" s="683">
        <f t="shared" si="399"/>
        <v>0</v>
      </c>
      <c r="Q169" s="683">
        <f t="shared" si="400"/>
        <v>0</v>
      </c>
      <c r="R169" s="683">
        <f t="shared" si="401"/>
        <v>0</v>
      </c>
      <c r="S169" s="683">
        <f t="shared" si="402"/>
        <v>0</v>
      </c>
      <c r="U169" s="793"/>
      <c r="V169" s="793"/>
      <c r="W169" s="759"/>
      <c r="X169" s="771">
        <f t="shared" si="403"/>
        <v>1</v>
      </c>
      <c r="Y169" s="771">
        <f t="shared" si="403"/>
        <v>0</v>
      </c>
      <c r="Z169" s="771">
        <f t="shared" si="403"/>
        <v>0</v>
      </c>
      <c r="AA169" s="771">
        <f t="shared" si="403"/>
        <v>0</v>
      </c>
      <c r="AB169" s="771">
        <f t="shared" si="403"/>
        <v>0</v>
      </c>
      <c r="AC169" s="771">
        <f t="shared" si="403"/>
        <v>0</v>
      </c>
      <c r="AD169" s="771">
        <f t="shared" si="403"/>
        <v>0</v>
      </c>
      <c r="AE169" s="771">
        <f t="shared" si="403"/>
        <v>0</v>
      </c>
      <c r="AF169" s="771">
        <f t="shared" si="403"/>
        <v>0</v>
      </c>
      <c r="AG169" s="771">
        <f t="shared" si="403"/>
        <v>0</v>
      </c>
      <c r="AH169" s="771">
        <f t="shared" si="403"/>
        <v>0</v>
      </c>
      <c r="AI169" s="771">
        <f t="shared" si="403"/>
        <v>0</v>
      </c>
      <c r="AJ169" s="771">
        <f t="shared" si="403"/>
        <v>0</v>
      </c>
      <c r="AK169" s="771">
        <f t="shared" si="403"/>
        <v>0</v>
      </c>
      <c r="AL169" s="771">
        <f t="shared" si="403"/>
        <v>0</v>
      </c>
      <c r="AM169" s="772">
        <f t="shared" si="404"/>
        <v>1</v>
      </c>
    </row>
    <row r="170" spans="2:39" s="123" customFormat="1" x14ac:dyDescent="0.3">
      <c r="B170" s="385" t="s">
        <v>178</v>
      </c>
      <c r="C170" s="528"/>
      <c r="D170" s="683">
        <f t="shared" si="405"/>
        <v>0</v>
      </c>
      <c r="E170" s="683">
        <f t="shared" si="388"/>
        <v>0</v>
      </c>
      <c r="F170" s="683">
        <f t="shared" si="389"/>
        <v>0</v>
      </c>
      <c r="G170" s="683">
        <f t="shared" si="390"/>
        <v>0</v>
      </c>
      <c r="H170" s="683">
        <f t="shared" si="391"/>
        <v>0</v>
      </c>
      <c r="I170" s="683">
        <f t="shared" si="392"/>
        <v>0</v>
      </c>
      <c r="J170" s="683">
        <f t="shared" si="393"/>
        <v>0</v>
      </c>
      <c r="K170" s="683">
        <f t="shared" si="394"/>
        <v>0</v>
      </c>
      <c r="L170" s="683">
        <f t="shared" si="395"/>
        <v>0</v>
      </c>
      <c r="M170" s="683">
        <f t="shared" si="396"/>
        <v>0</v>
      </c>
      <c r="N170" s="683">
        <f t="shared" si="397"/>
        <v>0</v>
      </c>
      <c r="O170" s="683">
        <f t="shared" si="398"/>
        <v>0</v>
      </c>
      <c r="P170" s="683">
        <f t="shared" si="399"/>
        <v>0</v>
      </c>
      <c r="Q170" s="683">
        <f t="shared" si="400"/>
        <v>0</v>
      </c>
      <c r="R170" s="683">
        <f t="shared" si="401"/>
        <v>0</v>
      </c>
      <c r="S170" s="683">
        <f t="shared" si="402"/>
        <v>0</v>
      </c>
      <c r="U170" s="793"/>
      <c r="V170" s="793"/>
      <c r="W170" s="759"/>
      <c r="X170" s="771">
        <f t="shared" si="403"/>
        <v>1</v>
      </c>
      <c r="Y170" s="771">
        <f t="shared" si="403"/>
        <v>0</v>
      </c>
      <c r="Z170" s="771">
        <f t="shared" si="403"/>
        <v>0</v>
      </c>
      <c r="AA170" s="771">
        <f t="shared" si="403"/>
        <v>0</v>
      </c>
      <c r="AB170" s="771">
        <f t="shared" si="403"/>
        <v>0</v>
      </c>
      <c r="AC170" s="771">
        <f t="shared" si="403"/>
        <v>0</v>
      </c>
      <c r="AD170" s="771">
        <f t="shared" si="403"/>
        <v>0</v>
      </c>
      <c r="AE170" s="771">
        <f t="shared" si="403"/>
        <v>0</v>
      </c>
      <c r="AF170" s="771">
        <f t="shared" si="403"/>
        <v>0</v>
      </c>
      <c r="AG170" s="771">
        <f t="shared" si="403"/>
        <v>0</v>
      </c>
      <c r="AH170" s="771">
        <f t="shared" si="403"/>
        <v>0</v>
      </c>
      <c r="AI170" s="771">
        <f t="shared" si="403"/>
        <v>0</v>
      </c>
      <c r="AJ170" s="771">
        <f t="shared" si="403"/>
        <v>0</v>
      </c>
      <c r="AK170" s="771">
        <f t="shared" si="403"/>
        <v>0</v>
      </c>
      <c r="AL170" s="771">
        <f t="shared" si="403"/>
        <v>0</v>
      </c>
      <c r="AM170" s="772">
        <f t="shared" si="404"/>
        <v>1</v>
      </c>
    </row>
    <row r="171" spans="2:39" s="123" customFormat="1" x14ac:dyDescent="0.3">
      <c r="B171" s="385" t="s">
        <v>179</v>
      </c>
      <c r="C171" s="528"/>
      <c r="D171" s="683">
        <f t="shared" si="405"/>
        <v>0</v>
      </c>
      <c r="E171" s="683">
        <f t="shared" si="388"/>
        <v>0</v>
      </c>
      <c r="F171" s="683">
        <f t="shared" si="389"/>
        <v>0</v>
      </c>
      <c r="G171" s="683">
        <f t="shared" si="390"/>
        <v>0</v>
      </c>
      <c r="H171" s="683">
        <f t="shared" si="391"/>
        <v>0</v>
      </c>
      <c r="I171" s="683">
        <f t="shared" si="392"/>
        <v>0</v>
      </c>
      <c r="J171" s="683">
        <f t="shared" si="393"/>
        <v>0</v>
      </c>
      <c r="K171" s="683">
        <f t="shared" si="394"/>
        <v>0</v>
      </c>
      <c r="L171" s="683">
        <f t="shared" si="395"/>
        <v>0</v>
      </c>
      <c r="M171" s="683">
        <f t="shared" si="396"/>
        <v>0</v>
      </c>
      <c r="N171" s="683">
        <f t="shared" si="397"/>
        <v>0</v>
      </c>
      <c r="O171" s="683">
        <f t="shared" si="398"/>
        <v>0</v>
      </c>
      <c r="P171" s="683">
        <f t="shared" si="399"/>
        <v>0</v>
      </c>
      <c r="Q171" s="683">
        <f t="shared" si="400"/>
        <v>0</v>
      </c>
      <c r="R171" s="683">
        <f t="shared" si="401"/>
        <v>0</v>
      </c>
      <c r="S171" s="683">
        <f t="shared" si="402"/>
        <v>0</v>
      </c>
      <c r="U171" s="793"/>
      <c r="V171" s="793"/>
      <c r="W171" s="759"/>
      <c r="X171" s="771">
        <f t="shared" si="403"/>
        <v>1</v>
      </c>
      <c r="Y171" s="771">
        <f t="shared" si="403"/>
        <v>0</v>
      </c>
      <c r="Z171" s="771">
        <f t="shared" si="403"/>
        <v>0</v>
      </c>
      <c r="AA171" s="771">
        <f t="shared" si="403"/>
        <v>0</v>
      </c>
      <c r="AB171" s="771">
        <f t="shared" si="403"/>
        <v>0</v>
      </c>
      <c r="AC171" s="771">
        <f t="shared" si="403"/>
        <v>0</v>
      </c>
      <c r="AD171" s="771">
        <f t="shared" si="403"/>
        <v>0</v>
      </c>
      <c r="AE171" s="771">
        <f t="shared" si="403"/>
        <v>0</v>
      </c>
      <c r="AF171" s="771">
        <f t="shared" si="403"/>
        <v>0</v>
      </c>
      <c r="AG171" s="771">
        <f t="shared" si="403"/>
        <v>0</v>
      </c>
      <c r="AH171" s="771">
        <f t="shared" si="403"/>
        <v>0</v>
      </c>
      <c r="AI171" s="771">
        <f t="shared" si="403"/>
        <v>0</v>
      </c>
      <c r="AJ171" s="771">
        <f t="shared" si="403"/>
        <v>0</v>
      </c>
      <c r="AK171" s="771">
        <f t="shared" si="403"/>
        <v>0</v>
      </c>
      <c r="AL171" s="771">
        <f t="shared" si="403"/>
        <v>0</v>
      </c>
      <c r="AM171" s="772">
        <f t="shared" si="404"/>
        <v>1</v>
      </c>
    </row>
    <row r="172" spans="2:39" s="123" customFormat="1" x14ac:dyDescent="0.3">
      <c r="B172" s="385" t="s">
        <v>180</v>
      </c>
      <c r="C172" s="528"/>
      <c r="D172" s="683">
        <f t="shared" si="405"/>
        <v>0</v>
      </c>
      <c r="E172" s="683">
        <f t="shared" si="388"/>
        <v>0</v>
      </c>
      <c r="F172" s="683">
        <f t="shared" si="389"/>
        <v>0</v>
      </c>
      <c r="G172" s="683">
        <f t="shared" si="390"/>
        <v>0</v>
      </c>
      <c r="H172" s="683">
        <f t="shared" si="391"/>
        <v>0</v>
      </c>
      <c r="I172" s="683">
        <f t="shared" si="392"/>
        <v>0</v>
      </c>
      <c r="J172" s="683">
        <f t="shared" si="393"/>
        <v>0</v>
      </c>
      <c r="K172" s="683">
        <f t="shared" si="394"/>
        <v>0</v>
      </c>
      <c r="L172" s="683">
        <f t="shared" si="395"/>
        <v>0</v>
      </c>
      <c r="M172" s="683">
        <f t="shared" si="396"/>
        <v>0</v>
      </c>
      <c r="N172" s="683">
        <f t="shared" si="397"/>
        <v>0</v>
      </c>
      <c r="O172" s="683">
        <f t="shared" si="398"/>
        <v>0</v>
      </c>
      <c r="P172" s="683">
        <f t="shared" si="399"/>
        <v>0</v>
      </c>
      <c r="Q172" s="683">
        <f t="shared" si="400"/>
        <v>0</v>
      </c>
      <c r="R172" s="683">
        <f t="shared" si="401"/>
        <v>0</v>
      </c>
      <c r="S172" s="683">
        <f t="shared" si="402"/>
        <v>0</v>
      </c>
      <c r="U172" s="793"/>
      <c r="V172" s="793"/>
      <c r="W172" s="759"/>
      <c r="X172" s="771">
        <f t="shared" si="403"/>
        <v>1</v>
      </c>
      <c r="Y172" s="771">
        <f t="shared" si="403"/>
        <v>0</v>
      </c>
      <c r="Z172" s="771">
        <f t="shared" si="403"/>
        <v>0</v>
      </c>
      <c r="AA172" s="771">
        <f t="shared" si="403"/>
        <v>0</v>
      </c>
      <c r="AB172" s="771">
        <f t="shared" si="403"/>
        <v>0</v>
      </c>
      <c r="AC172" s="771">
        <f t="shared" si="403"/>
        <v>0</v>
      </c>
      <c r="AD172" s="771">
        <f t="shared" si="403"/>
        <v>0</v>
      </c>
      <c r="AE172" s="771">
        <f t="shared" si="403"/>
        <v>0</v>
      </c>
      <c r="AF172" s="771">
        <f t="shared" si="403"/>
        <v>0</v>
      </c>
      <c r="AG172" s="771">
        <f t="shared" si="403"/>
        <v>0</v>
      </c>
      <c r="AH172" s="771">
        <f t="shared" si="403"/>
        <v>0</v>
      </c>
      <c r="AI172" s="771">
        <f t="shared" si="403"/>
        <v>0</v>
      </c>
      <c r="AJ172" s="771">
        <f t="shared" si="403"/>
        <v>0</v>
      </c>
      <c r="AK172" s="771">
        <f t="shared" si="403"/>
        <v>0</v>
      </c>
      <c r="AL172" s="771">
        <f t="shared" si="403"/>
        <v>0</v>
      </c>
      <c r="AM172" s="772">
        <f t="shared" si="404"/>
        <v>1</v>
      </c>
    </row>
    <row r="173" spans="2:39" s="123" customFormat="1" x14ac:dyDescent="0.3">
      <c r="B173" s="385" t="s">
        <v>181</v>
      </c>
      <c r="C173" s="528"/>
      <c r="D173" s="683">
        <f t="shared" si="405"/>
        <v>0</v>
      </c>
      <c r="E173" s="683">
        <f t="shared" si="388"/>
        <v>0</v>
      </c>
      <c r="F173" s="683">
        <f t="shared" si="389"/>
        <v>0</v>
      </c>
      <c r="G173" s="683">
        <f t="shared" si="390"/>
        <v>0</v>
      </c>
      <c r="H173" s="683">
        <f t="shared" si="391"/>
        <v>0</v>
      </c>
      <c r="I173" s="683">
        <f t="shared" si="392"/>
        <v>0</v>
      </c>
      <c r="J173" s="683">
        <f t="shared" si="393"/>
        <v>0</v>
      </c>
      <c r="K173" s="683">
        <f t="shared" si="394"/>
        <v>0</v>
      </c>
      <c r="L173" s="683">
        <f t="shared" si="395"/>
        <v>0</v>
      </c>
      <c r="M173" s="683">
        <f t="shared" si="396"/>
        <v>0</v>
      </c>
      <c r="N173" s="683">
        <f t="shared" si="397"/>
        <v>0</v>
      </c>
      <c r="O173" s="683">
        <f t="shared" si="398"/>
        <v>0</v>
      </c>
      <c r="P173" s="683">
        <f t="shared" si="399"/>
        <v>0</v>
      </c>
      <c r="Q173" s="683">
        <f t="shared" si="400"/>
        <v>0</v>
      </c>
      <c r="R173" s="683">
        <f t="shared" si="401"/>
        <v>0</v>
      </c>
      <c r="S173" s="683">
        <f t="shared" si="402"/>
        <v>0</v>
      </c>
      <c r="U173" s="793"/>
      <c r="V173" s="793"/>
      <c r="W173" s="759"/>
      <c r="X173" s="771">
        <f t="shared" si="403"/>
        <v>1</v>
      </c>
      <c r="Y173" s="771">
        <f t="shared" si="403"/>
        <v>0</v>
      </c>
      <c r="Z173" s="771">
        <f t="shared" si="403"/>
        <v>0</v>
      </c>
      <c r="AA173" s="771">
        <f t="shared" si="403"/>
        <v>0</v>
      </c>
      <c r="AB173" s="771">
        <f t="shared" si="403"/>
        <v>0</v>
      </c>
      <c r="AC173" s="771">
        <f t="shared" si="403"/>
        <v>0</v>
      </c>
      <c r="AD173" s="771">
        <f t="shared" si="403"/>
        <v>0</v>
      </c>
      <c r="AE173" s="771">
        <f t="shared" si="403"/>
        <v>0</v>
      </c>
      <c r="AF173" s="771">
        <f t="shared" si="403"/>
        <v>0</v>
      </c>
      <c r="AG173" s="771">
        <f t="shared" si="403"/>
        <v>0</v>
      </c>
      <c r="AH173" s="771">
        <f t="shared" si="403"/>
        <v>0</v>
      </c>
      <c r="AI173" s="771">
        <f t="shared" si="403"/>
        <v>0</v>
      </c>
      <c r="AJ173" s="771">
        <f t="shared" si="403"/>
        <v>0</v>
      </c>
      <c r="AK173" s="771">
        <f t="shared" si="403"/>
        <v>0</v>
      </c>
      <c r="AL173" s="771">
        <f t="shared" si="403"/>
        <v>0</v>
      </c>
      <c r="AM173" s="772">
        <f t="shared" si="404"/>
        <v>1</v>
      </c>
    </row>
    <row r="174" spans="2:39" s="123" customFormat="1" x14ac:dyDescent="0.3">
      <c r="B174" s="384" t="s">
        <v>182</v>
      </c>
      <c r="C174" s="383"/>
      <c r="D174" s="683">
        <f t="shared" si="405"/>
        <v>0</v>
      </c>
      <c r="E174" s="683">
        <f t="shared" si="388"/>
        <v>0</v>
      </c>
      <c r="F174" s="683">
        <f t="shared" si="389"/>
        <v>0</v>
      </c>
      <c r="G174" s="683">
        <f t="shared" si="390"/>
        <v>0</v>
      </c>
      <c r="H174" s="683">
        <f t="shared" si="391"/>
        <v>0</v>
      </c>
      <c r="I174" s="683">
        <f t="shared" si="392"/>
        <v>0</v>
      </c>
      <c r="J174" s="683">
        <f t="shared" si="393"/>
        <v>0</v>
      </c>
      <c r="K174" s="683">
        <f t="shared" si="394"/>
        <v>0</v>
      </c>
      <c r="L174" s="683">
        <f t="shared" si="395"/>
        <v>0</v>
      </c>
      <c r="M174" s="683">
        <f t="shared" si="396"/>
        <v>0</v>
      </c>
      <c r="N174" s="683">
        <f t="shared" si="397"/>
        <v>0</v>
      </c>
      <c r="O174" s="683">
        <f t="shared" si="398"/>
        <v>0</v>
      </c>
      <c r="P174" s="683">
        <f t="shared" si="399"/>
        <v>0</v>
      </c>
      <c r="Q174" s="683">
        <f t="shared" si="400"/>
        <v>0</v>
      </c>
      <c r="R174" s="683">
        <f t="shared" si="401"/>
        <v>0</v>
      </c>
      <c r="S174" s="683">
        <f t="shared" si="402"/>
        <v>0</v>
      </c>
      <c r="U174" s="793"/>
      <c r="V174" s="793"/>
      <c r="W174" s="759"/>
      <c r="X174" s="771">
        <f t="shared" si="403"/>
        <v>1</v>
      </c>
      <c r="Y174" s="771">
        <f t="shared" si="403"/>
        <v>0</v>
      </c>
      <c r="Z174" s="771">
        <f t="shared" si="403"/>
        <v>0</v>
      </c>
      <c r="AA174" s="771">
        <f t="shared" si="403"/>
        <v>0</v>
      </c>
      <c r="AB174" s="771">
        <f t="shared" si="403"/>
        <v>0</v>
      </c>
      <c r="AC174" s="771">
        <f t="shared" si="403"/>
        <v>0</v>
      </c>
      <c r="AD174" s="771">
        <f t="shared" si="403"/>
        <v>0</v>
      </c>
      <c r="AE174" s="771">
        <f t="shared" si="403"/>
        <v>0</v>
      </c>
      <c r="AF174" s="771">
        <f t="shared" si="403"/>
        <v>0</v>
      </c>
      <c r="AG174" s="771">
        <f t="shared" si="403"/>
        <v>0</v>
      </c>
      <c r="AH174" s="771">
        <f t="shared" si="403"/>
        <v>0</v>
      </c>
      <c r="AI174" s="771">
        <f t="shared" si="403"/>
        <v>0</v>
      </c>
      <c r="AJ174" s="771">
        <f t="shared" si="403"/>
        <v>0</v>
      </c>
      <c r="AK174" s="771">
        <f t="shared" si="403"/>
        <v>0</v>
      </c>
      <c r="AL174" s="771">
        <f t="shared" si="403"/>
        <v>0</v>
      </c>
      <c r="AM174" s="772">
        <f t="shared" si="404"/>
        <v>1</v>
      </c>
    </row>
    <row r="175" spans="2:39" s="123" customFormat="1" x14ac:dyDescent="0.3">
      <c r="B175" s="386" t="s">
        <v>183</v>
      </c>
      <c r="C175" s="529"/>
      <c r="D175" s="684">
        <f t="shared" si="405"/>
        <v>0</v>
      </c>
      <c r="E175" s="684">
        <f t="shared" si="388"/>
        <v>0</v>
      </c>
      <c r="F175" s="684">
        <f t="shared" si="389"/>
        <v>0</v>
      </c>
      <c r="G175" s="684">
        <f t="shared" si="390"/>
        <v>0</v>
      </c>
      <c r="H175" s="684">
        <f t="shared" si="391"/>
        <v>0</v>
      </c>
      <c r="I175" s="684">
        <f t="shared" si="392"/>
        <v>0</v>
      </c>
      <c r="J175" s="684">
        <f t="shared" si="393"/>
        <v>0</v>
      </c>
      <c r="K175" s="684">
        <f t="shared" si="394"/>
        <v>0</v>
      </c>
      <c r="L175" s="684">
        <f t="shared" si="395"/>
        <v>0</v>
      </c>
      <c r="M175" s="684">
        <f t="shared" si="396"/>
        <v>0</v>
      </c>
      <c r="N175" s="684">
        <f t="shared" si="397"/>
        <v>0</v>
      </c>
      <c r="O175" s="684">
        <f t="shared" si="398"/>
        <v>0</v>
      </c>
      <c r="P175" s="684">
        <f t="shared" si="399"/>
        <v>0</v>
      </c>
      <c r="Q175" s="684">
        <f t="shared" si="400"/>
        <v>0</v>
      </c>
      <c r="R175" s="684">
        <f t="shared" si="401"/>
        <v>0</v>
      </c>
      <c r="S175" s="684">
        <f t="shared" si="402"/>
        <v>0</v>
      </c>
      <c r="U175" s="794"/>
      <c r="V175" s="794"/>
      <c r="W175" s="759"/>
      <c r="X175" s="771">
        <f t="shared" si="403"/>
        <v>1</v>
      </c>
      <c r="Y175" s="771">
        <f t="shared" si="403"/>
        <v>0</v>
      </c>
      <c r="Z175" s="771">
        <f t="shared" si="403"/>
        <v>0</v>
      </c>
      <c r="AA175" s="771">
        <f t="shared" si="403"/>
        <v>0</v>
      </c>
      <c r="AB175" s="771">
        <f t="shared" si="403"/>
        <v>0</v>
      </c>
      <c r="AC175" s="771">
        <f t="shared" si="403"/>
        <v>0</v>
      </c>
      <c r="AD175" s="771">
        <f t="shared" si="403"/>
        <v>0</v>
      </c>
      <c r="AE175" s="771">
        <f t="shared" si="403"/>
        <v>0</v>
      </c>
      <c r="AF175" s="771">
        <f t="shared" si="403"/>
        <v>0</v>
      </c>
      <c r="AG175" s="771">
        <f t="shared" si="403"/>
        <v>0</v>
      </c>
      <c r="AH175" s="771">
        <f t="shared" si="403"/>
        <v>0</v>
      </c>
      <c r="AI175" s="771">
        <f t="shared" si="403"/>
        <v>0</v>
      </c>
      <c r="AJ175" s="771">
        <f t="shared" si="403"/>
        <v>0</v>
      </c>
      <c r="AK175" s="771">
        <f t="shared" si="403"/>
        <v>0</v>
      </c>
      <c r="AL175" s="771">
        <f t="shared" si="403"/>
        <v>0</v>
      </c>
      <c r="AM175" s="772">
        <f t="shared" si="404"/>
        <v>1</v>
      </c>
    </row>
    <row r="176" spans="2:39" s="123" customFormat="1" x14ac:dyDescent="0.3">
      <c r="B176" s="387" t="s">
        <v>119</v>
      </c>
      <c r="C176" s="530"/>
      <c r="D176" s="685">
        <f t="shared" ref="D176:S176" si="406">SUM(D165:D175)</f>
        <v>0</v>
      </c>
      <c r="E176" s="685">
        <f t="shared" si="406"/>
        <v>0</v>
      </c>
      <c r="F176" s="685">
        <f t="shared" si="406"/>
        <v>0</v>
      </c>
      <c r="G176" s="685">
        <f t="shared" si="406"/>
        <v>0</v>
      </c>
      <c r="H176" s="685">
        <f t="shared" si="406"/>
        <v>0</v>
      </c>
      <c r="I176" s="685">
        <f t="shared" si="406"/>
        <v>0</v>
      </c>
      <c r="J176" s="685">
        <f t="shared" si="406"/>
        <v>0</v>
      </c>
      <c r="K176" s="685">
        <f t="shared" si="406"/>
        <v>0</v>
      </c>
      <c r="L176" s="685">
        <f t="shared" si="406"/>
        <v>0</v>
      </c>
      <c r="M176" s="685">
        <f t="shared" si="406"/>
        <v>0</v>
      </c>
      <c r="N176" s="685">
        <f t="shared" si="406"/>
        <v>0</v>
      </c>
      <c r="O176" s="685">
        <f t="shared" si="406"/>
        <v>0</v>
      </c>
      <c r="P176" s="685">
        <f t="shared" si="406"/>
        <v>0</v>
      </c>
      <c r="Q176" s="685">
        <f t="shared" si="406"/>
        <v>0</v>
      </c>
      <c r="R176" s="685">
        <f t="shared" si="406"/>
        <v>0</v>
      </c>
      <c r="S176" s="685">
        <f t="shared" si="406"/>
        <v>0</v>
      </c>
      <c r="U176" s="795">
        <f>SUM(U165:U175)</f>
        <v>0</v>
      </c>
      <c r="V176" s="795">
        <f>SUM(V165:V175)</f>
        <v>0</v>
      </c>
      <c r="W176" s="759"/>
      <c r="X176" s="759"/>
      <c r="Y176" s="759"/>
      <c r="Z176" s="759"/>
      <c r="AA176" s="759"/>
      <c r="AB176" s="759"/>
      <c r="AC176" s="759"/>
      <c r="AD176" s="759"/>
      <c r="AE176" s="759"/>
      <c r="AF176" s="759"/>
      <c r="AG176" s="759"/>
      <c r="AH176" s="759"/>
      <c r="AI176" s="759"/>
      <c r="AJ176" s="759"/>
      <c r="AK176" s="759"/>
      <c r="AL176" s="759"/>
      <c r="AM176" s="759"/>
    </row>
    <row r="178" spans="2:39" x14ac:dyDescent="0.3">
      <c r="B178" s="441" t="s">
        <v>184</v>
      </c>
      <c r="C178" s="522"/>
      <c r="V178" s="785"/>
      <c r="X178" s="763" t="s">
        <v>99</v>
      </c>
    </row>
    <row r="179" spans="2:39" x14ac:dyDescent="0.3">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8" t="s">
        <v>105</v>
      </c>
      <c r="V179" s="768" t="str">
        <f>V$9</f>
        <v>City vehicles</v>
      </c>
      <c r="X179" s="765" t="str">
        <f t="shared" ref="X179" si="408">D179</f>
        <v>Z01</v>
      </c>
      <c r="Y179" s="765" t="str">
        <f t="shared" ref="Y179" si="409">E179</f>
        <v>Z02</v>
      </c>
      <c r="Z179" s="765" t="str">
        <f t="shared" ref="Z179" si="410">F179</f>
        <v>Z03</v>
      </c>
      <c r="AA179" s="765" t="str">
        <f t="shared" ref="AA179" si="411">G179</f>
        <v>Z04</v>
      </c>
      <c r="AB179" s="765" t="str">
        <f t="shared" ref="AB179" si="412">H179</f>
        <v>Z05</v>
      </c>
      <c r="AC179" s="765" t="str">
        <f t="shared" ref="AC179" si="413">I179</f>
        <v>Z06</v>
      </c>
      <c r="AD179" s="765" t="str">
        <f t="shared" ref="AD179" si="414">J179</f>
        <v>Z07</v>
      </c>
      <c r="AE179" s="765" t="str">
        <f t="shared" ref="AE179" si="415">K179</f>
        <v>Z08</v>
      </c>
      <c r="AF179" s="765" t="str">
        <f t="shared" ref="AF179" si="416">L179</f>
        <v>Z09</v>
      </c>
      <c r="AG179" s="765" t="str">
        <f t="shared" ref="AG179" si="417">M179</f>
        <v>Z10</v>
      </c>
      <c r="AH179" s="765" t="str">
        <f t="shared" ref="AH179" si="418">N179</f>
        <v>Z11</v>
      </c>
      <c r="AI179" s="765" t="str">
        <f t="shared" ref="AI179" si="419">O179</f>
        <v>Z12</v>
      </c>
      <c r="AJ179" s="765" t="str">
        <f t="shared" ref="AJ179" si="420">P179</f>
        <v>Z13</v>
      </c>
      <c r="AK179" s="765" t="str">
        <f t="shared" ref="AK179" si="421">Q179</f>
        <v>Z14</v>
      </c>
      <c r="AL179" s="765" t="str">
        <f t="shared" ref="AL179" si="422">R179</f>
        <v>Z15</v>
      </c>
      <c r="AM179" s="765" t="s">
        <v>100</v>
      </c>
    </row>
    <row r="180" spans="2:39" s="123" customFormat="1" ht="14.1" customHeight="1" x14ac:dyDescent="0.3">
      <c r="B180" s="386" t="s">
        <v>185</v>
      </c>
      <c r="C180" s="529" t="s">
        <v>186</v>
      </c>
      <c r="D180" s="684">
        <f>$V180*X180</f>
        <v>0</v>
      </c>
      <c r="E180" s="684">
        <f t="shared" ref="E180:S180" si="423">$V180*Y180</f>
        <v>0</v>
      </c>
      <c r="F180" s="684">
        <f t="shared" si="423"/>
        <v>0</v>
      </c>
      <c r="G180" s="684">
        <f t="shared" si="423"/>
        <v>0</v>
      </c>
      <c r="H180" s="684">
        <f t="shared" si="423"/>
        <v>0</v>
      </c>
      <c r="I180" s="684">
        <f t="shared" si="423"/>
        <v>0</v>
      </c>
      <c r="J180" s="684">
        <f t="shared" si="423"/>
        <v>0</v>
      </c>
      <c r="K180" s="684">
        <f t="shared" si="423"/>
        <v>0</v>
      </c>
      <c r="L180" s="684">
        <f t="shared" si="423"/>
        <v>0</v>
      </c>
      <c r="M180" s="684">
        <f t="shared" si="423"/>
        <v>0</v>
      </c>
      <c r="N180" s="684">
        <f t="shared" si="423"/>
        <v>0</v>
      </c>
      <c r="O180" s="684">
        <f t="shared" si="423"/>
        <v>0</v>
      </c>
      <c r="P180" s="684">
        <f t="shared" si="423"/>
        <v>0</v>
      </c>
      <c r="Q180" s="684">
        <f t="shared" si="423"/>
        <v>0</v>
      </c>
      <c r="R180" s="684">
        <f t="shared" si="423"/>
        <v>0</v>
      </c>
      <c r="S180" s="684">
        <f t="shared" si="423"/>
        <v>0</v>
      </c>
      <c r="U180" s="796"/>
      <c r="V180" s="794"/>
      <c r="W180" s="759"/>
      <c r="X180" s="771">
        <f t="shared" ref="X180:AL180" si="424">X$6</f>
        <v>1</v>
      </c>
      <c r="Y180" s="771">
        <f t="shared" si="424"/>
        <v>0</v>
      </c>
      <c r="Z180" s="771">
        <f t="shared" si="424"/>
        <v>0</v>
      </c>
      <c r="AA180" s="771">
        <f t="shared" si="424"/>
        <v>0</v>
      </c>
      <c r="AB180" s="771">
        <f t="shared" si="424"/>
        <v>0</v>
      </c>
      <c r="AC180" s="771">
        <f t="shared" si="424"/>
        <v>0</v>
      </c>
      <c r="AD180" s="771">
        <f t="shared" si="424"/>
        <v>0</v>
      </c>
      <c r="AE180" s="771">
        <f t="shared" si="424"/>
        <v>0</v>
      </c>
      <c r="AF180" s="771">
        <f t="shared" si="424"/>
        <v>0</v>
      </c>
      <c r="AG180" s="771">
        <f t="shared" si="424"/>
        <v>0</v>
      </c>
      <c r="AH180" s="771">
        <f t="shared" si="424"/>
        <v>0</v>
      </c>
      <c r="AI180" s="771">
        <f t="shared" si="424"/>
        <v>0</v>
      </c>
      <c r="AJ180" s="771">
        <f t="shared" si="424"/>
        <v>0</v>
      </c>
      <c r="AK180" s="771">
        <f t="shared" si="424"/>
        <v>0</v>
      </c>
      <c r="AL180" s="771">
        <f t="shared" si="424"/>
        <v>0</v>
      </c>
      <c r="AM180" s="772">
        <f t="shared" ref="AM180" si="425">SUM(X180:AI180)</f>
        <v>1</v>
      </c>
    </row>
    <row r="181" spans="2:39" s="123" customFormat="1" x14ac:dyDescent="0.3">
      <c r="B181" s="387" t="s">
        <v>119</v>
      </c>
      <c r="C181" s="530"/>
      <c r="D181" s="685">
        <f>SUM(D180:D180)</f>
        <v>0</v>
      </c>
      <c r="E181" s="685">
        <f t="shared" ref="E181:R181" si="426">SUM(E180:E180)</f>
        <v>0</v>
      </c>
      <c r="F181" s="685">
        <f t="shared" si="426"/>
        <v>0</v>
      </c>
      <c r="G181" s="685">
        <f t="shared" si="426"/>
        <v>0</v>
      </c>
      <c r="H181" s="685">
        <f t="shared" si="426"/>
        <v>0</v>
      </c>
      <c r="I181" s="685">
        <f t="shared" si="426"/>
        <v>0</v>
      </c>
      <c r="J181" s="685">
        <f t="shared" si="426"/>
        <v>0</v>
      </c>
      <c r="K181" s="685">
        <f t="shared" si="426"/>
        <v>0</v>
      </c>
      <c r="L181" s="685">
        <f t="shared" si="426"/>
        <v>0</v>
      </c>
      <c r="M181" s="685">
        <f t="shared" si="426"/>
        <v>0</v>
      </c>
      <c r="N181" s="685">
        <f t="shared" si="426"/>
        <v>0</v>
      </c>
      <c r="O181" s="685">
        <f t="shared" si="426"/>
        <v>0</v>
      </c>
      <c r="P181" s="685">
        <f t="shared" si="426"/>
        <v>0</v>
      </c>
      <c r="Q181" s="685">
        <f t="shared" si="426"/>
        <v>0</v>
      </c>
      <c r="R181" s="685">
        <f t="shared" si="426"/>
        <v>0</v>
      </c>
      <c r="S181" s="685">
        <f>SUM(S180:S180)</f>
        <v>0</v>
      </c>
      <c r="U181" s="775">
        <f>SUM(U180)</f>
        <v>0</v>
      </c>
      <c r="V181" s="758">
        <f>SUM(V180)</f>
        <v>0</v>
      </c>
      <c r="W181" s="759"/>
      <c r="X181" s="759"/>
      <c r="Y181" s="759"/>
      <c r="Z181" s="759"/>
      <c r="AA181" s="759"/>
      <c r="AB181" s="759"/>
      <c r="AC181" s="759"/>
      <c r="AD181" s="759"/>
      <c r="AE181" s="759"/>
      <c r="AF181" s="759"/>
      <c r="AG181" s="759"/>
      <c r="AH181" s="759"/>
      <c r="AI181" s="759"/>
      <c r="AJ181" s="759"/>
      <c r="AK181" s="759"/>
      <c r="AL181" s="759"/>
      <c r="AM181" s="759"/>
    </row>
    <row r="183" spans="2:39" x14ac:dyDescent="0.3">
      <c r="B183" s="441" t="s">
        <v>187</v>
      </c>
      <c r="C183" s="522"/>
      <c r="V183" s="785"/>
      <c r="X183" s="763" t="s">
        <v>99</v>
      </c>
    </row>
    <row r="184" spans="2:39" x14ac:dyDescent="0.3">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8" t="s">
        <v>85</v>
      </c>
      <c r="V184" s="768" t="s">
        <v>85</v>
      </c>
      <c r="X184" s="765" t="str">
        <f t="shared" ref="X184" si="428">D184</f>
        <v>Z01</v>
      </c>
      <c r="Y184" s="765" t="str">
        <f t="shared" ref="Y184" si="429">E184</f>
        <v>Z02</v>
      </c>
      <c r="Z184" s="765" t="str">
        <f t="shared" ref="Z184" si="430">F184</f>
        <v>Z03</v>
      </c>
      <c r="AA184" s="765" t="str">
        <f t="shared" ref="AA184" si="431">G184</f>
        <v>Z04</v>
      </c>
      <c r="AB184" s="765" t="str">
        <f t="shared" ref="AB184" si="432">H184</f>
        <v>Z05</v>
      </c>
      <c r="AC184" s="765" t="str">
        <f t="shared" ref="AC184" si="433">I184</f>
        <v>Z06</v>
      </c>
      <c r="AD184" s="765" t="str">
        <f t="shared" ref="AD184" si="434">J184</f>
        <v>Z07</v>
      </c>
      <c r="AE184" s="765" t="str">
        <f t="shared" ref="AE184" si="435">K184</f>
        <v>Z08</v>
      </c>
      <c r="AF184" s="765" t="str">
        <f t="shared" ref="AF184" si="436">L184</f>
        <v>Z09</v>
      </c>
      <c r="AG184" s="765" t="str">
        <f t="shared" ref="AG184" si="437">M184</f>
        <v>Z10</v>
      </c>
      <c r="AH184" s="765" t="str">
        <f t="shared" ref="AH184" si="438">N184</f>
        <v>Z11</v>
      </c>
      <c r="AI184" s="765" t="str">
        <f t="shared" ref="AI184" si="439">O184</f>
        <v>Z12</v>
      </c>
      <c r="AJ184" s="765" t="str">
        <f t="shared" ref="AJ184" si="440">P184</f>
        <v>Z13</v>
      </c>
      <c r="AK184" s="765" t="str">
        <f t="shared" ref="AK184" si="441">Q184</f>
        <v>Z14</v>
      </c>
      <c r="AL184" s="765" t="str">
        <f t="shared" ref="AL184" si="442">R184</f>
        <v>Z15</v>
      </c>
      <c r="AM184" s="765" t="s">
        <v>100</v>
      </c>
    </row>
    <row r="185" spans="2:39" ht="14.1" customHeight="1" x14ac:dyDescent="0.3">
      <c r="B185" s="250" t="s">
        <v>185</v>
      </c>
      <c r="C185" s="523"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0"/>
      <c r="V185" s="792"/>
      <c r="X185" s="771">
        <f t="shared" ref="X185:AL185" si="444">X$6</f>
        <v>1</v>
      </c>
      <c r="Y185" s="771">
        <f t="shared" si="444"/>
        <v>0</v>
      </c>
      <c r="Z185" s="771">
        <f t="shared" si="444"/>
        <v>0</v>
      </c>
      <c r="AA185" s="771">
        <f t="shared" si="444"/>
        <v>0</v>
      </c>
      <c r="AB185" s="771">
        <f t="shared" si="444"/>
        <v>0</v>
      </c>
      <c r="AC185" s="771">
        <f t="shared" si="444"/>
        <v>0</v>
      </c>
      <c r="AD185" s="771">
        <f t="shared" si="444"/>
        <v>0</v>
      </c>
      <c r="AE185" s="771">
        <f t="shared" si="444"/>
        <v>0</v>
      </c>
      <c r="AF185" s="771">
        <f t="shared" si="444"/>
        <v>0</v>
      </c>
      <c r="AG185" s="771">
        <f t="shared" si="444"/>
        <v>0</v>
      </c>
      <c r="AH185" s="771">
        <f t="shared" si="444"/>
        <v>0</v>
      </c>
      <c r="AI185" s="771">
        <f t="shared" si="444"/>
        <v>0</v>
      </c>
      <c r="AJ185" s="771">
        <f t="shared" si="444"/>
        <v>0</v>
      </c>
      <c r="AK185" s="771">
        <f t="shared" si="444"/>
        <v>0</v>
      </c>
      <c r="AL185" s="771">
        <f t="shared" si="444"/>
        <v>0</v>
      </c>
      <c r="AM185" s="772">
        <f t="shared" ref="AM185" si="445">SUM(X185:AI185)</f>
        <v>1</v>
      </c>
    </row>
    <row r="186" spans="2:39" x14ac:dyDescent="0.3">
      <c r="B186" s="131" t="s">
        <v>119</v>
      </c>
      <c r="C186" s="524"/>
      <c r="D186" s="680">
        <f>SUM(D185:D185)</f>
        <v>0</v>
      </c>
      <c r="E186" s="680">
        <f t="shared" ref="E186:R186" si="446">SUM(E185:E185)</f>
        <v>0</v>
      </c>
      <c r="F186" s="680">
        <f t="shared" si="446"/>
        <v>0</v>
      </c>
      <c r="G186" s="680">
        <f t="shared" si="446"/>
        <v>0</v>
      </c>
      <c r="H186" s="680">
        <f t="shared" si="446"/>
        <v>0</v>
      </c>
      <c r="I186" s="680">
        <f t="shared" si="446"/>
        <v>0</v>
      </c>
      <c r="J186" s="680">
        <f t="shared" si="446"/>
        <v>0</v>
      </c>
      <c r="K186" s="680">
        <f t="shared" si="446"/>
        <v>0</v>
      </c>
      <c r="L186" s="680">
        <f t="shared" si="446"/>
        <v>0</v>
      </c>
      <c r="M186" s="680">
        <f t="shared" si="446"/>
        <v>0</v>
      </c>
      <c r="N186" s="680">
        <f t="shared" si="446"/>
        <v>0</v>
      </c>
      <c r="O186" s="680">
        <f t="shared" si="446"/>
        <v>0</v>
      </c>
      <c r="P186" s="680">
        <f t="shared" si="446"/>
        <v>0</v>
      </c>
      <c r="Q186" s="680">
        <f t="shared" si="446"/>
        <v>0</v>
      </c>
      <c r="R186" s="680">
        <f t="shared" si="446"/>
        <v>0</v>
      </c>
      <c r="S186" s="680">
        <f>SUM(S185:S185)</f>
        <v>0</v>
      </c>
      <c r="U186" s="775">
        <f>SUM(U185)</f>
        <v>0</v>
      </c>
      <c r="V186" s="758">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4.4" x14ac:dyDescent="0.3"/>
  <cols>
    <col min="2" max="2" width="28.5546875" bestFit="1" customWidth="1"/>
    <col min="3" max="3" width="15.6640625" bestFit="1" customWidth="1"/>
    <col min="4" max="4" width="17" bestFit="1" customWidth="1"/>
    <col min="5" max="5" width="16.33203125" bestFit="1" customWidth="1"/>
    <col min="6" max="6" width="14.5546875" bestFit="1" customWidth="1"/>
    <col min="7" max="7" width="17.33203125" customWidth="1"/>
    <col min="8" max="8" width="17.6640625" customWidth="1"/>
    <col min="9" max="9" width="13.33203125" bestFit="1" customWidth="1"/>
    <col min="10" max="10" width="9.33203125" bestFit="1" customWidth="1"/>
    <col min="11" max="11" width="13.6640625" bestFit="1" customWidth="1"/>
    <col min="12" max="13" width="12.6640625" bestFit="1" customWidth="1"/>
  </cols>
  <sheetData>
    <row r="2" spans="2:13" x14ac:dyDescent="0.3">
      <c r="B2" t="s">
        <v>237</v>
      </c>
      <c r="I2" s="23" t="s">
        <v>238</v>
      </c>
    </row>
    <row r="3" spans="2:13" x14ac:dyDescent="0.3">
      <c r="B3" s="867" t="s">
        <v>239</v>
      </c>
      <c r="C3" s="868" t="s">
        <v>240</v>
      </c>
      <c r="D3" s="868" t="s">
        <v>241</v>
      </c>
      <c r="E3" s="868" t="s">
        <v>242</v>
      </c>
      <c r="F3" s="868" t="s">
        <v>243</v>
      </c>
      <c r="G3" s="868" t="s">
        <v>244</v>
      </c>
      <c r="H3" s="868" t="s">
        <v>245</v>
      </c>
      <c r="I3" s="868" t="s">
        <v>246</v>
      </c>
      <c r="J3" s="868" t="s">
        <v>247</v>
      </c>
      <c r="K3" s="868" t="s">
        <v>248</v>
      </c>
      <c r="L3" s="868" t="s">
        <v>249</v>
      </c>
      <c r="M3" s="868" t="s">
        <v>250</v>
      </c>
    </row>
    <row r="4" spans="2:13" x14ac:dyDescent="0.3">
      <c r="B4" s="869" t="s">
        <v>251</v>
      </c>
      <c r="C4" s="869">
        <v>1.4</v>
      </c>
      <c r="D4" s="870">
        <f>$C4*K4</f>
        <v>0.11052631578947367</v>
      </c>
      <c r="E4" s="870">
        <f t="shared" ref="E4:F55" si="0">$C4*L4</f>
        <v>0.79824561403508765</v>
      </c>
      <c r="F4" s="870">
        <f t="shared" si="0"/>
        <v>0.49122807017543851</v>
      </c>
      <c r="G4" s="869">
        <v>1.8</v>
      </c>
      <c r="H4" s="871">
        <v>13</v>
      </c>
      <c r="I4" s="872">
        <v>8</v>
      </c>
      <c r="J4" s="869">
        <f t="shared" ref="J4:J48" si="1">SUM(G4:I4)</f>
        <v>22.8</v>
      </c>
      <c r="K4" s="873">
        <f>G4/$J4</f>
        <v>7.8947368421052627E-2</v>
      </c>
      <c r="L4" s="873">
        <f t="shared" ref="L4:M48" si="2">H4/$J4</f>
        <v>0.57017543859649122</v>
      </c>
      <c r="M4" s="873">
        <f t="shared" si="2"/>
        <v>0.35087719298245612</v>
      </c>
    </row>
    <row r="5" spans="2:13" x14ac:dyDescent="0.3">
      <c r="B5" s="869" t="s">
        <v>252</v>
      </c>
      <c r="C5" s="869">
        <v>1.4</v>
      </c>
      <c r="D5" s="870">
        <f t="shared" ref="D5:D52" si="3">$C5*K5</f>
        <v>5.2173913043478251E-2</v>
      </c>
      <c r="E5" s="870">
        <f t="shared" si="0"/>
        <v>1.0434782608695652</v>
      </c>
      <c r="F5" s="870">
        <f t="shared" si="0"/>
        <v>0.30434782608695649</v>
      </c>
      <c r="G5" s="869">
        <v>1.2</v>
      </c>
      <c r="H5" s="871">
        <v>24</v>
      </c>
      <c r="I5" s="872">
        <v>7</v>
      </c>
      <c r="J5" s="869">
        <f t="shared" si="1"/>
        <v>32.200000000000003</v>
      </c>
      <c r="K5" s="873">
        <f t="shared" ref="K5:K48" si="4">G5/$J5</f>
        <v>3.7267080745341609E-2</v>
      </c>
      <c r="L5" s="873">
        <f t="shared" si="2"/>
        <v>0.74534161490683226</v>
      </c>
      <c r="M5" s="873">
        <f t="shared" si="2"/>
        <v>0.21739130434782608</v>
      </c>
    </row>
    <row r="6" spans="2:13" x14ac:dyDescent="0.3">
      <c r="B6" s="418" t="s">
        <v>253</v>
      </c>
      <c r="C6" s="874">
        <v>1.4</v>
      </c>
      <c r="D6" s="579">
        <f t="shared" si="3"/>
        <v>6.3444108761329304E-2</v>
      </c>
      <c r="E6" s="579">
        <f t="shared" si="0"/>
        <v>1.0996978851963746</v>
      </c>
      <c r="F6" s="579">
        <f t="shared" si="0"/>
        <v>0.23685800604229607</v>
      </c>
      <c r="G6" s="418">
        <v>1.5</v>
      </c>
      <c r="H6" s="875">
        <v>26</v>
      </c>
      <c r="I6" s="904">
        <f>5*1.12</f>
        <v>5.6000000000000005</v>
      </c>
      <c r="J6" s="418">
        <f t="shared" si="1"/>
        <v>33.1</v>
      </c>
      <c r="K6" s="876">
        <f t="shared" si="4"/>
        <v>4.5317220543806644E-2</v>
      </c>
      <c r="L6" s="876">
        <f t="shared" si="2"/>
        <v>0.78549848942598188</v>
      </c>
      <c r="M6" s="876">
        <f t="shared" si="2"/>
        <v>0.16918429003021149</v>
      </c>
    </row>
    <row r="7" spans="2:13" x14ac:dyDescent="0.3">
      <c r="B7" s="877" t="s">
        <v>254</v>
      </c>
      <c r="C7" s="878">
        <v>0</v>
      </c>
      <c r="D7" s="879">
        <f t="shared" si="3"/>
        <v>0</v>
      </c>
      <c r="E7" s="879">
        <f t="shared" si="0"/>
        <v>0</v>
      </c>
      <c r="F7" s="879">
        <f t="shared" si="0"/>
        <v>0</v>
      </c>
      <c r="G7" s="878">
        <v>0</v>
      </c>
      <c r="H7" s="878">
        <v>0</v>
      </c>
      <c r="I7" s="878">
        <v>0</v>
      </c>
      <c r="J7" s="880">
        <v>0</v>
      </c>
      <c r="K7" s="881">
        <v>0</v>
      </c>
      <c r="L7" s="881">
        <v>0</v>
      </c>
      <c r="M7" s="881">
        <v>0</v>
      </c>
    </row>
    <row r="8" spans="2:13" x14ac:dyDescent="0.3">
      <c r="B8" s="877" t="s">
        <v>255</v>
      </c>
      <c r="C8" s="882">
        <f t="shared" ref="C8:C13" si="5">C$6*D79/D$85</f>
        <v>1.4777777777777776</v>
      </c>
      <c r="D8" s="883">
        <f t="shared" si="3"/>
        <v>7.4368582342091136E-2</v>
      </c>
      <c r="E8" s="884">
        <f t="shared" si="0"/>
        <v>1.1383866110893255</v>
      </c>
      <c r="F8" s="884">
        <f t="shared" si="0"/>
        <v>0.26502258434636111</v>
      </c>
      <c r="G8" s="882">
        <f t="shared" ref="G8:I13" si="6">G$6*E79/E$85</f>
        <v>1.1785714285714288</v>
      </c>
      <c r="H8" s="882">
        <f t="shared" si="6"/>
        <v>18.040816326530614</v>
      </c>
      <c r="I8" s="882">
        <f t="shared" si="6"/>
        <v>4.2</v>
      </c>
      <c r="J8" s="885">
        <f>SUM(G8:I8)</f>
        <v>23.41938775510204</v>
      </c>
      <c r="K8" s="881">
        <f t="shared" ref="K8:M13" si="7">G8/$J8</f>
        <v>5.0324604592392498E-2</v>
      </c>
      <c r="L8" s="881">
        <f t="shared" si="7"/>
        <v>0.77033680449653619</v>
      </c>
      <c r="M8" s="881">
        <f t="shared" si="7"/>
        <v>0.17933859091107143</v>
      </c>
    </row>
    <row r="9" spans="2:13" x14ac:dyDescent="0.3">
      <c r="B9" s="877" t="s">
        <v>256</v>
      </c>
      <c r="C9" s="882">
        <f t="shared" si="5"/>
        <v>1.4051851851851849</v>
      </c>
      <c r="D9" s="883">
        <f t="shared" si="3"/>
        <v>6.4038387345679001E-2</v>
      </c>
      <c r="E9" s="884">
        <f t="shared" si="0"/>
        <v>0.7135706018518515</v>
      </c>
      <c r="F9" s="884">
        <f t="shared" si="0"/>
        <v>0.62757619598765413</v>
      </c>
      <c r="G9" s="882">
        <f t="shared" si="6"/>
        <v>1.285714285714286</v>
      </c>
      <c r="H9" s="882">
        <f t="shared" si="6"/>
        <v>14.326530612244898</v>
      </c>
      <c r="I9" s="882">
        <f>I$6*G80/G$85</f>
        <v>12.600000000000001</v>
      </c>
      <c r="J9" s="885">
        <f t="shared" ref="J9:J13" si="8">SUM(G9:I9)</f>
        <v>28.212244897959188</v>
      </c>
      <c r="K9" s="881">
        <f t="shared" si="7"/>
        <v>4.5572916666666671E-2</v>
      </c>
      <c r="L9" s="881">
        <f t="shared" si="7"/>
        <v>0.50781249999999989</v>
      </c>
      <c r="M9" s="881">
        <f t="shared" si="7"/>
        <v>0.44661458333333331</v>
      </c>
    </row>
    <row r="10" spans="2:13" x14ac:dyDescent="0.3">
      <c r="B10" s="877" t="s">
        <v>257</v>
      </c>
      <c r="C10" s="882">
        <f t="shared" si="5"/>
        <v>1.5685185185185182</v>
      </c>
      <c r="D10" s="883">
        <f t="shared" si="3"/>
        <v>6.2110940911905624E-2</v>
      </c>
      <c r="E10" s="884">
        <f t="shared" si="0"/>
        <v>1.275958094782851</v>
      </c>
      <c r="F10" s="884">
        <f t="shared" si="0"/>
        <v>0.23044948282376171</v>
      </c>
      <c r="G10" s="882">
        <f t="shared" si="6"/>
        <v>1.4464285714285718</v>
      </c>
      <c r="H10" s="882">
        <f t="shared" si="6"/>
        <v>29.714285714285715</v>
      </c>
      <c r="I10" s="882">
        <f t="shared" si="6"/>
        <v>5.3666666666666671</v>
      </c>
      <c r="J10" s="885">
        <f t="shared" si="8"/>
        <v>36.527380952380952</v>
      </c>
      <c r="K10" s="881">
        <f t="shared" si="7"/>
        <v>3.9598474725417998E-2</v>
      </c>
      <c r="L10" s="881">
        <f t="shared" si="7"/>
        <v>0.81347977707525343</v>
      </c>
      <c r="M10" s="881">
        <f t="shared" si="7"/>
        <v>0.14692174819932863</v>
      </c>
    </row>
    <row r="11" spans="2:13" x14ac:dyDescent="0.3">
      <c r="B11" s="877" t="s">
        <v>258</v>
      </c>
      <c r="C11" s="882">
        <f t="shared" si="5"/>
        <v>1.4959259259259257</v>
      </c>
      <c r="D11" s="883">
        <f>$C11*K11</f>
        <v>6.6523350885214633E-2</v>
      </c>
      <c r="E11" s="884">
        <f t="shared" si="0"/>
        <v>1.2391215209663857</v>
      </c>
      <c r="F11" s="884">
        <f t="shared" si="0"/>
        <v>0.19028105407432536</v>
      </c>
      <c r="G11" s="882">
        <f t="shared" si="6"/>
        <v>1.7946428571428574</v>
      </c>
      <c r="H11" s="882">
        <f t="shared" si="6"/>
        <v>33.428571428571431</v>
      </c>
      <c r="I11" s="882">
        <f t="shared" si="6"/>
        <v>5.1333333333333337</v>
      </c>
      <c r="J11" s="885">
        <f t="shared" si="8"/>
        <v>40.356547619047618</v>
      </c>
      <c r="K11" s="881">
        <f t="shared" si="7"/>
        <v>4.446968244369387E-2</v>
      </c>
      <c r="L11" s="881">
        <f t="shared" si="7"/>
        <v>0.82833080133925285</v>
      </c>
      <c r="M11" s="881">
        <f t="shared" si="7"/>
        <v>0.12719951621705336</v>
      </c>
    </row>
    <row r="12" spans="2:13" x14ac:dyDescent="0.3">
      <c r="B12" s="877" t="s">
        <v>259</v>
      </c>
      <c r="C12" s="882">
        <f t="shared" si="5"/>
        <v>0.94370370370370371</v>
      </c>
      <c r="D12" s="883">
        <f t="shared" si="3"/>
        <v>5.1801974492842524E-2</v>
      </c>
      <c r="E12" s="884">
        <f t="shared" si="0"/>
        <v>0.81067623320608406</v>
      </c>
      <c r="F12" s="884">
        <f t="shared" si="0"/>
        <v>8.1225496004777076E-2</v>
      </c>
      <c r="G12" s="882">
        <f t="shared" si="6"/>
        <v>1.3392857142857144</v>
      </c>
      <c r="H12" s="882">
        <f t="shared" si="6"/>
        <v>20.959183673469386</v>
      </c>
      <c r="I12" s="882">
        <f t="shared" si="6"/>
        <v>2.1</v>
      </c>
      <c r="J12" s="885">
        <f t="shared" si="8"/>
        <v>24.398469387755103</v>
      </c>
      <c r="K12" s="881">
        <f t="shared" si="7"/>
        <v>5.4892202170594512E-2</v>
      </c>
      <c r="L12" s="881">
        <f t="shared" si="7"/>
        <v>0.85903682482591326</v>
      </c>
      <c r="M12" s="881">
        <f t="shared" si="7"/>
        <v>8.6070973003492188E-2</v>
      </c>
    </row>
    <row r="13" spans="2:13" x14ac:dyDescent="0.3">
      <c r="B13" s="877" t="s">
        <v>260</v>
      </c>
      <c r="C13" s="882">
        <f t="shared" si="5"/>
        <v>0.82962962962962949</v>
      </c>
      <c r="D13" s="883">
        <f t="shared" si="3"/>
        <v>4.2241834502526956E-2</v>
      </c>
      <c r="E13" s="884">
        <f t="shared" si="0"/>
        <v>0.73219179804380063</v>
      </c>
      <c r="F13" s="884">
        <f t="shared" si="0"/>
        <v>5.5195997083301897E-2</v>
      </c>
      <c r="G13" s="882">
        <f t="shared" si="6"/>
        <v>1.0714285714285714</v>
      </c>
      <c r="H13" s="882">
        <f t="shared" si="6"/>
        <v>18.571428571428573</v>
      </c>
      <c r="I13" s="882">
        <f t="shared" si="6"/>
        <v>1.4000000000000001</v>
      </c>
      <c r="J13" s="885">
        <f t="shared" si="8"/>
        <v>21.042857142857144</v>
      </c>
      <c r="K13" s="881">
        <f t="shared" si="7"/>
        <v>5.091649694501018E-2</v>
      </c>
      <c r="L13" s="881">
        <f t="shared" si="7"/>
        <v>0.88255261371350979</v>
      </c>
      <c r="M13" s="881">
        <f t="shared" si="7"/>
        <v>6.6530889341479979E-2</v>
      </c>
    </row>
    <row r="14" spans="2:13" x14ac:dyDescent="0.3">
      <c r="B14" s="869" t="s">
        <v>261</v>
      </c>
      <c r="C14" s="869">
        <v>1.1000000000000001</v>
      </c>
      <c r="D14" s="870">
        <f t="shared" si="3"/>
        <v>3.3518005540166207E-2</v>
      </c>
      <c r="E14" s="870">
        <f t="shared" si="0"/>
        <v>0.85318559556786699</v>
      </c>
      <c r="F14" s="870">
        <f t="shared" si="0"/>
        <v>0.21329639889196675</v>
      </c>
      <c r="G14" s="869">
        <v>1.1000000000000001</v>
      </c>
      <c r="H14" s="871">
        <v>28</v>
      </c>
      <c r="I14" s="872">
        <v>7</v>
      </c>
      <c r="J14" s="869">
        <f t="shared" si="1"/>
        <v>36.1</v>
      </c>
      <c r="K14" s="873">
        <f t="shared" si="4"/>
        <v>3.0470914127423823E-2</v>
      </c>
      <c r="L14" s="873">
        <f t="shared" si="2"/>
        <v>0.77562326869806086</v>
      </c>
      <c r="M14" s="873">
        <f t="shared" si="2"/>
        <v>0.19390581717451522</v>
      </c>
    </row>
    <row r="15" spans="2:13" x14ac:dyDescent="0.3">
      <c r="B15" s="418" t="s">
        <v>262</v>
      </c>
      <c r="C15" s="874">
        <v>1.3</v>
      </c>
      <c r="D15" s="579">
        <f t="shared" si="3"/>
        <v>3.674911660777385E-2</v>
      </c>
      <c r="E15" s="579">
        <f t="shared" si="0"/>
        <v>0.91872791519434616</v>
      </c>
      <c r="F15" s="579">
        <f t="shared" si="0"/>
        <v>0.34452296819787986</v>
      </c>
      <c r="G15" s="418">
        <v>1.2</v>
      </c>
      <c r="H15" s="875">
        <v>30</v>
      </c>
      <c r="I15" s="904">
        <f>5*2.25</f>
        <v>11.25</v>
      </c>
      <c r="J15" s="422">
        <f t="shared" si="1"/>
        <v>42.45</v>
      </c>
      <c r="K15" s="876">
        <f t="shared" si="4"/>
        <v>2.8268551236749113E-2</v>
      </c>
      <c r="L15" s="876">
        <f t="shared" si="2"/>
        <v>0.70671378091872783</v>
      </c>
      <c r="M15" s="876">
        <f t="shared" si="2"/>
        <v>0.26501766784452296</v>
      </c>
    </row>
    <row r="16" spans="2:13" x14ac:dyDescent="0.3">
      <c r="B16" s="877" t="s">
        <v>254</v>
      </c>
      <c r="C16" s="878">
        <v>0</v>
      </c>
      <c r="D16" s="879">
        <f t="shared" si="3"/>
        <v>0</v>
      </c>
      <c r="E16" s="879">
        <f t="shared" si="0"/>
        <v>0</v>
      </c>
      <c r="F16" s="879">
        <f t="shared" si="0"/>
        <v>0</v>
      </c>
      <c r="G16" s="878">
        <v>0</v>
      </c>
      <c r="H16" s="878">
        <v>0</v>
      </c>
      <c r="I16" s="878">
        <v>0</v>
      </c>
      <c r="J16" s="880">
        <v>0</v>
      </c>
      <c r="K16" s="881">
        <v>0</v>
      </c>
      <c r="L16" s="881">
        <v>0</v>
      </c>
      <c r="M16" s="881">
        <v>0</v>
      </c>
    </row>
    <row r="17" spans="2:13" x14ac:dyDescent="0.3">
      <c r="B17" s="877" t="s">
        <v>255</v>
      </c>
      <c r="C17" s="882">
        <f>C$15*D79/D$85</f>
        <v>1.3722222222222222</v>
      </c>
      <c r="D17" s="883">
        <f t="shared" si="3"/>
        <v>4.2846079980175332E-2</v>
      </c>
      <c r="E17" s="884">
        <f t="shared" si="0"/>
        <v>0.9459524151467279</v>
      </c>
      <c r="F17" s="884">
        <f t="shared" si="0"/>
        <v>0.38342372709531897</v>
      </c>
      <c r="G17" s="882">
        <f>G$15*E79/E$85</f>
        <v>0.94285714285714295</v>
      </c>
      <c r="H17" s="882">
        <f>H$15*F79/F$85</f>
        <v>20.816326530612244</v>
      </c>
      <c r="I17" s="882">
        <f t="shared" ref="I17" si="9">I$15*G79/G$85</f>
        <v>8.4375</v>
      </c>
      <c r="J17" s="885">
        <f>SUM(G17:I17)</f>
        <v>30.196683673469387</v>
      </c>
      <c r="K17" s="881">
        <f>G17/$J17</f>
        <v>3.1223863953164208E-2</v>
      </c>
      <c r="L17" s="881">
        <f t="shared" ref="L17:M22" si="10">H17/$J17</f>
        <v>0.68935803532959927</v>
      </c>
      <c r="M17" s="881">
        <f t="shared" si="10"/>
        <v>0.2794181007172365</v>
      </c>
    </row>
    <row r="18" spans="2:13" x14ac:dyDescent="0.3">
      <c r="B18" s="877" t="s">
        <v>256</v>
      </c>
      <c r="C18" s="882">
        <f t="shared" ref="C18:C22" si="11">C$15*D80/D$85</f>
        <v>1.3048148148148149</v>
      </c>
      <c r="D18" s="883">
        <f t="shared" si="3"/>
        <v>3.1304934238581751E-2</v>
      </c>
      <c r="E18" s="884">
        <f t="shared" si="0"/>
        <v>0.50311501454863528</v>
      </c>
      <c r="F18" s="884">
        <f t="shared" si="0"/>
        <v>0.77039486602759777</v>
      </c>
      <c r="G18" s="882">
        <f t="shared" ref="G18:I22" si="12">G$15*E80/E$85</f>
        <v>1.0285714285714287</v>
      </c>
      <c r="H18" s="882">
        <f t="shared" si="12"/>
        <v>16.530612244897959</v>
      </c>
      <c r="I18" s="882">
        <f t="shared" si="12"/>
        <v>25.3125</v>
      </c>
      <c r="J18" s="885">
        <f t="shared" ref="J18:J22" si="13">SUM(G18:I18)</f>
        <v>42.871683673469391</v>
      </c>
      <c r="K18" s="881">
        <f t="shared" ref="K18:K22" si="14">G18/$J18</f>
        <v>2.39918599046752E-2</v>
      </c>
      <c r="L18" s="881">
        <f t="shared" si="10"/>
        <v>0.38558346275370853</v>
      </c>
      <c r="M18" s="881">
        <f t="shared" si="10"/>
        <v>0.59042467734161619</v>
      </c>
    </row>
    <row r="19" spans="2:13" x14ac:dyDescent="0.3">
      <c r="B19" s="877" t="s">
        <v>257</v>
      </c>
      <c r="C19" s="882">
        <f t="shared" si="11"/>
        <v>1.4564814814814815</v>
      </c>
      <c r="D19" s="883">
        <f t="shared" si="3"/>
        <v>3.6460566726545754E-2</v>
      </c>
      <c r="E19" s="884">
        <f t="shared" si="0"/>
        <v>1.080313088193948</v>
      </c>
      <c r="F19" s="884">
        <f t="shared" si="0"/>
        <v>0.33970782656098758</v>
      </c>
      <c r="G19" s="882">
        <f t="shared" si="12"/>
        <v>1.1571428571428573</v>
      </c>
      <c r="H19" s="882">
        <f t="shared" si="12"/>
        <v>34.285714285714285</v>
      </c>
      <c r="I19" s="882">
        <f t="shared" si="12"/>
        <v>10.78125</v>
      </c>
      <c r="J19" s="885">
        <f t="shared" si="13"/>
        <v>46.224107142857143</v>
      </c>
      <c r="K19" s="881">
        <f t="shared" si="14"/>
        <v>2.5033319812250102E-2</v>
      </c>
      <c r="L19" s="881">
        <f t="shared" si="10"/>
        <v>0.74172799443703996</v>
      </c>
      <c r="M19" s="881">
        <f t="shared" si="10"/>
        <v>0.23323868575070986</v>
      </c>
    </row>
    <row r="20" spans="2:13" x14ac:dyDescent="0.3">
      <c r="B20" s="877" t="s">
        <v>258</v>
      </c>
      <c r="C20" s="882">
        <f t="shared" si="11"/>
        <v>1.3890740740740739</v>
      </c>
      <c r="D20" s="883">
        <f>$C20*K20</f>
        <v>3.9632902358336192E-2</v>
      </c>
      <c r="E20" s="884">
        <f t="shared" si="0"/>
        <v>1.064764540970226</v>
      </c>
      <c r="F20" s="884">
        <f t="shared" si="0"/>
        <v>0.28467663074551181</v>
      </c>
      <c r="G20" s="882">
        <f t="shared" si="12"/>
        <v>1.4357142857142857</v>
      </c>
      <c r="H20" s="882">
        <f t="shared" si="12"/>
        <v>38.571428571428569</v>
      </c>
      <c r="I20" s="882">
        <f t="shared" si="12"/>
        <v>10.3125</v>
      </c>
      <c r="J20" s="885">
        <f t="shared" si="13"/>
        <v>50.319642857142853</v>
      </c>
      <c r="K20" s="881">
        <f t="shared" si="14"/>
        <v>2.853188544660918E-2</v>
      </c>
      <c r="L20" s="881">
        <f t="shared" si="10"/>
        <v>0.76652826572979882</v>
      </c>
      <c r="M20" s="881">
        <f t="shared" si="10"/>
        <v>0.20493984882359206</v>
      </c>
    </row>
    <row r="21" spans="2:13" x14ac:dyDescent="0.3">
      <c r="B21" s="877" t="s">
        <v>259</v>
      </c>
      <c r="C21" s="882">
        <f t="shared" si="11"/>
        <v>0.87629629629629624</v>
      </c>
      <c r="D21" s="883">
        <f t="shared" ref="D21:D22" si="15">$C21*K21</f>
        <v>3.1854977340209402E-2</v>
      </c>
      <c r="E21" s="884">
        <f t="shared" si="0"/>
        <v>0.71901234567901229</v>
      </c>
      <c r="F21" s="884">
        <f t="shared" si="0"/>
        <v>0.12542897327707453</v>
      </c>
      <c r="G21" s="882">
        <f t="shared" si="12"/>
        <v>1.0714285714285714</v>
      </c>
      <c r="H21" s="882">
        <f t="shared" si="12"/>
        <v>24.183673469387756</v>
      </c>
      <c r="I21" s="882">
        <f t="shared" si="12"/>
        <v>4.21875</v>
      </c>
      <c r="J21" s="885">
        <f t="shared" si="13"/>
        <v>29.473852040816329</v>
      </c>
      <c r="K21" s="881">
        <f t="shared" si="14"/>
        <v>3.6351833820188244E-2</v>
      </c>
      <c r="L21" s="881">
        <f t="shared" si="10"/>
        <v>0.82051282051282048</v>
      </c>
      <c r="M21" s="881">
        <f t="shared" si="10"/>
        <v>0.14313534566699124</v>
      </c>
    </row>
    <row r="22" spans="2:13" x14ac:dyDescent="0.3">
      <c r="B22" s="877" t="s">
        <v>260</v>
      </c>
      <c r="C22" s="882">
        <f t="shared" si="11"/>
        <v>0.77037037037037037</v>
      </c>
      <c r="D22" s="883">
        <f t="shared" si="15"/>
        <v>2.6309340290130045E-2</v>
      </c>
      <c r="E22" s="884">
        <f t="shared" si="0"/>
        <v>0.65773350725325108</v>
      </c>
      <c r="F22" s="884">
        <f t="shared" si="0"/>
        <v>8.6327522826989203E-2</v>
      </c>
      <c r="G22" s="882">
        <f t="shared" si="12"/>
        <v>0.85714285714285721</v>
      </c>
      <c r="H22" s="882">
        <f t="shared" si="12"/>
        <v>21.428571428571427</v>
      </c>
      <c r="I22" s="882">
        <f t="shared" si="12"/>
        <v>2.8125</v>
      </c>
      <c r="J22" s="885">
        <f t="shared" si="13"/>
        <v>25.098214285714285</v>
      </c>
      <c r="K22" s="881">
        <f t="shared" si="14"/>
        <v>3.4151547491995733E-2</v>
      </c>
      <c r="L22" s="881">
        <f t="shared" si="10"/>
        <v>0.85378868729989321</v>
      </c>
      <c r="M22" s="881">
        <f t="shared" si="10"/>
        <v>0.11205976520811099</v>
      </c>
    </row>
    <row r="23" spans="2:13" x14ac:dyDescent="0.3">
      <c r="B23" s="418" t="s">
        <v>263</v>
      </c>
      <c r="C23" s="874">
        <v>1.4</v>
      </c>
      <c r="D23" s="579">
        <f t="shared" si="3"/>
        <v>5.1970302684180465E-2</v>
      </c>
      <c r="E23" s="579">
        <f t="shared" si="0"/>
        <v>1.0793832095945173</v>
      </c>
      <c r="F23" s="579">
        <f t="shared" si="0"/>
        <v>0.26864648772130212</v>
      </c>
      <c r="G23" s="418">
        <v>1.3</v>
      </c>
      <c r="H23" s="875">
        <v>27</v>
      </c>
      <c r="I23" s="904">
        <f>6*1.12</f>
        <v>6.7200000000000006</v>
      </c>
      <c r="J23" s="422">
        <f t="shared" si="1"/>
        <v>35.020000000000003</v>
      </c>
      <c r="K23" s="876">
        <f t="shared" si="4"/>
        <v>3.7121644774414618E-2</v>
      </c>
      <c r="L23" s="876">
        <f t="shared" si="2"/>
        <v>0.77098800685322666</v>
      </c>
      <c r="M23" s="876">
        <f t="shared" si="2"/>
        <v>0.19189034837235866</v>
      </c>
    </row>
    <row r="24" spans="2:13" x14ac:dyDescent="0.3">
      <c r="B24" s="877" t="s">
        <v>254</v>
      </c>
      <c r="C24" s="878">
        <v>0</v>
      </c>
      <c r="D24" s="879">
        <f t="shared" si="3"/>
        <v>0</v>
      </c>
      <c r="E24" s="879">
        <f t="shared" si="0"/>
        <v>0</v>
      </c>
      <c r="F24" s="879">
        <f t="shared" si="0"/>
        <v>0</v>
      </c>
      <c r="G24" s="878">
        <v>0</v>
      </c>
      <c r="H24" s="878">
        <v>0</v>
      </c>
      <c r="I24" s="878">
        <v>0</v>
      </c>
      <c r="J24" s="880">
        <v>0</v>
      </c>
      <c r="K24" s="881">
        <v>0</v>
      </c>
      <c r="L24" s="881">
        <v>0</v>
      </c>
      <c r="M24" s="881">
        <v>0</v>
      </c>
    </row>
    <row r="25" spans="2:13" x14ac:dyDescent="0.3">
      <c r="B25" s="877" t="s">
        <v>255</v>
      </c>
      <c r="C25" s="882">
        <f>C$23*D79/D$85</f>
        <v>1.4777777777777776</v>
      </c>
      <c r="D25" s="883">
        <f t="shared" si="3"/>
        <v>6.0874213198062389E-2</v>
      </c>
      <c r="E25" s="884">
        <f t="shared" si="0"/>
        <v>1.1165340202961291</v>
      </c>
      <c r="F25" s="884">
        <f t="shared" si="0"/>
        <v>0.30036954428358614</v>
      </c>
      <c r="G25" s="882">
        <f>G$23*E79/E$85</f>
        <v>1.0214285714285716</v>
      </c>
      <c r="H25" s="882">
        <f t="shared" ref="H25:I25" si="16">H$23*F79/F$85</f>
        <v>18.73469387755102</v>
      </c>
      <c r="I25" s="882">
        <f t="shared" si="16"/>
        <v>5.04</v>
      </c>
      <c r="J25" s="885">
        <f>SUM(G25:I25)</f>
        <v>24.796122448979592</v>
      </c>
      <c r="K25" s="881">
        <f t="shared" ref="K25:M30" si="17">G25/$J25</f>
        <v>4.1193076600192599E-2</v>
      </c>
      <c r="L25" s="881">
        <f t="shared" si="17"/>
        <v>0.7555493370424935</v>
      </c>
      <c r="M25" s="881">
        <f t="shared" si="17"/>
        <v>0.20325758635731395</v>
      </c>
    </row>
    <row r="26" spans="2:13" x14ac:dyDescent="0.3">
      <c r="B26" s="877" t="s">
        <v>256</v>
      </c>
      <c r="C26" s="882">
        <f t="shared" ref="C26:C30" si="18">C$23*D80/D$85</f>
        <v>1.4051851851851849</v>
      </c>
      <c r="D26" s="883">
        <f t="shared" si="3"/>
        <v>5.0327397611717506E-2</v>
      </c>
      <c r="E26" s="884">
        <f t="shared" si="0"/>
        <v>0.67195371536523907</v>
      </c>
      <c r="F26" s="884">
        <f t="shared" si="0"/>
        <v>0.68290407220822824</v>
      </c>
      <c r="G26" s="882">
        <f t="shared" ref="G26:I30" si="19">G$23*E80/E$85</f>
        <v>1.1142857142857145</v>
      </c>
      <c r="H26" s="882">
        <f t="shared" si="19"/>
        <v>14.877551020408163</v>
      </c>
      <c r="I26" s="882">
        <f t="shared" si="19"/>
        <v>15.120000000000003</v>
      </c>
      <c r="J26" s="885">
        <f t="shared" ref="J26:J30" si="20">SUM(G26:I26)</f>
        <v>31.111836734693881</v>
      </c>
      <c r="K26" s="881">
        <f t="shared" si="17"/>
        <v>3.5815491183879097E-2</v>
      </c>
      <c r="L26" s="881">
        <f t="shared" si="17"/>
        <v>0.47819584382871527</v>
      </c>
      <c r="M26" s="881">
        <f t="shared" si="17"/>
        <v>0.48598866498740556</v>
      </c>
    </row>
    <row r="27" spans="2:13" x14ac:dyDescent="0.3">
      <c r="B27" s="877" t="s">
        <v>257</v>
      </c>
      <c r="C27" s="882">
        <f t="shared" si="18"/>
        <v>1.5685185185185182</v>
      </c>
      <c r="D27" s="883">
        <f t="shared" si="3"/>
        <v>5.1004243019399299E-2</v>
      </c>
      <c r="E27" s="884">
        <f t="shared" si="0"/>
        <v>1.2554890589390595</v>
      </c>
      <c r="F27" s="884">
        <f t="shared" si="0"/>
        <v>0.26202521656005934</v>
      </c>
      <c r="G27" s="882">
        <f t="shared" si="19"/>
        <v>1.2535714285714288</v>
      </c>
      <c r="H27" s="882">
        <f t="shared" si="19"/>
        <v>30.857142857142858</v>
      </c>
      <c r="I27" s="882">
        <f t="shared" si="19"/>
        <v>6.44</v>
      </c>
      <c r="J27" s="885">
        <f t="shared" si="20"/>
        <v>38.550714285714285</v>
      </c>
      <c r="K27" s="881">
        <f t="shared" si="17"/>
        <v>3.2517463082025536E-2</v>
      </c>
      <c r="L27" s="881">
        <f t="shared" si="17"/>
        <v>0.80042986048062847</v>
      </c>
      <c r="M27" s="881">
        <f t="shared" si="17"/>
        <v>0.167052676437346</v>
      </c>
    </row>
    <row r="28" spans="2:13" x14ac:dyDescent="0.3">
      <c r="B28" s="877" t="s">
        <v>258</v>
      </c>
      <c r="C28" s="882">
        <f t="shared" si="18"/>
        <v>1.4959259259259257</v>
      </c>
      <c r="D28" s="883">
        <f>$C28*K28</f>
        <v>5.4836640551226883E-2</v>
      </c>
      <c r="E28" s="884">
        <f t="shared" si="0"/>
        <v>1.2239084871594152</v>
      </c>
      <c r="F28" s="884">
        <f t="shared" si="0"/>
        <v>0.21718079821528388</v>
      </c>
      <c r="G28" s="882">
        <f t="shared" si="19"/>
        <v>1.5553571428571431</v>
      </c>
      <c r="H28" s="882">
        <f t="shared" si="19"/>
        <v>34.714285714285715</v>
      </c>
      <c r="I28" s="882">
        <f t="shared" si="19"/>
        <v>6.16</v>
      </c>
      <c r="J28" s="885">
        <f t="shared" si="20"/>
        <v>42.429642857142852</v>
      </c>
      <c r="K28" s="881">
        <f t="shared" si="17"/>
        <v>3.6657323468262594E-2</v>
      </c>
      <c r="L28" s="881">
        <f t="shared" si="17"/>
        <v>0.81816115754652674</v>
      </c>
      <c r="M28" s="881">
        <f t="shared" si="17"/>
        <v>0.14518151898521084</v>
      </c>
    </row>
    <row r="29" spans="2:13" x14ac:dyDescent="0.3">
      <c r="B29" s="877" t="s">
        <v>259</v>
      </c>
      <c r="C29" s="882">
        <f t="shared" si="18"/>
        <v>0.94370370370370371</v>
      </c>
      <c r="D29" s="883">
        <f t="shared" ref="D29:D30" si="21">$C29*K29</f>
        <v>4.3046824328529104E-2</v>
      </c>
      <c r="E29" s="884">
        <f t="shared" si="0"/>
        <v>0.80719891246375886</v>
      </c>
      <c r="F29" s="884">
        <f t="shared" si="0"/>
        <v>9.3457966911415793E-2</v>
      </c>
      <c r="G29" s="882">
        <f t="shared" si="19"/>
        <v>1.1607142857142858</v>
      </c>
      <c r="H29" s="882">
        <f t="shared" si="19"/>
        <v>21.76530612244898</v>
      </c>
      <c r="I29" s="882">
        <f t="shared" si="19"/>
        <v>2.52</v>
      </c>
      <c r="J29" s="885">
        <f t="shared" si="20"/>
        <v>25.446020408163264</v>
      </c>
      <c r="K29" s="881">
        <f t="shared" si="17"/>
        <v>4.5614766753150932E-2</v>
      </c>
      <c r="L29" s="881">
        <f t="shared" si="17"/>
        <v>0.85535206579754663</v>
      </c>
      <c r="M29" s="881">
        <f t="shared" si="17"/>
        <v>9.9033167449302448E-2</v>
      </c>
    </row>
    <row r="30" spans="2:13" x14ac:dyDescent="0.3">
      <c r="B30" s="877" t="s">
        <v>260</v>
      </c>
      <c r="C30" s="882">
        <f t="shared" si="18"/>
        <v>0.82962962962962949</v>
      </c>
      <c r="D30" s="883">
        <f t="shared" si="21"/>
        <v>3.5185910169598024E-2</v>
      </c>
      <c r="E30" s="884">
        <f t="shared" si="0"/>
        <v>0.73078428813780494</v>
      </c>
      <c r="F30" s="884">
        <f t="shared" si="0"/>
        <v>6.3659431322226595E-2</v>
      </c>
      <c r="G30" s="882">
        <f t="shared" si="19"/>
        <v>0.92857142857142871</v>
      </c>
      <c r="H30" s="882">
        <f t="shared" si="19"/>
        <v>19.285714285714285</v>
      </c>
      <c r="I30" s="882">
        <f t="shared" si="19"/>
        <v>1.6800000000000004</v>
      </c>
      <c r="J30" s="885">
        <f t="shared" si="20"/>
        <v>21.894285714285711</v>
      </c>
      <c r="K30" s="881">
        <f t="shared" si="17"/>
        <v>4.2411588150854766E-2</v>
      </c>
      <c r="L30" s="881">
        <f t="shared" si="17"/>
        <v>0.88085606159467578</v>
      </c>
      <c r="M30" s="881">
        <f t="shared" si="17"/>
        <v>7.6732350254469561E-2</v>
      </c>
    </row>
    <row r="31" spans="2:13" x14ac:dyDescent="0.3">
      <c r="B31" s="418" t="s">
        <v>264</v>
      </c>
      <c r="C31" s="874">
        <v>1.3</v>
      </c>
      <c r="D31" s="579">
        <f t="shared" si="3"/>
        <v>4.2391304347826085E-2</v>
      </c>
      <c r="E31" s="579">
        <f t="shared" si="0"/>
        <v>1.0597826086956523</v>
      </c>
      <c r="F31" s="579">
        <f t="shared" si="0"/>
        <v>0.19782608695652179</v>
      </c>
      <c r="G31" s="418">
        <v>1.2</v>
      </c>
      <c r="H31" s="875">
        <v>30</v>
      </c>
      <c r="I31" s="904">
        <f>5*1.12</f>
        <v>5.6000000000000005</v>
      </c>
      <c r="J31" s="418">
        <f t="shared" si="1"/>
        <v>36.799999999999997</v>
      </c>
      <c r="K31" s="876">
        <f t="shared" si="4"/>
        <v>3.2608695652173912E-2</v>
      </c>
      <c r="L31" s="876">
        <f t="shared" si="2"/>
        <v>0.81521739130434789</v>
      </c>
      <c r="M31" s="876">
        <f t="shared" si="2"/>
        <v>0.1521739130434783</v>
      </c>
    </row>
    <row r="32" spans="2:13" x14ac:dyDescent="0.3">
      <c r="B32" s="877" t="s">
        <v>254</v>
      </c>
      <c r="C32" s="878">
        <v>0</v>
      </c>
      <c r="D32" s="879">
        <f t="shared" si="3"/>
        <v>0</v>
      </c>
      <c r="E32" s="879">
        <f t="shared" si="0"/>
        <v>0</v>
      </c>
      <c r="F32" s="879">
        <f t="shared" si="0"/>
        <v>0</v>
      </c>
      <c r="G32" s="878">
        <v>0</v>
      </c>
      <c r="H32" s="878">
        <v>0</v>
      </c>
      <c r="I32" s="878">
        <v>0</v>
      </c>
      <c r="J32" s="880">
        <v>0</v>
      </c>
      <c r="K32" s="881">
        <v>0</v>
      </c>
      <c r="L32" s="881">
        <v>0</v>
      </c>
      <c r="M32" s="881">
        <v>0</v>
      </c>
    </row>
    <row r="33" spans="2:13" x14ac:dyDescent="0.3">
      <c r="B33" s="877" t="s">
        <v>255</v>
      </c>
      <c r="C33" s="882">
        <f>C$31*D79/D$85</f>
        <v>1.3722222222222222</v>
      </c>
      <c r="D33" s="883">
        <f t="shared" si="3"/>
        <v>4.9840146750524117E-2</v>
      </c>
      <c r="E33" s="884">
        <f t="shared" si="0"/>
        <v>1.1003668763102725</v>
      </c>
      <c r="F33" s="884">
        <f t="shared" si="0"/>
        <v>0.22201519916142559</v>
      </c>
      <c r="G33" s="882">
        <f>G$31*E79/E$85</f>
        <v>0.94285714285714295</v>
      </c>
      <c r="H33" s="882">
        <f t="shared" ref="H33:I33" si="22">H$31*F79/F$85</f>
        <v>20.816326530612244</v>
      </c>
      <c r="I33" s="882">
        <f t="shared" si="22"/>
        <v>4.2</v>
      </c>
      <c r="J33" s="885">
        <f>SUM(G33:I33)</f>
        <v>25.959183673469386</v>
      </c>
      <c r="K33" s="881">
        <f t="shared" ref="K33:M38" si="23">G33/$J33</f>
        <v>3.6320754716981138E-2</v>
      </c>
      <c r="L33" s="881">
        <f t="shared" si="23"/>
        <v>0.80188679245283023</v>
      </c>
      <c r="M33" s="881">
        <f t="shared" si="23"/>
        <v>0.1617924528301887</v>
      </c>
    </row>
    <row r="34" spans="2:13" x14ac:dyDescent="0.3">
      <c r="B34" s="877" t="s">
        <v>256</v>
      </c>
      <c r="C34" s="882">
        <f t="shared" ref="C34:C38" si="24">C$31*D80/D$85</f>
        <v>1.3048148148148149</v>
      </c>
      <c r="D34" s="883">
        <f t="shared" si="3"/>
        <v>4.4500383452880411E-2</v>
      </c>
      <c r="E34" s="884">
        <f t="shared" si="0"/>
        <v>0.7151847340641494</v>
      </c>
      <c r="F34" s="884">
        <f t="shared" si="0"/>
        <v>0.54512969729778504</v>
      </c>
      <c r="G34" s="882">
        <f t="shared" ref="G34:I38" si="25">G$31*E80/E$85</f>
        <v>1.0285714285714287</v>
      </c>
      <c r="H34" s="882">
        <f t="shared" si="25"/>
        <v>16.530612244897959</v>
      </c>
      <c r="I34" s="882">
        <f t="shared" si="25"/>
        <v>12.600000000000001</v>
      </c>
      <c r="J34" s="885">
        <f t="shared" ref="J34:J38" si="26">SUM(G34:I34)</f>
        <v>30.159183673469389</v>
      </c>
      <c r="K34" s="881">
        <f t="shared" si="23"/>
        <v>3.4104750304506701E-2</v>
      </c>
      <c r="L34" s="881">
        <f t="shared" si="23"/>
        <v>0.54811205846528621</v>
      </c>
      <c r="M34" s="881">
        <f t="shared" si="23"/>
        <v>0.41778319123020707</v>
      </c>
    </row>
    <row r="35" spans="2:13" x14ac:dyDescent="0.3">
      <c r="B35" s="877" t="s">
        <v>257</v>
      </c>
      <c r="C35" s="882">
        <f t="shared" si="24"/>
        <v>1.4564814814814815</v>
      </c>
      <c r="D35" s="883">
        <f t="shared" si="3"/>
        <v>4.1298133022170364E-2</v>
      </c>
      <c r="E35" s="884">
        <f t="shared" si="0"/>
        <v>1.2236483858420848</v>
      </c>
      <c r="F35" s="884">
        <f t="shared" si="0"/>
        <v>0.19153496261722633</v>
      </c>
      <c r="G35" s="882">
        <f t="shared" si="25"/>
        <v>1.1571428571428573</v>
      </c>
      <c r="H35" s="882">
        <f t="shared" si="25"/>
        <v>34.285714285714285</v>
      </c>
      <c r="I35" s="882">
        <f t="shared" si="25"/>
        <v>5.3666666666666671</v>
      </c>
      <c r="J35" s="885">
        <f t="shared" si="26"/>
        <v>40.80952380952381</v>
      </c>
      <c r="K35" s="881">
        <f t="shared" si="23"/>
        <v>2.8354725787631273E-2</v>
      </c>
      <c r="L35" s="881">
        <f t="shared" si="23"/>
        <v>0.84014002333722282</v>
      </c>
      <c r="M35" s="881">
        <f t="shared" si="23"/>
        <v>0.13150525087514586</v>
      </c>
    </row>
    <row r="36" spans="2:13" x14ac:dyDescent="0.3">
      <c r="B36" s="877" t="s">
        <v>258</v>
      </c>
      <c r="C36" s="882">
        <f t="shared" si="24"/>
        <v>1.3890740740740739</v>
      </c>
      <c r="D36" s="883">
        <f>$C36*K36</f>
        <v>4.4180160697645798E-2</v>
      </c>
      <c r="E36" s="884">
        <f t="shared" si="0"/>
        <v>1.1869296903845139</v>
      </c>
      <c r="F36" s="884">
        <f t="shared" si="0"/>
        <v>0.15796422299191434</v>
      </c>
      <c r="G36" s="882">
        <f t="shared" si="25"/>
        <v>1.4357142857142857</v>
      </c>
      <c r="H36" s="882">
        <f t="shared" si="25"/>
        <v>38.571428571428569</v>
      </c>
      <c r="I36" s="882">
        <f t="shared" si="25"/>
        <v>5.1333333333333337</v>
      </c>
      <c r="J36" s="885">
        <f t="shared" si="26"/>
        <v>45.140476190476186</v>
      </c>
      <c r="K36" s="881">
        <f t="shared" si="23"/>
        <v>3.1805474972308671E-2</v>
      </c>
      <c r="L36" s="881">
        <f t="shared" si="23"/>
        <v>0.85447544701724776</v>
      </c>
      <c r="M36" s="881">
        <f t="shared" si="23"/>
        <v>0.11371907801044361</v>
      </c>
    </row>
    <row r="37" spans="2:13" x14ac:dyDescent="0.3">
      <c r="B37" s="877" t="s">
        <v>259</v>
      </c>
      <c r="C37" s="882">
        <f t="shared" si="24"/>
        <v>0.87629629629629624</v>
      </c>
      <c r="D37" s="883">
        <f t="shared" ref="D37:D38" si="27">$C37*K37</f>
        <v>3.4322258695580081E-2</v>
      </c>
      <c r="E37" s="884">
        <f t="shared" si="0"/>
        <v>0.7747024105573791</v>
      </c>
      <c r="F37" s="884">
        <f t="shared" si="0"/>
        <v>6.727162704333696E-2</v>
      </c>
      <c r="G37" s="882">
        <f t="shared" si="25"/>
        <v>1.0714285714285714</v>
      </c>
      <c r="H37" s="882">
        <f t="shared" si="25"/>
        <v>24.183673469387756</v>
      </c>
      <c r="I37" s="882">
        <f t="shared" si="25"/>
        <v>2.1</v>
      </c>
      <c r="J37" s="885">
        <f t="shared" si="26"/>
        <v>27.35510204081633</v>
      </c>
      <c r="K37" s="881">
        <f t="shared" si="23"/>
        <v>3.9167412712623091E-2</v>
      </c>
      <c r="L37" s="881">
        <f t="shared" si="23"/>
        <v>0.88406445837063552</v>
      </c>
      <c r="M37" s="881">
        <f t="shared" si="23"/>
        <v>7.6768128916741257E-2</v>
      </c>
    </row>
    <row r="38" spans="2:13" x14ac:dyDescent="0.3">
      <c r="B38" s="877" t="s">
        <v>260</v>
      </c>
      <c r="C38" s="882">
        <f t="shared" si="24"/>
        <v>0.77037037037037037</v>
      </c>
      <c r="D38" s="883">
        <f t="shared" si="27"/>
        <v>2.7878300495912084E-2</v>
      </c>
      <c r="E38" s="884">
        <f t="shared" si="0"/>
        <v>0.6969575123978019</v>
      </c>
      <c r="F38" s="884">
        <f t="shared" si="0"/>
        <v>4.5534557476656405E-2</v>
      </c>
      <c r="G38" s="882">
        <f t="shared" si="25"/>
        <v>0.85714285714285721</v>
      </c>
      <c r="H38" s="882">
        <f t="shared" si="25"/>
        <v>21.428571428571427</v>
      </c>
      <c r="I38" s="882">
        <f t="shared" si="25"/>
        <v>1.4000000000000001</v>
      </c>
      <c r="J38" s="885">
        <f t="shared" si="26"/>
        <v>23.685714285714283</v>
      </c>
      <c r="K38" s="881">
        <f t="shared" si="23"/>
        <v>3.6188178528347416E-2</v>
      </c>
      <c r="L38" s="881">
        <f t="shared" si="23"/>
        <v>0.90470446320868514</v>
      </c>
      <c r="M38" s="881">
        <f t="shared" si="23"/>
        <v>5.9107358262967445E-2</v>
      </c>
    </row>
    <row r="39" spans="2:13" x14ac:dyDescent="0.3">
      <c r="B39" s="418" t="s">
        <v>265</v>
      </c>
      <c r="C39" s="874">
        <v>1.3</v>
      </c>
      <c r="D39" s="579">
        <f t="shared" si="3"/>
        <v>2.8260869565217395E-2</v>
      </c>
      <c r="E39" s="579">
        <f t="shared" si="0"/>
        <v>0.92490118577075098</v>
      </c>
      <c r="F39" s="579">
        <f t="shared" si="0"/>
        <v>0.34683794466403167</v>
      </c>
      <c r="G39" s="418">
        <v>1.1000000000000001</v>
      </c>
      <c r="H39" s="875">
        <v>36</v>
      </c>
      <c r="I39" s="904">
        <f>6*2.25</f>
        <v>13.5</v>
      </c>
      <c r="J39" s="418">
        <f t="shared" si="1"/>
        <v>50.6</v>
      </c>
      <c r="K39" s="876">
        <f t="shared" si="4"/>
        <v>2.1739130434782612E-2</v>
      </c>
      <c r="L39" s="876">
        <f t="shared" si="2"/>
        <v>0.71146245059288538</v>
      </c>
      <c r="M39" s="876">
        <f t="shared" si="2"/>
        <v>0.26679841897233203</v>
      </c>
    </row>
    <row r="40" spans="2:13" x14ac:dyDescent="0.3">
      <c r="B40" s="877" t="s">
        <v>254</v>
      </c>
      <c r="C40" s="878">
        <v>0</v>
      </c>
      <c r="D40" s="879">
        <f t="shared" si="3"/>
        <v>0</v>
      </c>
      <c r="E40" s="879">
        <f t="shared" si="0"/>
        <v>0</v>
      </c>
      <c r="F40" s="879">
        <f t="shared" si="0"/>
        <v>0</v>
      </c>
      <c r="G40" s="878">
        <v>0</v>
      </c>
      <c r="H40" s="878">
        <v>0</v>
      </c>
      <c r="I40" s="878">
        <v>0</v>
      </c>
      <c r="J40" s="880">
        <v>0</v>
      </c>
      <c r="K40" s="881">
        <v>0</v>
      </c>
      <c r="L40" s="881">
        <v>0</v>
      </c>
      <c r="M40" s="881">
        <v>0</v>
      </c>
    </row>
    <row r="41" spans="2:13" x14ac:dyDescent="0.3">
      <c r="B41" s="877" t="s">
        <v>255</v>
      </c>
      <c r="C41" s="882">
        <f>C$39*D79/D$85</f>
        <v>1.3722222222222222</v>
      </c>
      <c r="D41" s="883">
        <f t="shared" si="3"/>
        <v>3.29727293216137E-2</v>
      </c>
      <c r="E41" s="884">
        <f t="shared" si="0"/>
        <v>0.95297805642633227</v>
      </c>
      <c r="F41" s="884">
        <f t="shared" si="0"/>
        <v>0.3862714364742762</v>
      </c>
      <c r="G41" s="882">
        <f>G$39*E79/E$85</f>
        <v>0.86428571428571443</v>
      </c>
      <c r="H41" s="882">
        <f t="shared" ref="H41:I41" si="28">H$39*F79/F$85</f>
        <v>24.979591836734695</v>
      </c>
      <c r="I41" s="882">
        <f t="shared" si="28"/>
        <v>10.125</v>
      </c>
      <c r="J41" s="885">
        <f>SUM(G41:I41)</f>
        <v>35.968877551020412</v>
      </c>
      <c r="K41" s="881">
        <f t="shared" ref="K41:M46" si="29">G41/$J41</f>
        <v>2.4028709627086909E-2</v>
      </c>
      <c r="L41" s="881">
        <f t="shared" si="29"/>
        <v>0.69447793585724615</v>
      </c>
      <c r="M41" s="881">
        <f t="shared" si="29"/>
        <v>0.28149335451566687</v>
      </c>
    </row>
    <row r="42" spans="2:13" x14ac:dyDescent="0.3">
      <c r="B42" s="877" t="s">
        <v>256</v>
      </c>
      <c r="C42" s="882">
        <f t="shared" ref="C42:C46" si="30">C$39*D80/D$85</f>
        <v>1.3048148148148149</v>
      </c>
      <c r="D42" s="883">
        <f t="shared" si="3"/>
        <v>2.4049726995778887E-2</v>
      </c>
      <c r="E42" s="884">
        <f t="shared" si="0"/>
        <v>0.50598126926184139</v>
      </c>
      <c r="F42" s="884">
        <f t="shared" si="0"/>
        <v>0.77478381855719458</v>
      </c>
      <c r="G42" s="882">
        <f t="shared" ref="G42:I46" si="31">G$39*E80/E$85</f>
        <v>0.94285714285714317</v>
      </c>
      <c r="H42" s="882">
        <f t="shared" si="31"/>
        <v>19.836734693877553</v>
      </c>
      <c r="I42" s="882">
        <f t="shared" si="31"/>
        <v>30.375</v>
      </c>
      <c r="J42" s="885">
        <f t="shared" ref="J42:J46" si="32">SUM(G42:I42)</f>
        <v>51.154591836734696</v>
      </c>
      <c r="K42" s="881">
        <f t="shared" si="29"/>
        <v>1.8431525089015893E-2</v>
      </c>
      <c r="L42" s="881">
        <f t="shared" si="29"/>
        <v>0.3877801382364382</v>
      </c>
      <c r="M42" s="881">
        <f t="shared" si="29"/>
        <v>0.59378833667454589</v>
      </c>
    </row>
    <row r="43" spans="2:13" x14ac:dyDescent="0.3">
      <c r="B43" s="877" t="s">
        <v>257</v>
      </c>
      <c r="C43" s="882">
        <f t="shared" si="30"/>
        <v>1.4564814814814815</v>
      </c>
      <c r="D43" s="883">
        <f t="shared" si="3"/>
        <v>2.801742284400402E-2</v>
      </c>
      <c r="E43" s="884">
        <f t="shared" si="0"/>
        <v>1.086736401221974</v>
      </c>
      <c r="F43" s="884">
        <f t="shared" si="0"/>
        <v>0.34172765741550348</v>
      </c>
      <c r="G43" s="882">
        <f t="shared" si="31"/>
        <v>1.0607142857142859</v>
      </c>
      <c r="H43" s="882">
        <f t="shared" si="31"/>
        <v>41.142857142857146</v>
      </c>
      <c r="I43" s="882">
        <f t="shared" si="31"/>
        <v>12.9375</v>
      </c>
      <c r="J43" s="885">
        <f t="shared" si="32"/>
        <v>55.141071428571429</v>
      </c>
      <c r="K43" s="881">
        <f t="shared" si="29"/>
        <v>1.9236374234916937E-2</v>
      </c>
      <c r="L43" s="881">
        <f t="shared" si="29"/>
        <v>0.74613815214223267</v>
      </c>
      <c r="M43" s="881">
        <f t="shared" si="29"/>
        <v>0.23462547362285047</v>
      </c>
    </row>
    <row r="44" spans="2:13" x14ac:dyDescent="0.3">
      <c r="B44" s="877" t="s">
        <v>258</v>
      </c>
      <c r="C44" s="882">
        <f t="shared" si="30"/>
        <v>1.3890740740740739</v>
      </c>
      <c r="D44" s="883">
        <f>$C44*K44</f>
        <v>3.0480471390496103E-2</v>
      </c>
      <c r="E44" s="884">
        <f t="shared" si="0"/>
        <v>1.0719861851311518</v>
      </c>
      <c r="F44" s="884">
        <f t="shared" si="0"/>
        <v>0.28660741755242602</v>
      </c>
      <c r="G44" s="882">
        <f t="shared" si="31"/>
        <v>1.3160714285714288</v>
      </c>
      <c r="H44" s="882">
        <f t="shared" si="31"/>
        <v>46.285714285714285</v>
      </c>
      <c r="I44" s="882">
        <f t="shared" si="31"/>
        <v>12.375</v>
      </c>
      <c r="J44" s="885">
        <f t="shared" si="32"/>
        <v>59.976785714285711</v>
      </c>
      <c r="K44" s="881">
        <f t="shared" si="29"/>
        <v>2.194301366600173E-2</v>
      </c>
      <c r="L44" s="881">
        <f t="shared" si="29"/>
        <v>0.77172715634025069</v>
      </c>
      <c r="M44" s="881">
        <f t="shared" si="29"/>
        <v>0.2063298299937476</v>
      </c>
    </row>
    <row r="45" spans="2:13" x14ac:dyDescent="0.3">
      <c r="B45" s="877" t="s">
        <v>259</v>
      </c>
      <c r="C45" s="882">
        <f t="shared" si="30"/>
        <v>0.87629629629629624</v>
      </c>
      <c r="D45" s="883">
        <f t="shared" ref="D45:D46" si="33">$C45*K45</f>
        <v>2.4544328985782553E-2</v>
      </c>
      <c r="E45" s="884">
        <f t="shared" si="0"/>
        <v>0.72523710790197993</v>
      </c>
      <c r="F45" s="884">
        <f t="shared" si="0"/>
        <v>0.12651485940853369</v>
      </c>
      <c r="G45" s="882">
        <f t="shared" si="31"/>
        <v>0.98214285714285721</v>
      </c>
      <c r="H45" s="882">
        <f t="shared" si="31"/>
        <v>29.020408163265305</v>
      </c>
      <c r="I45" s="882">
        <f t="shared" si="31"/>
        <v>5.0625</v>
      </c>
      <c r="J45" s="885">
        <f t="shared" si="32"/>
        <v>35.065051020408163</v>
      </c>
      <c r="K45" s="881">
        <f t="shared" si="29"/>
        <v>2.8009166636353718E-2</v>
      </c>
      <c r="L45" s="881">
        <f t="shared" si="29"/>
        <v>0.82761631079262299</v>
      </c>
      <c r="M45" s="881">
        <f t="shared" si="29"/>
        <v>0.14437452257102323</v>
      </c>
    </row>
    <row r="46" spans="2:13" x14ac:dyDescent="0.3">
      <c r="B46" s="877" t="s">
        <v>260</v>
      </c>
      <c r="C46" s="882">
        <f t="shared" si="30"/>
        <v>0.77037037037037037</v>
      </c>
      <c r="D46" s="883">
        <f t="shared" si="33"/>
        <v>2.0260786787983445E-2</v>
      </c>
      <c r="E46" s="884">
        <f t="shared" si="0"/>
        <v>0.66308029487945808</v>
      </c>
      <c r="F46" s="884">
        <f t="shared" si="0"/>
        <v>8.7029288702928878E-2</v>
      </c>
      <c r="G46" s="882">
        <f t="shared" si="31"/>
        <v>0.78571428571428581</v>
      </c>
      <c r="H46" s="882">
        <f t="shared" si="31"/>
        <v>25.714285714285715</v>
      </c>
      <c r="I46" s="882">
        <f t="shared" si="31"/>
        <v>3.375</v>
      </c>
      <c r="J46" s="885">
        <f t="shared" si="32"/>
        <v>29.875</v>
      </c>
      <c r="K46" s="881">
        <f t="shared" si="29"/>
        <v>2.6300059772863125E-2</v>
      </c>
      <c r="L46" s="881">
        <f t="shared" si="29"/>
        <v>0.86072922893006576</v>
      </c>
      <c r="M46" s="881">
        <f t="shared" si="29"/>
        <v>0.11297071129707113</v>
      </c>
    </row>
    <row r="47" spans="2:13" x14ac:dyDescent="0.3">
      <c r="B47" s="869" t="s">
        <v>266</v>
      </c>
      <c r="C47" s="869">
        <v>1.4</v>
      </c>
      <c r="D47" s="870">
        <f t="shared" si="3"/>
        <v>4.3874643874643876E-2</v>
      </c>
      <c r="E47" s="870">
        <f t="shared" si="0"/>
        <v>1.0769230769230766</v>
      </c>
      <c r="F47" s="870">
        <f t="shared" si="0"/>
        <v>0.27920227920227919</v>
      </c>
      <c r="G47" s="869">
        <v>1.1000000000000001</v>
      </c>
      <c r="H47" s="871">
        <v>27</v>
      </c>
      <c r="I47" s="872">
        <v>7</v>
      </c>
      <c r="J47" s="869">
        <f t="shared" si="1"/>
        <v>35.1</v>
      </c>
      <c r="K47" s="873">
        <f t="shared" si="4"/>
        <v>3.1339031339031341E-2</v>
      </c>
      <c r="L47" s="873">
        <f t="shared" si="2"/>
        <v>0.76923076923076916</v>
      </c>
      <c r="M47" s="873">
        <f t="shared" si="2"/>
        <v>0.19943019943019943</v>
      </c>
    </row>
    <row r="48" spans="2:13" x14ac:dyDescent="0.3">
      <c r="B48" s="418" t="s">
        <v>267</v>
      </c>
      <c r="C48" s="886">
        <v>1.5</v>
      </c>
      <c r="D48" s="579">
        <f t="shared" si="3"/>
        <v>4.8714479025710418E-2</v>
      </c>
      <c r="E48" s="579">
        <f t="shared" si="0"/>
        <v>1.1772665764546684</v>
      </c>
      <c r="F48" s="579">
        <f t="shared" si="0"/>
        <v>0.27401894451962105</v>
      </c>
      <c r="G48" s="418">
        <v>1.2</v>
      </c>
      <c r="H48" s="875">
        <v>29</v>
      </c>
      <c r="I48" s="904">
        <f>3*2.25</f>
        <v>6.75</v>
      </c>
      <c r="J48" s="422">
        <f t="shared" si="1"/>
        <v>36.950000000000003</v>
      </c>
      <c r="K48" s="876">
        <f t="shared" si="4"/>
        <v>3.2476319350473612E-2</v>
      </c>
      <c r="L48" s="876">
        <f t="shared" si="2"/>
        <v>0.78484438430311221</v>
      </c>
      <c r="M48" s="876">
        <f t="shared" si="2"/>
        <v>0.18267929634641406</v>
      </c>
    </row>
    <row r="49" spans="2:13" x14ac:dyDescent="0.3">
      <c r="B49" s="877" t="s">
        <v>254</v>
      </c>
      <c r="C49" s="878">
        <v>0</v>
      </c>
      <c r="D49" s="879">
        <f t="shared" si="3"/>
        <v>0</v>
      </c>
      <c r="E49" s="879">
        <f t="shared" si="0"/>
        <v>0</v>
      </c>
      <c r="F49" s="879">
        <f t="shared" si="0"/>
        <v>0</v>
      </c>
      <c r="G49" s="878">
        <v>0</v>
      </c>
      <c r="H49" s="878">
        <v>0</v>
      </c>
      <c r="I49" s="878">
        <v>0</v>
      </c>
      <c r="J49" s="880">
        <v>0</v>
      </c>
      <c r="K49" s="881">
        <v>0</v>
      </c>
      <c r="L49" s="881">
        <v>0</v>
      </c>
      <c r="M49" s="881">
        <v>0</v>
      </c>
    </row>
    <row r="50" spans="2:13" x14ac:dyDescent="0.3">
      <c r="B50" s="877" t="s">
        <v>255</v>
      </c>
      <c r="C50" s="882">
        <f>C$48*D79/D$85</f>
        <v>1.5833333333333333</v>
      </c>
      <c r="D50" s="883">
        <f>$C50*K50</f>
        <v>5.713672000859199E-2</v>
      </c>
      <c r="E50" s="884">
        <f t="shared" si="0"/>
        <v>1.2194113837331537</v>
      </c>
      <c r="F50" s="884">
        <f t="shared" si="0"/>
        <v>0.30678522959158766</v>
      </c>
      <c r="G50" s="882">
        <f>G$48*E79/E$85</f>
        <v>0.94285714285714295</v>
      </c>
      <c r="H50" s="882">
        <f t="shared" ref="H50:I50" si="34">H$48*F79/F$85</f>
        <v>20.122448979591837</v>
      </c>
      <c r="I50" s="882">
        <f t="shared" si="34"/>
        <v>5.0625</v>
      </c>
      <c r="J50" s="885">
        <f>SUM(G50:I50)</f>
        <v>26.12780612244898</v>
      </c>
      <c r="K50" s="881">
        <f t="shared" ref="K50:M55" si="35">G50/$J50</f>
        <v>3.6086349479110734E-2</v>
      </c>
      <c r="L50" s="881">
        <f t="shared" si="35"/>
        <v>0.77015455814725498</v>
      </c>
      <c r="M50" s="881">
        <f t="shared" si="35"/>
        <v>0.19375909237363431</v>
      </c>
    </row>
    <row r="51" spans="2:13" x14ac:dyDescent="0.3">
      <c r="B51" s="877" t="s">
        <v>256</v>
      </c>
      <c r="C51" s="882">
        <f t="shared" ref="C51:C55" si="36">C$48*D80/D$85</f>
        <v>1.5055555555555553</v>
      </c>
      <c r="D51" s="883">
        <f t="shared" si="3"/>
        <v>4.8098758388995848E-2</v>
      </c>
      <c r="E51" s="884">
        <f t="shared" si="0"/>
        <v>0.74724856782904259</v>
      </c>
      <c r="F51" s="884">
        <f t="shared" si="0"/>
        <v>0.71020822933751682</v>
      </c>
      <c r="G51" s="882">
        <f t="shared" ref="G51:I55" si="37">G$48*E80/E$85</f>
        <v>1.0285714285714287</v>
      </c>
      <c r="H51" s="882">
        <f t="shared" si="37"/>
        <v>15.979591836734693</v>
      </c>
      <c r="I51" s="882">
        <f t="shared" si="37"/>
        <v>15.1875</v>
      </c>
      <c r="J51" s="885">
        <f t="shared" ref="J51:J55" si="38">SUM(G51:I51)</f>
        <v>32.195663265306123</v>
      </c>
      <c r="K51" s="881">
        <f t="shared" si="35"/>
        <v>3.194751479711902E-2</v>
      </c>
      <c r="L51" s="881">
        <f t="shared" si="35"/>
        <v>0.49632746202667044</v>
      </c>
      <c r="M51" s="881">
        <f t="shared" si="35"/>
        <v>0.47172502317621051</v>
      </c>
    </row>
    <row r="52" spans="2:13" x14ac:dyDescent="0.3">
      <c r="B52" s="877" t="s">
        <v>257</v>
      </c>
      <c r="C52" s="882">
        <f t="shared" si="36"/>
        <v>1.6805555555555554</v>
      </c>
      <c r="D52" s="883">
        <f t="shared" si="3"/>
        <v>4.7699349554324255E-2</v>
      </c>
      <c r="E52" s="884">
        <f t="shared" si="0"/>
        <v>1.3662035921732378</v>
      </c>
      <c r="F52" s="884">
        <f t="shared" si="0"/>
        <v>0.26665261382799321</v>
      </c>
      <c r="G52" s="882">
        <f t="shared" si="37"/>
        <v>1.1571428571428573</v>
      </c>
      <c r="H52" s="882">
        <f t="shared" si="37"/>
        <v>33.142857142857146</v>
      </c>
      <c r="I52" s="882">
        <f t="shared" si="37"/>
        <v>6.46875</v>
      </c>
      <c r="J52" s="885">
        <f t="shared" si="38"/>
        <v>40.768750000000004</v>
      </c>
      <c r="K52" s="881">
        <f t="shared" si="35"/>
        <v>2.838308403232518E-2</v>
      </c>
      <c r="L52" s="881">
        <f t="shared" si="35"/>
        <v>0.81294759203696809</v>
      </c>
      <c r="M52" s="881">
        <f t="shared" si="35"/>
        <v>0.15866932393070671</v>
      </c>
    </row>
    <row r="53" spans="2:13" x14ac:dyDescent="0.3">
      <c r="B53" s="877" t="s">
        <v>258</v>
      </c>
      <c r="C53" s="882">
        <f t="shared" si="36"/>
        <v>1.6027777777777776</v>
      </c>
      <c r="D53" s="883">
        <f>$C53*K53</f>
        <v>5.1239943271435572E-2</v>
      </c>
      <c r="E53" s="884">
        <f t="shared" si="0"/>
        <v>1.3307089745119089</v>
      </c>
      <c r="F53" s="884">
        <f t="shared" si="0"/>
        <v>0.22082885999443316</v>
      </c>
      <c r="G53" s="882">
        <f t="shared" si="37"/>
        <v>1.4357142857142857</v>
      </c>
      <c r="H53" s="882">
        <f t="shared" si="37"/>
        <v>37.285714285714285</v>
      </c>
      <c r="I53" s="882">
        <f t="shared" si="37"/>
        <v>6.1875</v>
      </c>
      <c r="J53" s="885">
        <f t="shared" si="38"/>
        <v>44.908928571428568</v>
      </c>
      <c r="K53" s="881">
        <f t="shared" si="35"/>
        <v>3.1969462006441608E-2</v>
      </c>
      <c r="L53" s="881">
        <f t="shared" si="35"/>
        <v>0.83025169986878211</v>
      </c>
      <c r="M53" s="881">
        <f t="shared" si="35"/>
        <v>0.13777883812477634</v>
      </c>
    </row>
    <row r="54" spans="2:13" x14ac:dyDescent="0.3">
      <c r="B54" s="877" t="s">
        <v>259</v>
      </c>
      <c r="C54" s="882">
        <f t="shared" si="36"/>
        <v>1.0111111111111111</v>
      </c>
      <c r="D54" s="883">
        <f t="shared" ref="D54:D55" si="39">$C54*K54</f>
        <v>4.0152858212189259E-2</v>
      </c>
      <c r="E54" s="884">
        <f t="shared" si="0"/>
        <v>0.87609712537262463</v>
      </c>
      <c r="F54" s="884">
        <f t="shared" si="0"/>
        <v>9.486112752629712E-2</v>
      </c>
      <c r="G54" s="882">
        <f t="shared" si="37"/>
        <v>1.0714285714285714</v>
      </c>
      <c r="H54" s="882">
        <f t="shared" si="37"/>
        <v>23.377551020408163</v>
      </c>
      <c r="I54" s="882">
        <f t="shared" si="37"/>
        <v>2.53125</v>
      </c>
      <c r="J54" s="885">
        <f t="shared" si="38"/>
        <v>26.980229591836736</v>
      </c>
      <c r="K54" s="881">
        <f t="shared" si="35"/>
        <v>3.9711618012055312E-2</v>
      </c>
      <c r="L54" s="881">
        <f t="shared" si="35"/>
        <v>0.86646968443446393</v>
      </c>
      <c r="M54" s="881">
        <f t="shared" si="35"/>
        <v>9.3818697553480671E-2</v>
      </c>
    </row>
    <row r="55" spans="2:13" x14ac:dyDescent="0.3">
      <c r="B55" s="877" t="s">
        <v>260</v>
      </c>
      <c r="C55" s="882">
        <f t="shared" si="36"/>
        <v>0.88888888888888895</v>
      </c>
      <c r="D55" s="883">
        <f t="shared" si="39"/>
        <v>3.2757517594369803E-2</v>
      </c>
      <c r="E55" s="884">
        <f t="shared" si="0"/>
        <v>0.79164000853060357</v>
      </c>
      <c r="F55" s="884">
        <f t="shared" si="0"/>
        <v>6.4491362763915538E-2</v>
      </c>
      <c r="G55" s="882">
        <f t="shared" si="37"/>
        <v>0.85714285714285721</v>
      </c>
      <c r="H55" s="882">
        <f t="shared" si="37"/>
        <v>20.714285714285715</v>
      </c>
      <c r="I55" s="882">
        <f t="shared" si="37"/>
        <v>1.6875</v>
      </c>
      <c r="J55" s="885">
        <f t="shared" si="38"/>
        <v>23.258928571428573</v>
      </c>
      <c r="K55" s="881">
        <f t="shared" si="35"/>
        <v>3.6852207293666027E-2</v>
      </c>
      <c r="L55" s="881">
        <f t="shared" si="35"/>
        <v>0.89059500959692894</v>
      </c>
      <c r="M55" s="881">
        <f t="shared" si="35"/>
        <v>7.2552783109404981E-2</v>
      </c>
    </row>
    <row r="58" spans="2:13" x14ac:dyDescent="0.3">
      <c r="B58" t="s">
        <v>268</v>
      </c>
    </row>
    <row r="59" spans="2:13" x14ac:dyDescent="0.3">
      <c r="B59" s="867" t="s">
        <v>269</v>
      </c>
      <c r="C59" s="867" t="s">
        <v>270</v>
      </c>
      <c r="D59" s="867" t="s">
        <v>271</v>
      </c>
      <c r="E59" s="887" t="s">
        <v>272</v>
      </c>
      <c r="F59" s="887" t="s">
        <v>273</v>
      </c>
      <c r="G59" s="887" t="s">
        <v>274</v>
      </c>
      <c r="H59" s="868" t="s">
        <v>275</v>
      </c>
    </row>
    <row r="60" spans="2:13" x14ac:dyDescent="0.3">
      <c r="B60" s="394" t="s">
        <v>276</v>
      </c>
      <c r="C60" s="888" t="s">
        <v>277</v>
      </c>
      <c r="D60" s="394">
        <v>1.48</v>
      </c>
      <c r="E60" s="394">
        <v>1.2</v>
      </c>
      <c r="F60" s="394">
        <v>15</v>
      </c>
      <c r="G60" s="394">
        <v>6</v>
      </c>
      <c r="H60" s="394">
        <f>E60+F60+G60</f>
        <v>22.2</v>
      </c>
    </row>
    <row r="61" spans="2:13" x14ac:dyDescent="0.3">
      <c r="B61" s="394"/>
      <c r="C61" s="888" t="s">
        <v>278</v>
      </c>
      <c r="D61" s="394">
        <v>1.34</v>
      </c>
      <c r="E61" s="394">
        <v>1.3</v>
      </c>
      <c r="F61" s="394">
        <v>12</v>
      </c>
      <c r="G61" s="394">
        <v>13</v>
      </c>
      <c r="H61" s="394">
        <f t="shared" ref="H61:H85" si="40">E61+F61+G61</f>
        <v>26.3</v>
      </c>
    </row>
    <row r="62" spans="2:13" x14ac:dyDescent="0.3">
      <c r="B62" s="394"/>
      <c r="C62" s="888" t="s">
        <v>279</v>
      </c>
      <c r="D62" s="394">
        <v>1.37</v>
      </c>
      <c r="E62" s="394">
        <v>1.2</v>
      </c>
      <c r="F62" s="394">
        <v>25</v>
      </c>
      <c r="G62" s="394">
        <v>6</v>
      </c>
      <c r="H62" s="394">
        <f t="shared" si="40"/>
        <v>32.200000000000003</v>
      </c>
    </row>
    <row r="63" spans="2:13" x14ac:dyDescent="0.3">
      <c r="B63" s="394"/>
      <c r="C63" s="888" t="s">
        <v>280</v>
      </c>
      <c r="D63" s="394">
        <v>1.56</v>
      </c>
      <c r="E63" s="394">
        <v>1.2</v>
      </c>
      <c r="F63" s="394">
        <v>39</v>
      </c>
      <c r="G63" s="394">
        <v>4</v>
      </c>
      <c r="H63" s="394">
        <f t="shared" si="40"/>
        <v>44.2</v>
      </c>
    </row>
    <row r="64" spans="2:13" x14ac:dyDescent="0.3">
      <c r="B64" s="394"/>
      <c r="C64" s="888" t="s">
        <v>281</v>
      </c>
      <c r="D64" s="394">
        <v>1.53</v>
      </c>
      <c r="E64" s="394">
        <v>1.6</v>
      </c>
      <c r="F64" s="394">
        <v>34</v>
      </c>
      <c r="G64" s="394">
        <v>5</v>
      </c>
      <c r="H64" s="394">
        <f t="shared" si="40"/>
        <v>40.6</v>
      </c>
    </row>
    <row r="65" spans="2:8" x14ac:dyDescent="0.3">
      <c r="B65" s="394"/>
      <c r="C65" s="888" t="s">
        <v>282</v>
      </c>
      <c r="D65" s="889">
        <v>1.3</v>
      </c>
      <c r="E65" s="394">
        <v>1.7</v>
      </c>
      <c r="F65" s="394">
        <v>37</v>
      </c>
      <c r="G65" s="394">
        <v>3</v>
      </c>
      <c r="H65" s="394">
        <f t="shared" si="40"/>
        <v>41.7</v>
      </c>
    </row>
    <row r="66" spans="2:8" x14ac:dyDescent="0.3">
      <c r="B66" s="394"/>
      <c r="C66" s="888" t="s">
        <v>283</v>
      </c>
      <c r="D66" s="394">
        <v>1.08</v>
      </c>
      <c r="E66" s="394">
        <v>1.6</v>
      </c>
      <c r="F66" s="394">
        <v>24</v>
      </c>
      <c r="G66" s="394">
        <v>2</v>
      </c>
      <c r="H66" s="394">
        <f t="shared" si="40"/>
        <v>27.6</v>
      </c>
    </row>
    <row r="67" spans="2:8" x14ac:dyDescent="0.3">
      <c r="B67" s="394"/>
      <c r="C67" s="888" t="s">
        <v>284</v>
      </c>
      <c r="D67" s="394">
        <v>0.87</v>
      </c>
      <c r="E67" s="394">
        <v>1.1000000000000001</v>
      </c>
      <c r="F67" s="394">
        <v>24</v>
      </c>
      <c r="G67" s="394">
        <v>2</v>
      </c>
      <c r="H67" s="394">
        <f t="shared" si="40"/>
        <v>27.1</v>
      </c>
    </row>
    <row r="68" spans="2:8" x14ac:dyDescent="0.3">
      <c r="B68" s="890"/>
      <c r="C68" s="891" t="s">
        <v>285</v>
      </c>
      <c r="D68" s="890">
        <v>1.35</v>
      </c>
      <c r="E68" s="890">
        <v>1.4</v>
      </c>
      <c r="F68" s="890">
        <v>27</v>
      </c>
      <c r="G68" s="890">
        <v>6</v>
      </c>
      <c r="H68" s="890">
        <f t="shared" si="40"/>
        <v>34.4</v>
      </c>
    </row>
    <row r="69" spans="2:8" x14ac:dyDescent="0.3">
      <c r="B69" s="394" t="s">
        <v>286</v>
      </c>
      <c r="C69" s="888" t="s">
        <v>277</v>
      </c>
      <c r="D69" s="394">
        <v>1.37</v>
      </c>
      <c r="E69" s="892">
        <v>1</v>
      </c>
      <c r="F69" s="893">
        <v>19</v>
      </c>
      <c r="G69" s="893">
        <v>3</v>
      </c>
      <c r="H69" s="892">
        <f t="shared" si="40"/>
        <v>23</v>
      </c>
    </row>
    <row r="70" spans="2:8" x14ac:dyDescent="0.3">
      <c r="B70" s="394"/>
      <c r="C70" s="888" t="s">
        <v>278</v>
      </c>
      <c r="D70" s="394">
        <v>1.37</v>
      </c>
      <c r="E70" s="394">
        <v>1.1000000000000001</v>
      </c>
      <c r="F70" s="394">
        <v>15</v>
      </c>
      <c r="G70" s="394">
        <v>14</v>
      </c>
      <c r="H70" s="394">
        <f t="shared" si="40"/>
        <v>30.1</v>
      </c>
    </row>
    <row r="71" spans="2:8" x14ac:dyDescent="0.3">
      <c r="B71" s="394"/>
      <c r="C71" s="888" t="s">
        <v>279</v>
      </c>
      <c r="D71" s="394">
        <v>1.49</v>
      </c>
      <c r="E71" s="394">
        <v>1.4</v>
      </c>
      <c r="F71" s="394">
        <v>24</v>
      </c>
      <c r="G71" s="394">
        <v>7</v>
      </c>
      <c r="H71" s="394">
        <f t="shared" si="40"/>
        <v>32.4</v>
      </c>
    </row>
    <row r="72" spans="2:8" x14ac:dyDescent="0.3">
      <c r="B72" s="394"/>
      <c r="C72" s="888" t="s">
        <v>280</v>
      </c>
      <c r="D72" s="394">
        <v>1.63</v>
      </c>
      <c r="E72" s="394">
        <v>1.6</v>
      </c>
      <c r="F72" s="394">
        <v>24</v>
      </c>
      <c r="G72" s="394">
        <v>6</v>
      </c>
      <c r="H72" s="394">
        <f t="shared" si="40"/>
        <v>31.6</v>
      </c>
    </row>
    <row r="73" spans="2:8" x14ac:dyDescent="0.3">
      <c r="B73" s="394"/>
      <c r="C73" s="888" t="s">
        <v>281</v>
      </c>
      <c r="D73" s="394">
        <v>1.54</v>
      </c>
      <c r="E73" s="394">
        <v>1.6</v>
      </c>
      <c r="F73" s="394">
        <v>29</v>
      </c>
      <c r="G73" s="394">
        <v>8</v>
      </c>
      <c r="H73" s="394">
        <f t="shared" si="40"/>
        <v>38.6</v>
      </c>
    </row>
    <row r="74" spans="2:8" x14ac:dyDescent="0.3">
      <c r="B74" s="394"/>
      <c r="C74" s="888" t="s">
        <v>282</v>
      </c>
      <c r="D74" s="889">
        <v>1.4</v>
      </c>
      <c r="E74" s="394">
        <v>1.8</v>
      </c>
      <c r="F74" s="394">
        <v>26</v>
      </c>
      <c r="G74" s="394">
        <v>6</v>
      </c>
      <c r="H74" s="394">
        <f t="shared" si="40"/>
        <v>33.799999999999997</v>
      </c>
    </row>
    <row r="75" spans="2:8" x14ac:dyDescent="0.3">
      <c r="B75" s="394"/>
      <c r="C75" s="888" t="s">
        <v>283</v>
      </c>
      <c r="D75" s="394">
        <v>0.96</v>
      </c>
      <c r="E75" s="394">
        <v>1.4</v>
      </c>
      <c r="F75" s="394">
        <v>20</v>
      </c>
      <c r="G75" s="394">
        <v>4</v>
      </c>
      <c r="H75" s="394">
        <f t="shared" si="40"/>
        <v>25.4</v>
      </c>
    </row>
    <row r="76" spans="2:8" x14ac:dyDescent="0.3">
      <c r="B76" s="394"/>
      <c r="C76" s="888" t="s">
        <v>284</v>
      </c>
      <c r="D76" s="394">
        <v>0.73</v>
      </c>
      <c r="E76" s="394">
        <v>0.9</v>
      </c>
      <c r="F76" s="394">
        <v>11</v>
      </c>
      <c r="G76" s="394">
        <v>1</v>
      </c>
      <c r="H76" s="394">
        <f t="shared" si="40"/>
        <v>12.9</v>
      </c>
    </row>
    <row r="77" spans="2:8" x14ac:dyDescent="0.3">
      <c r="B77" s="890"/>
      <c r="C77" s="891" t="s">
        <v>285</v>
      </c>
      <c r="D77" s="890">
        <v>1.35</v>
      </c>
      <c r="E77" s="890">
        <v>1.4</v>
      </c>
      <c r="F77" s="890">
        <v>22</v>
      </c>
      <c r="G77" s="890">
        <v>6</v>
      </c>
      <c r="H77" s="890">
        <f t="shared" si="40"/>
        <v>29.4</v>
      </c>
    </row>
    <row r="78" spans="2:8" x14ac:dyDescent="0.3">
      <c r="B78" s="880" t="s">
        <v>287</v>
      </c>
      <c r="C78" s="894" t="s">
        <v>288</v>
      </c>
      <c r="D78" s="889">
        <v>0</v>
      </c>
      <c r="E78" s="805">
        <v>0</v>
      </c>
      <c r="F78" s="895">
        <v>0</v>
      </c>
      <c r="G78" s="895">
        <v>0</v>
      </c>
      <c r="H78" s="805">
        <f t="shared" si="40"/>
        <v>0</v>
      </c>
    </row>
    <row r="79" spans="2:8" x14ac:dyDescent="0.3">
      <c r="B79" s="880" t="s">
        <v>289</v>
      </c>
      <c r="C79" s="894" t="s">
        <v>290</v>
      </c>
      <c r="D79" s="889">
        <f>(D60+D69)/2</f>
        <v>1.425</v>
      </c>
      <c r="E79" s="805">
        <f>(E60+E69)/2</f>
        <v>1.1000000000000001</v>
      </c>
      <c r="F79" s="895">
        <f t="shared" ref="F79:G79" si="41">(F60+F69)/2</f>
        <v>17</v>
      </c>
      <c r="G79" s="895">
        <f t="shared" si="41"/>
        <v>4.5</v>
      </c>
      <c r="H79" s="805">
        <f t="shared" si="40"/>
        <v>22.6</v>
      </c>
    </row>
    <row r="80" spans="2:8" x14ac:dyDescent="0.3">
      <c r="B80" s="880"/>
      <c r="C80" s="894" t="s">
        <v>291</v>
      </c>
      <c r="D80" s="889">
        <f>(D61+D70)/2</f>
        <v>1.355</v>
      </c>
      <c r="E80" s="805">
        <f t="shared" ref="E80:G80" si="42">(E61+E70)/2</f>
        <v>1.2000000000000002</v>
      </c>
      <c r="F80" s="895">
        <f t="shared" si="42"/>
        <v>13.5</v>
      </c>
      <c r="G80" s="895">
        <f t="shared" si="42"/>
        <v>13.5</v>
      </c>
      <c r="H80" s="805">
        <f t="shared" si="40"/>
        <v>28.2</v>
      </c>
    </row>
    <row r="81" spans="2:8" x14ac:dyDescent="0.3">
      <c r="B81" s="880"/>
      <c r="C81" s="894" t="s">
        <v>292</v>
      </c>
      <c r="D81" s="889">
        <f>(D62+D63+D71+D72)/4</f>
        <v>1.5125</v>
      </c>
      <c r="E81" s="805">
        <f t="shared" ref="E81:G81" si="43">(E62+E63+E71+E72)/4</f>
        <v>1.35</v>
      </c>
      <c r="F81" s="895">
        <f t="shared" si="43"/>
        <v>28</v>
      </c>
      <c r="G81" s="895">
        <f t="shared" si="43"/>
        <v>5.75</v>
      </c>
      <c r="H81" s="805">
        <f t="shared" si="40"/>
        <v>35.1</v>
      </c>
    </row>
    <row r="82" spans="2:8" x14ac:dyDescent="0.3">
      <c r="B82" s="880"/>
      <c r="C82" s="894" t="s">
        <v>293</v>
      </c>
      <c r="D82" s="889">
        <f>(D64+D65+D73+D74)/4</f>
        <v>1.4424999999999999</v>
      </c>
      <c r="E82" s="805">
        <f t="shared" ref="E82:G82" si="44">(E64+E65+E73+E74)/4</f>
        <v>1.675</v>
      </c>
      <c r="F82" s="895">
        <f t="shared" si="44"/>
        <v>31.5</v>
      </c>
      <c r="G82" s="895">
        <f t="shared" si="44"/>
        <v>5.5</v>
      </c>
      <c r="H82" s="805">
        <f t="shared" si="40"/>
        <v>38.674999999999997</v>
      </c>
    </row>
    <row r="83" spans="2:8" x14ac:dyDescent="0.3">
      <c r="B83" s="880"/>
      <c r="C83" s="894" t="s">
        <v>294</v>
      </c>
      <c r="D83" s="889">
        <f>(D66+D67+D75+D76)/4</f>
        <v>0.91</v>
      </c>
      <c r="E83" s="805">
        <f t="shared" ref="E83:G83" si="45">(E66+E67+E75+E76)/4</f>
        <v>1.25</v>
      </c>
      <c r="F83" s="895">
        <f t="shared" si="45"/>
        <v>19.75</v>
      </c>
      <c r="G83" s="895">
        <f t="shared" si="45"/>
        <v>2.25</v>
      </c>
      <c r="H83" s="805">
        <f t="shared" si="40"/>
        <v>23.25</v>
      </c>
    </row>
    <row r="84" spans="2:8" x14ac:dyDescent="0.3">
      <c r="B84" s="880"/>
      <c r="C84" s="894" t="s">
        <v>295</v>
      </c>
      <c r="D84" s="889">
        <f>(D67+D76)/2</f>
        <v>0.8</v>
      </c>
      <c r="E84" s="805">
        <f t="shared" ref="E84:G85" si="46">(E67+E76)/2</f>
        <v>1</v>
      </c>
      <c r="F84" s="895">
        <f t="shared" si="46"/>
        <v>17.5</v>
      </c>
      <c r="G84" s="895">
        <f t="shared" si="46"/>
        <v>1.5</v>
      </c>
      <c r="H84" s="805">
        <f t="shared" si="40"/>
        <v>20</v>
      </c>
    </row>
    <row r="85" spans="2:8" x14ac:dyDescent="0.3">
      <c r="B85" s="394"/>
      <c r="C85" s="896" t="s">
        <v>285</v>
      </c>
      <c r="D85" s="394">
        <f>(D68+D77)/2</f>
        <v>1.35</v>
      </c>
      <c r="E85" s="394">
        <f t="shared" si="46"/>
        <v>1.4</v>
      </c>
      <c r="F85" s="895">
        <f>(F68+F77)/2</f>
        <v>24.5</v>
      </c>
      <c r="G85" s="895">
        <f t="shared" si="46"/>
        <v>6</v>
      </c>
      <c r="H85" s="805">
        <f t="shared" si="40"/>
        <v>31.9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tabSelected="1" topLeftCell="A62" zoomScale="75" zoomScaleNormal="75" zoomScaleSheetLayoutView="100" workbookViewId="0">
      <selection activeCell="E97" sqref="E97"/>
    </sheetView>
  </sheetViews>
  <sheetFormatPr defaultColWidth="9.33203125" defaultRowHeight="14.4" x14ac:dyDescent="0.3"/>
  <cols>
    <col min="1" max="1" width="9.33203125" customWidth="1"/>
    <col min="2" max="2" width="30.6640625" customWidth="1"/>
    <col min="3" max="3" width="14.44140625" bestFit="1" customWidth="1"/>
    <col min="4" max="19" width="9.6640625" customWidth="1"/>
    <col min="20" max="20" width="10.5546875" customWidth="1"/>
    <col min="21" max="21" width="21.33203125" customWidth="1"/>
    <col min="22" max="22" width="10.5546875" customWidth="1"/>
    <col min="23" max="37" width="9.33203125" bestFit="1" customWidth="1"/>
    <col min="38" max="38" width="9.33203125" customWidth="1"/>
  </cols>
  <sheetData>
    <row r="2" spans="1:55" x14ac:dyDescent="0.3">
      <c r="B2" s="480" t="s">
        <v>296</v>
      </c>
      <c r="V2" s="106" t="s">
        <v>297</v>
      </c>
      <c r="X2" s="113"/>
      <c r="Y2" s="113"/>
      <c r="Z2" s="14"/>
      <c r="AA2" s="14"/>
      <c r="AB2" s="14"/>
      <c r="AC2" s="14"/>
      <c r="AD2" s="14"/>
      <c r="AE2" s="14"/>
      <c r="AF2" s="14"/>
      <c r="AG2" s="14"/>
      <c r="AH2" s="14"/>
      <c r="AI2" s="14"/>
      <c r="AJ2" s="14"/>
      <c r="AK2" s="14"/>
    </row>
    <row r="3" spans="1:55" x14ac:dyDescent="0.3">
      <c r="B3" s="480"/>
      <c r="V3" s="106" t="s">
        <v>298</v>
      </c>
      <c r="X3" s="113"/>
      <c r="Y3" s="113"/>
      <c r="Z3" s="14"/>
      <c r="AA3" s="14"/>
      <c r="AB3" s="14"/>
      <c r="AC3" s="14"/>
      <c r="AD3" s="14"/>
      <c r="AE3" s="14"/>
      <c r="AF3" s="14"/>
      <c r="AG3" s="14"/>
      <c r="AH3" s="14"/>
      <c r="AI3" s="14"/>
      <c r="AJ3" s="14"/>
      <c r="AK3" s="14"/>
    </row>
    <row r="4" spans="1:55" x14ac:dyDescent="0.3">
      <c r="B4" s="480"/>
      <c r="V4" s="3" t="s">
        <v>299</v>
      </c>
      <c r="X4" s="14"/>
      <c r="Y4" s="14"/>
      <c r="Z4" s="14"/>
      <c r="AA4" s="14"/>
      <c r="AB4" s="14"/>
      <c r="AC4" s="14"/>
      <c r="AD4" s="14"/>
      <c r="AE4" s="14"/>
      <c r="AF4" s="14"/>
      <c r="AG4" s="14"/>
      <c r="AH4" s="14"/>
      <c r="AI4" s="14"/>
      <c r="AJ4" s="14"/>
      <c r="AK4" s="14"/>
    </row>
    <row r="5" spans="1:55" x14ac:dyDescent="0.3">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3">
      <c r="B6" t="s">
        <v>1245</v>
      </c>
      <c r="C6" s="3"/>
      <c r="V6" s="299" t="s">
        <v>101</v>
      </c>
      <c r="W6" s="907"/>
      <c r="X6" s="907"/>
      <c r="Y6" s="907"/>
      <c r="Z6" s="907"/>
      <c r="AA6" s="907"/>
      <c r="AB6" s="907"/>
      <c r="AC6" s="907"/>
      <c r="AD6" s="907"/>
      <c r="AE6" s="907"/>
      <c r="AF6" s="907"/>
      <c r="AG6" s="907"/>
      <c r="AH6" s="907"/>
      <c r="AI6" s="907"/>
      <c r="AJ6" s="907"/>
      <c r="AK6" s="907"/>
      <c r="AL6" s="590">
        <f>SUM(W6:AK6)</f>
        <v>0</v>
      </c>
    </row>
    <row r="7" spans="1:55" x14ac:dyDescent="0.3">
      <c r="B7" s="939"/>
      <c r="U7" s="167"/>
      <c r="W7" s="442"/>
      <c r="X7" s="442"/>
      <c r="Y7" s="442"/>
      <c r="Z7" s="442"/>
      <c r="AA7" s="442"/>
      <c r="AB7" s="442"/>
      <c r="AC7" s="442"/>
      <c r="AD7" s="442"/>
      <c r="AE7" s="442"/>
      <c r="AF7" s="442"/>
      <c r="AG7" s="442"/>
      <c r="AH7" s="442"/>
      <c r="AI7" s="442"/>
      <c r="AJ7" s="442"/>
      <c r="AK7" s="442"/>
    </row>
    <row r="8" spans="1:55" x14ac:dyDescent="0.3">
      <c r="B8" s="476" t="s">
        <v>300</v>
      </c>
      <c r="C8" s="339"/>
      <c r="D8" s="3"/>
      <c r="U8" s="99"/>
      <c r="W8" s="3" t="s">
        <v>299</v>
      </c>
    </row>
    <row r="9" spans="1:55" x14ac:dyDescent="0.3">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3">
      <c r="A10" s="133"/>
      <c r="B10" s="245" t="str">
        <f>'T_Stock_TOTAL_&amp;_City'!B10</f>
        <v>Biodiesel</v>
      </c>
      <c r="C10" s="245"/>
      <c r="D10" s="797">
        <f>250635/2</f>
        <v>125317.5</v>
      </c>
      <c r="E10" s="797"/>
      <c r="F10" s="797"/>
      <c r="G10" s="797"/>
      <c r="H10" s="797"/>
      <c r="I10" s="797"/>
      <c r="J10" s="797"/>
      <c r="K10" s="797"/>
      <c r="L10" s="797"/>
      <c r="M10" s="797"/>
      <c r="N10" s="797"/>
      <c r="O10" s="797"/>
      <c r="P10" s="797"/>
      <c r="Q10" s="797"/>
      <c r="R10" s="797"/>
      <c r="S10" s="679">
        <f t="shared" ref="S10" si="2">SUM(D10:R10)</f>
        <v>125317.5</v>
      </c>
      <c r="U10" s="311">
        <f>'T_Stock_TOTAL_&amp;_City'!U10-'T_Stock_TOTAL_&amp;_City'!V10</f>
        <v>0</v>
      </c>
      <c r="W10" s="908">
        <f>W$6</f>
        <v>0</v>
      </c>
      <c r="X10" s="908">
        <f t="shared" ref="X10:AK21" si="3">X$6</f>
        <v>0</v>
      </c>
      <c r="Y10" s="908">
        <f t="shared" si="3"/>
        <v>0</v>
      </c>
      <c r="Z10" s="908">
        <f t="shared" si="3"/>
        <v>0</v>
      </c>
      <c r="AA10" s="908">
        <f t="shared" si="3"/>
        <v>0</v>
      </c>
      <c r="AB10" s="908">
        <f t="shared" si="3"/>
        <v>0</v>
      </c>
      <c r="AC10" s="908">
        <f t="shared" si="3"/>
        <v>0</v>
      </c>
      <c r="AD10" s="908">
        <f t="shared" si="3"/>
        <v>0</v>
      </c>
      <c r="AE10" s="908">
        <f t="shared" si="3"/>
        <v>0</v>
      </c>
      <c r="AF10" s="908">
        <f t="shared" si="3"/>
        <v>0</v>
      </c>
      <c r="AG10" s="908">
        <f t="shared" si="3"/>
        <v>0</v>
      </c>
      <c r="AH10" s="908">
        <f t="shared" si="3"/>
        <v>0</v>
      </c>
      <c r="AI10" s="908">
        <f t="shared" si="3"/>
        <v>0</v>
      </c>
      <c r="AJ10" s="908">
        <f t="shared" si="3"/>
        <v>0</v>
      </c>
      <c r="AK10" s="908">
        <f t="shared" si="3"/>
        <v>0</v>
      </c>
      <c r="AL10" s="531">
        <f t="shared" ref="AL10:AL21" si="4">SUM(W10:AK10)</f>
        <v>0</v>
      </c>
      <c r="BC10" t="s">
        <v>100</v>
      </c>
    </row>
    <row r="11" spans="1:55" x14ac:dyDescent="0.3">
      <c r="A11" s="133"/>
      <c r="B11" s="245" t="str">
        <f>'T_Stock_TOTAL_&amp;_City'!B11</f>
        <v>Diesel</v>
      </c>
      <c r="C11" s="245" t="s">
        <v>302</v>
      </c>
      <c r="D11" s="940">
        <f>250635/2</f>
        <v>125317.5</v>
      </c>
      <c r="E11" s="797"/>
      <c r="F11" s="797"/>
      <c r="G11" s="797"/>
      <c r="H11" s="797"/>
      <c r="I11" s="797"/>
      <c r="J11" s="797"/>
      <c r="K11" s="797"/>
      <c r="L11" s="797"/>
      <c r="M11" s="797"/>
      <c r="N11" s="797"/>
      <c r="O11" s="797"/>
      <c r="P11" s="797"/>
      <c r="Q11" s="797"/>
      <c r="R11" s="797"/>
      <c r="S11" s="679">
        <f t="shared" ref="S11:S20" si="5">SUM(D11:R11)</f>
        <v>125317.5</v>
      </c>
      <c r="U11" s="311">
        <f>'T_Stock_TOTAL_&amp;_City'!U11-'T_Stock_TOTAL_&amp;_City'!V11</f>
        <v>0</v>
      </c>
      <c r="W11" s="908">
        <f t="shared" ref="W11:W21" si="6">W$6</f>
        <v>0</v>
      </c>
      <c r="X11" s="908">
        <f t="shared" si="3"/>
        <v>0</v>
      </c>
      <c r="Y11" s="908">
        <f t="shared" si="3"/>
        <v>0</v>
      </c>
      <c r="Z11" s="908">
        <f t="shared" si="3"/>
        <v>0</v>
      </c>
      <c r="AA11" s="908">
        <f t="shared" si="3"/>
        <v>0</v>
      </c>
      <c r="AB11" s="908">
        <f t="shared" si="3"/>
        <v>0</v>
      </c>
      <c r="AC11" s="908">
        <f t="shared" si="3"/>
        <v>0</v>
      </c>
      <c r="AD11" s="908">
        <f t="shared" si="3"/>
        <v>0</v>
      </c>
      <c r="AE11" s="908">
        <f t="shared" si="3"/>
        <v>0</v>
      </c>
      <c r="AF11" s="908">
        <f t="shared" si="3"/>
        <v>0</v>
      </c>
      <c r="AG11" s="908">
        <f t="shared" si="3"/>
        <v>0</v>
      </c>
      <c r="AH11" s="908">
        <f t="shared" si="3"/>
        <v>0</v>
      </c>
      <c r="AI11" s="908">
        <f t="shared" si="3"/>
        <v>0</v>
      </c>
      <c r="AJ11" s="908">
        <f t="shared" si="3"/>
        <v>0</v>
      </c>
      <c r="AK11" s="908">
        <f t="shared" si="3"/>
        <v>0</v>
      </c>
      <c r="AL11" s="531">
        <f t="shared" si="4"/>
        <v>0</v>
      </c>
      <c r="AN11" s="797">
        <v>1248</v>
      </c>
      <c r="AO11" s="797">
        <v>467</v>
      </c>
      <c r="AP11" s="797">
        <v>978</v>
      </c>
      <c r="AQ11" s="797">
        <v>1178</v>
      </c>
      <c r="AR11" s="797">
        <v>919</v>
      </c>
      <c r="AS11" s="797">
        <v>765</v>
      </c>
      <c r="AT11" s="797">
        <v>1189</v>
      </c>
      <c r="AU11" s="797">
        <v>559</v>
      </c>
      <c r="AV11" s="797">
        <v>453</v>
      </c>
      <c r="AW11" s="797">
        <v>1385</v>
      </c>
      <c r="AX11" s="797">
        <v>1448</v>
      </c>
      <c r="AY11" s="797">
        <v>486</v>
      </c>
      <c r="AZ11" s="797">
        <v>15130</v>
      </c>
      <c r="BA11" s="797">
        <v>2213</v>
      </c>
      <c r="BB11" s="797">
        <v>10906</v>
      </c>
      <c r="BC11" s="15">
        <f>SUM(AN11:BB11)</f>
        <v>39324</v>
      </c>
    </row>
    <row r="12" spans="1:55" x14ac:dyDescent="0.3">
      <c r="A12" s="133"/>
      <c r="B12" s="245" t="str">
        <f>'T_Stock_TOTAL_&amp;_City'!B12</f>
        <v>Battery electric (BEV)</v>
      </c>
      <c r="C12" s="245" t="s">
        <v>303</v>
      </c>
      <c r="D12" s="940">
        <f>10285+2*19147+2*17400</f>
        <v>83379</v>
      </c>
      <c r="E12" s="797"/>
      <c r="F12" s="797"/>
      <c r="G12" s="797"/>
      <c r="H12" s="797"/>
      <c r="I12" s="797"/>
      <c r="J12" s="797"/>
      <c r="K12" s="797"/>
      <c r="L12" s="797"/>
      <c r="M12" s="797"/>
      <c r="N12" s="797"/>
      <c r="O12" s="797"/>
      <c r="P12" s="797"/>
      <c r="Q12" s="797"/>
      <c r="R12" s="797"/>
      <c r="S12" s="679">
        <f t="shared" si="5"/>
        <v>83379</v>
      </c>
      <c r="U12" s="311">
        <f>'T_Stock_TOTAL_&amp;_City'!U12-'T_Stock_TOTAL_&amp;_City'!V12</f>
        <v>0</v>
      </c>
      <c r="W12" s="908">
        <f t="shared" si="6"/>
        <v>0</v>
      </c>
      <c r="X12" s="908">
        <f t="shared" si="3"/>
        <v>0</v>
      </c>
      <c r="Y12" s="908">
        <f t="shared" si="3"/>
        <v>0</v>
      </c>
      <c r="Z12" s="908">
        <f t="shared" si="3"/>
        <v>0</v>
      </c>
      <c r="AA12" s="908">
        <f t="shared" si="3"/>
        <v>0</v>
      </c>
      <c r="AB12" s="908">
        <f t="shared" si="3"/>
        <v>0</v>
      </c>
      <c r="AC12" s="908">
        <f t="shared" si="3"/>
        <v>0</v>
      </c>
      <c r="AD12" s="908">
        <f t="shared" si="3"/>
        <v>0</v>
      </c>
      <c r="AE12" s="908">
        <f t="shared" si="3"/>
        <v>0</v>
      </c>
      <c r="AF12" s="908">
        <f t="shared" si="3"/>
        <v>0</v>
      </c>
      <c r="AG12" s="908">
        <f t="shared" si="3"/>
        <v>0</v>
      </c>
      <c r="AH12" s="908">
        <f t="shared" si="3"/>
        <v>0</v>
      </c>
      <c r="AI12" s="908">
        <f t="shared" si="3"/>
        <v>0</v>
      </c>
      <c r="AJ12" s="908">
        <f t="shared" si="3"/>
        <v>0</v>
      </c>
      <c r="AK12" s="908">
        <f t="shared" si="3"/>
        <v>0</v>
      </c>
      <c r="AL12" s="531">
        <f t="shared" si="4"/>
        <v>0</v>
      </c>
      <c r="AN12" s="797">
        <v>0</v>
      </c>
      <c r="AO12" s="797">
        <v>0</v>
      </c>
      <c r="AP12" s="797">
        <v>1</v>
      </c>
      <c r="AQ12" s="797">
        <v>1</v>
      </c>
      <c r="AR12" s="797">
        <v>0</v>
      </c>
      <c r="AS12" s="797">
        <v>0</v>
      </c>
      <c r="AT12" s="797">
        <v>0</v>
      </c>
      <c r="AU12" s="797">
        <v>0</v>
      </c>
      <c r="AV12" s="797">
        <v>0</v>
      </c>
      <c r="AW12" s="797">
        <v>4</v>
      </c>
      <c r="AX12" s="797">
        <v>1</v>
      </c>
      <c r="AY12" s="797">
        <v>0</v>
      </c>
      <c r="AZ12" s="797">
        <v>36</v>
      </c>
      <c r="BA12" s="797">
        <v>1</v>
      </c>
      <c r="BB12" s="797">
        <v>23</v>
      </c>
      <c r="BC12" s="15">
        <f t="shared" ref="BC12:BC20" si="7">SUM(AN12:BB12)</f>
        <v>67</v>
      </c>
    </row>
    <row r="13" spans="1:55" x14ac:dyDescent="0.3">
      <c r="A13" s="133"/>
      <c r="B13" s="245" t="str">
        <f>'T_Stock_TOTAL_&amp;_City'!B13</f>
        <v>Ethanol</v>
      </c>
      <c r="C13" s="245" t="s">
        <v>304</v>
      </c>
      <c r="D13" s="940">
        <v>33839</v>
      </c>
      <c r="E13" s="797"/>
      <c r="F13" s="797"/>
      <c r="G13" s="797"/>
      <c r="H13" s="797"/>
      <c r="I13" s="797"/>
      <c r="J13" s="797"/>
      <c r="K13" s="797"/>
      <c r="L13" s="797"/>
      <c r="M13" s="797"/>
      <c r="N13" s="797"/>
      <c r="O13" s="797"/>
      <c r="P13" s="797"/>
      <c r="Q13" s="797"/>
      <c r="R13" s="797"/>
      <c r="S13" s="679">
        <f t="shared" si="5"/>
        <v>33839</v>
      </c>
      <c r="U13" s="311">
        <f>'T_Stock_TOTAL_&amp;_City'!U13-'T_Stock_TOTAL_&amp;_City'!V13</f>
        <v>0</v>
      </c>
      <c r="W13" s="908">
        <f t="shared" si="6"/>
        <v>0</v>
      </c>
      <c r="X13" s="908">
        <f t="shared" si="3"/>
        <v>0</v>
      </c>
      <c r="Y13" s="908">
        <f t="shared" si="3"/>
        <v>0</v>
      </c>
      <c r="Z13" s="908">
        <f t="shared" si="3"/>
        <v>0</v>
      </c>
      <c r="AA13" s="908">
        <f t="shared" si="3"/>
        <v>0</v>
      </c>
      <c r="AB13" s="908">
        <f t="shared" si="3"/>
        <v>0</v>
      </c>
      <c r="AC13" s="908">
        <f t="shared" si="3"/>
        <v>0</v>
      </c>
      <c r="AD13" s="908">
        <f t="shared" si="3"/>
        <v>0</v>
      </c>
      <c r="AE13" s="908">
        <f t="shared" si="3"/>
        <v>0</v>
      </c>
      <c r="AF13" s="908">
        <f t="shared" si="3"/>
        <v>0</v>
      </c>
      <c r="AG13" s="908">
        <f t="shared" si="3"/>
        <v>0</v>
      </c>
      <c r="AH13" s="908">
        <f t="shared" si="3"/>
        <v>0</v>
      </c>
      <c r="AI13" s="908">
        <f t="shared" si="3"/>
        <v>0</v>
      </c>
      <c r="AJ13" s="908">
        <f t="shared" si="3"/>
        <v>0</v>
      </c>
      <c r="AK13" s="908">
        <f t="shared" si="3"/>
        <v>0</v>
      </c>
      <c r="AL13" s="531">
        <f t="shared" si="4"/>
        <v>0</v>
      </c>
      <c r="AN13" s="797">
        <v>153</v>
      </c>
      <c r="AO13" s="797">
        <v>45</v>
      </c>
      <c r="AP13" s="797">
        <v>82</v>
      </c>
      <c r="AQ13" s="797">
        <v>151</v>
      </c>
      <c r="AR13" s="797">
        <v>56</v>
      </c>
      <c r="AS13" s="797">
        <v>39</v>
      </c>
      <c r="AT13" s="797">
        <v>99</v>
      </c>
      <c r="AU13" s="797">
        <v>27</v>
      </c>
      <c r="AV13" s="797">
        <v>21</v>
      </c>
      <c r="AW13" s="797">
        <v>184</v>
      </c>
      <c r="AX13" s="797">
        <v>85</v>
      </c>
      <c r="AY13" s="797">
        <v>46</v>
      </c>
      <c r="AZ13" s="797">
        <v>3204</v>
      </c>
      <c r="BA13" s="797">
        <v>310</v>
      </c>
      <c r="BB13" s="797">
        <v>1597</v>
      </c>
      <c r="BC13" s="15">
        <f t="shared" si="7"/>
        <v>6099</v>
      </c>
    </row>
    <row r="14" spans="1:55" x14ac:dyDescent="0.3">
      <c r="A14" s="133"/>
      <c r="B14" s="245" t="str">
        <f>'T_Stock_TOTAL_&amp;_City'!B14</f>
        <v>Gas (CNG)</v>
      </c>
      <c r="C14" s="245" t="s">
        <v>305</v>
      </c>
      <c r="D14" s="940">
        <v>10563</v>
      </c>
      <c r="E14" s="797"/>
      <c r="F14" s="797"/>
      <c r="G14" s="797"/>
      <c r="H14" s="797"/>
      <c r="I14" s="797"/>
      <c r="J14" s="797"/>
      <c r="K14" s="797"/>
      <c r="L14" s="797"/>
      <c r="M14" s="797"/>
      <c r="N14" s="797"/>
      <c r="O14" s="797"/>
      <c r="P14" s="797"/>
      <c r="Q14" s="797"/>
      <c r="R14" s="797"/>
      <c r="S14" s="679">
        <f t="shared" si="5"/>
        <v>10563</v>
      </c>
      <c r="U14" s="311">
        <f>'T_Stock_TOTAL_&amp;_City'!U14-'T_Stock_TOTAL_&amp;_City'!V14</f>
        <v>0</v>
      </c>
      <c r="W14" s="908">
        <f t="shared" si="6"/>
        <v>0</v>
      </c>
      <c r="X14" s="908">
        <f t="shared" si="3"/>
        <v>0</v>
      </c>
      <c r="Y14" s="908">
        <f t="shared" si="3"/>
        <v>0</v>
      </c>
      <c r="Z14" s="908">
        <f t="shared" si="3"/>
        <v>0</v>
      </c>
      <c r="AA14" s="908">
        <f t="shared" si="3"/>
        <v>0</v>
      </c>
      <c r="AB14" s="908">
        <f t="shared" si="3"/>
        <v>0</v>
      </c>
      <c r="AC14" s="908">
        <f t="shared" si="3"/>
        <v>0</v>
      </c>
      <c r="AD14" s="908">
        <f t="shared" si="3"/>
        <v>0</v>
      </c>
      <c r="AE14" s="908">
        <f t="shared" si="3"/>
        <v>0</v>
      </c>
      <c r="AF14" s="908">
        <f t="shared" si="3"/>
        <v>0</v>
      </c>
      <c r="AG14" s="908">
        <f t="shared" si="3"/>
        <v>0</v>
      </c>
      <c r="AH14" s="908">
        <f t="shared" si="3"/>
        <v>0</v>
      </c>
      <c r="AI14" s="908">
        <f t="shared" si="3"/>
        <v>0</v>
      </c>
      <c r="AJ14" s="908">
        <f t="shared" si="3"/>
        <v>0</v>
      </c>
      <c r="AK14" s="908">
        <f t="shared" si="3"/>
        <v>0</v>
      </c>
      <c r="AL14" s="531">
        <f t="shared" si="4"/>
        <v>0</v>
      </c>
      <c r="AN14" s="797">
        <v>3</v>
      </c>
      <c r="AO14" s="797">
        <v>1</v>
      </c>
      <c r="AP14" s="797">
        <v>0</v>
      </c>
      <c r="AQ14" s="797">
        <v>1</v>
      </c>
      <c r="AR14" s="797">
        <v>1</v>
      </c>
      <c r="AS14" s="797">
        <v>0</v>
      </c>
      <c r="AT14" s="797">
        <v>1</v>
      </c>
      <c r="AU14" s="797">
        <v>0</v>
      </c>
      <c r="AV14" s="797">
        <v>0</v>
      </c>
      <c r="AW14" s="797">
        <v>2</v>
      </c>
      <c r="AX14" s="797">
        <v>1</v>
      </c>
      <c r="AY14" s="797">
        <v>0</v>
      </c>
      <c r="AZ14" s="797">
        <v>57</v>
      </c>
      <c r="BA14" s="797">
        <v>2</v>
      </c>
      <c r="BB14" s="797">
        <v>314</v>
      </c>
      <c r="BC14" s="15">
        <f t="shared" si="7"/>
        <v>383</v>
      </c>
    </row>
    <row r="15" spans="1:55" x14ac:dyDescent="0.3">
      <c r="A15" s="133"/>
      <c r="B15" s="245" t="str">
        <f>'T_Stock_TOTAL_&amp;_City'!B15</f>
        <v>Gasoline</v>
      </c>
      <c r="C15" s="245" t="s">
        <v>306</v>
      </c>
      <c r="D15" s="940">
        <v>357404</v>
      </c>
      <c r="E15" s="797"/>
      <c r="F15" s="797"/>
      <c r="G15" s="797"/>
      <c r="H15" s="797"/>
      <c r="I15" s="797"/>
      <c r="J15" s="797"/>
      <c r="K15" s="797"/>
      <c r="L15" s="797"/>
      <c r="M15" s="797"/>
      <c r="N15" s="797"/>
      <c r="O15" s="797"/>
      <c r="P15" s="797"/>
      <c r="Q15" s="797"/>
      <c r="R15" s="797"/>
      <c r="S15" s="679">
        <f t="shared" si="5"/>
        <v>357404</v>
      </c>
      <c r="U15" s="311">
        <f>'T_Stock_TOTAL_&amp;_City'!U15-'T_Stock_TOTAL_&amp;_City'!V15</f>
        <v>0</v>
      </c>
      <c r="W15" s="908">
        <f t="shared" si="6"/>
        <v>0</v>
      </c>
      <c r="X15" s="908">
        <f t="shared" si="3"/>
        <v>0</v>
      </c>
      <c r="Y15" s="908">
        <f t="shared" si="3"/>
        <v>0</v>
      </c>
      <c r="Z15" s="908">
        <f t="shared" si="3"/>
        <v>0</v>
      </c>
      <c r="AA15" s="908">
        <f t="shared" si="3"/>
        <v>0</v>
      </c>
      <c r="AB15" s="908">
        <f t="shared" si="3"/>
        <v>0</v>
      </c>
      <c r="AC15" s="908">
        <f t="shared" si="3"/>
        <v>0</v>
      </c>
      <c r="AD15" s="908">
        <f t="shared" si="3"/>
        <v>0</v>
      </c>
      <c r="AE15" s="908">
        <f t="shared" si="3"/>
        <v>0</v>
      </c>
      <c r="AF15" s="908">
        <f t="shared" si="3"/>
        <v>0</v>
      </c>
      <c r="AG15" s="908">
        <f t="shared" si="3"/>
        <v>0</v>
      </c>
      <c r="AH15" s="908">
        <f t="shared" si="3"/>
        <v>0</v>
      </c>
      <c r="AI15" s="908">
        <f t="shared" si="3"/>
        <v>0</v>
      </c>
      <c r="AJ15" s="908">
        <f t="shared" si="3"/>
        <v>0</v>
      </c>
      <c r="AK15" s="908">
        <f t="shared" si="3"/>
        <v>0</v>
      </c>
      <c r="AL15" s="531">
        <f t="shared" si="4"/>
        <v>0</v>
      </c>
      <c r="AN15" s="797">
        <v>2562</v>
      </c>
      <c r="AO15" s="797">
        <v>929</v>
      </c>
      <c r="AP15" s="797">
        <v>2083</v>
      </c>
      <c r="AQ15" s="797">
        <v>2433</v>
      </c>
      <c r="AR15" s="797">
        <v>1489</v>
      </c>
      <c r="AS15" s="797">
        <v>1047</v>
      </c>
      <c r="AT15" s="797">
        <v>2349</v>
      </c>
      <c r="AU15" s="797">
        <v>928</v>
      </c>
      <c r="AV15" s="797">
        <v>1154</v>
      </c>
      <c r="AW15" s="797">
        <v>3100</v>
      </c>
      <c r="AX15" s="797">
        <v>2545</v>
      </c>
      <c r="AY15" s="797">
        <v>1139</v>
      </c>
      <c r="AZ15" s="797">
        <v>33577</v>
      </c>
      <c r="BA15" s="797">
        <v>4613</v>
      </c>
      <c r="BB15" s="797">
        <v>25175</v>
      </c>
      <c r="BC15" s="15">
        <f t="shared" si="7"/>
        <v>85123</v>
      </c>
    </row>
    <row r="16" spans="1:55" x14ac:dyDescent="0.3">
      <c r="A16" s="133"/>
      <c r="B16" s="245" t="str">
        <f>'T_Stock_TOTAL_&amp;_City'!B16</f>
        <v>Hybrid Electric - diesel</v>
      </c>
      <c r="C16" s="245" t="s">
        <v>307</v>
      </c>
      <c r="D16" s="940">
        <v>0</v>
      </c>
      <c r="E16" s="797"/>
      <c r="F16" s="797"/>
      <c r="G16" s="797"/>
      <c r="H16" s="797"/>
      <c r="I16" s="797"/>
      <c r="J16" s="797"/>
      <c r="K16" s="797"/>
      <c r="L16" s="797"/>
      <c r="M16" s="797"/>
      <c r="N16" s="797"/>
      <c r="O16" s="797"/>
      <c r="P16" s="797"/>
      <c r="Q16" s="797"/>
      <c r="R16" s="797"/>
      <c r="S16" s="679">
        <f t="shared" si="5"/>
        <v>0</v>
      </c>
      <c r="U16" s="311">
        <f>'T_Stock_TOTAL_&amp;_City'!U16-'T_Stock_TOTAL_&amp;_City'!V16</f>
        <v>0</v>
      </c>
      <c r="W16" s="908">
        <f t="shared" si="6"/>
        <v>0</v>
      </c>
      <c r="X16" s="908">
        <f t="shared" si="3"/>
        <v>0</v>
      </c>
      <c r="Y16" s="908">
        <f t="shared" si="3"/>
        <v>0</v>
      </c>
      <c r="Z16" s="908">
        <f t="shared" si="3"/>
        <v>0</v>
      </c>
      <c r="AA16" s="908">
        <f t="shared" si="3"/>
        <v>0</v>
      </c>
      <c r="AB16" s="908">
        <f t="shared" si="3"/>
        <v>0</v>
      </c>
      <c r="AC16" s="908">
        <f t="shared" si="3"/>
        <v>0</v>
      </c>
      <c r="AD16" s="908">
        <f t="shared" si="3"/>
        <v>0</v>
      </c>
      <c r="AE16" s="908">
        <f t="shared" si="3"/>
        <v>0</v>
      </c>
      <c r="AF16" s="908">
        <f t="shared" si="3"/>
        <v>0</v>
      </c>
      <c r="AG16" s="908">
        <f t="shared" si="3"/>
        <v>0</v>
      </c>
      <c r="AH16" s="908">
        <f t="shared" si="3"/>
        <v>0</v>
      </c>
      <c r="AI16" s="908">
        <f t="shared" si="3"/>
        <v>0</v>
      </c>
      <c r="AJ16" s="908">
        <f t="shared" si="3"/>
        <v>0</v>
      </c>
      <c r="AK16" s="908">
        <f t="shared" si="3"/>
        <v>0</v>
      </c>
      <c r="AL16" s="531">
        <f t="shared" si="4"/>
        <v>0</v>
      </c>
      <c r="AN16" s="797">
        <v>0</v>
      </c>
      <c r="AO16" s="797">
        <v>0</v>
      </c>
      <c r="AP16" s="797">
        <v>0</v>
      </c>
      <c r="AQ16" s="797">
        <v>0</v>
      </c>
      <c r="AR16" s="797">
        <v>0</v>
      </c>
      <c r="AS16" s="797">
        <v>0</v>
      </c>
      <c r="AT16" s="797">
        <v>0</v>
      </c>
      <c r="AU16" s="797">
        <v>0</v>
      </c>
      <c r="AV16" s="797">
        <v>0</v>
      </c>
      <c r="AW16" s="797">
        <v>0</v>
      </c>
      <c r="AX16" s="797">
        <v>0</v>
      </c>
      <c r="AY16" s="797">
        <v>0</v>
      </c>
      <c r="AZ16" s="797">
        <v>0</v>
      </c>
      <c r="BA16" s="797">
        <v>0</v>
      </c>
      <c r="BB16" s="797">
        <v>0</v>
      </c>
      <c r="BC16" s="15">
        <f t="shared" si="7"/>
        <v>0</v>
      </c>
    </row>
    <row r="17" spans="1:55" x14ac:dyDescent="0.3">
      <c r="A17" s="133"/>
      <c r="B17" s="245" t="str">
        <f>'T_Stock_TOTAL_&amp;_City'!B17</f>
        <v>Hybrid Electric - gasoline</v>
      </c>
      <c r="C17" s="245" t="s">
        <v>308</v>
      </c>
      <c r="D17" s="940">
        <v>0</v>
      </c>
      <c r="E17" s="797"/>
      <c r="F17" s="797"/>
      <c r="G17" s="797"/>
      <c r="H17" s="797"/>
      <c r="I17" s="797"/>
      <c r="J17" s="797"/>
      <c r="K17" s="797"/>
      <c r="L17" s="797"/>
      <c r="M17" s="797"/>
      <c r="N17" s="797"/>
      <c r="O17" s="797"/>
      <c r="P17" s="797"/>
      <c r="Q17" s="797"/>
      <c r="R17" s="797"/>
      <c r="S17" s="679">
        <f t="shared" si="5"/>
        <v>0</v>
      </c>
      <c r="U17" s="311">
        <f>'T_Stock_TOTAL_&amp;_City'!U17-'T_Stock_TOTAL_&amp;_City'!V17</f>
        <v>0</v>
      </c>
      <c r="W17" s="908">
        <f t="shared" si="6"/>
        <v>0</v>
      </c>
      <c r="X17" s="908">
        <f t="shared" si="3"/>
        <v>0</v>
      </c>
      <c r="Y17" s="908">
        <f t="shared" si="3"/>
        <v>0</v>
      </c>
      <c r="Z17" s="908">
        <f t="shared" si="3"/>
        <v>0</v>
      </c>
      <c r="AA17" s="908">
        <f t="shared" si="3"/>
        <v>0</v>
      </c>
      <c r="AB17" s="908">
        <f t="shared" si="3"/>
        <v>0</v>
      </c>
      <c r="AC17" s="908">
        <f t="shared" si="3"/>
        <v>0</v>
      </c>
      <c r="AD17" s="908">
        <f t="shared" si="3"/>
        <v>0</v>
      </c>
      <c r="AE17" s="908">
        <f t="shared" si="3"/>
        <v>0</v>
      </c>
      <c r="AF17" s="908">
        <f t="shared" si="3"/>
        <v>0</v>
      </c>
      <c r="AG17" s="908">
        <f t="shared" si="3"/>
        <v>0</v>
      </c>
      <c r="AH17" s="908">
        <f t="shared" si="3"/>
        <v>0</v>
      </c>
      <c r="AI17" s="908">
        <f t="shared" si="3"/>
        <v>0</v>
      </c>
      <c r="AJ17" s="908">
        <f t="shared" si="3"/>
        <v>0</v>
      </c>
      <c r="AK17" s="908">
        <f t="shared" si="3"/>
        <v>0</v>
      </c>
      <c r="AL17" s="531">
        <f t="shared" si="4"/>
        <v>0</v>
      </c>
      <c r="AN17" s="797">
        <v>7</v>
      </c>
      <c r="AO17" s="797">
        <v>5</v>
      </c>
      <c r="AP17" s="797">
        <v>3</v>
      </c>
      <c r="AQ17" s="797">
        <v>12</v>
      </c>
      <c r="AR17" s="797">
        <v>1</v>
      </c>
      <c r="AS17" s="797">
        <v>1</v>
      </c>
      <c r="AT17" s="797">
        <v>1</v>
      </c>
      <c r="AU17" s="797">
        <v>0</v>
      </c>
      <c r="AV17" s="797">
        <v>1</v>
      </c>
      <c r="AW17" s="797">
        <v>14</v>
      </c>
      <c r="AX17" s="797">
        <v>2</v>
      </c>
      <c r="AY17" s="797">
        <v>1</v>
      </c>
      <c r="AZ17" s="797">
        <v>483</v>
      </c>
      <c r="BA17" s="797">
        <v>13</v>
      </c>
      <c r="BB17" s="797">
        <v>122</v>
      </c>
      <c r="BC17" s="15">
        <f t="shared" si="7"/>
        <v>666</v>
      </c>
    </row>
    <row r="18" spans="1:55" x14ac:dyDescent="0.3">
      <c r="A18" s="133"/>
      <c r="B18" s="245" t="str">
        <f>'T_Stock_TOTAL_&amp;_City'!B18</f>
        <v>LPG</v>
      </c>
      <c r="C18" s="245" t="s">
        <v>309</v>
      </c>
      <c r="D18" s="940">
        <f>$U98*W98</f>
        <v>0</v>
      </c>
      <c r="E18" s="797"/>
      <c r="F18" s="797"/>
      <c r="G18" s="797"/>
      <c r="H18" s="797"/>
      <c r="I18" s="797"/>
      <c r="J18" s="797"/>
      <c r="K18" s="797"/>
      <c r="L18" s="797"/>
      <c r="M18" s="797"/>
      <c r="N18" s="797"/>
      <c r="O18" s="797"/>
      <c r="P18" s="797"/>
      <c r="Q18" s="797"/>
      <c r="R18" s="797"/>
      <c r="S18" s="679">
        <f t="shared" si="5"/>
        <v>0</v>
      </c>
      <c r="U18" s="311">
        <f>'T_Stock_TOTAL_&amp;_City'!U18-'T_Stock_TOTAL_&amp;_City'!V18</f>
        <v>0</v>
      </c>
      <c r="W18" s="908">
        <f t="shared" si="6"/>
        <v>0</v>
      </c>
      <c r="X18" s="908">
        <f t="shared" si="3"/>
        <v>0</v>
      </c>
      <c r="Y18" s="908">
        <f t="shared" si="3"/>
        <v>0</v>
      </c>
      <c r="Z18" s="908">
        <f t="shared" si="3"/>
        <v>0</v>
      </c>
      <c r="AA18" s="908">
        <f t="shared" si="3"/>
        <v>0</v>
      </c>
      <c r="AB18" s="908">
        <f t="shared" si="3"/>
        <v>0</v>
      </c>
      <c r="AC18" s="908">
        <f t="shared" si="3"/>
        <v>0</v>
      </c>
      <c r="AD18" s="908">
        <f t="shared" si="3"/>
        <v>0</v>
      </c>
      <c r="AE18" s="908">
        <f t="shared" si="3"/>
        <v>0</v>
      </c>
      <c r="AF18" s="908">
        <f t="shared" si="3"/>
        <v>0</v>
      </c>
      <c r="AG18" s="908">
        <f t="shared" si="3"/>
        <v>0</v>
      </c>
      <c r="AH18" s="908">
        <f t="shared" si="3"/>
        <v>0</v>
      </c>
      <c r="AI18" s="908">
        <f t="shared" si="3"/>
        <v>0</v>
      </c>
      <c r="AJ18" s="908">
        <f t="shared" si="3"/>
        <v>0</v>
      </c>
      <c r="AK18" s="908">
        <f t="shared" si="3"/>
        <v>0</v>
      </c>
      <c r="AL18" s="531">
        <f t="shared" si="4"/>
        <v>0</v>
      </c>
      <c r="AN18" s="797">
        <v>0</v>
      </c>
      <c r="AO18" s="797">
        <v>0</v>
      </c>
      <c r="AP18" s="797">
        <v>0</v>
      </c>
      <c r="AQ18" s="797">
        <v>0</v>
      </c>
      <c r="AR18" s="797">
        <v>0</v>
      </c>
      <c r="AS18" s="797">
        <v>0</v>
      </c>
      <c r="AT18" s="797">
        <v>0</v>
      </c>
      <c r="AU18" s="797">
        <v>0</v>
      </c>
      <c r="AV18" s="797">
        <v>0</v>
      </c>
      <c r="AW18" s="797">
        <v>0</v>
      </c>
      <c r="AX18" s="797">
        <v>0</v>
      </c>
      <c r="AY18" s="797">
        <v>0</v>
      </c>
      <c r="AZ18" s="797">
        <v>0</v>
      </c>
      <c r="BA18" s="797">
        <v>0</v>
      </c>
      <c r="BB18" s="797">
        <v>0</v>
      </c>
      <c r="BC18" s="15">
        <f t="shared" si="7"/>
        <v>0</v>
      </c>
    </row>
    <row r="19" spans="1:55" x14ac:dyDescent="0.3">
      <c r="A19" s="133"/>
      <c r="B19" s="245" t="str">
        <f>'T_Stock_TOTAL_&amp;_City'!B19</f>
        <v>Plugin Hybrid Electric - diesel</v>
      </c>
      <c r="C19" s="245" t="s">
        <v>310</v>
      </c>
      <c r="D19" s="940">
        <v>0</v>
      </c>
      <c r="E19" s="797"/>
      <c r="F19" s="797"/>
      <c r="G19" s="797"/>
      <c r="H19" s="797"/>
      <c r="I19" s="797"/>
      <c r="J19" s="797"/>
      <c r="K19" s="797"/>
      <c r="L19" s="797"/>
      <c r="M19" s="797"/>
      <c r="N19" s="797"/>
      <c r="O19" s="797"/>
      <c r="P19" s="797"/>
      <c r="Q19" s="797"/>
      <c r="R19" s="797"/>
      <c r="S19" s="679">
        <f t="shared" si="5"/>
        <v>0</v>
      </c>
      <c r="U19" s="311">
        <f>'T_Stock_TOTAL_&amp;_City'!U19-'T_Stock_TOTAL_&amp;_City'!V19</f>
        <v>0</v>
      </c>
      <c r="W19" s="908">
        <f t="shared" si="6"/>
        <v>0</v>
      </c>
      <c r="X19" s="908">
        <f t="shared" si="3"/>
        <v>0</v>
      </c>
      <c r="Y19" s="908">
        <f t="shared" si="3"/>
        <v>0</v>
      </c>
      <c r="Z19" s="908">
        <f t="shared" si="3"/>
        <v>0</v>
      </c>
      <c r="AA19" s="908">
        <f t="shared" si="3"/>
        <v>0</v>
      </c>
      <c r="AB19" s="908">
        <f t="shared" si="3"/>
        <v>0</v>
      </c>
      <c r="AC19" s="908">
        <f t="shared" si="3"/>
        <v>0</v>
      </c>
      <c r="AD19" s="908">
        <f t="shared" si="3"/>
        <v>0</v>
      </c>
      <c r="AE19" s="908">
        <f t="shared" si="3"/>
        <v>0</v>
      </c>
      <c r="AF19" s="908">
        <f t="shared" si="3"/>
        <v>0</v>
      </c>
      <c r="AG19" s="908">
        <f t="shared" si="3"/>
        <v>0</v>
      </c>
      <c r="AH19" s="908">
        <f t="shared" si="3"/>
        <v>0</v>
      </c>
      <c r="AI19" s="908">
        <f t="shared" si="3"/>
        <v>0</v>
      </c>
      <c r="AJ19" s="908">
        <f t="shared" si="3"/>
        <v>0</v>
      </c>
      <c r="AK19" s="908">
        <f t="shared" si="3"/>
        <v>0</v>
      </c>
      <c r="AL19" s="531">
        <f t="shared" si="4"/>
        <v>0</v>
      </c>
      <c r="AN19" s="797">
        <v>0</v>
      </c>
      <c r="AO19" s="797">
        <v>0</v>
      </c>
      <c r="AP19" s="797">
        <v>0</v>
      </c>
      <c r="AQ19" s="797">
        <v>0</v>
      </c>
      <c r="AR19" s="797">
        <v>0</v>
      </c>
      <c r="AS19" s="797">
        <v>0</v>
      </c>
      <c r="AT19" s="797">
        <v>0</v>
      </c>
      <c r="AU19" s="797">
        <v>0</v>
      </c>
      <c r="AV19" s="797">
        <v>0</v>
      </c>
      <c r="AW19" s="797">
        <v>0</v>
      </c>
      <c r="AX19" s="797">
        <v>0</v>
      </c>
      <c r="AY19" s="797">
        <v>0</v>
      </c>
      <c r="AZ19" s="797">
        <v>0</v>
      </c>
      <c r="BA19" s="797">
        <v>0</v>
      </c>
      <c r="BB19" s="797">
        <v>0</v>
      </c>
      <c r="BC19" s="15">
        <f t="shared" si="7"/>
        <v>0</v>
      </c>
    </row>
    <row r="20" spans="1:55" x14ac:dyDescent="0.3">
      <c r="A20" s="133"/>
      <c r="B20" s="245" t="str">
        <f>'T_Stock_TOTAL_&amp;_City'!B20</f>
        <v>Plugin Hybrid Electric - gasoline</v>
      </c>
      <c r="C20" s="245" t="s">
        <v>311</v>
      </c>
      <c r="D20" s="940">
        <v>0</v>
      </c>
      <c r="E20" s="797"/>
      <c r="F20" s="797"/>
      <c r="G20" s="797"/>
      <c r="H20" s="797"/>
      <c r="I20" s="797"/>
      <c r="J20" s="797"/>
      <c r="K20" s="797"/>
      <c r="L20" s="797"/>
      <c r="M20" s="797"/>
      <c r="N20" s="797"/>
      <c r="O20" s="797"/>
      <c r="P20" s="797"/>
      <c r="Q20" s="797"/>
      <c r="R20" s="797"/>
      <c r="S20" s="679">
        <f t="shared" si="5"/>
        <v>0</v>
      </c>
      <c r="U20" s="311">
        <f>'T_Stock_TOTAL_&amp;_City'!U20-'T_Stock_TOTAL_&amp;_City'!V20</f>
        <v>0</v>
      </c>
      <c r="W20" s="908">
        <f t="shared" si="6"/>
        <v>0</v>
      </c>
      <c r="X20" s="908">
        <f t="shared" si="3"/>
        <v>0</v>
      </c>
      <c r="Y20" s="908">
        <f t="shared" si="3"/>
        <v>0</v>
      </c>
      <c r="Z20" s="908">
        <f t="shared" si="3"/>
        <v>0</v>
      </c>
      <c r="AA20" s="908">
        <f t="shared" si="3"/>
        <v>0</v>
      </c>
      <c r="AB20" s="908">
        <f t="shared" si="3"/>
        <v>0</v>
      </c>
      <c r="AC20" s="908">
        <f t="shared" si="3"/>
        <v>0</v>
      </c>
      <c r="AD20" s="908">
        <f t="shared" si="3"/>
        <v>0</v>
      </c>
      <c r="AE20" s="908">
        <f t="shared" si="3"/>
        <v>0</v>
      </c>
      <c r="AF20" s="908">
        <f t="shared" si="3"/>
        <v>0</v>
      </c>
      <c r="AG20" s="908">
        <f t="shared" si="3"/>
        <v>0</v>
      </c>
      <c r="AH20" s="908">
        <f t="shared" si="3"/>
        <v>0</v>
      </c>
      <c r="AI20" s="908">
        <f t="shared" si="3"/>
        <v>0</v>
      </c>
      <c r="AJ20" s="908">
        <f t="shared" si="3"/>
        <v>0</v>
      </c>
      <c r="AK20" s="908">
        <f t="shared" si="3"/>
        <v>0</v>
      </c>
      <c r="AL20" s="531">
        <f t="shared" si="4"/>
        <v>0</v>
      </c>
      <c r="AN20" s="797">
        <v>0</v>
      </c>
      <c r="AO20" s="797">
        <v>0</v>
      </c>
      <c r="AP20" s="797">
        <v>2</v>
      </c>
      <c r="AQ20" s="797">
        <v>1</v>
      </c>
      <c r="AR20" s="797">
        <v>2</v>
      </c>
      <c r="AS20" s="797">
        <v>0</v>
      </c>
      <c r="AT20" s="797">
        <v>2</v>
      </c>
      <c r="AU20" s="797">
        <v>0</v>
      </c>
      <c r="AV20" s="797">
        <v>0</v>
      </c>
      <c r="AW20" s="797">
        <v>0</v>
      </c>
      <c r="AX20" s="797">
        <v>5</v>
      </c>
      <c r="AY20" s="797">
        <v>1</v>
      </c>
      <c r="AZ20" s="797">
        <v>64</v>
      </c>
      <c r="BA20" s="797">
        <v>4</v>
      </c>
      <c r="BB20" s="797">
        <v>17</v>
      </c>
      <c r="BC20" s="15">
        <f t="shared" si="7"/>
        <v>98</v>
      </c>
    </row>
    <row r="21" spans="1:55" x14ac:dyDescent="0.3">
      <c r="A21" s="133"/>
      <c r="B21" s="250" t="str">
        <f>'T_Stock_TOTAL_&amp;_City'!B21</f>
        <v>Other</v>
      </c>
      <c r="C21" s="250"/>
      <c r="D21" s="444">
        <f t="shared" ref="D21" si="8">$U21*W21</f>
        <v>0</v>
      </c>
      <c r="E21" s="444">
        <f t="shared" ref="E21" si="9">$U21*X21</f>
        <v>0</v>
      </c>
      <c r="F21" s="444">
        <f t="shared" ref="F21" si="10">$U21*Y21</f>
        <v>0</v>
      </c>
      <c r="G21" s="444">
        <f t="shared" ref="G21" si="11">$U21*Z21</f>
        <v>0</v>
      </c>
      <c r="H21" s="444">
        <f t="shared" ref="H21" si="12">$U21*AA21</f>
        <v>0</v>
      </c>
      <c r="I21" s="444">
        <f t="shared" ref="I21" si="13">$U21*AB21</f>
        <v>0</v>
      </c>
      <c r="J21" s="444">
        <f t="shared" ref="J21" si="14">$U21*AC21</f>
        <v>0</v>
      </c>
      <c r="K21" s="444">
        <f t="shared" ref="K21" si="15">$U21*AD21</f>
        <v>0</v>
      </c>
      <c r="L21" s="444">
        <f t="shared" ref="L21" si="16">$U21*AE21</f>
        <v>0</v>
      </c>
      <c r="M21" s="444">
        <f t="shared" ref="M21" si="17">$U21*AF21</f>
        <v>0</v>
      </c>
      <c r="N21" s="444">
        <f t="shared" ref="N21" si="18">$U21*AG21</f>
        <v>0</v>
      </c>
      <c r="O21" s="444">
        <f t="shared" ref="O21" si="19">$U21*AH21</f>
        <v>0</v>
      </c>
      <c r="P21" s="444">
        <f t="shared" ref="P21" si="20">$U21*AI21</f>
        <v>0</v>
      </c>
      <c r="Q21" s="444">
        <f t="shared" ref="Q21" si="21">$U21*AJ21</f>
        <v>0</v>
      </c>
      <c r="R21" s="444">
        <f t="shared" ref="R21" si="22">$U21*AK21</f>
        <v>0</v>
      </c>
      <c r="S21" s="444">
        <f t="shared" ref="S21" si="23">$U21*AL21</f>
        <v>0</v>
      </c>
      <c r="U21" s="335">
        <f>'T_Stock_TOTAL_&amp;_City'!U21-'T_Stock_TOTAL_&amp;_City'!V21</f>
        <v>0</v>
      </c>
      <c r="W21" s="908">
        <f t="shared" si="6"/>
        <v>0</v>
      </c>
      <c r="X21" s="908">
        <f t="shared" si="3"/>
        <v>0</v>
      </c>
      <c r="Y21" s="908">
        <f t="shared" si="3"/>
        <v>0</v>
      </c>
      <c r="Z21" s="908">
        <f t="shared" si="3"/>
        <v>0</v>
      </c>
      <c r="AA21" s="908">
        <f t="shared" si="3"/>
        <v>0</v>
      </c>
      <c r="AB21" s="908">
        <f t="shared" si="3"/>
        <v>0</v>
      </c>
      <c r="AC21" s="908">
        <f t="shared" si="3"/>
        <v>0</v>
      </c>
      <c r="AD21" s="908">
        <f t="shared" si="3"/>
        <v>0</v>
      </c>
      <c r="AE21" s="908">
        <f t="shared" si="3"/>
        <v>0</v>
      </c>
      <c r="AF21" s="908">
        <f t="shared" si="3"/>
        <v>0</v>
      </c>
      <c r="AG21" s="908">
        <f t="shared" si="3"/>
        <v>0</v>
      </c>
      <c r="AH21" s="908">
        <f t="shared" si="3"/>
        <v>0</v>
      </c>
      <c r="AI21" s="908">
        <f t="shared" si="3"/>
        <v>0</v>
      </c>
      <c r="AJ21" s="908">
        <f t="shared" si="3"/>
        <v>0</v>
      </c>
      <c r="AK21" s="908">
        <f t="shared" si="3"/>
        <v>0</v>
      </c>
      <c r="AL21" s="531">
        <f t="shared" si="4"/>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3">
      <c r="A22" s="133"/>
      <c r="B22" s="477" t="s">
        <v>119</v>
      </c>
      <c r="C22" s="477"/>
      <c r="D22" s="827">
        <f>SUM(D10:D21)</f>
        <v>735820</v>
      </c>
      <c r="E22" s="827">
        <f t="shared" ref="E22:S22" si="25">SUM(E10:E21)</f>
        <v>0</v>
      </c>
      <c r="F22" s="827">
        <f t="shared" si="25"/>
        <v>0</v>
      </c>
      <c r="G22" s="827">
        <f t="shared" si="25"/>
        <v>0</v>
      </c>
      <c r="H22" s="827">
        <f t="shared" si="25"/>
        <v>0</v>
      </c>
      <c r="I22" s="827">
        <f t="shared" si="25"/>
        <v>0</v>
      </c>
      <c r="J22" s="827">
        <f t="shared" si="25"/>
        <v>0</v>
      </c>
      <c r="K22" s="827">
        <f t="shared" si="25"/>
        <v>0</v>
      </c>
      <c r="L22" s="827">
        <f t="shared" si="25"/>
        <v>0</v>
      </c>
      <c r="M22" s="827">
        <f t="shared" si="25"/>
        <v>0</v>
      </c>
      <c r="N22" s="827">
        <f t="shared" si="25"/>
        <v>0</v>
      </c>
      <c r="O22" s="827">
        <f t="shared" si="25"/>
        <v>0</v>
      </c>
      <c r="P22" s="827">
        <f t="shared" si="25"/>
        <v>0</v>
      </c>
      <c r="Q22" s="827">
        <f t="shared" si="25"/>
        <v>0</v>
      </c>
      <c r="R22" s="827">
        <f t="shared" si="25"/>
        <v>0</v>
      </c>
      <c r="S22" s="827">
        <f t="shared" si="25"/>
        <v>735820</v>
      </c>
      <c r="U22" s="130">
        <f>SUM(U10:U21)</f>
        <v>0</v>
      </c>
    </row>
    <row r="24" spans="1:55" hidden="1" x14ac:dyDescent="0.3">
      <c r="B24" s="476" t="s">
        <v>312</v>
      </c>
      <c r="C24" s="339"/>
      <c r="D24" s="3"/>
      <c r="U24" s="99"/>
      <c r="W24" s="3" t="s">
        <v>299</v>
      </c>
    </row>
    <row r="25" spans="1:55" hidden="1" x14ac:dyDescent="0.3">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hidden="1" x14ac:dyDescent="0.3">
      <c r="A26" s="133"/>
      <c r="B26" s="245" t="str">
        <f>'T_Stock_TOTAL_&amp;_City'!B26</f>
        <v>Biodiesel</v>
      </c>
      <c r="C26" s="245"/>
      <c r="D26" s="679">
        <f>$U26*W26</f>
        <v>0</v>
      </c>
      <c r="E26" s="679">
        <f t="shared" ref="E26:E37" si="42">$U26*X26</f>
        <v>0</v>
      </c>
      <c r="F26" s="679">
        <f t="shared" ref="F26:F37" si="43">$U26*Y26</f>
        <v>0</v>
      </c>
      <c r="G26" s="679">
        <f t="shared" ref="G26:G37" si="44">$U26*Z26</f>
        <v>0</v>
      </c>
      <c r="H26" s="679">
        <f t="shared" ref="H26:H37" si="45">$U26*AA26</f>
        <v>0</v>
      </c>
      <c r="I26" s="679">
        <f t="shared" ref="I26:I37" si="46">$U26*AB26</f>
        <v>0</v>
      </c>
      <c r="J26" s="679">
        <f t="shared" ref="J26:J37" si="47">$U26*AC26</f>
        <v>0</v>
      </c>
      <c r="K26" s="679">
        <f t="shared" ref="K26:K37" si="48">$U26*AD26</f>
        <v>0</v>
      </c>
      <c r="L26" s="679">
        <f t="shared" ref="L26:L37" si="49">$U26*AE26</f>
        <v>0</v>
      </c>
      <c r="M26" s="679">
        <f t="shared" ref="M26:M37" si="50">$U26*AF26</f>
        <v>0</v>
      </c>
      <c r="N26" s="679">
        <f t="shared" ref="N26:N37" si="51">$U26*AG26</f>
        <v>0</v>
      </c>
      <c r="O26" s="679">
        <f t="shared" ref="O26:O37" si="52">$U26*AH26</f>
        <v>0</v>
      </c>
      <c r="P26" s="679">
        <f t="shared" ref="P26:P37" si="53">$U26*AI26</f>
        <v>0</v>
      </c>
      <c r="Q26" s="679">
        <f t="shared" ref="Q26:Q37" si="54">$U26*AJ26</f>
        <v>0</v>
      </c>
      <c r="R26" s="679">
        <f t="shared" ref="R26:R37" si="55">$U26*AK26</f>
        <v>0</v>
      </c>
      <c r="S26" s="679">
        <f t="shared" ref="S26:S37" si="56">$U26*AL26</f>
        <v>0</v>
      </c>
      <c r="U26" s="311">
        <f>'T_Stock_TOTAL_&amp;_City'!U26</f>
        <v>0</v>
      </c>
      <c r="W26" s="908">
        <f>W$6</f>
        <v>0</v>
      </c>
      <c r="X26" s="908">
        <f t="shared" ref="X26:AK37" si="57">X$6</f>
        <v>0</v>
      </c>
      <c r="Y26" s="908">
        <f t="shared" si="57"/>
        <v>0</v>
      </c>
      <c r="Z26" s="908">
        <f t="shared" si="57"/>
        <v>0</v>
      </c>
      <c r="AA26" s="908">
        <f t="shared" si="57"/>
        <v>0</v>
      </c>
      <c r="AB26" s="908">
        <f t="shared" si="57"/>
        <v>0</v>
      </c>
      <c r="AC26" s="908">
        <f t="shared" si="57"/>
        <v>0</v>
      </c>
      <c r="AD26" s="908">
        <f t="shared" si="57"/>
        <v>0</v>
      </c>
      <c r="AE26" s="908">
        <f t="shared" si="57"/>
        <v>0</v>
      </c>
      <c r="AF26" s="908">
        <f t="shared" si="57"/>
        <v>0</v>
      </c>
      <c r="AG26" s="908">
        <f t="shared" si="57"/>
        <v>0</v>
      </c>
      <c r="AH26" s="908">
        <f t="shared" si="57"/>
        <v>0</v>
      </c>
      <c r="AI26" s="908">
        <f t="shared" si="57"/>
        <v>0</v>
      </c>
      <c r="AJ26" s="908">
        <f t="shared" si="57"/>
        <v>0</v>
      </c>
      <c r="AK26" s="908">
        <f t="shared" si="57"/>
        <v>0</v>
      </c>
      <c r="AL26" s="531">
        <f t="shared" ref="AL26:AL37" si="58">SUM(W26:AK26)</f>
        <v>0</v>
      </c>
    </row>
    <row r="27" spans="1:55" hidden="1" x14ac:dyDescent="0.3">
      <c r="A27" s="133"/>
      <c r="B27" s="245" t="str">
        <f>'T_Stock_TOTAL_&amp;_City'!B27</f>
        <v>Diesel</v>
      </c>
      <c r="C27" s="245" t="s">
        <v>313</v>
      </c>
      <c r="D27" s="679">
        <f t="shared" ref="D27:D37" si="59">$U27*W27</f>
        <v>0</v>
      </c>
      <c r="E27" s="679">
        <f t="shared" si="42"/>
        <v>0</v>
      </c>
      <c r="F27" s="679">
        <f t="shared" si="43"/>
        <v>0</v>
      </c>
      <c r="G27" s="679">
        <f t="shared" si="44"/>
        <v>0</v>
      </c>
      <c r="H27" s="679">
        <f t="shared" si="45"/>
        <v>0</v>
      </c>
      <c r="I27" s="679">
        <f t="shared" si="46"/>
        <v>0</v>
      </c>
      <c r="J27" s="679">
        <f t="shared" si="47"/>
        <v>0</v>
      </c>
      <c r="K27" s="679">
        <f t="shared" si="48"/>
        <v>0</v>
      </c>
      <c r="L27" s="679">
        <f t="shared" si="49"/>
        <v>0</v>
      </c>
      <c r="M27" s="679">
        <f t="shared" si="50"/>
        <v>0</v>
      </c>
      <c r="N27" s="679">
        <f t="shared" si="51"/>
        <v>0</v>
      </c>
      <c r="O27" s="679">
        <f t="shared" si="52"/>
        <v>0</v>
      </c>
      <c r="P27" s="679">
        <f t="shared" si="53"/>
        <v>0</v>
      </c>
      <c r="Q27" s="679">
        <f t="shared" si="54"/>
        <v>0</v>
      </c>
      <c r="R27" s="679">
        <f t="shared" si="55"/>
        <v>0</v>
      </c>
      <c r="S27" s="679">
        <f t="shared" si="56"/>
        <v>0</v>
      </c>
      <c r="U27" s="311">
        <f>'T_Stock_TOTAL_&amp;_City'!U27</f>
        <v>0</v>
      </c>
      <c r="W27" s="908">
        <f t="shared" ref="W27:W37" si="60">W$6</f>
        <v>0</v>
      </c>
      <c r="X27" s="908">
        <f t="shared" si="57"/>
        <v>0</v>
      </c>
      <c r="Y27" s="908">
        <f t="shared" si="57"/>
        <v>0</v>
      </c>
      <c r="Z27" s="908">
        <f t="shared" si="57"/>
        <v>0</v>
      </c>
      <c r="AA27" s="908">
        <f t="shared" si="57"/>
        <v>0</v>
      </c>
      <c r="AB27" s="908">
        <f t="shared" si="57"/>
        <v>0</v>
      </c>
      <c r="AC27" s="908">
        <f t="shared" si="57"/>
        <v>0</v>
      </c>
      <c r="AD27" s="908">
        <f t="shared" si="57"/>
        <v>0</v>
      </c>
      <c r="AE27" s="908">
        <f t="shared" si="57"/>
        <v>0</v>
      </c>
      <c r="AF27" s="908">
        <f t="shared" si="57"/>
        <v>0</v>
      </c>
      <c r="AG27" s="908">
        <f t="shared" si="57"/>
        <v>0</v>
      </c>
      <c r="AH27" s="908">
        <f t="shared" si="57"/>
        <v>0</v>
      </c>
      <c r="AI27" s="908">
        <f t="shared" si="57"/>
        <v>0</v>
      </c>
      <c r="AJ27" s="908">
        <f t="shared" si="57"/>
        <v>0</v>
      </c>
      <c r="AK27" s="908">
        <f t="shared" si="57"/>
        <v>0</v>
      </c>
      <c r="AL27" s="531">
        <f t="shared" si="58"/>
        <v>0</v>
      </c>
    </row>
    <row r="28" spans="1:55" hidden="1" x14ac:dyDescent="0.3">
      <c r="A28" s="133"/>
      <c r="B28" s="245" t="str">
        <f>'T_Stock_TOTAL_&amp;_City'!B28</f>
        <v>Battery electric (BEV)</v>
      </c>
      <c r="C28" s="245" t="s">
        <v>314</v>
      </c>
      <c r="D28" s="679">
        <f t="shared" si="59"/>
        <v>0</v>
      </c>
      <c r="E28" s="679">
        <f t="shared" si="42"/>
        <v>0</v>
      </c>
      <c r="F28" s="679">
        <f t="shared" si="43"/>
        <v>0</v>
      </c>
      <c r="G28" s="679">
        <f t="shared" si="44"/>
        <v>0</v>
      </c>
      <c r="H28" s="679">
        <f t="shared" si="45"/>
        <v>0</v>
      </c>
      <c r="I28" s="679">
        <f t="shared" si="46"/>
        <v>0</v>
      </c>
      <c r="J28" s="679">
        <f t="shared" si="47"/>
        <v>0</v>
      </c>
      <c r="K28" s="679">
        <f t="shared" si="48"/>
        <v>0</v>
      </c>
      <c r="L28" s="679">
        <f t="shared" si="49"/>
        <v>0</v>
      </c>
      <c r="M28" s="679">
        <f t="shared" si="50"/>
        <v>0</v>
      </c>
      <c r="N28" s="679">
        <f t="shared" si="51"/>
        <v>0</v>
      </c>
      <c r="O28" s="679">
        <f t="shared" si="52"/>
        <v>0</v>
      </c>
      <c r="P28" s="679">
        <f t="shared" si="53"/>
        <v>0</v>
      </c>
      <c r="Q28" s="679">
        <f t="shared" si="54"/>
        <v>0</v>
      </c>
      <c r="R28" s="679">
        <f t="shared" si="55"/>
        <v>0</v>
      </c>
      <c r="S28" s="679">
        <f t="shared" si="56"/>
        <v>0</v>
      </c>
      <c r="U28" s="311">
        <f>'T_Stock_TOTAL_&amp;_City'!U28</f>
        <v>0</v>
      </c>
      <c r="W28" s="908">
        <f t="shared" si="60"/>
        <v>0</v>
      </c>
      <c r="X28" s="908">
        <f t="shared" si="57"/>
        <v>0</v>
      </c>
      <c r="Y28" s="908">
        <f t="shared" si="57"/>
        <v>0</v>
      </c>
      <c r="Z28" s="908">
        <f t="shared" si="57"/>
        <v>0</v>
      </c>
      <c r="AA28" s="908">
        <f t="shared" si="57"/>
        <v>0</v>
      </c>
      <c r="AB28" s="908">
        <f t="shared" si="57"/>
        <v>0</v>
      </c>
      <c r="AC28" s="908">
        <f t="shared" si="57"/>
        <v>0</v>
      </c>
      <c r="AD28" s="908">
        <f t="shared" si="57"/>
        <v>0</v>
      </c>
      <c r="AE28" s="908">
        <f t="shared" si="57"/>
        <v>0</v>
      </c>
      <c r="AF28" s="908">
        <f t="shared" si="57"/>
        <v>0</v>
      </c>
      <c r="AG28" s="908">
        <f t="shared" si="57"/>
        <v>0</v>
      </c>
      <c r="AH28" s="908">
        <f t="shared" si="57"/>
        <v>0</v>
      </c>
      <c r="AI28" s="908">
        <f t="shared" si="57"/>
        <v>0</v>
      </c>
      <c r="AJ28" s="908">
        <f t="shared" si="57"/>
        <v>0</v>
      </c>
      <c r="AK28" s="908">
        <f t="shared" si="57"/>
        <v>0</v>
      </c>
      <c r="AL28" s="531">
        <f t="shared" si="58"/>
        <v>0</v>
      </c>
    </row>
    <row r="29" spans="1:55" hidden="1" x14ac:dyDescent="0.3">
      <c r="A29" s="133"/>
      <c r="B29" s="245" t="str">
        <f>'T_Stock_TOTAL_&amp;_City'!B29</f>
        <v>Ethanol</v>
      </c>
      <c r="C29" s="245" t="s">
        <v>315</v>
      </c>
      <c r="D29" s="679">
        <f t="shared" si="59"/>
        <v>0</v>
      </c>
      <c r="E29" s="679">
        <f t="shared" si="42"/>
        <v>0</v>
      </c>
      <c r="F29" s="679">
        <f t="shared" si="43"/>
        <v>0</v>
      </c>
      <c r="G29" s="679">
        <f t="shared" si="44"/>
        <v>0</v>
      </c>
      <c r="H29" s="679">
        <f t="shared" si="45"/>
        <v>0</v>
      </c>
      <c r="I29" s="679">
        <f t="shared" si="46"/>
        <v>0</v>
      </c>
      <c r="J29" s="679">
        <f t="shared" si="47"/>
        <v>0</v>
      </c>
      <c r="K29" s="679">
        <f t="shared" si="48"/>
        <v>0</v>
      </c>
      <c r="L29" s="679">
        <f t="shared" si="49"/>
        <v>0</v>
      </c>
      <c r="M29" s="679">
        <f t="shared" si="50"/>
        <v>0</v>
      </c>
      <c r="N29" s="679">
        <f t="shared" si="51"/>
        <v>0</v>
      </c>
      <c r="O29" s="679">
        <f t="shared" si="52"/>
        <v>0</v>
      </c>
      <c r="P29" s="679">
        <f t="shared" si="53"/>
        <v>0</v>
      </c>
      <c r="Q29" s="679">
        <f t="shared" si="54"/>
        <v>0</v>
      </c>
      <c r="R29" s="679">
        <f t="shared" si="55"/>
        <v>0</v>
      </c>
      <c r="S29" s="679">
        <f t="shared" si="56"/>
        <v>0</v>
      </c>
      <c r="U29" s="311">
        <f>'T_Stock_TOTAL_&amp;_City'!U29</f>
        <v>0</v>
      </c>
      <c r="W29" s="908">
        <f t="shared" si="60"/>
        <v>0</v>
      </c>
      <c r="X29" s="908">
        <f t="shared" si="57"/>
        <v>0</v>
      </c>
      <c r="Y29" s="908">
        <f t="shared" si="57"/>
        <v>0</v>
      </c>
      <c r="Z29" s="908">
        <f t="shared" si="57"/>
        <v>0</v>
      </c>
      <c r="AA29" s="908">
        <f t="shared" si="57"/>
        <v>0</v>
      </c>
      <c r="AB29" s="908">
        <f t="shared" si="57"/>
        <v>0</v>
      </c>
      <c r="AC29" s="908">
        <f t="shared" si="57"/>
        <v>0</v>
      </c>
      <c r="AD29" s="908">
        <f t="shared" si="57"/>
        <v>0</v>
      </c>
      <c r="AE29" s="908">
        <f t="shared" si="57"/>
        <v>0</v>
      </c>
      <c r="AF29" s="908">
        <f t="shared" si="57"/>
        <v>0</v>
      </c>
      <c r="AG29" s="908">
        <f t="shared" si="57"/>
        <v>0</v>
      </c>
      <c r="AH29" s="908">
        <f t="shared" si="57"/>
        <v>0</v>
      </c>
      <c r="AI29" s="908">
        <f t="shared" si="57"/>
        <v>0</v>
      </c>
      <c r="AJ29" s="908">
        <f t="shared" si="57"/>
        <v>0</v>
      </c>
      <c r="AK29" s="908">
        <f t="shared" si="57"/>
        <v>0</v>
      </c>
      <c r="AL29" s="531">
        <f t="shared" si="58"/>
        <v>0</v>
      </c>
    </row>
    <row r="30" spans="1:55" hidden="1" x14ac:dyDescent="0.3">
      <c r="A30" s="133"/>
      <c r="B30" s="245" t="str">
        <f>'T_Stock_TOTAL_&amp;_City'!B30</f>
        <v>Gas (CNG)</v>
      </c>
      <c r="C30" s="245" t="s">
        <v>316</v>
      </c>
      <c r="D30" s="679">
        <f t="shared" si="59"/>
        <v>0</v>
      </c>
      <c r="E30" s="679">
        <f t="shared" si="42"/>
        <v>0</v>
      </c>
      <c r="F30" s="679">
        <f t="shared" si="43"/>
        <v>0</v>
      </c>
      <c r="G30" s="679">
        <f t="shared" si="44"/>
        <v>0</v>
      </c>
      <c r="H30" s="679">
        <f t="shared" si="45"/>
        <v>0</v>
      </c>
      <c r="I30" s="679">
        <f t="shared" si="46"/>
        <v>0</v>
      </c>
      <c r="J30" s="679">
        <f t="shared" si="47"/>
        <v>0</v>
      </c>
      <c r="K30" s="679">
        <f t="shared" si="48"/>
        <v>0</v>
      </c>
      <c r="L30" s="679">
        <f t="shared" si="49"/>
        <v>0</v>
      </c>
      <c r="M30" s="679">
        <f t="shared" si="50"/>
        <v>0</v>
      </c>
      <c r="N30" s="679">
        <f t="shared" si="51"/>
        <v>0</v>
      </c>
      <c r="O30" s="679">
        <f t="shared" si="52"/>
        <v>0</v>
      </c>
      <c r="P30" s="679">
        <f t="shared" si="53"/>
        <v>0</v>
      </c>
      <c r="Q30" s="679">
        <f t="shared" si="54"/>
        <v>0</v>
      </c>
      <c r="R30" s="679">
        <f t="shared" si="55"/>
        <v>0</v>
      </c>
      <c r="S30" s="679">
        <f t="shared" si="56"/>
        <v>0</v>
      </c>
      <c r="U30" s="311">
        <f>'T_Stock_TOTAL_&amp;_City'!U30</f>
        <v>0</v>
      </c>
      <c r="W30" s="908">
        <f t="shared" si="60"/>
        <v>0</v>
      </c>
      <c r="X30" s="908">
        <f t="shared" si="57"/>
        <v>0</v>
      </c>
      <c r="Y30" s="908">
        <f t="shared" si="57"/>
        <v>0</v>
      </c>
      <c r="Z30" s="908">
        <f t="shared" si="57"/>
        <v>0</v>
      </c>
      <c r="AA30" s="908">
        <f t="shared" si="57"/>
        <v>0</v>
      </c>
      <c r="AB30" s="908">
        <f t="shared" si="57"/>
        <v>0</v>
      </c>
      <c r="AC30" s="908">
        <f t="shared" si="57"/>
        <v>0</v>
      </c>
      <c r="AD30" s="908">
        <f t="shared" si="57"/>
        <v>0</v>
      </c>
      <c r="AE30" s="908">
        <f t="shared" si="57"/>
        <v>0</v>
      </c>
      <c r="AF30" s="908">
        <f t="shared" si="57"/>
        <v>0</v>
      </c>
      <c r="AG30" s="908">
        <f t="shared" si="57"/>
        <v>0</v>
      </c>
      <c r="AH30" s="908">
        <f t="shared" si="57"/>
        <v>0</v>
      </c>
      <c r="AI30" s="908">
        <f t="shared" si="57"/>
        <v>0</v>
      </c>
      <c r="AJ30" s="908">
        <f t="shared" si="57"/>
        <v>0</v>
      </c>
      <c r="AK30" s="908">
        <f t="shared" si="57"/>
        <v>0</v>
      </c>
      <c r="AL30" s="531">
        <f t="shared" si="58"/>
        <v>0</v>
      </c>
    </row>
    <row r="31" spans="1:55" hidden="1" x14ac:dyDescent="0.3">
      <c r="A31" s="133"/>
      <c r="B31" s="245" t="str">
        <f>'T_Stock_TOTAL_&amp;_City'!B31</f>
        <v>Gasoline</v>
      </c>
      <c r="C31" s="245" t="s">
        <v>317</v>
      </c>
      <c r="D31" s="679">
        <f t="shared" si="59"/>
        <v>0</v>
      </c>
      <c r="E31" s="679">
        <f t="shared" si="42"/>
        <v>0</v>
      </c>
      <c r="F31" s="679">
        <f t="shared" si="43"/>
        <v>0</v>
      </c>
      <c r="G31" s="679">
        <f t="shared" si="44"/>
        <v>0</v>
      </c>
      <c r="H31" s="679">
        <f t="shared" si="45"/>
        <v>0</v>
      </c>
      <c r="I31" s="679">
        <f t="shared" si="46"/>
        <v>0</v>
      </c>
      <c r="J31" s="679">
        <f t="shared" si="47"/>
        <v>0</v>
      </c>
      <c r="K31" s="679">
        <f t="shared" si="48"/>
        <v>0</v>
      </c>
      <c r="L31" s="679">
        <f t="shared" si="49"/>
        <v>0</v>
      </c>
      <c r="M31" s="679">
        <f t="shared" si="50"/>
        <v>0</v>
      </c>
      <c r="N31" s="679">
        <f t="shared" si="51"/>
        <v>0</v>
      </c>
      <c r="O31" s="679">
        <f t="shared" si="52"/>
        <v>0</v>
      </c>
      <c r="P31" s="679">
        <f t="shared" si="53"/>
        <v>0</v>
      </c>
      <c r="Q31" s="679">
        <f t="shared" si="54"/>
        <v>0</v>
      </c>
      <c r="R31" s="679">
        <f t="shared" si="55"/>
        <v>0</v>
      </c>
      <c r="S31" s="679">
        <f t="shared" si="56"/>
        <v>0</v>
      </c>
      <c r="U31" s="311">
        <f>'T_Stock_TOTAL_&amp;_City'!U31</f>
        <v>0</v>
      </c>
      <c r="W31" s="908">
        <f t="shared" si="60"/>
        <v>0</v>
      </c>
      <c r="X31" s="908">
        <f t="shared" si="57"/>
        <v>0</v>
      </c>
      <c r="Y31" s="908">
        <f t="shared" si="57"/>
        <v>0</v>
      </c>
      <c r="Z31" s="908">
        <f t="shared" si="57"/>
        <v>0</v>
      </c>
      <c r="AA31" s="908">
        <f t="shared" si="57"/>
        <v>0</v>
      </c>
      <c r="AB31" s="908">
        <f t="shared" si="57"/>
        <v>0</v>
      </c>
      <c r="AC31" s="908">
        <f t="shared" si="57"/>
        <v>0</v>
      </c>
      <c r="AD31" s="908">
        <f t="shared" si="57"/>
        <v>0</v>
      </c>
      <c r="AE31" s="908">
        <f t="shared" si="57"/>
        <v>0</v>
      </c>
      <c r="AF31" s="908">
        <f t="shared" si="57"/>
        <v>0</v>
      </c>
      <c r="AG31" s="908">
        <f t="shared" si="57"/>
        <v>0</v>
      </c>
      <c r="AH31" s="908">
        <f t="shared" si="57"/>
        <v>0</v>
      </c>
      <c r="AI31" s="908">
        <f t="shared" si="57"/>
        <v>0</v>
      </c>
      <c r="AJ31" s="908">
        <f t="shared" si="57"/>
        <v>0</v>
      </c>
      <c r="AK31" s="908">
        <f t="shared" si="57"/>
        <v>0</v>
      </c>
      <c r="AL31" s="531">
        <f t="shared" si="58"/>
        <v>0</v>
      </c>
    </row>
    <row r="32" spans="1:55" hidden="1" x14ac:dyDescent="0.3">
      <c r="A32" s="133"/>
      <c r="B32" s="245" t="str">
        <f>'T_Stock_TOTAL_&amp;_City'!B32</f>
        <v>Hybrid Electric - diesel</v>
      </c>
      <c r="C32" s="245" t="s">
        <v>318</v>
      </c>
      <c r="D32" s="679">
        <f t="shared" si="59"/>
        <v>0</v>
      </c>
      <c r="E32" s="679">
        <f t="shared" si="42"/>
        <v>0</v>
      </c>
      <c r="F32" s="679">
        <f t="shared" si="43"/>
        <v>0</v>
      </c>
      <c r="G32" s="679">
        <f t="shared" si="44"/>
        <v>0</v>
      </c>
      <c r="H32" s="679">
        <f t="shared" si="45"/>
        <v>0</v>
      </c>
      <c r="I32" s="679">
        <f t="shared" si="46"/>
        <v>0</v>
      </c>
      <c r="J32" s="679">
        <f t="shared" si="47"/>
        <v>0</v>
      </c>
      <c r="K32" s="679">
        <f t="shared" si="48"/>
        <v>0</v>
      </c>
      <c r="L32" s="679">
        <f t="shared" si="49"/>
        <v>0</v>
      </c>
      <c r="M32" s="679">
        <f t="shared" si="50"/>
        <v>0</v>
      </c>
      <c r="N32" s="679">
        <f t="shared" si="51"/>
        <v>0</v>
      </c>
      <c r="O32" s="679">
        <f t="shared" si="52"/>
        <v>0</v>
      </c>
      <c r="P32" s="679">
        <f t="shared" si="53"/>
        <v>0</v>
      </c>
      <c r="Q32" s="679">
        <f t="shared" si="54"/>
        <v>0</v>
      </c>
      <c r="R32" s="679">
        <f t="shared" si="55"/>
        <v>0</v>
      </c>
      <c r="S32" s="679">
        <f t="shared" si="56"/>
        <v>0</v>
      </c>
      <c r="U32" s="311">
        <f>'T_Stock_TOTAL_&amp;_City'!U32</f>
        <v>0</v>
      </c>
      <c r="W32" s="908">
        <f t="shared" si="60"/>
        <v>0</v>
      </c>
      <c r="X32" s="908">
        <f t="shared" si="57"/>
        <v>0</v>
      </c>
      <c r="Y32" s="908">
        <f t="shared" si="57"/>
        <v>0</v>
      </c>
      <c r="Z32" s="908">
        <f t="shared" si="57"/>
        <v>0</v>
      </c>
      <c r="AA32" s="908">
        <f t="shared" si="57"/>
        <v>0</v>
      </c>
      <c r="AB32" s="908">
        <f t="shared" si="57"/>
        <v>0</v>
      </c>
      <c r="AC32" s="908">
        <f t="shared" si="57"/>
        <v>0</v>
      </c>
      <c r="AD32" s="908">
        <f t="shared" si="57"/>
        <v>0</v>
      </c>
      <c r="AE32" s="908">
        <f t="shared" si="57"/>
        <v>0</v>
      </c>
      <c r="AF32" s="908">
        <f t="shared" si="57"/>
        <v>0</v>
      </c>
      <c r="AG32" s="908">
        <f t="shared" si="57"/>
        <v>0</v>
      </c>
      <c r="AH32" s="908">
        <f t="shared" si="57"/>
        <v>0</v>
      </c>
      <c r="AI32" s="908">
        <f t="shared" si="57"/>
        <v>0</v>
      </c>
      <c r="AJ32" s="908">
        <f t="shared" si="57"/>
        <v>0</v>
      </c>
      <c r="AK32" s="908">
        <f t="shared" si="57"/>
        <v>0</v>
      </c>
      <c r="AL32" s="531">
        <f t="shared" si="58"/>
        <v>0</v>
      </c>
    </row>
    <row r="33" spans="1:38" hidden="1" x14ac:dyDescent="0.3">
      <c r="A33" s="133"/>
      <c r="B33" s="245" t="str">
        <f>'T_Stock_TOTAL_&amp;_City'!B33</f>
        <v>Hybrid Electric - gasoline</v>
      </c>
      <c r="C33" s="245" t="s">
        <v>319</v>
      </c>
      <c r="D33" s="679">
        <f t="shared" si="59"/>
        <v>0</v>
      </c>
      <c r="E33" s="679">
        <f t="shared" si="42"/>
        <v>0</v>
      </c>
      <c r="F33" s="679">
        <f t="shared" si="43"/>
        <v>0</v>
      </c>
      <c r="G33" s="679">
        <f t="shared" si="44"/>
        <v>0</v>
      </c>
      <c r="H33" s="679">
        <f t="shared" si="45"/>
        <v>0</v>
      </c>
      <c r="I33" s="679">
        <f t="shared" si="46"/>
        <v>0</v>
      </c>
      <c r="J33" s="679">
        <f t="shared" si="47"/>
        <v>0</v>
      </c>
      <c r="K33" s="679">
        <f t="shared" si="48"/>
        <v>0</v>
      </c>
      <c r="L33" s="679">
        <f t="shared" si="49"/>
        <v>0</v>
      </c>
      <c r="M33" s="679">
        <f t="shared" si="50"/>
        <v>0</v>
      </c>
      <c r="N33" s="679">
        <f t="shared" si="51"/>
        <v>0</v>
      </c>
      <c r="O33" s="679">
        <f t="shared" si="52"/>
        <v>0</v>
      </c>
      <c r="P33" s="679">
        <f t="shared" si="53"/>
        <v>0</v>
      </c>
      <c r="Q33" s="679">
        <f t="shared" si="54"/>
        <v>0</v>
      </c>
      <c r="R33" s="679">
        <f t="shared" si="55"/>
        <v>0</v>
      </c>
      <c r="S33" s="679">
        <f t="shared" si="56"/>
        <v>0</v>
      </c>
      <c r="U33" s="311">
        <f>'T_Stock_TOTAL_&amp;_City'!U33</f>
        <v>0</v>
      </c>
      <c r="W33" s="908">
        <f t="shared" si="60"/>
        <v>0</v>
      </c>
      <c r="X33" s="908">
        <f t="shared" si="57"/>
        <v>0</v>
      </c>
      <c r="Y33" s="908">
        <f t="shared" si="57"/>
        <v>0</v>
      </c>
      <c r="Z33" s="908">
        <f t="shared" si="57"/>
        <v>0</v>
      </c>
      <c r="AA33" s="908">
        <f t="shared" si="57"/>
        <v>0</v>
      </c>
      <c r="AB33" s="908">
        <f t="shared" si="57"/>
        <v>0</v>
      </c>
      <c r="AC33" s="908">
        <f t="shared" si="57"/>
        <v>0</v>
      </c>
      <c r="AD33" s="908">
        <f t="shared" si="57"/>
        <v>0</v>
      </c>
      <c r="AE33" s="908">
        <f t="shared" si="57"/>
        <v>0</v>
      </c>
      <c r="AF33" s="908">
        <f t="shared" si="57"/>
        <v>0</v>
      </c>
      <c r="AG33" s="908">
        <f t="shared" si="57"/>
        <v>0</v>
      </c>
      <c r="AH33" s="908">
        <f t="shared" si="57"/>
        <v>0</v>
      </c>
      <c r="AI33" s="908">
        <f t="shared" si="57"/>
        <v>0</v>
      </c>
      <c r="AJ33" s="908">
        <f t="shared" si="57"/>
        <v>0</v>
      </c>
      <c r="AK33" s="908">
        <f t="shared" si="57"/>
        <v>0</v>
      </c>
      <c r="AL33" s="531">
        <f t="shared" si="58"/>
        <v>0</v>
      </c>
    </row>
    <row r="34" spans="1:38" hidden="1" x14ac:dyDescent="0.3">
      <c r="A34" s="133"/>
      <c r="B34" s="245" t="str">
        <f>'T_Stock_TOTAL_&amp;_City'!B34</f>
        <v>LPG</v>
      </c>
      <c r="C34" s="245" t="s">
        <v>320</v>
      </c>
      <c r="D34" s="679">
        <f t="shared" si="59"/>
        <v>0</v>
      </c>
      <c r="E34" s="679">
        <f t="shared" si="42"/>
        <v>0</v>
      </c>
      <c r="F34" s="679">
        <f t="shared" si="43"/>
        <v>0</v>
      </c>
      <c r="G34" s="679">
        <f t="shared" si="44"/>
        <v>0</v>
      </c>
      <c r="H34" s="679">
        <f t="shared" si="45"/>
        <v>0</v>
      </c>
      <c r="I34" s="679">
        <f t="shared" si="46"/>
        <v>0</v>
      </c>
      <c r="J34" s="679">
        <f t="shared" si="47"/>
        <v>0</v>
      </c>
      <c r="K34" s="679">
        <f t="shared" si="48"/>
        <v>0</v>
      </c>
      <c r="L34" s="679">
        <f t="shared" si="49"/>
        <v>0</v>
      </c>
      <c r="M34" s="679">
        <f t="shared" si="50"/>
        <v>0</v>
      </c>
      <c r="N34" s="679">
        <f t="shared" si="51"/>
        <v>0</v>
      </c>
      <c r="O34" s="679">
        <f t="shared" si="52"/>
        <v>0</v>
      </c>
      <c r="P34" s="679">
        <f t="shared" si="53"/>
        <v>0</v>
      </c>
      <c r="Q34" s="679">
        <f t="shared" si="54"/>
        <v>0</v>
      </c>
      <c r="R34" s="679">
        <f t="shared" si="55"/>
        <v>0</v>
      </c>
      <c r="S34" s="679">
        <f t="shared" si="56"/>
        <v>0</v>
      </c>
      <c r="U34" s="311">
        <f>'T_Stock_TOTAL_&amp;_City'!U34</f>
        <v>0</v>
      </c>
      <c r="W34" s="908">
        <f t="shared" si="60"/>
        <v>0</v>
      </c>
      <c r="X34" s="908">
        <f t="shared" si="57"/>
        <v>0</v>
      </c>
      <c r="Y34" s="908">
        <f t="shared" si="57"/>
        <v>0</v>
      </c>
      <c r="Z34" s="908">
        <f t="shared" si="57"/>
        <v>0</v>
      </c>
      <c r="AA34" s="908">
        <f t="shared" si="57"/>
        <v>0</v>
      </c>
      <c r="AB34" s="908">
        <f t="shared" si="57"/>
        <v>0</v>
      </c>
      <c r="AC34" s="908">
        <f t="shared" si="57"/>
        <v>0</v>
      </c>
      <c r="AD34" s="908">
        <f t="shared" si="57"/>
        <v>0</v>
      </c>
      <c r="AE34" s="908">
        <f t="shared" si="57"/>
        <v>0</v>
      </c>
      <c r="AF34" s="908">
        <f t="shared" si="57"/>
        <v>0</v>
      </c>
      <c r="AG34" s="908">
        <f t="shared" si="57"/>
        <v>0</v>
      </c>
      <c r="AH34" s="908">
        <f t="shared" si="57"/>
        <v>0</v>
      </c>
      <c r="AI34" s="908">
        <f t="shared" si="57"/>
        <v>0</v>
      </c>
      <c r="AJ34" s="908">
        <f t="shared" si="57"/>
        <v>0</v>
      </c>
      <c r="AK34" s="908">
        <f t="shared" si="57"/>
        <v>0</v>
      </c>
      <c r="AL34" s="531">
        <f t="shared" si="58"/>
        <v>0</v>
      </c>
    </row>
    <row r="35" spans="1:38" hidden="1" x14ac:dyDescent="0.3">
      <c r="A35" s="133"/>
      <c r="B35" s="245" t="str">
        <f>'T_Stock_TOTAL_&amp;_City'!B35</f>
        <v>Plugin Hybrid Electric - diesel</v>
      </c>
      <c r="C35" s="245" t="s">
        <v>321</v>
      </c>
      <c r="D35" s="679">
        <f t="shared" si="59"/>
        <v>0</v>
      </c>
      <c r="E35" s="679">
        <f t="shared" si="42"/>
        <v>0</v>
      </c>
      <c r="F35" s="679">
        <f t="shared" si="43"/>
        <v>0</v>
      </c>
      <c r="G35" s="679">
        <f t="shared" si="44"/>
        <v>0</v>
      </c>
      <c r="H35" s="679">
        <f t="shared" si="45"/>
        <v>0</v>
      </c>
      <c r="I35" s="679">
        <f t="shared" si="46"/>
        <v>0</v>
      </c>
      <c r="J35" s="679">
        <f t="shared" si="47"/>
        <v>0</v>
      </c>
      <c r="K35" s="679">
        <f t="shared" si="48"/>
        <v>0</v>
      </c>
      <c r="L35" s="679">
        <f t="shared" si="49"/>
        <v>0</v>
      </c>
      <c r="M35" s="679">
        <f t="shared" si="50"/>
        <v>0</v>
      </c>
      <c r="N35" s="679">
        <f t="shared" si="51"/>
        <v>0</v>
      </c>
      <c r="O35" s="679">
        <f t="shared" si="52"/>
        <v>0</v>
      </c>
      <c r="P35" s="679">
        <f t="shared" si="53"/>
        <v>0</v>
      </c>
      <c r="Q35" s="679">
        <f t="shared" si="54"/>
        <v>0</v>
      </c>
      <c r="R35" s="679">
        <f t="shared" si="55"/>
        <v>0</v>
      </c>
      <c r="S35" s="679">
        <f t="shared" si="56"/>
        <v>0</v>
      </c>
      <c r="U35" s="311">
        <f>'T_Stock_TOTAL_&amp;_City'!U35</f>
        <v>0</v>
      </c>
      <c r="W35" s="908">
        <f t="shared" si="60"/>
        <v>0</v>
      </c>
      <c r="X35" s="908">
        <f t="shared" si="57"/>
        <v>0</v>
      </c>
      <c r="Y35" s="908">
        <f t="shared" si="57"/>
        <v>0</v>
      </c>
      <c r="Z35" s="908">
        <f t="shared" si="57"/>
        <v>0</v>
      </c>
      <c r="AA35" s="908">
        <f t="shared" si="57"/>
        <v>0</v>
      </c>
      <c r="AB35" s="908">
        <f t="shared" si="57"/>
        <v>0</v>
      </c>
      <c r="AC35" s="908">
        <f t="shared" si="57"/>
        <v>0</v>
      </c>
      <c r="AD35" s="908">
        <f t="shared" si="57"/>
        <v>0</v>
      </c>
      <c r="AE35" s="908">
        <f t="shared" si="57"/>
        <v>0</v>
      </c>
      <c r="AF35" s="908">
        <f t="shared" si="57"/>
        <v>0</v>
      </c>
      <c r="AG35" s="908">
        <f t="shared" si="57"/>
        <v>0</v>
      </c>
      <c r="AH35" s="908">
        <f t="shared" si="57"/>
        <v>0</v>
      </c>
      <c r="AI35" s="908">
        <f t="shared" si="57"/>
        <v>0</v>
      </c>
      <c r="AJ35" s="908">
        <f t="shared" si="57"/>
        <v>0</v>
      </c>
      <c r="AK35" s="908">
        <f t="shared" si="57"/>
        <v>0</v>
      </c>
      <c r="AL35" s="531">
        <f t="shared" si="58"/>
        <v>0</v>
      </c>
    </row>
    <row r="36" spans="1:38" hidden="1" x14ac:dyDescent="0.3">
      <c r="A36" s="133"/>
      <c r="B36" s="245" t="str">
        <f>'T_Stock_TOTAL_&amp;_City'!B36</f>
        <v>Plugin Hybrid Electric - gasoline</v>
      </c>
      <c r="C36" s="245" t="s">
        <v>322</v>
      </c>
      <c r="D36" s="679">
        <f t="shared" si="59"/>
        <v>0</v>
      </c>
      <c r="E36" s="679">
        <f t="shared" si="42"/>
        <v>0</v>
      </c>
      <c r="F36" s="679">
        <f t="shared" si="43"/>
        <v>0</v>
      </c>
      <c r="G36" s="679">
        <f t="shared" si="44"/>
        <v>0</v>
      </c>
      <c r="H36" s="679">
        <f t="shared" si="45"/>
        <v>0</v>
      </c>
      <c r="I36" s="679">
        <f t="shared" si="46"/>
        <v>0</v>
      </c>
      <c r="J36" s="679">
        <f t="shared" si="47"/>
        <v>0</v>
      </c>
      <c r="K36" s="679">
        <f t="shared" si="48"/>
        <v>0</v>
      </c>
      <c r="L36" s="679">
        <f t="shared" si="49"/>
        <v>0</v>
      </c>
      <c r="M36" s="679">
        <f t="shared" si="50"/>
        <v>0</v>
      </c>
      <c r="N36" s="679">
        <f t="shared" si="51"/>
        <v>0</v>
      </c>
      <c r="O36" s="679">
        <f t="shared" si="52"/>
        <v>0</v>
      </c>
      <c r="P36" s="679">
        <f t="shared" si="53"/>
        <v>0</v>
      </c>
      <c r="Q36" s="679">
        <f t="shared" si="54"/>
        <v>0</v>
      </c>
      <c r="R36" s="679">
        <f t="shared" si="55"/>
        <v>0</v>
      </c>
      <c r="S36" s="679">
        <f t="shared" si="56"/>
        <v>0</v>
      </c>
      <c r="U36" s="311">
        <f>'T_Stock_TOTAL_&amp;_City'!U36</f>
        <v>0</v>
      </c>
      <c r="W36" s="908">
        <f t="shared" si="60"/>
        <v>0</v>
      </c>
      <c r="X36" s="908">
        <f t="shared" si="57"/>
        <v>0</v>
      </c>
      <c r="Y36" s="908">
        <f t="shared" si="57"/>
        <v>0</v>
      </c>
      <c r="Z36" s="908">
        <f t="shared" si="57"/>
        <v>0</v>
      </c>
      <c r="AA36" s="908">
        <f t="shared" si="57"/>
        <v>0</v>
      </c>
      <c r="AB36" s="908">
        <f t="shared" si="57"/>
        <v>0</v>
      </c>
      <c r="AC36" s="908">
        <f t="shared" si="57"/>
        <v>0</v>
      </c>
      <c r="AD36" s="908">
        <f t="shared" si="57"/>
        <v>0</v>
      </c>
      <c r="AE36" s="908">
        <f t="shared" si="57"/>
        <v>0</v>
      </c>
      <c r="AF36" s="908">
        <f t="shared" si="57"/>
        <v>0</v>
      </c>
      <c r="AG36" s="908">
        <f t="shared" si="57"/>
        <v>0</v>
      </c>
      <c r="AH36" s="908">
        <f t="shared" si="57"/>
        <v>0</v>
      </c>
      <c r="AI36" s="908">
        <f t="shared" si="57"/>
        <v>0</v>
      </c>
      <c r="AJ36" s="908">
        <f t="shared" si="57"/>
        <v>0</v>
      </c>
      <c r="AK36" s="908">
        <f t="shared" si="57"/>
        <v>0</v>
      </c>
      <c r="AL36" s="531">
        <f t="shared" si="58"/>
        <v>0</v>
      </c>
    </row>
    <row r="37" spans="1:38" hidden="1" x14ac:dyDescent="0.3">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8">
        <f t="shared" si="60"/>
        <v>0</v>
      </c>
      <c r="X37" s="908">
        <f t="shared" si="57"/>
        <v>0</v>
      </c>
      <c r="Y37" s="908">
        <f t="shared" si="57"/>
        <v>0</v>
      </c>
      <c r="Z37" s="908">
        <f t="shared" si="57"/>
        <v>0</v>
      </c>
      <c r="AA37" s="908">
        <f t="shared" si="57"/>
        <v>0</v>
      </c>
      <c r="AB37" s="908">
        <f t="shared" si="57"/>
        <v>0</v>
      </c>
      <c r="AC37" s="908">
        <f t="shared" si="57"/>
        <v>0</v>
      </c>
      <c r="AD37" s="908">
        <f t="shared" si="57"/>
        <v>0</v>
      </c>
      <c r="AE37" s="908">
        <f t="shared" si="57"/>
        <v>0</v>
      </c>
      <c r="AF37" s="908">
        <f t="shared" si="57"/>
        <v>0</v>
      </c>
      <c r="AG37" s="908">
        <f t="shared" si="57"/>
        <v>0</v>
      </c>
      <c r="AH37" s="908">
        <f t="shared" si="57"/>
        <v>0</v>
      </c>
      <c r="AI37" s="908">
        <f t="shared" si="57"/>
        <v>0</v>
      </c>
      <c r="AJ37" s="908">
        <f t="shared" si="57"/>
        <v>0</v>
      </c>
      <c r="AK37" s="908">
        <f t="shared" si="57"/>
        <v>0</v>
      </c>
      <c r="AL37" s="531">
        <f t="shared" si="58"/>
        <v>0</v>
      </c>
    </row>
    <row r="38" spans="1:38" hidden="1" x14ac:dyDescent="0.3">
      <c r="A38" s="133"/>
      <c r="B38" s="131" t="s">
        <v>119</v>
      </c>
      <c r="C38" s="131"/>
      <c r="D38" s="680">
        <f>SUM(D26:D37)</f>
        <v>0</v>
      </c>
      <c r="E38" s="680">
        <f t="shared" ref="E38" si="61">SUM(E26:E37)</f>
        <v>0</v>
      </c>
      <c r="F38" s="680">
        <f t="shared" ref="F38" si="62">SUM(F26:F37)</f>
        <v>0</v>
      </c>
      <c r="G38" s="680">
        <f t="shared" ref="G38" si="63">SUM(G26:G37)</f>
        <v>0</v>
      </c>
      <c r="H38" s="680">
        <f t="shared" ref="H38" si="64">SUM(H26:H37)</f>
        <v>0</v>
      </c>
      <c r="I38" s="680">
        <f t="shared" ref="I38" si="65">SUM(I26:I37)</f>
        <v>0</v>
      </c>
      <c r="J38" s="680">
        <f t="shared" ref="J38" si="66">SUM(J26:J37)</f>
        <v>0</v>
      </c>
      <c r="K38" s="680">
        <f t="shared" ref="K38" si="67">SUM(K26:K37)</f>
        <v>0</v>
      </c>
      <c r="L38" s="680">
        <f t="shared" ref="L38" si="68">SUM(L26:L37)</f>
        <v>0</v>
      </c>
      <c r="M38" s="680">
        <f t="shared" ref="M38" si="69">SUM(M26:M37)</f>
        <v>0</v>
      </c>
      <c r="N38" s="680">
        <f t="shared" ref="N38" si="70">SUM(N26:N37)</f>
        <v>0</v>
      </c>
      <c r="O38" s="680">
        <f t="shared" ref="O38" si="71">SUM(O26:O37)</f>
        <v>0</v>
      </c>
      <c r="P38" s="680">
        <f t="shared" ref="P38" si="72">SUM(P26:P37)</f>
        <v>0</v>
      </c>
      <c r="Q38" s="680">
        <f t="shared" ref="Q38" si="73">SUM(Q26:Q37)</f>
        <v>0</v>
      </c>
      <c r="R38" s="680">
        <f t="shared" ref="R38" si="74">SUM(R26:R37)</f>
        <v>0</v>
      </c>
      <c r="S38" s="680">
        <f t="shared" ref="S38" si="75">SUM(S26:S37)</f>
        <v>0</v>
      </c>
      <c r="U38" s="130">
        <f>SUM(U26:U37)</f>
        <v>0</v>
      </c>
    </row>
    <row r="39" spans="1:38" hidden="1" x14ac:dyDescent="0.3"/>
    <row r="40" spans="1:38" hidden="1" x14ac:dyDescent="0.3">
      <c r="B40" s="476" t="s">
        <v>123</v>
      </c>
      <c r="C40" s="339"/>
      <c r="D40" s="3"/>
      <c r="E40" s="3"/>
      <c r="F40" s="3"/>
      <c r="G40" s="3"/>
      <c r="H40" s="3"/>
      <c r="I40" s="3"/>
      <c r="J40" s="3"/>
      <c r="K40" s="3"/>
      <c r="L40" s="3"/>
      <c r="M40" s="3"/>
      <c r="N40" s="3"/>
      <c r="O40" s="3"/>
      <c r="P40" s="3"/>
      <c r="Q40" s="3"/>
      <c r="R40" s="3"/>
      <c r="S40" s="3"/>
      <c r="W40" s="3" t="s">
        <v>299</v>
      </c>
    </row>
    <row r="41" spans="1:38" hidden="1" x14ac:dyDescent="0.3">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hidden="1" x14ac:dyDescent="0.3">
      <c r="B42" s="245" t="str">
        <f>'T_Stock_TOTAL_&amp;_City'!B42</f>
        <v>Biodiesel</v>
      </c>
      <c r="C42" s="245"/>
      <c r="D42" s="679">
        <f>$U42*W42</f>
        <v>0</v>
      </c>
      <c r="E42" s="679">
        <f t="shared" ref="E42:E53" si="78">$U42*X42</f>
        <v>0</v>
      </c>
      <c r="F42" s="679">
        <f t="shared" ref="F42:F53" si="79">$U42*Y42</f>
        <v>0</v>
      </c>
      <c r="G42" s="679">
        <f t="shared" ref="G42:G53" si="80">$U42*Z42</f>
        <v>0</v>
      </c>
      <c r="H42" s="679">
        <f t="shared" ref="H42:H53" si="81">$U42*AA42</f>
        <v>0</v>
      </c>
      <c r="I42" s="679">
        <f t="shared" ref="I42:I53" si="82">$U42*AB42</f>
        <v>0</v>
      </c>
      <c r="J42" s="679">
        <f t="shared" ref="J42:J53" si="83">$U42*AC42</f>
        <v>0</v>
      </c>
      <c r="K42" s="679">
        <f t="shared" ref="K42:K53" si="84">$U42*AD42</f>
        <v>0</v>
      </c>
      <c r="L42" s="679">
        <f t="shared" ref="L42:L53" si="85">$U42*AE42</f>
        <v>0</v>
      </c>
      <c r="M42" s="679">
        <f t="shared" ref="M42:M53" si="86">$U42*AF42</f>
        <v>0</v>
      </c>
      <c r="N42" s="679">
        <f t="shared" ref="N42:N53" si="87">$U42*AG42</f>
        <v>0</v>
      </c>
      <c r="O42" s="679">
        <f t="shared" ref="O42:O53" si="88">$U42*AH42</f>
        <v>0</v>
      </c>
      <c r="P42" s="679">
        <f t="shared" ref="P42:P53" si="89">$U42*AI42</f>
        <v>0</v>
      </c>
      <c r="Q42" s="679">
        <f t="shared" ref="Q42:Q53" si="90">$U42*AJ42</f>
        <v>0</v>
      </c>
      <c r="R42" s="679">
        <f t="shared" ref="R42:R53" si="91">$U42*AK42</f>
        <v>0</v>
      </c>
      <c r="S42" s="679">
        <f t="shared" ref="S42:S53" si="92">$U42*AL42</f>
        <v>0</v>
      </c>
      <c r="U42" s="311">
        <f>'T_Stock_TOTAL_&amp;_City'!U42-'T_Stock_TOTAL_&amp;_City'!V42</f>
        <v>0</v>
      </c>
      <c r="W42" s="908">
        <f>W$6</f>
        <v>0</v>
      </c>
      <c r="X42" s="908">
        <f t="shared" ref="X42:AK53" si="93">X$6</f>
        <v>0</v>
      </c>
      <c r="Y42" s="908">
        <f t="shared" si="93"/>
        <v>0</v>
      </c>
      <c r="Z42" s="908">
        <f t="shared" si="93"/>
        <v>0</v>
      </c>
      <c r="AA42" s="908">
        <f t="shared" si="93"/>
        <v>0</v>
      </c>
      <c r="AB42" s="908">
        <f t="shared" si="93"/>
        <v>0</v>
      </c>
      <c r="AC42" s="908">
        <f t="shared" si="93"/>
        <v>0</v>
      </c>
      <c r="AD42" s="908">
        <f t="shared" si="93"/>
        <v>0</v>
      </c>
      <c r="AE42" s="908">
        <f t="shared" si="93"/>
        <v>0</v>
      </c>
      <c r="AF42" s="908">
        <f t="shared" si="93"/>
        <v>0</v>
      </c>
      <c r="AG42" s="908">
        <f t="shared" si="93"/>
        <v>0</v>
      </c>
      <c r="AH42" s="908">
        <f t="shared" si="93"/>
        <v>0</v>
      </c>
      <c r="AI42" s="908">
        <f t="shared" si="93"/>
        <v>0</v>
      </c>
      <c r="AJ42" s="908">
        <f t="shared" si="93"/>
        <v>0</v>
      </c>
      <c r="AK42" s="908">
        <f t="shared" si="93"/>
        <v>0</v>
      </c>
      <c r="AL42" s="531">
        <f t="shared" ref="AL42:AL53" si="94">SUM(W42:AK42)</f>
        <v>0</v>
      </c>
    </row>
    <row r="43" spans="1:38" hidden="1" x14ac:dyDescent="0.3">
      <c r="B43" s="245" t="str">
        <f>'T_Stock_TOTAL_&amp;_City'!B43</f>
        <v>Diesel</v>
      </c>
      <c r="C43" s="245"/>
      <c r="D43" s="679">
        <f t="shared" ref="D43:D53" si="95">$U43*W43</f>
        <v>0</v>
      </c>
      <c r="E43" s="679">
        <f t="shared" si="78"/>
        <v>0</v>
      </c>
      <c r="F43" s="679">
        <f t="shared" si="79"/>
        <v>0</v>
      </c>
      <c r="G43" s="679">
        <f t="shared" si="80"/>
        <v>0</v>
      </c>
      <c r="H43" s="679">
        <f t="shared" si="81"/>
        <v>0</v>
      </c>
      <c r="I43" s="679">
        <f t="shared" si="82"/>
        <v>0</v>
      </c>
      <c r="J43" s="679">
        <f t="shared" si="83"/>
        <v>0</v>
      </c>
      <c r="K43" s="679">
        <f t="shared" si="84"/>
        <v>0</v>
      </c>
      <c r="L43" s="679">
        <f t="shared" si="85"/>
        <v>0</v>
      </c>
      <c r="M43" s="679">
        <f t="shared" si="86"/>
        <v>0</v>
      </c>
      <c r="N43" s="679">
        <f t="shared" si="87"/>
        <v>0</v>
      </c>
      <c r="O43" s="679">
        <f t="shared" si="88"/>
        <v>0</v>
      </c>
      <c r="P43" s="679">
        <f t="shared" si="89"/>
        <v>0</v>
      </c>
      <c r="Q43" s="679">
        <f t="shared" si="90"/>
        <v>0</v>
      </c>
      <c r="R43" s="679">
        <f t="shared" si="91"/>
        <v>0</v>
      </c>
      <c r="S43" s="679">
        <f t="shared" si="92"/>
        <v>0</v>
      </c>
      <c r="U43" s="311">
        <f>'T_Stock_TOTAL_&amp;_City'!U43-'T_Stock_TOTAL_&amp;_City'!V43</f>
        <v>0</v>
      </c>
      <c r="W43" s="908">
        <f t="shared" ref="W43:W53" si="96">W$6</f>
        <v>0</v>
      </c>
      <c r="X43" s="908">
        <f t="shared" si="93"/>
        <v>0</v>
      </c>
      <c r="Y43" s="908">
        <f t="shared" si="93"/>
        <v>0</v>
      </c>
      <c r="Z43" s="908">
        <f t="shared" si="93"/>
        <v>0</v>
      </c>
      <c r="AA43" s="908">
        <f t="shared" si="93"/>
        <v>0</v>
      </c>
      <c r="AB43" s="908">
        <f t="shared" si="93"/>
        <v>0</v>
      </c>
      <c r="AC43" s="908">
        <f t="shared" si="93"/>
        <v>0</v>
      </c>
      <c r="AD43" s="908">
        <f t="shared" si="93"/>
        <v>0</v>
      </c>
      <c r="AE43" s="908">
        <f t="shared" si="93"/>
        <v>0</v>
      </c>
      <c r="AF43" s="908">
        <f t="shared" si="93"/>
        <v>0</v>
      </c>
      <c r="AG43" s="908">
        <f t="shared" si="93"/>
        <v>0</v>
      </c>
      <c r="AH43" s="908">
        <f t="shared" si="93"/>
        <v>0</v>
      </c>
      <c r="AI43" s="908">
        <f t="shared" si="93"/>
        <v>0</v>
      </c>
      <c r="AJ43" s="908">
        <f t="shared" si="93"/>
        <v>0</v>
      </c>
      <c r="AK43" s="908">
        <f t="shared" si="93"/>
        <v>0</v>
      </c>
      <c r="AL43" s="531">
        <f t="shared" si="94"/>
        <v>0</v>
      </c>
    </row>
    <row r="44" spans="1:38" hidden="1" x14ac:dyDescent="0.3">
      <c r="B44" s="245" t="str">
        <f>'T_Stock_TOTAL_&amp;_City'!B44</f>
        <v>Battery electric (BEV)</v>
      </c>
      <c r="C44" s="245" t="s">
        <v>323</v>
      </c>
      <c r="D44" s="679">
        <f t="shared" si="95"/>
        <v>0</v>
      </c>
      <c r="E44" s="679">
        <f t="shared" si="78"/>
        <v>0</v>
      </c>
      <c r="F44" s="679">
        <f t="shared" si="79"/>
        <v>0</v>
      </c>
      <c r="G44" s="679">
        <f t="shared" si="80"/>
        <v>0</v>
      </c>
      <c r="H44" s="679">
        <f t="shared" si="81"/>
        <v>0</v>
      </c>
      <c r="I44" s="679">
        <f t="shared" si="82"/>
        <v>0</v>
      </c>
      <c r="J44" s="679">
        <f t="shared" si="83"/>
        <v>0</v>
      </c>
      <c r="K44" s="679">
        <f t="shared" si="84"/>
        <v>0</v>
      </c>
      <c r="L44" s="679">
        <f t="shared" si="85"/>
        <v>0</v>
      </c>
      <c r="M44" s="679">
        <f t="shared" si="86"/>
        <v>0</v>
      </c>
      <c r="N44" s="679">
        <f t="shared" si="87"/>
        <v>0</v>
      </c>
      <c r="O44" s="679">
        <f t="shared" si="88"/>
        <v>0</v>
      </c>
      <c r="P44" s="679">
        <f t="shared" si="89"/>
        <v>0</v>
      </c>
      <c r="Q44" s="679">
        <f t="shared" si="90"/>
        <v>0</v>
      </c>
      <c r="R44" s="679">
        <f t="shared" si="91"/>
        <v>0</v>
      </c>
      <c r="S44" s="679">
        <f t="shared" si="92"/>
        <v>0</v>
      </c>
      <c r="U44" s="311">
        <f>'T_Stock_TOTAL_&amp;_City'!U44-'T_Stock_TOTAL_&amp;_City'!V44</f>
        <v>0</v>
      </c>
      <c r="W44" s="908">
        <f t="shared" si="96"/>
        <v>0</v>
      </c>
      <c r="X44" s="908">
        <f t="shared" si="93"/>
        <v>0</v>
      </c>
      <c r="Y44" s="908">
        <f t="shared" si="93"/>
        <v>0</v>
      </c>
      <c r="Z44" s="908">
        <f t="shared" si="93"/>
        <v>0</v>
      </c>
      <c r="AA44" s="908">
        <f t="shared" si="93"/>
        <v>0</v>
      </c>
      <c r="AB44" s="908">
        <f t="shared" si="93"/>
        <v>0</v>
      </c>
      <c r="AC44" s="908">
        <f t="shared" si="93"/>
        <v>0</v>
      </c>
      <c r="AD44" s="908">
        <f t="shared" si="93"/>
        <v>0</v>
      </c>
      <c r="AE44" s="908">
        <f t="shared" si="93"/>
        <v>0</v>
      </c>
      <c r="AF44" s="908">
        <f t="shared" si="93"/>
        <v>0</v>
      </c>
      <c r="AG44" s="908">
        <f t="shared" si="93"/>
        <v>0</v>
      </c>
      <c r="AH44" s="908">
        <f t="shared" si="93"/>
        <v>0</v>
      </c>
      <c r="AI44" s="908">
        <f t="shared" si="93"/>
        <v>0</v>
      </c>
      <c r="AJ44" s="908">
        <f t="shared" si="93"/>
        <v>0</v>
      </c>
      <c r="AK44" s="908">
        <f t="shared" si="93"/>
        <v>0</v>
      </c>
      <c r="AL44" s="531">
        <f t="shared" si="94"/>
        <v>0</v>
      </c>
    </row>
    <row r="45" spans="1:38" hidden="1" x14ac:dyDescent="0.3">
      <c r="B45" s="245" t="str">
        <f>'T_Stock_TOTAL_&amp;_City'!B45</f>
        <v>Ethanol</v>
      </c>
      <c r="C45" s="245"/>
      <c r="D45" s="679">
        <f t="shared" si="95"/>
        <v>0</v>
      </c>
      <c r="E45" s="679">
        <f t="shared" si="78"/>
        <v>0</v>
      </c>
      <c r="F45" s="679">
        <f t="shared" si="79"/>
        <v>0</v>
      </c>
      <c r="G45" s="679">
        <f t="shared" si="80"/>
        <v>0</v>
      </c>
      <c r="H45" s="679">
        <f t="shared" si="81"/>
        <v>0</v>
      </c>
      <c r="I45" s="679">
        <f t="shared" si="82"/>
        <v>0</v>
      </c>
      <c r="J45" s="679">
        <f t="shared" si="83"/>
        <v>0</v>
      </c>
      <c r="K45" s="679">
        <f t="shared" si="84"/>
        <v>0</v>
      </c>
      <c r="L45" s="679">
        <f t="shared" si="85"/>
        <v>0</v>
      </c>
      <c r="M45" s="679">
        <f t="shared" si="86"/>
        <v>0</v>
      </c>
      <c r="N45" s="679">
        <f t="shared" si="87"/>
        <v>0</v>
      </c>
      <c r="O45" s="679">
        <f t="shared" si="88"/>
        <v>0</v>
      </c>
      <c r="P45" s="679">
        <f t="shared" si="89"/>
        <v>0</v>
      </c>
      <c r="Q45" s="679">
        <f t="shared" si="90"/>
        <v>0</v>
      </c>
      <c r="R45" s="679">
        <f t="shared" si="91"/>
        <v>0</v>
      </c>
      <c r="S45" s="679">
        <f t="shared" si="92"/>
        <v>0</v>
      </c>
      <c r="U45" s="311">
        <f>'T_Stock_TOTAL_&amp;_City'!U45-'T_Stock_TOTAL_&amp;_City'!V45</f>
        <v>0</v>
      </c>
      <c r="W45" s="908">
        <f t="shared" si="96"/>
        <v>0</v>
      </c>
      <c r="X45" s="908">
        <f t="shared" si="93"/>
        <v>0</v>
      </c>
      <c r="Y45" s="908">
        <f t="shared" si="93"/>
        <v>0</v>
      </c>
      <c r="Z45" s="908">
        <f t="shared" si="93"/>
        <v>0</v>
      </c>
      <c r="AA45" s="908">
        <f t="shared" si="93"/>
        <v>0</v>
      </c>
      <c r="AB45" s="908">
        <f t="shared" si="93"/>
        <v>0</v>
      </c>
      <c r="AC45" s="908">
        <f t="shared" si="93"/>
        <v>0</v>
      </c>
      <c r="AD45" s="908">
        <f t="shared" si="93"/>
        <v>0</v>
      </c>
      <c r="AE45" s="908">
        <f t="shared" si="93"/>
        <v>0</v>
      </c>
      <c r="AF45" s="908">
        <f t="shared" si="93"/>
        <v>0</v>
      </c>
      <c r="AG45" s="908">
        <f t="shared" si="93"/>
        <v>0</v>
      </c>
      <c r="AH45" s="908">
        <f t="shared" si="93"/>
        <v>0</v>
      </c>
      <c r="AI45" s="908">
        <f t="shared" si="93"/>
        <v>0</v>
      </c>
      <c r="AJ45" s="908">
        <f t="shared" si="93"/>
        <v>0</v>
      </c>
      <c r="AK45" s="908">
        <f t="shared" si="93"/>
        <v>0</v>
      </c>
      <c r="AL45" s="531">
        <f t="shared" si="94"/>
        <v>0</v>
      </c>
    </row>
    <row r="46" spans="1:38" hidden="1" x14ac:dyDescent="0.3">
      <c r="B46" s="245" t="str">
        <f>'T_Stock_TOTAL_&amp;_City'!B46</f>
        <v>Gas (CNG)</v>
      </c>
      <c r="C46" s="245"/>
      <c r="D46" s="679">
        <f t="shared" si="95"/>
        <v>0</v>
      </c>
      <c r="E46" s="679">
        <f t="shared" si="78"/>
        <v>0</v>
      </c>
      <c r="F46" s="679">
        <f t="shared" si="79"/>
        <v>0</v>
      </c>
      <c r="G46" s="679">
        <f t="shared" si="80"/>
        <v>0</v>
      </c>
      <c r="H46" s="679">
        <f t="shared" si="81"/>
        <v>0</v>
      </c>
      <c r="I46" s="679">
        <f t="shared" si="82"/>
        <v>0</v>
      </c>
      <c r="J46" s="679">
        <f t="shared" si="83"/>
        <v>0</v>
      </c>
      <c r="K46" s="679">
        <f t="shared" si="84"/>
        <v>0</v>
      </c>
      <c r="L46" s="679">
        <f t="shared" si="85"/>
        <v>0</v>
      </c>
      <c r="M46" s="679">
        <f t="shared" si="86"/>
        <v>0</v>
      </c>
      <c r="N46" s="679">
        <f t="shared" si="87"/>
        <v>0</v>
      </c>
      <c r="O46" s="679">
        <f t="shared" si="88"/>
        <v>0</v>
      </c>
      <c r="P46" s="679">
        <f t="shared" si="89"/>
        <v>0</v>
      </c>
      <c r="Q46" s="679">
        <f t="shared" si="90"/>
        <v>0</v>
      </c>
      <c r="R46" s="679">
        <f t="shared" si="91"/>
        <v>0</v>
      </c>
      <c r="S46" s="679">
        <f t="shared" si="92"/>
        <v>0</v>
      </c>
      <c r="U46" s="311">
        <f>'T_Stock_TOTAL_&amp;_City'!U46-'T_Stock_TOTAL_&amp;_City'!V46</f>
        <v>0</v>
      </c>
      <c r="W46" s="908">
        <f t="shared" si="96"/>
        <v>0</v>
      </c>
      <c r="X46" s="908">
        <f t="shared" si="93"/>
        <v>0</v>
      </c>
      <c r="Y46" s="908">
        <f t="shared" si="93"/>
        <v>0</v>
      </c>
      <c r="Z46" s="908">
        <f t="shared" si="93"/>
        <v>0</v>
      </c>
      <c r="AA46" s="908">
        <f t="shared" si="93"/>
        <v>0</v>
      </c>
      <c r="AB46" s="908">
        <f t="shared" si="93"/>
        <v>0</v>
      </c>
      <c r="AC46" s="908">
        <f t="shared" si="93"/>
        <v>0</v>
      </c>
      <c r="AD46" s="908">
        <f t="shared" si="93"/>
        <v>0</v>
      </c>
      <c r="AE46" s="908">
        <f t="shared" si="93"/>
        <v>0</v>
      </c>
      <c r="AF46" s="908">
        <f t="shared" si="93"/>
        <v>0</v>
      </c>
      <c r="AG46" s="908">
        <f t="shared" si="93"/>
        <v>0</v>
      </c>
      <c r="AH46" s="908">
        <f t="shared" si="93"/>
        <v>0</v>
      </c>
      <c r="AI46" s="908">
        <f t="shared" si="93"/>
        <v>0</v>
      </c>
      <c r="AJ46" s="908">
        <f t="shared" si="93"/>
        <v>0</v>
      </c>
      <c r="AK46" s="908">
        <f t="shared" si="93"/>
        <v>0</v>
      </c>
      <c r="AL46" s="531">
        <f t="shared" si="94"/>
        <v>0</v>
      </c>
    </row>
    <row r="47" spans="1:38" hidden="1" x14ac:dyDescent="0.3">
      <c r="B47" s="245" t="str">
        <f>'T_Stock_TOTAL_&amp;_City'!B47</f>
        <v>Gasoline</v>
      </c>
      <c r="C47" s="245" t="s">
        <v>324</v>
      </c>
      <c r="D47" s="679">
        <f t="shared" si="95"/>
        <v>0</v>
      </c>
      <c r="E47" s="679">
        <f t="shared" si="78"/>
        <v>0</v>
      </c>
      <c r="F47" s="679">
        <f t="shared" si="79"/>
        <v>0</v>
      </c>
      <c r="G47" s="679">
        <f t="shared" si="80"/>
        <v>0</v>
      </c>
      <c r="H47" s="679">
        <f t="shared" si="81"/>
        <v>0</v>
      </c>
      <c r="I47" s="679">
        <f t="shared" si="82"/>
        <v>0</v>
      </c>
      <c r="J47" s="679">
        <f t="shared" si="83"/>
        <v>0</v>
      </c>
      <c r="K47" s="679">
        <f t="shared" si="84"/>
        <v>0</v>
      </c>
      <c r="L47" s="679">
        <f t="shared" si="85"/>
        <v>0</v>
      </c>
      <c r="M47" s="679">
        <f t="shared" si="86"/>
        <v>0</v>
      </c>
      <c r="N47" s="679">
        <f t="shared" si="87"/>
        <v>0</v>
      </c>
      <c r="O47" s="679">
        <f t="shared" si="88"/>
        <v>0</v>
      </c>
      <c r="P47" s="679">
        <f t="shared" si="89"/>
        <v>0</v>
      </c>
      <c r="Q47" s="679">
        <f t="shared" si="90"/>
        <v>0</v>
      </c>
      <c r="R47" s="679">
        <f t="shared" si="91"/>
        <v>0</v>
      </c>
      <c r="S47" s="679">
        <f t="shared" si="92"/>
        <v>0</v>
      </c>
      <c r="U47" s="311">
        <f>'T_Stock_TOTAL_&amp;_City'!U47-'T_Stock_TOTAL_&amp;_City'!V47</f>
        <v>0</v>
      </c>
      <c r="W47" s="908">
        <f t="shared" si="96"/>
        <v>0</v>
      </c>
      <c r="X47" s="908">
        <f t="shared" si="93"/>
        <v>0</v>
      </c>
      <c r="Y47" s="908">
        <f t="shared" si="93"/>
        <v>0</v>
      </c>
      <c r="Z47" s="908">
        <f t="shared" si="93"/>
        <v>0</v>
      </c>
      <c r="AA47" s="908">
        <f t="shared" si="93"/>
        <v>0</v>
      </c>
      <c r="AB47" s="908">
        <f t="shared" si="93"/>
        <v>0</v>
      </c>
      <c r="AC47" s="908">
        <f t="shared" si="93"/>
        <v>0</v>
      </c>
      <c r="AD47" s="908">
        <f t="shared" si="93"/>
        <v>0</v>
      </c>
      <c r="AE47" s="908">
        <f t="shared" si="93"/>
        <v>0</v>
      </c>
      <c r="AF47" s="908">
        <f t="shared" si="93"/>
        <v>0</v>
      </c>
      <c r="AG47" s="908">
        <f t="shared" si="93"/>
        <v>0</v>
      </c>
      <c r="AH47" s="908">
        <f t="shared" si="93"/>
        <v>0</v>
      </c>
      <c r="AI47" s="908">
        <f t="shared" si="93"/>
        <v>0</v>
      </c>
      <c r="AJ47" s="908">
        <f t="shared" si="93"/>
        <v>0</v>
      </c>
      <c r="AK47" s="908">
        <f t="shared" si="93"/>
        <v>0</v>
      </c>
      <c r="AL47" s="531">
        <f t="shared" si="94"/>
        <v>0</v>
      </c>
    </row>
    <row r="48" spans="1:38" hidden="1" x14ac:dyDescent="0.3">
      <c r="B48" s="245" t="str">
        <f>'T_Stock_TOTAL_&amp;_City'!B48</f>
        <v>Hybrid Electric - diesel</v>
      </c>
      <c r="C48" s="245"/>
      <c r="D48" s="679">
        <f t="shared" si="95"/>
        <v>0</v>
      </c>
      <c r="E48" s="679">
        <f t="shared" si="78"/>
        <v>0</v>
      </c>
      <c r="F48" s="679">
        <f t="shared" si="79"/>
        <v>0</v>
      </c>
      <c r="G48" s="679">
        <f t="shared" si="80"/>
        <v>0</v>
      </c>
      <c r="H48" s="679">
        <f t="shared" si="81"/>
        <v>0</v>
      </c>
      <c r="I48" s="679">
        <f t="shared" si="82"/>
        <v>0</v>
      </c>
      <c r="J48" s="679">
        <f t="shared" si="83"/>
        <v>0</v>
      </c>
      <c r="K48" s="679">
        <f t="shared" si="84"/>
        <v>0</v>
      </c>
      <c r="L48" s="679">
        <f t="shared" si="85"/>
        <v>0</v>
      </c>
      <c r="M48" s="679">
        <f t="shared" si="86"/>
        <v>0</v>
      </c>
      <c r="N48" s="679">
        <f t="shared" si="87"/>
        <v>0</v>
      </c>
      <c r="O48" s="679">
        <f t="shared" si="88"/>
        <v>0</v>
      </c>
      <c r="P48" s="679">
        <f t="shared" si="89"/>
        <v>0</v>
      </c>
      <c r="Q48" s="679">
        <f t="shared" si="90"/>
        <v>0</v>
      </c>
      <c r="R48" s="679">
        <f t="shared" si="91"/>
        <v>0</v>
      </c>
      <c r="S48" s="679">
        <f t="shared" si="92"/>
        <v>0</v>
      </c>
      <c r="U48" s="311">
        <f>'T_Stock_TOTAL_&amp;_City'!U48-'T_Stock_TOTAL_&amp;_City'!V48</f>
        <v>0</v>
      </c>
      <c r="W48" s="908">
        <f t="shared" si="96"/>
        <v>0</v>
      </c>
      <c r="X48" s="908">
        <f t="shared" si="93"/>
        <v>0</v>
      </c>
      <c r="Y48" s="908">
        <f t="shared" si="93"/>
        <v>0</v>
      </c>
      <c r="Z48" s="908">
        <f t="shared" si="93"/>
        <v>0</v>
      </c>
      <c r="AA48" s="908">
        <f t="shared" si="93"/>
        <v>0</v>
      </c>
      <c r="AB48" s="908">
        <f t="shared" si="93"/>
        <v>0</v>
      </c>
      <c r="AC48" s="908">
        <f t="shared" si="93"/>
        <v>0</v>
      </c>
      <c r="AD48" s="908">
        <f t="shared" si="93"/>
        <v>0</v>
      </c>
      <c r="AE48" s="908">
        <f t="shared" si="93"/>
        <v>0</v>
      </c>
      <c r="AF48" s="908">
        <f t="shared" si="93"/>
        <v>0</v>
      </c>
      <c r="AG48" s="908">
        <f t="shared" si="93"/>
        <v>0</v>
      </c>
      <c r="AH48" s="908">
        <f t="shared" si="93"/>
        <v>0</v>
      </c>
      <c r="AI48" s="908">
        <f t="shared" si="93"/>
        <v>0</v>
      </c>
      <c r="AJ48" s="908">
        <f t="shared" si="93"/>
        <v>0</v>
      </c>
      <c r="AK48" s="908">
        <f t="shared" si="93"/>
        <v>0</v>
      </c>
      <c r="AL48" s="531">
        <f t="shared" si="94"/>
        <v>0</v>
      </c>
    </row>
    <row r="49" spans="2:38" hidden="1" x14ac:dyDescent="0.3">
      <c r="B49" s="245" t="str">
        <f>'T_Stock_TOTAL_&amp;_City'!B49</f>
        <v>Hybrid Electric - gasoline</v>
      </c>
      <c r="C49" s="245"/>
      <c r="D49" s="679">
        <f t="shared" si="95"/>
        <v>0</v>
      </c>
      <c r="E49" s="679">
        <f t="shared" si="78"/>
        <v>0</v>
      </c>
      <c r="F49" s="679">
        <f t="shared" si="79"/>
        <v>0</v>
      </c>
      <c r="G49" s="679">
        <f t="shared" si="80"/>
        <v>0</v>
      </c>
      <c r="H49" s="679">
        <f t="shared" si="81"/>
        <v>0</v>
      </c>
      <c r="I49" s="679">
        <f t="shared" si="82"/>
        <v>0</v>
      </c>
      <c r="J49" s="679">
        <f t="shared" si="83"/>
        <v>0</v>
      </c>
      <c r="K49" s="679">
        <f t="shared" si="84"/>
        <v>0</v>
      </c>
      <c r="L49" s="679">
        <f t="shared" si="85"/>
        <v>0</v>
      </c>
      <c r="M49" s="679">
        <f t="shared" si="86"/>
        <v>0</v>
      </c>
      <c r="N49" s="679">
        <f t="shared" si="87"/>
        <v>0</v>
      </c>
      <c r="O49" s="679">
        <f t="shared" si="88"/>
        <v>0</v>
      </c>
      <c r="P49" s="679">
        <f t="shared" si="89"/>
        <v>0</v>
      </c>
      <c r="Q49" s="679">
        <f t="shared" si="90"/>
        <v>0</v>
      </c>
      <c r="R49" s="679">
        <f t="shared" si="91"/>
        <v>0</v>
      </c>
      <c r="S49" s="679">
        <f t="shared" si="92"/>
        <v>0</v>
      </c>
      <c r="U49" s="311">
        <f>'T_Stock_TOTAL_&amp;_City'!U49-'T_Stock_TOTAL_&amp;_City'!V49</f>
        <v>0</v>
      </c>
      <c r="W49" s="908">
        <f t="shared" si="96"/>
        <v>0</v>
      </c>
      <c r="X49" s="908">
        <f t="shared" si="93"/>
        <v>0</v>
      </c>
      <c r="Y49" s="908">
        <f t="shared" si="93"/>
        <v>0</v>
      </c>
      <c r="Z49" s="908">
        <f t="shared" si="93"/>
        <v>0</v>
      </c>
      <c r="AA49" s="908">
        <f t="shared" si="93"/>
        <v>0</v>
      </c>
      <c r="AB49" s="908">
        <f t="shared" si="93"/>
        <v>0</v>
      </c>
      <c r="AC49" s="908">
        <f t="shared" si="93"/>
        <v>0</v>
      </c>
      <c r="AD49" s="908">
        <f t="shared" si="93"/>
        <v>0</v>
      </c>
      <c r="AE49" s="908">
        <f t="shared" si="93"/>
        <v>0</v>
      </c>
      <c r="AF49" s="908">
        <f t="shared" si="93"/>
        <v>0</v>
      </c>
      <c r="AG49" s="908">
        <f t="shared" si="93"/>
        <v>0</v>
      </c>
      <c r="AH49" s="908">
        <f t="shared" si="93"/>
        <v>0</v>
      </c>
      <c r="AI49" s="908">
        <f t="shared" si="93"/>
        <v>0</v>
      </c>
      <c r="AJ49" s="908">
        <f t="shared" si="93"/>
        <v>0</v>
      </c>
      <c r="AK49" s="908">
        <f t="shared" si="93"/>
        <v>0</v>
      </c>
      <c r="AL49" s="531">
        <f t="shared" si="94"/>
        <v>0</v>
      </c>
    </row>
    <row r="50" spans="2:38" hidden="1" x14ac:dyDescent="0.3">
      <c r="B50" s="245" t="str">
        <f>'T_Stock_TOTAL_&amp;_City'!B50</f>
        <v>LPG</v>
      </c>
      <c r="C50" s="245"/>
      <c r="D50" s="679">
        <f t="shared" si="95"/>
        <v>0</v>
      </c>
      <c r="E50" s="679">
        <f t="shared" si="78"/>
        <v>0</v>
      </c>
      <c r="F50" s="679">
        <f t="shared" si="79"/>
        <v>0</v>
      </c>
      <c r="G50" s="679">
        <f t="shared" si="80"/>
        <v>0</v>
      </c>
      <c r="H50" s="679">
        <f t="shared" si="81"/>
        <v>0</v>
      </c>
      <c r="I50" s="679">
        <f t="shared" si="82"/>
        <v>0</v>
      </c>
      <c r="J50" s="679">
        <f t="shared" si="83"/>
        <v>0</v>
      </c>
      <c r="K50" s="679">
        <f t="shared" si="84"/>
        <v>0</v>
      </c>
      <c r="L50" s="679">
        <f t="shared" si="85"/>
        <v>0</v>
      </c>
      <c r="M50" s="679">
        <f t="shared" si="86"/>
        <v>0</v>
      </c>
      <c r="N50" s="679">
        <f t="shared" si="87"/>
        <v>0</v>
      </c>
      <c r="O50" s="679">
        <f t="shared" si="88"/>
        <v>0</v>
      </c>
      <c r="P50" s="679">
        <f t="shared" si="89"/>
        <v>0</v>
      </c>
      <c r="Q50" s="679">
        <f t="shared" si="90"/>
        <v>0</v>
      </c>
      <c r="R50" s="679">
        <f t="shared" si="91"/>
        <v>0</v>
      </c>
      <c r="S50" s="679">
        <f t="shared" si="92"/>
        <v>0</v>
      </c>
      <c r="U50" s="311">
        <f>'T_Stock_TOTAL_&amp;_City'!U50-'T_Stock_TOTAL_&amp;_City'!V50</f>
        <v>0</v>
      </c>
      <c r="W50" s="908">
        <f t="shared" si="96"/>
        <v>0</v>
      </c>
      <c r="X50" s="908">
        <f t="shared" si="93"/>
        <v>0</v>
      </c>
      <c r="Y50" s="908">
        <f t="shared" si="93"/>
        <v>0</v>
      </c>
      <c r="Z50" s="908">
        <f t="shared" si="93"/>
        <v>0</v>
      </c>
      <c r="AA50" s="908">
        <f t="shared" si="93"/>
        <v>0</v>
      </c>
      <c r="AB50" s="908">
        <f t="shared" si="93"/>
        <v>0</v>
      </c>
      <c r="AC50" s="908">
        <f t="shared" si="93"/>
        <v>0</v>
      </c>
      <c r="AD50" s="908">
        <f t="shared" si="93"/>
        <v>0</v>
      </c>
      <c r="AE50" s="908">
        <f t="shared" si="93"/>
        <v>0</v>
      </c>
      <c r="AF50" s="908">
        <f t="shared" si="93"/>
        <v>0</v>
      </c>
      <c r="AG50" s="908">
        <f t="shared" si="93"/>
        <v>0</v>
      </c>
      <c r="AH50" s="908">
        <f t="shared" si="93"/>
        <v>0</v>
      </c>
      <c r="AI50" s="908">
        <f t="shared" si="93"/>
        <v>0</v>
      </c>
      <c r="AJ50" s="908">
        <f t="shared" si="93"/>
        <v>0</v>
      </c>
      <c r="AK50" s="908">
        <f t="shared" si="93"/>
        <v>0</v>
      </c>
      <c r="AL50" s="531">
        <f t="shared" si="94"/>
        <v>0</v>
      </c>
    </row>
    <row r="51" spans="2:38" hidden="1" x14ac:dyDescent="0.3">
      <c r="B51" s="245" t="str">
        <f>'T_Stock_TOTAL_&amp;_City'!B51</f>
        <v>Plugin Hybrid Electric - diesel</v>
      </c>
      <c r="C51" s="245"/>
      <c r="D51" s="679">
        <f t="shared" si="95"/>
        <v>0</v>
      </c>
      <c r="E51" s="679">
        <f t="shared" si="78"/>
        <v>0</v>
      </c>
      <c r="F51" s="679">
        <f t="shared" si="79"/>
        <v>0</v>
      </c>
      <c r="G51" s="679">
        <f t="shared" si="80"/>
        <v>0</v>
      </c>
      <c r="H51" s="679">
        <f t="shared" si="81"/>
        <v>0</v>
      </c>
      <c r="I51" s="679">
        <f t="shared" si="82"/>
        <v>0</v>
      </c>
      <c r="J51" s="679">
        <f t="shared" si="83"/>
        <v>0</v>
      </c>
      <c r="K51" s="679">
        <f t="shared" si="84"/>
        <v>0</v>
      </c>
      <c r="L51" s="679">
        <f t="shared" si="85"/>
        <v>0</v>
      </c>
      <c r="M51" s="679">
        <f t="shared" si="86"/>
        <v>0</v>
      </c>
      <c r="N51" s="679">
        <f t="shared" si="87"/>
        <v>0</v>
      </c>
      <c r="O51" s="679">
        <f t="shared" si="88"/>
        <v>0</v>
      </c>
      <c r="P51" s="679">
        <f t="shared" si="89"/>
        <v>0</v>
      </c>
      <c r="Q51" s="679">
        <f t="shared" si="90"/>
        <v>0</v>
      </c>
      <c r="R51" s="679">
        <f t="shared" si="91"/>
        <v>0</v>
      </c>
      <c r="S51" s="679">
        <f t="shared" si="92"/>
        <v>0</v>
      </c>
      <c r="U51" s="311">
        <f>'T_Stock_TOTAL_&amp;_City'!U51-'T_Stock_TOTAL_&amp;_City'!V51</f>
        <v>0</v>
      </c>
      <c r="W51" s="908">
        <f t="shared" si="96"/>
        <v>0</v>
      </c>
      <c r="X51" s="908">
        <f t="shared" si="93"/>
        <v>0</v>
      </c>
      <c r="Y51" s="908">
        <f t="shared" si="93"/>
        <v>0</v>
      </c>
      <c r="Z51" s="908">
        <f t="shared" si="93"/>
        <v>0</v>
      </c>
      <c r="AA51" s="908">
        <f t="shared" si="93"/>
        <v>0</v>
      </c>
      <c r="AB51" s="908">
        <f t="shared" si="93"/>
        <v>0</v>
      </c>
      <c r="AC51" s="908">
        <f t="shared" si="93"/>
        <v>0</v>
      </c>
      <c r="AD51" s="908">
        <f t="shared" si="93"/>
        <v>0</v>
      </c>
      <c r="AE51" s="908">
        <f t="shared" si="93"/>
        <v>0</v>
      </c>
      <c r="AF51" s="908">
        <f t="shared" si="93"/>
        <v>0</v>
      </c>
      <c r="AG51" s="908">
        <f t="shared" si="93"/>
        <v>0</v>
      </c>
      <c r="AH51" s="908">
        <f t="shared" si="93"/>
        <v>0</v>
      </c>
      <c r="AI51" s="908">
        <f t="shared" si="93"/>
        <v>0</v>
      </c>
      <c r="AJ51" s="908">
        <f t="shared" si="93"/>
        <v>0</v>
      </c>
      <c r="AK51" s="908">
        <f t="shared" si="93"/>
        <v>0</v>
      </c>
      <c r="AL51" s="531">
        <f t="shared" si="94"/>
        <v>0</v>
      </c>
    </row>
    <row r="52" spans="2:38" hidden="1" x14ac:dyDescent="0.3">
      <c r="B52" s="245" t="str">
        <f>'T_Stock_TOTAL_&amp;_City'!B52</f>
        <v>Plugin Hybrid Electric - gasoline</v>
      </c>
      <c r="C52" s="245"/>
      <c r="D52" s="679">
        <f t="shared" si="95"/>
        <v>0</v>
      </c>
      <c r="E52" s="679">
        <f t="shared" si="78"/>
        <v>0</v>
      </c>
      <c r="F52" s="679">
        <f t="shared" si="79"/>
        <v>0</v>
      </c>
      <c r="G52" s="679">
        <f t="shared" si="80"/>
        <v>0</v>
      </c>
      <c r="H52" s="679">
        <f t="shared" si="81"/>
        <v>0</v>
      </c>
      <c r="I52" s="679">
        <f t="shared" si="82"/>
        <v>0</v>
      </c>
      <c r="J52" s="679">
        <f t="shared" si="83"/>
        <v>0</v>
      </c>
      <c r="K52" s="679">
        <f t="shared" si="84"/>
        <v>0</v>
      </c>
      <c r="L52" s="679">
        <f t="shared" si="85"/>
        <v>0</v>
      </c>
      <c r="M52" s="679">
        <f t="shared" si="86"/>
        <v>0</v>
      </c>
      <c r="N52" s="679">
        <f t="shared" si="87"/>
        <v>0</v>
      </c>
      <c r="O52" s="679">
        <f t="shared" si="88"/>
        <v>0</v>
      </c>
      <c r="P52" s="679">
        <f t="shared" si="89"/>
        <v>0</v>
      </c>
      <c r="Q52" s="679">
        <f t="shared" si="90"/>
        <v>0</v>
      </c>
      <c r="R52" s="679">
        <f t="shared" si="91"/>
        <v>0</v>
      </c>
      <c r="S52" s="679">
        <f t="shared" si="92"/>
        <v>0</v>
      </c>
      <c r="U52" s="311">
        <f>'T_Stock_TOTAL_&amp;_City'!U52-'T_Stock_TOTAL_&amp;_City'!V52</f>
        <v>0</v>
      </c>
      <c r="W52" s="908">
        <f t="shared" si="96"/>
        <v>0</v>
      </c>
      <c r="X52" s="908">
        <f t="shared" si="93"/>
        <v>0</v>
      </c>
      <c r="Y52" s="908">
        <f t="shared" si="93"/>
        <v>0</v>
      </c>
      <c r="Z52" s="908">
        <f t="shared" si="93"/>
        <v>0</v>
      </c>
      <c r="AA52" s="908">
        <f t="shared" si="93"/>
        <v>0</v>
      </c>
      <c r="AB52" s="908">
        <f t="shared" si="93"/>
        <v>0</v>
      </c>
      <c r="AC52" s="908">
        <f t="shared" si="93"/>
        <v>0</v>
      </c>
      <c r="AD52" s="908">
        <f t="shared" si="93"/>
        <v>0</v>
      </c>
      <c r="AE52" s="908">
        <f t="shared" si="93"/>
        <v>0</v>
      </c>
      <c r="AF52" s="908">
        <f t="shared" si="93"/>
        <v>0</v>
      </c>
      <c r="AG52" s="908">
        <f t="shared" si="93"/>
        <v>0</v>
      </c>
      <c r="AH52" s="908">
        <f t="shared" si="93"/>
        <v>0</v>
      </c>
      <c r="AI52" s="908">
        <f t="shared" si="93"/>
        <v>0</v>
      </c>
      <c r="AJ52" s="908">
        <f t="shared" si="93"/>
        <v>0</v>
      </c>
      <c r="AK52" s="908">
        <f t="shared" si="93"/>
        <v>0</v>
      </c>
      <c r="AL52" s="531">
        <f t="shared" si="94"/>
        <v>0</v>
      </c>
    </row>
    <row r="53" spans="2:38" hidden="1" x14ac:dyDescent="0.3">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8">
        <f t="shared" si="96"/>
        <v>0</v>
      </c>
      <c r="X53" s="908">
        <f t="shared" si="93"/>
        <v>0</v>
      </c>
      <c r="Y53" s="908">
        <f t="shared" si="93"/>
        <v>0</v>
      </c>
      <c r="Z53" s="908">
        <f t="shared" si="93"/>
        <v>0</v>
      </c>
      <c r="AA53" s="908">
        <f t="shared" si="93"/>
        <v>0</v>
      </c>
      <c r="AB53" s="908">
        <f t="shared" si="93"/>
        <v>0</v>
      </c>
      <c r="AC53" s="908">
        <f t="shared" si="93"/>
        <v>0</v>
      </c>
      <c r="AD53" s="908">
        <f t="shared" si="93"/>
        <v>0</v>
      </c>
      <c r="AE53" s="908">
        <f t="shared" si="93"/>
        <v>0</v>
      </c>
      <c r="AF53" s="908">
        <f t="shared" si="93"/>
        <v>0</v>
      </c>
      <c r="AG53" s="908">
        <f t="shared" si="93"/>
        <v>0</v>
      </c>
      <c r="AH53" s="908">
        <f t="shared" si="93"/>
        <v>0</v>
      </c>
      <c r="AI53" s="908">
        <f t="shared" si="93"/>
        <v>0</v>
      </c>
      <c r="AJ53" s="908">
        <f t="shared" si="93"/>
        <v>0</v>
      </c>
      <c r="AK53" s="908">
        <f t="shared" si="93"/>
        <v>0</v>
      </c>
      <c r="AL53" s="531">
        <f t="shared" si="94"/>
        <v>0</v>
      </c>
    </row>
    <row r="54" spans="2:38" hidden="1" x14ac:dyDescent="0.3">
      <c r="B54" s="131" t="s">
        <v>119</v>
      </c>
      <c r="C54" s="131"/>
      <c r="D54" s="680">
        <f>SUM(D42:D53)</f>
        <v>0</v>
      </c>
      <c r="E54" s="680">
        <f t="shared" ref="E54" si="97">SUM(E42:E53)</f>
        <v>0</v>
      </c>
      <c r="F54" s="680">
        <f t="shared" ref="F54" si="98">SUM(F42:F53)</f>
        <v>0</v>
      </c>
      <c r="G54" s="680">
        <f t="shared" ref="G54" si="99">SUM(G42:G53)</f>
        <v>0</v>
      </c>
      <c r="H54" s="680">
        <f t="shared" ref="H54" si="100">SUM(H42:H53)</f>
        <v>0</v>
      </c>
      <c r="I54" s="680">
        <f t="shared" ref="I54" si="101">SUM(I42:I53)</f>
        <v>0</v>
      </c>
      <c r="J54" s="680">
        <f t="shared" ref="J54" si="102">SUM(J42:J53)</f>
        <v>0</v>
      </c>
      <c r="K54" s="680">
        <f t="shared" ref="K54" si="103">SUM(K42:K53)</f>
        <v>0</v>
      </c>
      <c r="L54" s="680">
        <f t="shared" ref="L54" si="104">SUM(L42:L53)</f>
        <v>0</v>
      </c>
      <c r="M54" s="680">
        <f t="shared" ref="M54" si="105">SUM(M42:M53)</f>
        <v>0</v>
      </c>
      <c r="N54" s="680">
        <f t="shared" ref="N54" si="106">SUM(N42:N53)</f>
        <v>0</v>
      </c>
      <c r="O54" s="680">
        <f t="shared" ref="O54" si="107">SUM(O42:O53)</f>
        <v>0</v>
      </c>
      <c r="P54" s="680">
        <f t="shared" ref="P54" si="108">SUM(P42:P53)</f>
        <v>0</v>
      </c>
      <c r="Q54" s="680">
        <f t="shared" ref="Q54" si="109">SUM(Q42:Q53)</f>
        <v>0</v>
      </c>
      <c r="R54" s="680">
        <f t="shared" ref="R54" si="110">SUM(R42:R53)</f>
        <v>0</v>
      </c>
      <c r="S54" s="680">
        <f t="shared" ref="S54" si="111">SUM(S42:S53)</f>
        <v>0</v>
      </c>
      <c r="U54" s="130">
        <f>SUM(U43:U51)</f>
        <v>0</v>
      </c>
      <c r="W54" s="5"/>
      <c r="X54" s="5"/>
      <c r="Y54" s="5"/>
      <c r="Z54" s="5"/>
      <c r="AA54" s="5"/>
      <c r="AB54" s="5"/>
      <c r="AC54" s="5"/>
      <c r="AD54" s="5"/>
      <c r="AE54" s="5"/>
      <c r="AF54" s="5"/>
      <c r="AG54" s="5"/>
    </row>
    <row r="55" spans="2:38" hidden="1" x14ac:dyDescent="0.3"/>
    <row r="56" spans="2:38" x14ac:dyDescent="0.3">
      <c r="B56" s="476" t="s">
        <v>124</v>
      </c>
      <c r="C56" s="339"/>
      <c r="W56" s="3" t="s">
        <v>299</v>
      </c>
    </row>
    <row r="57" spans="2:38" x14ac:dyDescent="0.3">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3">
      <c r="B58" s="245" t="str">
        <f>'T_Stock_TOTAL_&amp;_City'!B58</f>
        <v>Biodiesel</v>
      </c>
      <c r="C58" s="245" t="s">
        <v>325</v>
      </c>
      <c r="D58" s="940">
        <f>ROUND(2421/2*0.4,0)</f>
        <v>484</v>
      </c>
      <c r="E58" s="797"/>
      <c r="F58" s="797"/>
      <c r="G58" s="797"/>
      <c r="H58" s="797"/>
      <c r="I58" s="797"/>
      <c r="J58" s="797"/>
      <c r="K58" s="797"/>
      <c r="L58" s="797"/>
      <c r="M58" s="797"/>
      <c r="N58" s="797"/>
      <c r="O58" s="797"/>
      <c r="P58" s="797"/>
      <c r="Q58" s="797"/>
      <c r="R58" s="797"/>
      <c r="S58" s="679">
        <f>$U58*AL58</f>
        <v>0</v>
      </c>
      <c r="U58" s="321">
        <f>'T_Stock_TOTAL_&amp;_City'!U58-'T_Stock_TOTAL_&amp;_City'!V58</f>
        <v>0</v>
      </c>
      <c r="W58" s="908">
        <f>W$6</f>
        <v>0</v>
      </c>
      <c r="X58" s="908">
        <f t="shared" ref="X58:AK69" si="114">X$6</f>
        <v>0</v>
      </c>
      <c r="Y58" s="908">
        <f t="shared" si="114"/>
        <v>0</v>
      </c>
      <c r="Z58" s="908">
        <f t="shared" si="114"/>
        <v>0</v>
      </c>
      <c r="AA58" s="908">
        <f t="shared" si="114"/>
        <v>0</v>
      </c>
      <c r="AB58" s="908">
        <f t="shared" si="114"/>
        <v>0</v>
      </c>
      <c r="AC58" s="908">
        <f t="shared" si="114"/>
        <v>0</v>
      </c>
      <c r="AD58" s="908">
        <f t="shared" si="114"/>
        <v>0</v>
      </c>
      <c r="AE58" s="908">
        <f t="shared" si="114"/>
        <v>0</v>
      </c>
      <c r="AF58" s="908">
        <f t="shared" si="114"/>
        <v>0</v>
      </c>
      <c r="AG58" s="908">
        <f t="shared" si="114"/>
        <v>0</v>
      </c>
      <c r="AH58" s="908">
        <f t="shared" si="114"/>
        <v>0</v>
      </c>
      <c r="AI58" s="908">
        <f t="shared" si="114"/>
        <v>0</v>
      </c>
      <c r="AJ58" s="908">
        <f t="shared" si="114"/>
        <v>0</v>
      </c>
      <c r="AK58" s="908">
        <f t="shared" si="114"/>
        <v>0</v>
      </c>
      <c r="AL58" s="531">
        <f t="shared" ref="AL58:AL69" si="115">SUM(W58:AK58)</f>
        <v>0</v>
      </c>
    </row>
    <row r="59" spans="2:38" x14ac:dyDescent="0.3">
      <c r="B59" s="245" t="str">
        <f>'T_Stock_TOTAL_&amp;_City'!B59</f>
        <v>Diesel</v>
      </c>
      <c r="C59" s="245" t="s">
        <v>326</v>
      </c>
      <c r="D59" s="940">
        <f>ROUND(2421/2*0.4,0)</f>
        <v>484</v>
      </c>
      <c r="E59" s="797"/>
      <c r="F59" s="797"/>
      <c r="G59" s="797"/>
      <c r="H59" s="797"/>
      <c r="I59" s="797"/>
      <c r="J59" s="797"/>
      <c r="K59" s="797"/>
      <c r="L59" s="797"/>
      <c r="M59" s="797"/>
      <c r="N59" s="797"/>
      <c r="O59" s="797"/>
      <c r="P59" s="797"/>
      <c r="Q59" s="797"/>
      <c r="R59" s="797"/>
      <c r="S59" s="679">
        <f t="shared" ref="S59:S68" si="116">SUM(D59:R59)</f>
        <v>484</v>
      </c>
      <c r="U59" s="321">
        <f>'T_Stock_TOTAL_&amp;_City'!U59-'T_Stock_TOTAL_&amp;_City'!V59</f>
        <v>0</v>
      </c>
      <c r="W59" s="908">
        <f t="shared" ref="W59:W69" si="117">W$6</f>
        <v>0</v>
      </c>
      <c r="X59" s="908">
        <f t="shared" si="114"/>
        <v>0</v>
      </c>
      <c r="Y59" s="908">
        <f t="shared" si="114"/>
        <v>0</v>
      </c>
      <c r="Z59" s="908">
        <f t="shared" si="114"/>
        <v>0</v>
      </c>
      <c r="AA59" s="908">
        <f t="shared" si="114"/>
        <v>0</v>
      </c>
      <c r="AB59" s="908">
        <f t="shared" si="114"/>
        <v>0</v>
      </c>
      <c r="AC59" s="908">
        <f t="shared" si="114"/>
        <v>0</v>
      </c>
      <c r="AD59" s="908">
        <f t="shared" si="114"/>
        <v>0</v>
      </c>
      <c r="AE59" s="908">
        <f t="shared" si="114"/>
        <v>0</v>
      </c>
      <c r="AF59" s="908">
        <f t="shared" si="114"/>
        <v>0</v>
      </c>
      <c r="AG59" s="908">
        <f t="shared" si="114"/>
        <v>0</v>
      </c>
      <c r="AH59" s="908">
        <f t="shared" si="114"/>
        <v>0</v>
      </c>
      <c r="AI59" s="908">
        <f t="shared" si="114"/>
        <v>0</v>
      </c>
      <c r="AJ59" s="908">
        <f t="shared" si="114"/>
        <v>0</v>
      </c>
      <c r="AK59" s="908">
        <f t="shared" si="114"/>
        <v>0</v>
      </c>
      <c r="AL59" s="531">
        <f t="shared" si="115"/>
        <v>0</v>
      </c>
    </row>
    <row r="60" spans="2:38" x14ac:dyDescent="0.3">
      <c r="B60" s="245" t="str">
        <f>'T_Stock_TOTAL_&amp;_City'!B60</f>
        <v>Battery electric (BEV)</v>
      </c>
      <c r="C60" s="245" t="s">
        <v>327</v>
      </c>
      <c r="D60" s="940">
        <f>ROUND(31*0.4,0)</f>
        <v>12</v>
      </c>
      <c r="E60" s="797"/>
      <c r="F60" s="797"/>
      <c r="G60" s="797"/>
      <c r="H60" s="797"/>
      <c r="I60" s="797"/>
      <c r="J60" s="797"/>
      <c r="K60" s="797"/>
      <c r="L60" s="797"/>
      <c r="M60" s="797"/>
      <c r="N60" s="797"/>
      <c r="O60" s="797"/>
      <c r="P60" s="797"/>
      <c r="Q60" s="797"/>
      <c r="R60" s="797"/>
      <c r="S60" s="679">
        <f t="shared" si="116"/>
        <v>12</v>
      </c>
      <c r="U60" s="321">
        <f>'T_Stock_TOTAL_&amp;_City'!U60-'T_Stock_TOTAL_&amp;_City'!V60</f>
        <v>0</v>
      </c>
      <c r="W60" s="908">
        <f t="shared" si="117"/>
        <v>0</v>
      </c>
      <c r="X60" s="908">
        <f t="shared" si="114"/>
        <v>0</v>
      </c>
      <c r="Y60" s="908">
        <f t="shared" si="114"/>
        <v>0</v>
      </c>
      <c r="Z60" s="908">
        <f t="shared" si="114"/>
        <v>0</v>
      </c>
      <c r="AA60" s="908">
        <f t="shared" si="114"/>
        <v>0</v>
      </c>
      <c r="AB60" s="908">
        <f t="shared" si="114"/>
        <v>0</v>
      </c>
      <c r="AC60" s="908">
        <f t="shared" si="114"/>
        <v>0</v>
      </c>
      <c r="AD60" s="908">
        <f t="shared" si="114"/>
        <v>0</v>
      </c>
      <c r="AE60" s="908">
        <f t="shared" si="114"/>
        <v>0</v>
      </c>
      <c r="AF60" s="908">
        <f t="shared" si="114"/>
        <v>0</v>
      </c>
      <c r="AG60" s="908">
        <f t="shared" si="114"/>
        <v>0</v>
      </c>
      <c r="AH60" s="908">
        <f t="shared" si="114"/>
        <v>0</v>
      </c>
      <c r="AI60" s="908">
        <f t="shared" si="114"/>
        <v>0</v>
      </c>
      <c r="AJ60" s="908">
        <f t="shared" si="114"/>
        <v>0</v>
      </c>
      <c r="AK60" s="908">
        <f t="shared" si="114"/>
        <v>0</v>
      </c>
      <c r="AL60" s="531">
        <f t="shared" si="115"/>
        <v>0</v>
      </c>
    </row>
    <row r="61" spans="2:38" x14ac:dyDescent="0.3">
      <c r="B61" s="245" t="str">
        <f>'T_Stock_TOTAL_&amp;_City'!B61</f>
        <v>Ethanol</v>
      </c>
      <c r="C61" s="245" t="s">
        <v>328</v>
      </c>
      <c r="D61" s="940">
        <f>ROUND(116*0.4,0)</f>
        <v>46</v>
      </c>
      <c r="E61" s="797"/>
      <c r="F61" s="797"/>
      <c r="G61" s="797"/>
      <c r="H61" s="797"/>
      <c r="I61" s="797"/>
      <c r="J61" s="797"/>
      <c r="K61" s="797"/>
      <c r="L61" s="797"/>
      <c r="M61" s="797"/>
      <c r="N61" s="797"/>
      <c r="O61" s="797"/>
      <c r="P61" s="797"/>
      <c r="Q61" s="797"/>
      <c r="R61" s="797"/>
      <c r="S61" s="679">
        <f t="shared" si="116"/>
        <v>46</v>
      </c>
      <c r="U61" s="321">
        <f>'T_Stock_TOTAL_&amp;_City'!U61-'T_Stock_TOTAL_&amp;_City'!V61</f>
        <v>0</v>
      </c>
      <c r="W61" s="908">
        <f t="shared" si="117"/>
        <v>0</v>
      </c>
      <c r="X61" s="908">
        <f t="shared" si="114"/>
        <v>0</v>
      </c>
      <c r="Y61" s="908">
        <f t="shared" si="114"/>
        <v>0</v>
      </c>
      <c r="Z61" s="908">
        <f t="shared" si="114"/>
        <v>0</v>
      </c>
      <c r="AA61" s="908">
        <f t="shared" si="114"/>
        <v>0</v>
      </c>
      <c r="AB61" s="908">
        <f t="shared" si="114"/>
        <v>0</v>
      </c>
      <c r="AC61" s="908">
        <f t="shared" si="114"/>
        <v>0</v>
      </c>
      <c r="AD61" s="908">
        <f t="shared" si="114"/>
        <v>0</v>
      </c>
      <c r="AE61" s="908">
        <f t="shared" si="114"/>
        <v>0</v>
      </c>
      <c r="AF61" s="908">
        <f t="shared" si="114"/>
        <v>0</v>
      </c>
      <c r="AG61" s="908">
        <f t="shared" si="114"/>
        <v>0</v>
      </c>
      <c r="AH61" s="908">
        <f t="shared" si="114"/>
        <v>0</v>
      </c>
      <c r="AI61" s="908">
        <f t="shared" si="114"/>
        <v>0</v>
      </c>
      <c r="AJ61" s="908">
        <f t="shared" si="114"/>
        <v>0</v>
      </c>
      <c r="AK61" s="908">
        <f t="shared" si="114"/>
        <v>0</v>
      </c>
      <c r="AL61" s="531">
        <f t="shared" si="115"/>
        <v>0</v>
      </c>
    </row>
    <row r="62" spans="2:38" x14ac:dyDescent="0.3">
      <c r="B62" s="245" t="str">
        <f>'T_Stock_TOTAL_&amp;_City'!B62</f>
        <v>Gas (CNG)</v>
      </c>
      <c r="C62" s="245" t="s">
        <v>329</v>
      </c>
      <c r="D62" s="940">
        <f>ROUND(443*0.4,0)</f>
        <v>177</v>
      </c>
      <c r="E62" s="797"/>
      <c r="F62" s="797"/>
      <c r="G62" s="797"/>
      <c r="H62" s="797"/>
      <c r="I62" s="797"/>
      <c r="J62" s="797"/>
      <c r="K62" s="797"/>
      <c r="L62" s="797"/>
      <c r="M62" s="797"/>
      <c r="N62" s="797"/>
      <c r="O62" s="797"/>
      <c r="P62" s="797"/>
      <c r="Q62" s="797"/>
      <c r="R62" s="797"/>
      <c r="S62" s="679">
        <f t="shared" si="116"/>
        <v>177</v>
      </c>
      <c r="U62" s="321">
        <f>'T_Stock_TOTAL_&amp;_City'!U62-'T_Stock_TOTAL_&amp;_City'!V62</f>
        <v>0</v>
      </c>
      <c r="W62" s="908">
        <f t="shared" si="117"/>
        <v>0</v>
      </c>
      <c r="X62" s="908">
        <f t="shared" si="114"/>
        <v>0</v>
      </c>
      <c r="Y62" s="908">
        <f t="shared" si="114"/>
        <v>0</v>
      </c>
      <c r="Z62" s="908">
        <f t="shared" si="114"/>
        <v>0</v>
      </c>
      <c r="AA62" s="908">
        <f t="shared" si="114"/>
        <v>0</v>
      </c>
      <c r="AB62" s="908">
        <f t="shared" si="114"/>
        <v>0</v>
      </c>
      <c r="AC62" s="908">
        <f t="shared" si="114"/>
        <v>0</v>
      </c>
      <c r="AD62" s="908">
        <f t="shared" si="114"/>
        <v>0</v>
      </c>
      <c r="AE62" s="908">
        <f t="shared" si="114"/>
        <v>0</v>
      </c>
      <c r="AF62" s="908">
        <f t="shared" si="114"/>
        <v>0</v>
      </c>
      <c r="AG62" s="908">
        <f t="shared" si="114"/>
        <v>0</v>
      </c>
      <c r="AH62" s="908">
        <f t="shared" si="114"/>
        <v>0</v>
      </c>
      <c r="AI62" s="908">
        <f t="shared" si="114"/>
        <v>0</v>
      </c>
      <c r="AJ62" s="908">
        <f t="shared" si="114"/>
        <v>0</v>
      </c>
      <c r="AK62" s="908">
        <f t="shared" si="114"/>
        <v>0</v>
      </c>
      <c r="AL62" s="531">
        <f t="shared" si="115"/>
        <v>0</v>
      </c>
    </row>
    <row r="63" spans="2:38" x14ac:dyDescent="0.3">
      <c r="B63" s="245" t="str">
        <f>'T_Stock_TOTAL_&amp;_City'!B63</f>
        <v>Gasoline</v>
      </c>
      <c r="C63" s="245" t="s">
        <v>330</v>
      </c>
      <c r="D63" s="940">
        <f>ROUND(7*0.4,0)</f>
        <v>3</v>
      </c>
      <c r="E63" s="797"/>
      <c r="F63" s="797"/>
      <c r="G63" s="797"/>
      <c r="H63" s="797"/>
      <c r="I63" s="797"/>
      <c r="J63" s="797"/>
      <c r="K63" s="797"/>
      <c r="L63" s="797"/>
      <c r="M63" s="797"/>
      <c r="N63" s="797"/>
      <c r="O63" s="797"/>
      <c r="P63" s="797"/>
      <c r="Q63" s="797"/>
      <c r="R63" s="797"/>
      <c r="S63" s="679">
        <f t="shared" si="116"/>
        <v>3</v>
      </c>
      <c r="U63" s="321">
        <f>'T_Stock_TOTAL_&amp;_City'!U63-'T_Stock_TOTAL_&amp;_City'!V63</f>
        <v>0</v>
      </c>
      <c r="W63" s="908">
        <f t="shared" si="117"/>
        <v>0</v>
      </c>
      <c r="X63" s="908">
        <f t="shared" si="114"/>
        <v>0</v>
      </c>
      <c r="Y63" s="908">
        <f t="shared" si="114"/>
        <v>0</v>
      </c>
      <c r="Z63" s="908">
        <f t="shared" si="114"/>
        <v>0</v>
      </c>
      <c r="AA63" s="908">
        <f t="shared" si="114"/>
        <v>0</v>
      </c>
      <c r="AB63" s="908">
        <f t="shared" si="114"/>
        <v>0</v>
      </c>
      <c r="AC63" s="908">
        <f t="shared" si="114"/>
        <v>0</v>
      </c>
      <c r="AD63" s="908">
        <f t="shared" si="114"/>
        <v>0</v>
      </c>
      <c r="AE63" s="908">
        <f t="shared" si="114"/>
        <v>0</v>
      </c>
      <c r="AF63" s="908">
        <f t="shared" si="114"/>
        <v>0</v>
      </c>
      <c r="AG63" s="908">
        <f t="shared" si="114"/>
        <v>0</v>
      </c>
      <c r="AH63" s="908">
        <f t="shared" si="114"/>
        <v>0</v>
      </c>
      <c r="AI63" s="908">
        <f t="shared" si="114"/>
        <v>0</v>
      </c>
      <c r="AJ63" s="908">
        <f t="shared" si="114"/>
        <v>0</v>
      </c>
      <c r="AK63" s="908">
        <f t="shared" si="114"/>
        <v>0</v>
      </c>
      <c r="AL63" s="531">
        <f t="shared" si="115"/>
        <v>0</v>
      </c>
    </row>
    <row r="64" spans="2:38" x14ac:dyDescent="0.3">
      <c r="B64" s="245" t="str">
        <f>'T_Stock_TOTAL_&amp;_City'!B64</f>
        <v>Hybrid Electric - diesel</v>
      </c>
      <c r="C64" s="245" t="s">
        <v>331</v>
      </c>
      <c r="D64" s="940">
        <f>ROUND(1*0.4,0)</f>
        <v>0</v>
      </c>
      <c r="E64" s="797"/>
      <c r="F64" s="797"/>
      <c r="G64" s="797"/>
      <c r="H64" s="797"/>
      <c r="I64" s="797"/>
      <c r="J64" s="797"/>
      <c r="K64" s="797"/>
      <c r="L64" s="797"/>
      <c r="M64" s="797"/>
      <c r="N64" s="797"/>
      <c r="O64" s="797"/>
      <c r="P64" s="797"/>
      <c r="Q64" s="797"/>
      <c r="R64" s="797"/>
      <c r="S64" s="679">
        <f t="shared" si="116"/>
        <v>0</v>
      </c>
      <c r="U64" s="321">
        <f>'T_Stock_TOTAL_&amp;_City'!U64-'T_Stock_TOTAL_&amp;_City'!V64</f>
        <v>0</v>
      </c>
      <c r="W64" s="908">
        <f t="shared" si="117"/>
        <v>0</v>
      </c>
      <c r="X64" s="908">
        <f t="shared" si="114"/>
        <v>0</v>
      </c>
      <c r="Y64" s="908">
        <f t="shared" si="114"/>
        <v>0</v>
      </c>
      <c r="Z64" s="908">
        <f t="shared" si="114"/>
        <v>0</v>
      </c>
      <c r="AA64" s="908">
        <f t="shared" si="114"/>
        <v>0</v>
      </c>
      <c r="AB64" s="908">
        <f t="shared" si="114"/>
        <v>0</v>
      </c>
      <c r="AC64" s="908">
        <f t="shared" si="114"/>
        <v>0</v>
      </c>
      <c r="AD64" s="908">
        <f t="shared" si="114"/>
        <v>0</v>
      </c>
      <c r="AE64" s="908">
        <f t="shared" si="114"/>
        <v>0</v>
      </c>
      <c r="AF64" s="908">
        <f t="shared" si="114"/>
        <v>0</v>
      </c>
      <c r="AG64" s="908">
        <f t="shared" si="114"/>
        <v>0</v>
      </c>
      <c r="AH64" s="908">
        <f t="shared" si="114"/>
        <v>0</v>
      </c>
      <c r="AI64" s="908">
        <f t="shared" si="114"/>
        <v>0</v>
      </c>
      <c r="AJ64" s="908">
        <f t="shared" si="114"/>
        <v>0</v>
      </c>
      <c r="AK64" s="908">
        <f t="shared" si="114"/>
        <v>0</v>
      </c>
      <c r="AL64" s="531">
        <f t="shared" si="115"/>
        <v>0</v>
      </c>
    </row>
    <row r="65" spans="2:38" x14ac:dyDescent="0.3">
      <c r="B65" s="245" t="str">
        <f>'T_Stock_TOTAL_&amp;_City'!B65</f>
        <v>Hybrid Electric - gasoline</v>
      </c>
      <c r="C65" s="245" t="s">
        <v>332</v>
      </c>
      <c r="D65" s="940">
        <f>ROUND(1*0.4,0)</f>
        <v>0</v>
      </c>
      <c r="E65" s="797"/>
      <c r="F65" s="797"/>
      <c r="G65" s="797"/>
      <c r="H65" s="797"/>
      <c r="I65" s="797"/>
      <c r="J65" s="797"/>
      <c r="K65" s="797"/>
      <c r="L65" s="797"/>
      <c r="M65" s="797"/>
      <c r="N65" s="797"/>
      <c r="O65" s="797"/>
      <c r="P65" s="797"/>
      <c r="Q65" s="797"/>
      <c r="R65" s="797"/>
      <c r="S65" s="679">
        <f t="shared" si="116"/>
        <v>0</v>
      </c>
      <c r="U65" s="321">
        <f>'T_Stock_TOTAL_&amp;_City'!U65-'T_Stock_TOTAL_&amp;_City'!V65</f>
        <v>0</v>
      </c>
      <c r="W65" s="908">
        <f t="shared" si="117"/>
        <v>0</v>
      </c>
      <c r="X65" s="908">
        <f t="shared" si="114"/>
        <v>0</v>
      </c>
      <c r="Y65" s="908">
        <f t="shared" si="114"/>
        <v>0</v>
      </c>
      <c r="Z65" s="908">
        <f t="shared" si="114"/>
        <v>0</v>
      </c>
      <c r="AA65" s="908">
        <f t="shared" si="114"/>
        <v>0</v>
      </c>
      <c r="AB65" s="908">
        <f t="shared" si="114"/>
        <v>0</v>
      </c>
      <c r="AC65" s="908">
        <f t="shared" si="114"/>
        <v>0</v>
      </c>
      <c r="AD65" s="908">
        <f t="shared" si="114"/>
        <v>0</v>
      </c>
      <c r="AE65" s="908">
        <f t="shared" si="114"/>
        <v>0</v>
      </c>
      <c r="AF65" s="908">
        <f t="shared" si="114"/>
        <v>0</v>
      </c>
      <c r="AG65" s="908">
        <f t="shared" si="114"/>
        <v>0</v>
      </c>
      <c r="AH65" s="908">
        <f t="shared" si="114"/>
        <v>0</v>
      </c>
      <c r="AI65" s="908">
        <f t="shared" si="114"/>
        <v>0</v>
      </c>
      <c r="AJ65" s="908">
        <f t="shared" si="114"/>
        <v>0</v>
      </c>
      <c r="AK65" s="908">
        <f t="shared" si="114"/>
        <v>0</v>
      </c>
      <c r="AL65" s="531">
        <f t="shared" si="115"/>
        <v>0</v>
      </c>
    </row>
    <row r="66" spans="2:38" x14ac:dyDescent="0.3">
      <c r="B66" s="245" t="str">
        <f>'T_Stock_TOTAL_&amp;_City'!B66</f>
        <v>LPG</v>
      </c>
      <c r="C66" s="245" t="s">
        <v>333</v>
      </c>
      <c r="D66" s="940">
        <f>ROUND(0*0.4,0)</f>
        <v>0</v>
      </c>
      <c r="E66" s="797"/>
      <c r="F66" s="797"/>
      <c r="G66" s="797"/>
      <c r="H66" s="797"/>
      <c r="I66" s="797"/>
      <c r="J66" s="797"/>
      <c r="K66" s="797"/>
      <c r="L66" s="797"/>
      <c r="M66" s="797"/>
      <c r="N66" s="797"/>
      <c r="O66" s="797"/>
      <c r="P66" s="797"/>
      <c r="Q66" s="797"/>
      <c r="R66" s="797"/>
      <c r="S66" s="679">
        <f t="shared" si="116"/>
        <v>0</v>
      </c>
      <c r="U66" s="321">
        <f>'T_Stock_TOTAL_&amp;_City'!U66-'T_Stock_TOTAL_&amp;_City'!V66</f>
        <v>0</v>
      </c>
      <c r="W66" s="908">
        <f t="shared" si="117"/>
        <v>0</v>
      </c>
      <c r="X66" s="908">
        <f t="shared" si="114"/>
        <v>0</v>
      </c>
      <c r="Y66" s="908">
        <f t="shared" si="114"/>
        <v>0</v>
      </c>
      <c r="Z66" s="908">
        <f t="shared" si="114"/>
        <v>0</v>
      </c>
      <c r="AA66" s="908">
        <f t="shared" si="114"/>
        <v>0</v>
      </c>
      <c r="AB66" s="908">
        <f t="shared" si="114"/>
        <v>0</v>
      </c>
      <c r="AC66" s="908">
        <f t="shared" si="114"/>
        <v>0</v>
      </c>
      <c r="AD66" s="908">
        <f t="shared" si="114"/>
        <v>0</v>
      </c>
      <c r="AE66" s="908">
        <f t="shared" si="114"/>
        <v>0</v>
      </c>
      <c r="AF66" s="908">
        <f t="shared" si="114"/>
        <v>0</v>
      </c>
      <c r="AG66" s="908">
        <f t="shared" si="114"/>
        <v>0</v>
      </c>
      <c r="AH66" s="908">
        <f t="shared" si="114"/>
        <v>0</v>
      </c>
      <c r="AI66" s="908">
        <f t="shared" si="114"/>
        <v>0</v>
      </c>
      <c r="AJ66" s="908">
        <f t="shared" si="114"/>
        <v>0</v>
      </c>
      <c r="AK66" s="908">
        <f t="shared" si="114"/>
        <v>0</v>
      </c>
      <c r="AL66" s="531">
        <f t="shared" si="115"/>
        <v>0</v>
      </c>
    </row>
    <row r="67" spans="2:38" x14ac:dyDescent="0.3">
      <c r="B67" s="245" t="str">
        <f>'T_Stock_TOTAL_&amp;_City'!B67</f>
        <v>Plugin Hybrid Electric - diesel</v>
      </c>
      <c r="C67" s="245" t="s">
        <v>334</v>
      </c>
      <c r="D67" s="940">
        <f>ROUND(1*0.4,0)</f>
        <v>0</v>
      </c>
      <c r="E67" s="797"/>
      <c r="F67" s="797"/>
      <c r="G67" s="797"/>
      <c r="H67" s="797"/>
      <c r="I67" s="797"/>
      <c r="J67" s="797"/>
      <c r="K67" s="797"/>
      <c r="L67" s="797"/>
      <c r="M67" s="797"/>
      <c r="N67" s="797"/>
      <c r="O67" s="797"/>
      <c r="P67" s="797"/>
      <c r="Q67" s="797"/>
      <c r="R67" s="797"/>
      <c r="S67" s="679">
        <f t="shared" si="116"/>
        <v>0</v>
      </c>
      <c r="U67" s="321">
        <f>'T_Stock_TOTAL_&amp;_City'!U67-'T_Stock_TOTAL_&amp;_City'!V67</f>
        <v>0</v>
      </c>
      <c r="W67" s="908">
        <f t="shared" si="117"/>
        <v>0</v>
      </c>
      <c r="X67" s="908">
        <f t="shared" si="114"/>
        <v>0</v>
      </c>
      <c r="Y67" s="908">
        <f t="shared" si="114"/>
        <v>0</v>
      </c>
      <c r="Z67" s="908">
        <f t="shared" si="114"/>
        <v>0</v>
      </c>
      <c r="AA67" s="908">
        <f t="shared" si="114"/>
        <v>0</v>
      </c>
      <c r="AB67" s="908">
        <f t="shared" si="114"/>
        <v>0</v>
      </c>
      <c r="AC67" s="908">
        <f t="shared" si="114"/>
        <v>0</v>
      </c>
      <c r="AD67" s="908">
        <f t="shared" si="114"/>
        <v>0</v>
      </c>
      <c r="AE67" s="908">
        <f t="shared" si="114"/>
        <v>0</v>
      </c>
      <c r="AF67" s="908">
        <f t="shared" si="114"/>
        <v>0</v>
      </c>
      <c r="AG67" s="908">
        <f t="shared" si="114"/>
        <v>0</v>
      </c>
      <c r="AH67" s="908">
        <f t="shared" si="114"/>
        <v>0</v>
      </c>
      <c r="AI67" s="908">
        <f t="shared" si="114"/>
        <v>0</v>
      </c>
      <c r="AJ67" s="908">
        <f t="shared" si="114"/>
        <v>0</v>
      </c>
      <c r="AK67" s="908">
        <f t="shared" si="114"/>
        <v>0</v>
      </c>
      <c r="AL67" s="531">
        <f t="shared" si="115"/>
        <v>0</v>
      </c>
    </row>
    <row r="68" spans="2:38" x14ac:dyDescent="0.3">
      <c r="B68" s="245" t="str">
        <f>'T_Stock_TOTAL_&amp;_City'!B68</f>
        <v>Plugin Hybrid Electric - gasoline</v>
      </c>
      <c r="C68" s="245" t="s">
        <v>335</v>
      </c>
      <c r="D68" s="940">
        <f>ROUND(2*0.6,0)</f>
        <v>1</v>
      </c>
      <c r="E68" s="797"/>
      <c r="F68" s="797"/>
      <c r="G68" s="797"/>
      <c r="H68" s="797"/>
      <c r="I68" s="797"/>
      <c r="J68" s="797"/>
      <c r="K68" s="797"/>
      <c r="L68" s="797"/>
      <c r="M68" s="797"/>
      <c r="N68" s="797"/>
      <c r="O68" s="797"/>
      <c r="P68" s="797"/>
      <c r="Q68" s="797"/>
      <c r="R68" s="797"/>
      <c r="S68" s="679">
        <f t="shared" si="116"/>
        <v>1</v>
      </c>
      <c r="U68" s="321">
        <f>'T_Stock_TOTAL_&amp;_City'!U68-'T_Stock_TOTAL_&amp;_City'!V68</f>
        <v>0</v>
      </c>
      <c r="W68" s="908">
        <f t="shared" si="117"/>
        <v>0</v>
      </c>
      <c r="X68" s="908">
        <f t="shared" si="114"/>
        <v>0</v>
      </c>
      <c r="Y68" s="908">
        <f t="shared" si="114"/>
        <v>0</v>
      </c>
      <c r="Z68" s="908">
        <f t="shared" si="114"/>
        <v>0</v>
      </c>
      <c r="AA68" s="908">
        <f t="shared" si="114"/>
        <v>0</v>
      </c>
      <c r="AB68" s="908">
        <f t="shared" si="114"/>
        <v>0</v>
      </c>
      <c r="AC68" s="908">
        <f t="shared" si="114"/>
        <v>0</v>
      </c>
      <c r="AD68" s="908">
        <f t="shared" si="114"/>
        <v>0</v>
      </c>
      <c r="AE68" s="908">
        <f t="shared" si="114"/>
        <v>0</v>
      </c>
      <c r="AF68" s="908">
        <f t="shared" si="114"/>
        <v>0</v>
      </c>
      <c r="AG68" s="908">
        <f t="shared" si="114"/>
        <v>0</v>
      </c>
      <c r="AH68" s="908">
        <f t="shared" si="114"/>
        <v>0</v>
      </c>
      <c r="AI68" s="908">
        <f t="shared" si="114"/>
        <v>0</v>
      </c>
      <c r="AJ68" s="908">
        <f t="shared" si="114"/>
        <v>0</v>
      </c>
      <c r="AK68" s="908">
        <f t="shared" si="114"/>
        <v>0</v>
      </c>
      <c r="AL68" s="531">
        <f t="shared" si="115"/>
        <v>0</v>
      </c>
    </row>
    <row r="69" spans="2:38" x14ac:dyDescent="0.3">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ref="R69" si="118">$U69*AK69</f>
        <v>0</v>
      </c>
      <c r="S69" s="444">
        <f t="shared" ref="S69" si="119">$U69*AL69</f>
        <v>0</v>
      </c>
      <c r="U69" s="321">
        <f>'T_Stock_TOTAL_&amp;_City'!U69-'T_Stock_TOTAL_&amp;_City'!V69</f>
        <v>0</v>
      </c>
      <c r="W69" s="908">
        <f t="shared" si="117"/>
        <v>0</v>
      </c>
      <c r="X69" s="908">
        <f t="shared" si="114"/>
        <v>0</v>
      </c>
      <c r="Y69" s="908">
        <f t="shared" si="114"/>
        <v>0</v>
      </c>
      <c r="Z69" s="908">
        <f t="shared" si="114"/>
        <v>0</v>
      </c>
      <c r="AA69" s="908">
        <f t="shared" si="114"/>
        <v>0</v>
      </c>
      <c r="AB69" s="908">
        <f t="shared" si="114"/>
        <v>0</v>
      </c>
      <c r="AC69" s="908">
        <f t="shared" si="114"/>
        <v>0</v>
      </c>
      <c r="AD69" s="908">
        <f t="shared" si="114"/>
        <v>0</v>
      </c>
      <c r="AE69" s="908">
        <f t="shared" si="114"/>
        <v>0</v>
      </c>
      <c r="AF69" s="908">
        <f t="shared" si="114"/>
        <v>0</v>
      </c>
      <c r="AG69" s="908">
        <f t="shared" si="114"/>
        <v>0</v>
      </c>
      <c r="AH69" s="908">
        <f t="shared" si="114"/>
        <v>0</v>
      </c>
      <c r="AI69" s="908">
        <f t="shared" si="114"/>
        <v>0</v>
      </c>
      <c r="AJ69" s="908">
        <f t="shared" si="114"/>
        <v>0</v>
      </c>
      <c r="AK69" s="908">
        <f t="shared" si="114"/>
        <v>0</v>
      </c>
      <c r="AL69" s="531">
        <f t="shared" si="115"/>
        <v>0</v>
      </c>
    </row>
    <row r="70" spans="2:38" x14ac:dyDescent="0.3">
      <c r="B70" s="131" t="s">
        <v>119</v>
      </c>
      <c r="C70" s="131"/>
      <c r="D70" s="680">
        <f>SUM(D58:D69)</f>
        <v>1207</v>
      </c>
      <c r="E70" s="680">
        <f t="shared" ref="E70" si="120">SUM(E58:E69)</f>
        <v>0</v>
      </c>
      <c r="F70" s="680">
        <f t="shared" ref="F70" si="121">SUM(F58:F69)</f>
        <v>0</v>
      </c>
      <c r="G70" s="680">
        <f t="shared" ref="G70" si="122">SUM(G58:G69)</f>
        <v>0</v>
      </c>
      <c r="H70" s="680">
        <f t="shared" ref="H70" si="123">SUM(H58:H69)</f>
        <v>0</v>
      </c>
      <c r="I70" s="680">
        <f t="shared" ref="I70" si="124">SUM(I58:I69)</f>
        <v>0</v>
      </c>
      <c r="J70" s="680">
        <f t="shared" ref="J70" si="125">SUM(J58:J69)</f>
        <v>0</v>
      </c>
      <c r="K70" s="680">
        <f t="shared" ref="K70" si="126">SUM(K58:K69)</f>
        <v>0</v>
      </c>
      <c r="L70" s="680">
        <f t="shared" ref="L70" si="127">SUM(L58:L69)</f>
        <v>0</v>
      </c>
      <c r="M70" s="680">
        <f t="shared" ref="M70" si="128">SUM(M58:M69)</f>
        <v>0</v>
      </c>
      <c r="N70" s="680">
        <f t="shared" ref="N70" si="129">SUM(N58:N69)</f>
        <v>0</v>
      </c>
      <c r="O70" s="680">
        <f t="shared" ref="O70" si="130">SUM(O58:O69)</f>
        <v>0</v>
      </c>
      <c r="P70" s="680">
        <f t="shared" ref="P70" si="131">SUM(P58:P69)</f>
        <v>0</v>
      </c>
      <c r="Q70" s="680">
        <f t="shared" ref="Q70" si="132">SUM(Q58:Q69)</f>
        <v>0</v>
      </c>
      <c r="R70" s="680">
        <f t="shared" ref="R70" si="133">SUM(R58:R69)</f>
        <v>0</v>
      </c>
      <c r="S70" s="680">
        <f>SUM(S58:S69)</f>
        <v>723</v>
      </c>
      <c r="U70" s="130">
        <f>SUM(U59:U67)</f>
        <v>0</v>
      </c>
      <c r="W70" s="5"/>
      <c r="X70" s="5"/>
      <c r="Y70" s="5"/>
      <c r="Z70" s="5"/>
      <c r="AA70" s="5"/>
      <c r="AB70" s="5"/>
      <c r="AC70" s="5"/>
      <c r="AD70" s="5"/>
      <c r="AE70" s="5"/>
      <c r="AF70" s="5"/>
      <c r="AG70" s="5"/>
    </row>
    <row r="72" spans="2:38" x14ac:dyDescent="0.3">
      <c r="B72" s="476" t="s">
        <v>125</v>
      </c>
      <c r="C72" s="339"/>
      <c r="W72" s="3" t="s">
        <v>299</v>
      </c>
    </row>
    <row r="73" spans="2:38" x14ac:dyDescent="0.3">
      <c r="B73" s="476" t="s">
        <v>103</v>
      </c>
      <c r="C73" s="264" t="s">
        <v>104</v>
      </c>
      <c r="D73" s="121" t="str">
        <f>D$9</f>
        <v>Z01</v>
      </c>
      <c r="E73" s="121" t="str">
        <f t="shared" ref="E73:R73" si="134">E$9</f>
        <v>Z02</v>
      </c>
      <c r="F73" s="121" t="str">
        <f t="shared" si="134"/>
        <v>Z03</v>
      </c>
      <c r="G73" s="121" t="str">
        <f t="shared" si="134"/>
        <v>Z04</v>
      </c>
      <c r="H73" s="121" t="str">
        <f t="shared" si="134"/>
        <v>Z05</v>
      </c>
      <c r="I73" s="121" t="str">
        <f t="shared" si="134"/>
        <v>Z06</v>
      </c>
      <c r="J73" s="121" t="str">
        <f t="shared" si="134"/>
        <v>Z07</v>
      </c>
      <c r="K73" s="121" t="str">
        <f t="shared" si="134"/>
        <v>Z08</v>
      </c>
      <c r="L73" s="121" t="str">
        <f t="shared" si="134"/>
        <v>Z09</v>
      </c>
      <c r="M73" s="121" t="str">
        <f t="shared" si="134"/>
        <v>Z10</v>
      </c>
      <c r="N73" s="121" t="str">
        <f t="shared" si="134"/>
        <v>Z11</v>
      </c>
      <c r="O73" s="121" t="str">
        <f t="shared" si="134"/>
        <v>Z12</v>
      </c>
      <c r="P73" s="121" t="str">
        <f t="shared" si="134"/>
        <v>Z13</v>
      </c>
      <c r="Q73" s="121" t="str">
        <f t="shared" si="134"/>
        <v>Z14</v>
      </c>
      <c r="R73" s="121" t="str">
        <f t="shared" si="134"/>
        <v>Z15</v>
      </c>
      <c r="S73" s="121" t="s">
        <v>100</v>
      </c>
      <c r="U73" s="17" t="str">
        <f>U$9</f>
        <v>Private stock</v>
      </c>
      <c r="W73" s="121" t="str">
        <f t="shared" ref="W73:AK73" si="135">D73</f>
        <v>Z01</v>
      </c>
      <c r="X73" s="121" t="str">
        <f t="shared" si="135"/>
        <v>Z02</v>
      </c>
      <c r="Y73" s="121" t="str">
        <f t="shared" si="135"/>
        <v>Z03</v>
      </c>
      <c r="Z73" s="121" t="str">
        <f t="shared" si="135"/>
        <v>Z04</v>
      </c>
      <c r="AA73" s="121" t="str">
        <f t="shared" si="135"/>
        <v>Z05</v>
      </c>
      <c r="AB73" s="121" t="str">
        <f t="shared" si="135"/>
        <v>Z06</v>
      </c>
      <c r="AC73" s="121" t="str">
        <f t="shared" si="135"/>
        <v>Z07</v>
      </c>
      <c r="AD73" s="121" t="str">
        <f t="shared" si="135"/>
        <v>Z08</v>
      </c>
      <c r="AE73" s="121" t="str">
        <f t="shared" si="135"/>
        <v>Z09</v>
      </c>
      <c r="AF73" s="121" t="str">
        <f t="shared" si="135"/>
        <v>Z10</v>
      </c>
      <c r="AG73" s="121" t="str">
        <f t="shared" si="135"/>
        <v>Z11</v>
      </c>
      <c r="AH73" s="121" t="str">
        <f t="shared" si="135"/>
        <v>Z12</v>
      </c>
      <c r="AI73" s="121" t="str">
        <f t="shared" si="135"/>
        <v>Z13</v>
      </c>
      <c r="AJ73" s="121" t="str">
        <f t="shared" si="135"/>
        <v>Z14</v>
      </c>
      <c r="AK73" s="121" t="str">
        <f t="shared" si="135"/>
        <v>Z15</v>
      </c>
      <c r="AL73" s="121" t="s">
        <v>100</v>
      </c>
    </row>
    <row r="74" spans="2:38" x14ac:dyDescent="0.3">
      <c r="B74" s="245" t="str">
        <f>'T_Stock_TOTAL_&amp;_City'!B74</f>
        <v>Biodiesel</v>
      </c>
      <c r="C74" s="245" t="s">
        <v>336</v>
      </c>
      <c r="D74" s="940">
        <f>ROUND(2421/2*0.6,0)</f>
        <v>726</v>
      </c>
      <c r="E74" s="940"/>
      <c r="F74" s="797"/>
      <c r="G74" s="797"/>
      <c r="H74" s="797"/>
      <c r="I74" s="797"/>
      <c r="J74" s="797"/>
      <c r="K74" s="797"/>
      <c r="L74" s="797"/>
      <c r="M74" s="797"/>
      <c r="N74" s="797"/>
      <c r="O74" s="797"/>
      <c r="P74" s="797"/>
      <c r="Q74" s="797"/>
      <c r="R74" s="797"/>
      <c r="S74" s="679">
        <f t="shared" ref="S74:S85" si="136">$U74*AL74</f>
        <v>0</v>
      </c>
      <c r="U74" s="311">
        <f>'T_Stock_TOTAL_&amp;_City'!U74-'T_Stock_TOTAL_&amp;_City'!V74</f>
        <v>0</v>
      </c>
      <c r="W74" s="908">
        <f>W$6</f>
        <v>0</v>
      </c>
      <c r="X74" s="908">
        <f t="shared" ref="X74:AK85" si="137">X$6</f>
        <v>0</v>
      </c>
      <c r="Y74" s="908">
        <f t="shared" si="137"/>
        <v>0</v>
      </c>
      <c r="Z74" s="908">
        <f t="shared" si="137"/>
        <v>0</v>
      </c>
      <c r="AA74" s="908">
        <f t="shared" si="137"/>
        <v>0</v>
      </c>
      <c r="AB74" s="908">
        <f t="shared" si="137"/>
        <v>0</v>
      </c>
      <c r="AC74" s="908">
        <f t="shared" si="137"/>
        <v>0</v>
      </c>
      <c r="AD74" s="908">
        <f t="shared" si="137"/>
        <v>0</v>
      </c>
      <c r="AE74" s="908">
        <f t="shared" si="137"/>
        <v>0</v>
      </c>
      <c r="AF74" s="908">
        <f t="shared" si="137"/>
        <v>0</v>
      </c>
      <c r="AG74" s="908">
        <f t="shared" si="137"/>
        <v>0</v>
      </c>
      <c r="AH74" s="908">
        <f t="shared" si="137"/>
        <v>0</v>
      </c>
      <c r="AI74" s="908">
        <f t="shared" si="137"/>
        <v>0</v>
      </c>
      <c r="AJ74" s="908">
        <f t="shared" si="137"/>
        <v>0</v>
      </c>
      <c r="AK74" s="908">
        <f t="shared" si="137"/>
        <v>0</v>
      </c>
      <c r="AL74" s="531">
        <f t="shared" ref="AL74:AL85" si="138">SUM(W74:AK74)</f>
        <v>0</v>
      </c>
    </row>
    <row r="75" spans="2:38" x14ac:dyDescent="0.3">
      <c r="B75" s="245" t="str">
        <f>'T_Stock_TOTAL_&amp;_City'!B75</f>
        <v>Diesel</v>
      </c>
      <c r="C75" s="245" t="s">
        <v>337</v>
      </c>
      <c r="D75" s="940">
        <f>ROUND(2421/2*0.6,0)</f>
        <v>726</v>
      </c>
      <c r="E75" s="940"/>
      <c r="F75" s="797"/>
      <c r="G75" s="797"/>
      <c r="H75" s="797"/>
      <c r="I75" s="797"/>
      <c r="J75" s="797"/>
      <c r="K75" s="797"/>
      <c r="L75" s="797"/>
      <c r="M75" s="797"/>
      <c r="N75" s="797"/>
      <c r="O75" s="797"/>
      <c r="P75" s="797"/>
      <c r="Q75" s="797"/>
      <c r="R75" s="797"/>
      <c r="S75" s="679">
        <f>SUM(D75:R75)</f>
        <v>726</v>
      </c>
      <c r="U75" s="311">
        <f>'T_Stock_TOTAL_&amp;_City'!U75-'T_Stock_TOTAL_&amp;_City'!V75</f>
        <v>0</v>
      </c>
      <c r="W75" s="908">
        <f t="shared" ref="W75:W85" si="139">W$6</f>
        <v>0</v>
      </c>
      <c r="X75" s="908">
        <f t="shared" si="137"/>
        <v>0</v>
      </c>
      <c r="Y75" s="908">
        <f t="shared" si="137"/>
        <v>0</v>
      </c>
      <c r="Z75" s="908">
        <f t="shared" si="137"/>
        <v>0</v>
      </c>
      <c r="AA75" s="908">
        <f t="shared" si="137"/>
        <v>0</v>
      </c>
      <c r="AB75" s="908">
        <f t="shared" si="137"/>
        <v>0</v>
      </c>
      <c r="AC75" s="908">
        <f t="shared" si="137"/>
        <v>0</v>
      </c>
      <c r="AD75" s="908">
        <f t="shared" si="137"/>
        <v>0</v>
      </c>
      <c r="AE75" s="908">
        <f t="shared" si="137"/>
        <v>0</v>
      </c>
      <c r="AF75" s="908">
        <f t="shared" si="137"/>
        <v>0</v>
      </c>
      <c r="AG75" s="908">
        <f t="shared" si="137"/>
        <v>0</v>
      </c>
      <c r="AH75" s="908">
        <f t="shared" si="137"/>
        <v>0</v>
      </c>
      <c r="AI75" s="908">
        <f t="shared" si="137"/>
        <v>0</v>
      </c>
      <c r="AJ75" s="908">
        <f t="shared" si="137"/>
        <v>0</v>
      </c>
      <c r="AK75" s="908">
        <f t="shared" si="137"/>
        <v>0</v>
      </c>
      <c r="AL75" s="531">
        <f t="shared" si="138"/>
        <v>0</v>
      </c>
    </row>
    <row r="76" spans="2:38" x14ac:dyDescent="0.3">
      <c r="B76" s="245" t="str">
        <f>'T_Stock_TOTAL_&amp;_City'!B76</f>
        <v>Battery electric (BEV)</v>
      </c>
      <c r="C76" s="245" t="s">
        <v>338</v>
      </c>
      <c r="D76" s="940">
        <f>ROUND(31*0.6,0)</f>
        <v>19</v>
      </c>
      <c r="E76" s="940"/>
      <c r="F76" s="797"/>
      <c r="G76" s="797"/>
      <c r="H76" s="797"/>
      <c r="I76" s="797"/>
      <c r="J76" s="797"/>
      <c r="K76" s="797"/>
      <c r="L76" s="797"/>
      <c r="M76" s="797"/>
      <c r="N76" s="797"/>
      <c r="O76" s="797"/>
      <c r="P76" s="797"/>
      <c r="Q76" s="797"/>
      <c r="R76" s="797"/>
      <c r="S76" s="679">
        <f t="shared" ref="S75:S84" si="140">SUM(D76:R76)</f>
        <v>19</v>
      </c>
      <c r="U76" s="311">
        <f>'T_Stock_TOTAL_&amp;_City'!U76-'T_Stock_TOTAL_&amp;_City'!V76</f>
        <v>0</v>
      </c>
      <c r="W76" s="908">
        <f t="shared" si="139"/>
        <v>0</v>
      </c>
      <c r="X76" s="908">
        <f t="shared" si="137"/>
        <v>0</v>
      </c>
      <c r="Y76" s="908">
        <f t="shared" si="137"/>
        <v>0</v>
      </c>
      <c r="Z76" s="908">
        <f t="shared" si="137"/>
        <v>0</v>
      </c>
      <c r="AA76" s="908">
        <f t="shared" si="137"/>
        <v>0</v>
      </c>
      <c r="AB76" s="908">
        <f t="shared" si="137"/>
        <v>0</v>
      </c>
      <c r="AC76" s="908">
        <f t="shared" si="137"/>
        <v>0</v>
      </c>
      <c r="AD76" s="908">
        <f t="shared" si="137"/>
        <v>0</v>
      </c>
      <c r="AE76" s="908">
        <f t="shared" si="137"/>
        <v>0</v>
      </c>
      <c r="AF76" s="908">
        <f t="shared" si="137"/>
        <v>0</v>
      </c>
      <c r="AG76" s="908">
        <f t="shared" si="137"/>
        <v>0</v>
      </c>
      <c r="AH76" s="908">
        <f t="shared" si="137"/>
        <v>0</v>
      </c>
      <c r="AI76" s="908">
        <f t="shared" si="137"/>
        <v>0</v>
      </c>
      <c r="AJ76" s="908">
        <f t="shared" si="137"/>
        <v>0</v>
      </c>
      <c r="AK76" s="908">
        <f t="shared" si="137"/>
        <v>0</v>
      </c>
      <c r="AL76" s="531">
        <f t="shared" si="138"/>
        <v>0</v>
      </c>
    </row>
    <row r="77" spans="2:38" x14ac:dyDescent="0.3">
      <c r="B77" s="245" t="str">
        <f>'T_Stock_TOTAL_&amp;_City'!B77</f>
        <v>Ethanol</v>
      </c>
      <c r="C77" s="245" t="s">
        <v>339</v>
      </c>
      <c r="D77" s="940">
        <f>ROUND(116*0.6,0)</f>
        <v>70</v>
      </c>
      <c r="E77" s="940"/>
      <c r="F77" s="797"/>
      <c r="G77" s="797"/>
      <c r="H77" s="797"/>
      <c r="I77" s="797"/>
      <c r="J77" s="797"/>
      <c r="K77" s="797"/>
      <c r="L77" s="797"/>
      <c r="M77" s="797"/>
      <c r="N77" s="797"/>
      <c r="O77" s="797"/>
      <c r="P77" s="797"/>
      <c r="Q77" s="797"/>
      <c r="R77" s="797"/>
      <c r="S77" s="679">
        <f t="shared" si="140"/>
        <v>70</v>
      </c>
      <c r="U77" s="311">
        <f>'T_Stock_TOTAL_&amp;_City'!U77-'T_Stock_TOTAL_&amp;_City'!V77</f>
        <v>0</v>
      </c>
      <c r="W77" s="908">
        <f t="shared" si="139"/>
        <v>0</v>
      </c>
      <c r="X77" s="908">
        <f t="shared" si="137"/>
        <v>0</v>
      </c>
      <c r="Y77" s="908">
        <f t="shared" si="137"/>
        <v>0</v>
      </c>
      <c r="Z77" s="908">
        <f t="shared" si="137"/>
        <v>0</v>
      </c>
      <c r="AA77" s="908">
        <f t="shared" si="137"/>
        <v>0</v>
      </c>
      <c r="AB77" s="908">
        <f t="shared" si="137"/>
        <v>0</v>
      </c>
      <c r="AC77" s="908">
        <f t="shared" si="137"/>
        <v>0</v>
      </c>
      <c r="AD77" s="908">
        <f t="shared" si="137"/>
        <v>0</v>
      </c>
      <c r="AE77" s="908">
        <f t="shared" si="137"/>
        <v>0</v>
      </c>
      <c r="AF77" s="908">
        <f t="shared" si="137"/>
        <v>0</v>
      </c>
      <c r="AG77" s="908">
        <f t="shared" si="137"/>
        <v>0</v>
      </c>
      <c r="AH77" s="908">
        <f t="shared" si="137"/>
        <v>0</v>
      </c>
      <c r="AI77" s="908">
        <f t="shared" si="137"/>
        <v>0</v>
      </c>
      <c r="AJ77" s="908">
        <f t="shared" si="137"/>
        <v>0</v>
      </c>
      <c r="AK77" s="908">
        <f t="shared" si="137"/>
        <v>0</v>
      </c>
      <c r="AL77" s="531">
        <f t="shared" si="138"/>
        <v>0</v>
      </c>
    </row>
    <row r="78" spans="2:38" x14ac:dyDescent="0.3">
      <c r="B78" s="245" t="str">
        <f>'T_Stock_TOTAL_&amp;_City'!B78</f>
        <v>Gas (CNG)</v>
      </c>
      <c r="C78" s="245" t="s">
        <v>340</v>
      </c>
      <c r="D78" s="940">
        <f>ROUND(443*0.6,0)</f>
        <v>266</v>
      </c>
      <c r="E78" s="940"/>
      <c r="F78" s="797"/>
      <c r="G78" s="797"/>
      <c r="H78" s="797"/>
      <c r="I78" s="797"/>
      <c r="J78" s="797"/>
      <c r="K78" s="797"/>
      <c r="L78" s="797"/>
      <c r="M78" s="797"/>
      <c r="N78" s="797"/>
      <c r="O78" s="797"/>
      <c r="P78" s="797"/>
      <c r="Q78" s="797"/>
      <c r="R78" s="797"/>
      <c r="S78" s="679">
        <f t="shared" si="140"/>
        <v>266</v>
      </c>
      <c r="U78" s="311">
        <f>'T_Stock_TOTAL_&amp;_City'!U78-'T_Stock_TOTAL_&amp;_City'!V78</f>
        <v>0</v>
      </c>
      <c r="W78" s="908">
        <f t="shared" si="139"/>
        <v>0</v>
      </c>
      <c r="X78" s="908">
        <f t="shared" si="137"/>
        <v>0</v>
      </c>
      <c r="Y78" s="908">
        <f t="shared" si="137"/>
        <v>0</v>
      </c>
      <c r="Z78" s="908">
        <f t="shared" si="137"/>
        <v>0</v>
      </c>
      <c r="AA78" s="908">
        <f t="shared" si="137"/>
        <v>0</v>
      </c>
      <c r="AB78" s="908">
        <f t="shared" si="137"/>
        <v>0</v>
      </c>
      <c r="AC78" s="908">
        <f t="shared" si="137"/>
        <v>0</v>
      </c>
      <c r="AD78" s="908">
        <f t="shared" si="137"/>
        <v>0</v>
      </c>
      <c r="AE78" s="908">
        <f t="shared" si="137"/>
        <v>0</v>
      </c>
      <c r="AF78" s="908">
        <f t="shared" si="137"/>
        <v>0</v>
      </c>
      <c r="AG78" s="908">
        <f t="shared" si="137"/>
        <v>0</v>
      </c>
      <c r="AH78" s="908">
        <f t="shared" si="137"/>
        <v>0</v>
      </c>
      <c r="AI78" s="908">
        <f t="shared" si="137"/>
        <v>0</v>
      </c>
      <c r="AJ78" s="908">
        <f t="shared" si="137"/>
        <v>0</v>
      </c>
      <c r="AK78" s="908">
        <f t="shared" si="137"/>
        <v>0</v>
      </c>
      <c r="AL78" s="531">
        <f t="shared" si="138"/>
        <v>0</v>
      </c>
    </row>
    <row r="79" spans="2:38" x14ac:dyDescent="0.3">
      <c r="B79" s="245" t="str">
        <f>'T_Stock_TOTAL_&amp;_City'!B79</f>
        <v>Gasoline</v>
      </c>
      <c r="C79" s="245" t="s">
        <v>341</v>
      </c>
      <c r="D79" s="940">
        <f>ROUND(7*0.6,0)</f>
        <v>4</v>
      </c>
      <c r="E79" s="940"/>
      <c r="F79" s="797"/>
      <c r="G79" s="797"/>
      <c r="H79" s="797"/>
      <c r="I79" s="797"/>
      <c r="J79" s="797"/>
      <c r="K79" s="797"/>
      <c r="L79" s="797"/>
      <c r="M79" s="797"/>
      <c r="N79" s="797"/>
      <c r="O79" s="797"/>
      <c r="P79" s="797"/>
      <c r="Q79" s="797"/>
      <c r="R79" s="797"/>
      <c r="S79" s="679">
        <f t="shared" si="140"/>
        <v>4</v>
      </c>
      <c r="U79" s="311">
        <f>'T_Stock_TOTAL_&amp;_City'!U79-'T_Stock_TOTAL_&amp;_City'!V79</f>
        <v>0</v>
      </c>
      <c r="W79" s="908">
        <f t="shared" si="139"/>
        <v>0</v>
      </c>
      <c r="X79" s="908">
        <f t="shared" si="137"/>
        <v>0</v>
      </c>
      <c r="Y79" s="908">
        <f t="shared" si="137"/>
        <v>0</v>
      </c>
      <c r="Z79" s="908">
        <f t="shared" si="137"/>
        <v>0</v>
      </c>
      <c r="AA79" s="908">
        <f t="shared" si="137"/>
        <v>0</v>
      </c>
      <c r="AB79" s="908">
        <f t="shared" si="137"/>
        <v>0</v>
      </c>
      <c r="AC79" s="908">
        <f t="shared" si="137"/>
        <v>0</v>
      </c>
      <c r="AD79" s="908">
        <f t="shared" si="137"/>
        <v>0</v>
      </c>
      <c r="AE79" s="908">
        <f t="shared" si="137"/>
        <v>0</v>
      </c>
      <c r="AF79" s="908">
        <f t="shared" si="137"/>
        <v>0</v>
      </c>
      <c r="AG79" s="908">
        <f t="shared" si="137"/>
        <v>0</v>
      </c>
      <c r="AH79" s="908">
        <f t="shared" si="137"/>
        <v>0</v>
      </c>
      <c r="AI79" s="908">
        <f t="shared" si="137"/>
        <v>0</v>
      </c>
      <c r="AJ79" s="908">
        <f t="shared" si="137"/>
        <v>0</v>
      </c>
      <c r="AK79" s="908">
        <f t="shared" si="137"/>
        <v>0</v>
      </c>
      <c r="AL79" s="531">
        <f t="shared" si="138"/>
        <v>0</v>
      </c>
    </row>
    <row r="80" spans="2:38" x14ac:dyDescent="0.3">
      <c r="B80" s="245" t="str">
        <f>'T_Stock_TOTAL_&amp;_City'!B80</f>
        <v>Hybrid Electric - diesel</v>
      </c>
      <c r="C80" s="245" t="s">
        <v>342</v>
      </c>
      <c r="D80" s="940">
        <f>ROUND(1*0.6,0)</f>
        <v>1</v>
      </c>
      <c r="E80" s="940"/>
      <c r="F80" s="797"/>
      <c r="G80" s="797"/>
      <c r="H80" s="797"/>
      <c r="I80" s="797"/>
      <c r="J80" s="797"/>
      <c r="K80" s="797"/>
      <c r="L80" s="797"/>
      <c r="M80" s="797"/>
      <c r="N80" s="797"/>
      <c r="O80" s="797"/>
      <c r="P80" s="797"/>
      <c r="Q80" s="797"/>
      <c r="R80" s="797"/>
      <c r="S80" s="679">
        <f t="shared" si="140"/>
        <v>1</v>
      </c>
      <c r="U80" s="311">
        <f>'T_Stock_TOTAL_&amp;_City'!U80-'T_Stock_TOTAL_&amp;_City'!V80</f>
        <v>0</v>
      </c>
      <c r="W80" s="908">
        <f t="shared" si="139"/>
        <v>0</v>
      </c>
      <c r="X80" s="908">
        <f t="shared" si="137"/>
        <v>0</v>
      </c>
      <c r="Y80" s="908">
        <f t="shared" si="137"/>
        <v>0</v>
      </c>
      <c r="Z80" s="908">
        <f t="shared" si="137"/>
        <v>0</v>
      </c>
      <c r="AA80" s="908">
        <f t="shared" si="137"/>
        <v>0</v>
      </c>
      <c r="AB80" s="908">
        <f t="shared" si="137"/>
        <v>0</v>
      </c>
      <c r="AC80" s="908">
        <f t="shared" si="137"/>
        <v>0</v>
      </c>
      <c r="AD80" s="908">
        <f t="shared" si="137"/>
        <v>0</v>
      </c>
      <c r="AE80" s="908">
        <f t="shared" si="137"/>
        <v>0</v>
      </c>
      <c r="AF80" s="908">
        <f t="shared" si="137"/>
        <v>0</v>
      </c>
      <c r="AG80" s="908">
        <f t="shared" si="137"/>
        <v>0</v>
      </c>
      <c r="AH80" s="908">
        <f t="shared" si="137"/>
        <v>0</v>
      </c>
      <c r="AI80" s="908">
        <f t="shared" si="137"/>
        <v>0</v>
      </c>
      <c r="AJ80" s="908">
        <f t="shared" si="137"/>
        <v>0</v>
      </c>
      <c r="AK80" s="908">
        <f t="shared" si="137"/>
        <v>0</v>
      </c>
      <c r="AL80" s="531">
        <f t="shared" si="138"/>
        <v>0</v>
      </c>
    </row>
    <row r="81" spans="2:38" x14ac:dyDescent="0.3">
      <c r="B81" s="245" t="str">
        <f>'T_Stock_TOTAL_&amp;_City'!B81</f>
        <v>Hybrid Electric - gasoline</v>
      </c>
      <c r="C81" s="245" t="s">
        <v>343</v>
      </c>
      <c r="D81" s="940">
        <f>ROUND(1*0.6,0)</f>
        <v>1</v>
      </c>
      <c r="E81" s="940"/>
      <c r="F81" s="797"/>
      <c r="G81" s="797"/>
      <c r="H81" s="797"/>
      <c r="I81" s="797"/>
      <c r="J81" s="797"/>
      <c r="K81" s="797"/>
      <c r="L81" s="797"/>
      <c r="M81" s="797"/>
      <c r="N81" s="797"/>
      <c r="O81" s="797"/>
      <c r="P81" s="797"/>
      <c r="Q81" s="797"/>
      <c r="R81" s="797"/>
      <c r="S81" s="679">
        <f t="shared" si="140"/>
        <v>1</v>
      </c>
      <c r="U81" s="311">
        <f>'T_Stock_TOTAL_&amp;_City'!U81-'T_Stock_TOTAL_&amp;_City'!V81</f>
        <v>0</v>
      </c>
      <c r="W81" s="908">
        <f t="shared" si="139"/>
        <v>0</v>
      </c>
      <c r="X81" s="908">
        <f t="shared" si="137"/>
        <v>0</v>
      </c>
      <c r="Y81" s="908">
        <f t="shared" si="137"/>
        <v>0</v>
      </c>
      <c r="Z81" s="908">
        <f t="shared" si="137"/>
        <v>0</v>
      </c>
      <c r="AA81" s="908">
        <f t="shared" si="137"/>
        <v>0</v>
      </c>
      <c r="AB81" s="908">
        <f t="shared" si="137"/>
        <v>0</v>
      </c>
      <c r="AC81" s="908">
        <f t="shared" si="137"/>
        <v>0</v>
      </c>
      <c r="AD81" s="908">
        <f t="shared" si="137"/>
        <v>0</v>
      </c>
      <c r="AE81" s="908">
        <f t="shared" si="137"/>
        <v>0</v>
      </c>
      <c r="AF81" s="908">
        <f t="shared" si="137"/>
        <v>0</v>
      </c>
      <c r="AG81" s="908">
        <f t="shared" si="137"/>
        <v>0</v>
      </c>
      <c r="AH81" s="908">
        <f t="shared" si="137"/>
        <v>0</v>
      </c>
      <c r="AI81" s="908">
        <f t="shared" si="137"/>
        <v>0</v>
      </c>
      <c r="AJ81" s="908">
        <f t="shared" si="137"/>
        <v>0</v>
      </c>
      <c r="AK81" s="908">
        <f t="shared" si="137"/>
        <v>0</v>
      </c>
      <c r="AL81" s="531">
        <f t="shared" si="138"/>
        <v>0</v>
      </c>
    </row>
    <row r="82" spans="2:38" x14ac:dyDescent="0.3">
      <c r="B82" s="245" t="str">
        <f>'T_Stock_TOTAL_&amp;_City'!B82</f>
        <v>LPG</v>
      </c>
      <c r="C82" s="245" t="s">
        <v>344</v>
      </c>
      <c r="D82" s="940">
        <f>ROUND(0*0.6,0)</f>
        <v>0</v>
      </c>
      <c r="E82" s="940"/>
      <c r="F82" s="797"/>
      <c r="G82" s="797"/>
      <c r="H82" s="797"/>
      <c r="I82" s="797"/>
      <c r="J82" s="797"/>
      <c r="K82" s="797"/>
      <c r="L82" s="797"/>
      <c r="M82" s="797"/>
      <c r="N82" s="797"/>
      <c r="O82" s="797"/>
      <c r="P82" s="797"/>
      <c r="Q82" s="797"/>
      <c r="R82" s="797"/>
      <c r="S82" s="679">
        <f t="shared" si="140"/>
        <v>0</v>
      </c>
      <c r="U82" s="311">
        <f>'T_Stock_TOTAL_&amp;_City'!U82-'T_Stock_TOTAL_&amp;_City'!V82</f>
        <v>0</v>
      </c>
      <c r="W82" s="908">
        <f t="shared" si="139"/>
        <v>0</v>
      </c>
      <c r="X82" s="908">
        <f t="shared" si="137"/>
        <v>0</v>
      </c>
      <c r="Y82" s="908">
        <f t="shared" si="137"/>
        <v>0</v>
      </c>
      <c r="Z82" s="908">
        <f t="shared" si="137"/>
        <v>0</v>
      </c>
      <c r="AA82" s="908">
        <f t="shared" si="137"/>
        <v>0</v>
      </c>
      <c r="AB82" s="908">
        <f t="shared" si="137"/>
        <v>0</v>
      </c>
      <c r="AC82" s="908">
        <f t="shared" si="137"/>
        <v>0</v>
      </c>
      <c r="AD82" s="908">
        <f t="shared" si="137"/>
        <v>0</v>
      </c>
      <c r="AE82" s="908">
        <f t="shared" si="137"/>
        <v>0</v>
      </c>
      <c r="AF82" s="908">
        <f t="shared" si="137"/>
        <v>0</v>
      </c>
      <c r="AG82" s="908">
        <f t="shared" si="137"/>
        <v>0</v>
      </c>
      <c r="AH82" s="908">
        <f t="shared" si="137"/>
        <v>0</v>
      </c>
      <c r="AI82" s="908">
        <f t="shared" si="137"/>
        <v>0</v>
      </c>
      <c r="AJ82" s="908">
        <f t="shared" si="137"/>
        <v>0</v>
      </c>
      <c r="AK82" s="908">
        <f t="shared" si="137"/>
        <v>0</v>
      </c>
      <c r="AL82" s="531">
        <f t="shared" si="138"/>
        <v>0</v>
      </c>
    </row>
    <row r="83" spans="2:38" x14ac:dyDescent="0.3">
      <c r="B83" s="245" t="str">
        <f>'T_Stock_TOTAL_&amp;_City'!B83</f>
        <v>Plugin Hybrid Electric - diesel</v>
      </c>
      <c r="C83" s="245" t="s">
        <v>345</v>
      </c>
      <c r="D83" s="940">
        <f>ROUND(1*0.6,0)</f>
        <v>1</v>
      </c>
      <c r="E83" s="940"/>
      <c r="F83" s="797"/>
      <c r="G83" s="797"/>
      <c r="H83" s="797"/>
      <c r="I83" s="797"/>
      <c r="J83" s="797"/>
      <c r="K83" s="797"/>
      <c r="L83" s="797"/>
      <c r="M83" s="797"/>
      <c r="N83" s="797"/>
      <c r="O83" s="797"/>
      <c r="P83" s="797"/>
      <c r="Q83" s="797"/>
      <c r="R83" s="797"/>
      <c r="S83" s="679">
        <f t="shared" si="140"/>
        <v>1</v>
      </c>
      <c r="U83" s="311">
        <f>'T_Stock_TOTAL_&amp;_City'!U83-'T_Stock_TOTAL_&amp;_City'!V83</f>
        <v>0</v>
      </c>
      <c r="W83" s="908">
        <f t="shared" si="139"/>
        <v>0</v>
      </c>
      <c r="X83" s="908">
        <f t="shared" si="137"/>
        <v>0</v>
      </c>
      <c r="Y83" s="908">
        <f t="shared" si="137"/>
        <v>0</v>
      </c>
      <c r="Z83" s="908">
        <f t="shared" si="137"/>
        <v>0</v>
      </c>
      <c r="AA83" s="908">
        <f t="shared" si="137"/>
        <v>0</v>
      </c>
      <c r="AB83" s="908">
        <f t="shared" si="137"/>
        <v>0</v>
      </c>
      <c r="AC83" s="908">
        <f t="shared" si="137"/>
        <v>0</v>
      </c>
      <c r="AD83" s="908">
        <f t="shared" si="137"/>
        <v>0</v>
      </c>
      <c r="AE83" s="908">
        <f t="shared" si="137"/>
        <v>0</v>
      </c>
      <c r="AF83" s="908">
        <f t="shared" si="137"/>
        <v>0</v>
      </c>
      <c r="AG83" s="908">
        <f t="shared" si="137"/>
        <v>0</v>
      </c>
      <c r="AH83" s="908">
        <f t="shared" si="137"/>
        <v>0</v>
      </c>
      <c r="AI83" s="908">
        <f t="shared" si="137"/>
        <v>0</v>
      </c>
      <c r="AJ83" s="908">
        <f t="shared" si="137"/>
        <v>0</v>
      </c>
      <c r="AK83" s="908">
        <f t="shared" si="137"/>
        <v>0</v>
      </c>
      <c r="AL83" s="531">
        <f t="shared" si="138"/>
        <v>0</v>
      </c>
    </row>
    <row r="84" spans="2:38" x14ac:dyDescent="0.3">
      <c r="B84" s="245" t="str">
        <f>'T_Stock_TOTAL_&amp;_City'!B84</f>
        <v>Plugin Hybrid Electric - gasoline</v>
      </c>
      <c r="C84" s="245" t="s">
        <v>346</v>
      </c>
      <c r="D84" s="940">
        <f>ROUND(2*0.6,0)</f>
        <v>1</v>
      </c>
      <c r="E84" s="797"/>
      <c r="F84" s="797"/>
      <c r="G84" s="797"/>
      <c r="H84" s="797"/>
      <c r="I84" s="797"/>
      <c r="J84" s="797"/>
      <c r="K84" s="797"/>
      <c r="L84" s="797"/>
      <c r="M84" s="797"/>
      <c r="N84" s="797"/>
      <c r="O84" s="797"/>
      <c r="P84" s="797"/>
      <c r="Q84" s="797"/>
      <c r="R84" s="797"/>
      <c r="S84" s="679">
        <f t="shared" si="140"/>
        <v>1</v>
      </c>
      <c r="U84" s="311">
        <f>'T_Stock_TOTAL_&amp;_City'!U84-'T_Stock_TOTAL_&amp;_City'!V84</f>
        <v>0</v>
      </c>
      <c r="W84" s="908">
        <f t="shared" si="139"/>
        <v>0</v>
      </c>
      <c r="X84" s="908">
        <f t="shared" si="137"/>
        <v>0</v>
      </c>
      <c r="Y84" s="908">
        <f t="shared" si="137"/>
        <v>0</v>
      </c>
      <c r="Z84" s="908">
        <f t="shared" si="137"/>
        <v>0</v>
      </c>
      <c r="AA84" s="908">
        <f t="shared" si="137"/>
        <v>0</v>
      </c>
      <c r="AB84" s="908">
        <f t="shared" si="137"/>
        <v>0</v>
      </c>
      <c r="AC84" s="908">
        <f t="shared" si="137"/>
        <v>0</v>
      </c>
      <c r="AD84" s="908">
        <f t="shared" si="137"/>
        <v>0</v>
      </c>
      <c r="AE84" s="908">
        <f t="shared" si="137"/>
        <v>0</v>
      </c>
      <c r="AF84" s="908">
        <f t="shared" si="137"/>
        <v>0</v>
      </c>
      <c r="AG84" s="908">
        <f t="shared" si="137"/>
        <v>0</v>
      </c>
      <c r="AH84" s="908">
        <f t="shared" si="137"/>
        <v>0</v>
      </c>
      <c r="AI84" s="908">
        <f t="shared" si="137"/>
        <v>0</v>
      </c>
      <c r="AJ84" s="908">
        <f t="shared" si="137"/>
        <v>0</v>
      </c>
      <c r="AK84" s="908">
        <f t="shared" si="137"/>
        <v>0</v>
      </c>
      <c r="AL84" s="531">
        <f t="shared" si="138"/>
        <v>0</v>
      </c>
    </row>
    <row r="85" spans="2:38" x14ac:dyDescent="0.3">
      <c r="B85" s="250" t="str">
        <f>'T_Stock_TOTAL_&amp;_City'!B85</f>
        <v>Other</v>
      </c>
      <c r="C85" s="250"/>
      <c r="D85" s="444">
        <f t="shared" ref="D85" si="141">$U85*W85</f>
        <v>0</v>
      </c>
      <c r="E85" s="444">
        <f t="shared" ref="E74:E85" si="142">$U85*X85</f>
        <v>0</v>
      </c>
      <c r="F85" s="444">
        <f t="shared" ref="F74:F85" si="143">$U85*Y85</f>
        <v>0</v>
      </c>
      <c r="G85" s="444">
        <f t="shared" ref="G74:G85" si="144">$U85*Z85</f>
        <v>0</v>
      </c>
      <c r="H85" s="444">
        <f t="shared" ref="H74:H85" si="145">$U85*AA85</f>
        <v>0</v>
      </c>
      <c r="I85" s="444">
        <f t="shared" ref="I74:I85" si="146">$U85*AB85</f>
        <v>0</v>
      </c>
      <c r="J85" s="444">
        <f t="shared" ref="J74:J85" si="147">$U85*AC85</f>
        <v>0</v>
      </c>
      <c r="K85" s="444">
        <f t="shared" ref="K74:K85" si="148">$U85*AD85</f>
        <v>0</v>
      </c>
      <c r="L85" s="444">
        <f t="shared" ref="L74:L85" si="149">$U85*AE85</f>
        <v>0</v>
      </c>
      <c r="M85" s="444">
        <f t="shared" ref="M74:M85" si="150">$U85*AF85</f>
        <v>0</v>
      </c>
      <c r="N85" s="444">
        <f t="shared" ref="N74:N85" si="151">$U85*AG85</f>
        <v>0</v>
      </c>
      <c r="O85" s="444">
        <f t="shared" ref="O74:O85" si="152">$U85*AH85</f>
        <v>0</v>
      </c>
      <c r="P85" s="444">
        <f t="shared" ref="P74:P85" si="153">$U85*AI85</f>
        <v>0</v>
      </c>
      <c r="Q85" s="444">
        <f t="shared" ref="Q74:Q85" si="154">$U85*AJ85</f>
        <v>0</v>
      </c>
      <c r="R85" s="444">
        <f t="shared" ref="R74:R85" si="155">$U85*AK85</f>
        <v>0</v>
      </c>
      <c r="S85" s="444">
        <f t="shared" si="136"/>
        <v>0</v>
      </c>
      <c r="U85" s="311">
        <f>'T_Stock_TOTAL_&amp;_City'!U85-'T_Stock_TOTAL_&amp;_City'!V85</f>
        <v>0</v>
      </c>
      <c r="W85" s="908">
        <f t="shared" si="139"/>
        <v>0</v>
      </c>
      <c r="X85" s="908">
        <f t="shared" si="137"/>
        <v>0</v>
      </c>
      <c r="Y85" s="908">
        <f t="shared" si="137"/>
        <v>0</v>
      </c>
      <c r="Z85" s="908">
        <f t="shared" si="137"/>
        <v>0</v>
      </c>
      <c r="AA85" s="908">
        <f t="shared" si="137"/>
        <v>0</v>
      </c>
      <c r="AB85" s="908">
        <f t="shared" si="137"/>
        <v>0</v>
      </c>
      <c r="AC85" s="908">
        <f t="shared" si="137"/>
        <v>0</v>
      </c>
      <c r="AD85" s="908">
        <f t="shared" si="137"/>
        <v>0</v>
      </c>
      <c r="AE85" s="908">
        <f t="shared" si="137"/>
        <v>0</v>
      </c>
      <c r="AF85" s="908">
        <f t="shared" si="137"/>
        <v>0</v>
      </c>
      <c r="AG85" s="908">
        <f t="shared" si="137"/>
        <v>0</v>
      </c>
      <c r="AH85" s="908">
        <f t="shared" si="137"/>
        <v>0</v>
      </c>
      <c r="AI85" s="908">
        <f t="shared" si="137"/>
        <v>0</v>
      </c>
      <c r="AJ85" s="908">
        <f t="shared" si="137"/>
        <v>0</v>
      </c>
      <c r="AK85" s="908">
        <f t="shared" si="137"/>
        <v>0</v>
      </c>
      <c r="AL85" s="531">
        <f t="shared" si="138"/>
        <v>0</v>
      </c>
    </row>
    <row r="86" spans="2:38" x14ac:dyDescent="0.3">
      <c r="B86" s="131" t="s">
        <v>119</v>
      </c>
      <c r="C86" s="131"/>
      <c r="D86" s="680">
        <f>SUM(D74:D85)</f>
        <v>1815</v>
      </c>
      <c r="E86" s="680">
        <f>SUM(E74:E85)</f>
        <v>0</v>
      </c>
      <c r="F86" s="680">
        <f>SUM(F74:F85)</f>
        <v>0</v>
      </c>
      <c r="G86" s="680">
        <f>SUM(G74:G85)</f>
        <v>0</v>
      </c>
      <c r="H86" s="680">
        <f>SUM(H74:H85)</f>
        <v>0</v>
      </c>
      <c r="I86" s="680">
        <f>SUM(I74:I85)</f>
        <v>0</v>
      </c>
      <c r="J86" s="680">
        <f>SUM(J74:J85)</f>
        <v>0</v>
      </c>
      <c r="K86" s="680">
        <f>SUM(K74:K85)</f>
        <v>0</v>
      </c>
      <c r="L86" s="680">
        <f>SUM(L74:L85)</f>
        <v>0</v>
      </c>
      <c r="M86" s="680">
        <f>SUM(M74:M85)</f>
        <v>0</v>
      </c>
      <c r="N86" s="680">
        <f>SUM(N74:N85)</f>
        <v>0</v>
      </c>
      <c r="O86" s="680">
        <f>SUM(O74:O85)</f>
        <v>0</v>
      </c>
      <c r="P86" s="680">
        <f>SUM(P74:P85)</f>
        <v>0</v>
      </c>
      <c r="Q86" s="680">
        <f>SUM(Q74:Q85)</f>
        <v>0</v>
      </c>
      <c r="R86" s="680">
        <f>SUM(R74:R85)</f>
        <v>0</v>
      </c>
      <c r="S86" s="680">
        <f t="shared" ref="S86" si="156">SUM(S74:S85)</f>
        <v>1089</v>
      </c>
      <c r="U86" s="130">
        <f>SUM(U75:U83)</f>
        <v>0</v>
      </c>
      <c r="W86" s="5"/>
      <c r="X86" s="5"/>
      <c r="Y86" s="5"/>
      <c r="Z86" s="5"/>
      <c r="AA86" s="5"/>
      <c r="AB86" s="5"/>
      <c r="AC86" s="5"/>
      <c r="AD86" s="5"/>
      <c r="AE86" s="5"/>
      <c r="AF86" s="5"/>
      <c r="AG86" s="5"/>
    </row>
    <row r="88" spans="2:38" x14ac:dyDescent="0.3">
      <c r="B88" s="441" t="s">
        <v>126</v>
      </c>
      <c r="C88" s="339"/>
      <c r="W88" s="3" t="s">
        <v>299</v>
      </c>
    </row>
    <row r="89" spans="2:38" x14ac:dyDescent="0.3">
      <c r="B89" s="476" t="s">
        <v>103</v>
      </c>
      <c r="C89" s="264" t="s">
        <v>104</v>
      </c>
      <c r="D89" s="121" t="str">
        <f>D$9</f>
        <v>Z01</v>
      </c>
      <c r="E89" s="121" t="str">
        <f t="shared" ref="E89:R89" si="157">E$9</f>
        <v>Z02</v>
      </c>
      <c r="F89" s="121" t="str">
        <f t="shared" si="157"/>
        <v>Z03</v>
      </c>
      <c r="G89" s="121" t="str">
        <f t="shared" si="157"/>
        <v>Z04</v>
      </c>
      <c r="H89" s="121" t="str">
        <f t="shared" si="157"/>
        <v>Z05</v>
      </c>
      <c r="I89" s="121" t="str">
        <f t="shared" si="157"/>
        <v>Z06</v>
      </c>
      <c r="J89" s="121" t="str">
        <f t="shared" si="157"/>
        <v>Z07</v>
      </c>
      <c r="K89" s="121" t="str">
        <f t="shared" si="157"/>
        <v>Z08</v>
      </c>
      <c r="L89" s="121" t="str">
        <f t="shared" si="157"/>
        <v>Z09</v>
      </c>
      <c r="M89" s="121" t="str">
        <f t="shared" si="157"/>
        <v>Z10</v>
      </c>
      <c r="N89" s="121" t="str">
        <f t="shared" si="157"/>
        <v>Z11</v>
      </c>
      <c r="O89" s="121" t="str">
        <f t="shared" si="157"/>
        <v>Z12</v>
      </c>
      <c r="P89" s="121" t="str">
        <f t="shared" si="157"/>
        <v>Z13</v>
      </c>
      <c r="Q89" s="121" t="str">
        <f t="shared" si="157"/>
        <v>Z14</v>
      </c>
      <c r="R89" s="121" t="str">
        <f t="shared" si="157"/>
        <v>Z15</v>
      </c>
      <c r="S89" s="121" t="s">
        <v>100</v>
      </c>
      <c r="U89" s="17" t="str">
        <f>U$9</f>
        <v>Private stock</v>
      </c>
      <c r="W89" s="121" t="str">
        <f t="shared" ref="W89:AK89" si="158">D89</f>
        <v>Z01</v>
      </c>
      <c r="X89" s="121" t="str">
        <f t="shared" si="158"/>
        <v>Z02</v>
      </c>
      <c r="Y89" s="121" t="str">
        <f t="shared" si="158"/>
        <v>Z03</v>
      </c>
      <c r="Z89" s="121" t="str">
        <f t="shared" si="158"/>
        <v>Z04</v>
      </c>
      <c r="AA89" s="121" t="str">
        <f t="shared" si="158"/>
        <v>Z05</v>
      </c>
      <c r="AB89" s="121" t="str">
        <f t="shared" si="158"/>
        <v>Z06</v>
      </c>
      <c r="AC89" s="121" t="str">
        <f t="shared" si="158"/>
        <v>Z07</v>
      </c>
      <c r="AD89" s="121" t="str">
        <f t="shared" si="158"/>
        <v>Z08</v>
      </c>
      <c r="AE89" s="121" t="str">
        <f t="shared" si="158"/>
        <v>Z09</v>
      </c>
      <c r="AF89" s="121" t="str">
        <f t="shared" si="158"/>
        <v>Z10</v>
      </c>
      <c r="AG89" s="121" t="str">
        <f t="shared" si="158"/>
        <v>Z11</v>
      </c>
      <c r="AH89" s="121" t="str">
        <f t="shared" si="158"/>
        <v>Z12</v>
      </c>
      <c r="AI89" s="121" t="str">
        <f t="shared" si="158"/>
        <v>Z13</v>
      </c>
      <c r="AJ89" s="121" t="str">
        <f t="shared" si="158"/>
        <v>Z14</v>
      </c>
      <c r="AK89" s="121" t="str">
        <f t="shared" si="158"/>
        <v>Z15</v>
      </c>
      <c r="AL89" s="121" t="s">
        <v>100</v>
      </c>
    </row>
    <row r="90" spans="2:38" x14ac:dyDescent="0.3">
      <c r="B90" s="245" t="str">
        <f>'T_Stock_TOTAL_&amp;_City'!B90</f>
        <v>Biodiesel</v>
      </c>
      <c r="C90" s="245" t="s">
        <v>347</v>
      </c>
      <c r="D90" s="940">
        <f>121242/2</f>
        <v>60621</v>
      </c>
      <c r="E90" s="797"/>
      <c r="F90" s="797"/>
      <c r="G90" s="797"/>
      <c r="H90" s="797"/>
      <c r="I90" s="797"/>
      <c r="J90" s="797"/>
      <c r="K90" s="797"/>
      <c r="L90" s="797"/>
      <c r="M90" s="797"/>
      <c r="N90" s="797"/>
      <c r="O90" s="797"/>
      <c r="P90" s="797"/>
      <c r="Q90" s="797"/>
      <c r="R90" s="797"/>
      <c r="S90" s="679">
        <f>SUM(D90:R90)</f>
        <v>60621</v>
      </c>
      <c r="U90" s="311">
        <f>'T_Stock_TOTAL_&amp;_City'!U90-'T_Stock_TOTAL_&amp;_City'!V90</f>
        <v>0</v>
      </c>
      <c r="W90" s="908">
        <f>W$6</f>
        <v>0</v>
      </c>
      <c r="X90" s="908">
        <f t="shared" ref="X90:AK101" si="159">X$6</f>
        <v>0</v>
      </c>
      <c r="Y90" s="908">
        <f t="shared" si="159"/>
        <v>0</v>
      </c>
      <c r="Z90" s="908">
        <f t="shared" si="159"/>
        <v>0</v>
      </c>
      <c r="AA90" s="908">
        <f t="shared" si="159"/>
        <v>0</v>
      </c>
      <c r="AB90" s="908">
        <f t="shared" si="159"/>
        <v>0</v>
      </c>
      <c r="AC90" s="908">
        <f t="shared" si="159"/>
        <v>0</v>
      </c>
      <c r="AD90" s="908">
        <f t="shared" si="159"/>
        <v>0</v>
      </c>
      <c r="AE90" s="908">
        <f t="shared" si="159"/>
        <v>0</v>
      </c>
      <c r="AF90" s="908">
        <f t="shared" si="159"/>
        <v>0</v>
      </c>
      <c r="AG90" s="908">
        <f t="shared" si="159"/>
        <v>0</v>
      </c>
      <c r="AH90" s="908">
        <f t="shared" si="159"/>
        <v>0</v>
      </c>
      <c r="AI90" s="908">
        <f t="shared" si="159"/>
        <v>0</v>
      </c>
      <c r="AJ90" s="908">
        <f t="shared" si="159"/>
        <v>0</v>
      </c>
      <c r="AK90" s="908">
        <f t="shared" si="159"/>
        <v>0</v>
      </c>
      <c r="AL90" s="531">
        <f>SUM(W90:AK90)</f>
        <v>0</v>
      </c>
    </row>
    <row r="91" spans="2:38" x14ac:dyDescent="0.3">
      <c r="B91" s="245" t="str">
        <f>'T_Stock_TOTAL_&amp;_City'!B91</f>
        <v>Diesel</v>
      </c>
      <c r="C91" s="245" t="s">
        <v>348</v>
      </c>
      <c r="D91" s="940">
        <f>121242/2</f>
        <v>60621</v>
      </c>
      <c r="E91" s="797"/>
      <c r="F91" s="797"/>
      <c r="G91" s="797"/>
      <c r="H91" s="797"/>
      <c r="I91" s="797"/>
      <c r="J91" s="797"/>
      <c r="K91" s="797"/>
      <c r="L91" s="797"/>
      <c r="M91" s="797"/>
      <c r="N91" s="797"/>
      <c r="O91" s="797"/>
      <c r="P91" s="797"/>
      <c r="Q91" s="797"/>
      <c r="R91" s="797"/>
      <c r="S91" s="679">
        <f t="shared" ref="S91:S100" si="160">SUM(D91:R91)</f>
        <v>60621</v>
      </c>
      <c r="U91" s="311">
        <f>'T_Stock_TOTAL_&amp;_City'!U91-'T_Stock_TOTAL_&amp;_City'!V91</f>
        <v>0</v>
      </c>
      <c r="W91" s="908">
        <f t="shared" ref="W91:W101" si="161">W$6</f>
        <v>0</v>
      </c>
      <c r="X91" s="908">
        <f t="shared" si="159"/>
        <v>0</v>
      </c>
      <c r="Y91" s="908">
        <f t="shared" si="159"/>
        <v>0</v>
      </c>
      <c r="Z91" s="908">
        <f t="shared" si="159"/>
        <v>0</v>
      </c>
      <c r="AA91" s="908">
        <f t="shared" si="159"/>
        <v>0</v>
      </c>
      <c r="AB91" s="908">
        <f t="shared" si="159"/>
        <v>0</v>
      </c>
      <c r="AC91" s="908">
        <f t="shared" si="159"/>
        <v>0</v>
      </c>
      <c r="AD91" s="908">
        <f t="shared" si="159"/>
        <v>0</v>
      </c>
      <c r="AE91" s="908">
        <f t="shared" si="159"/>
        <v>0</v>
      </c>
      <c r="AF91" s="908">
        <f t="shared" si="159"/>
        <v>0</v>
      </c>
      <c r="AG91" s="908">
        <f t="shared" si="159"/>
        <v>0</v>
      </c>
      <c r="AH91" s="908">
        <f t="shared" si="159"/>
        <v>0</v>
      </c>
      <c r="AI91" s="908">
        <f t="shared" si="159"/>
        <v>0</v>
      </c>
      <c r="AJ91" s="908">
        <f t="shared" si="159"/>
        <v>0</v>
      </c>
      <c r="AK91" s="908">
        <f t="shared" si="159"/>
        <v>0</v>
      </c>
      <c r="AL91" s="531">
        <f t="shared" ref="AL91:AL101" si="162">SUM(W91:AK91)</f>
        <v>0</v>
      </c>
    </row>
    <row r="92" spans="2:38" x14ac:dyDescent="0.3">
      <c r="B92" s="245" t="str">
        <f>'T_Stock_TOTAL_&amp;_City'!B92</f>
        <v>Battery electric (BEV)</v>
      </c>
      <c r="C92" s="245" t="s">
        <v>349</v>
      </c>
      <c r="D92" s="940">
        <v>1405</v>
      </c>
      <c r="E92" s="797"/>
      <c r="F92" s="797"/>
      <c r="G92" s="797"/>
      <c r="H92" s="797"/>
      <c r="I92" s="797"/>
      <c r="J92" s="797"/>
      <c r="K92" s="797"/>
      <c r="L92" s="797"/>
      <c r="M92" s="797"/>
      <c r="N92" s="797"/>
      <c r="O92" s="797"/>
      <c r="P92" s="797"/>
      <c r="Q92" s="797"/>
      <c r="R92" s="797"/>
      <c r="S92" s="679">
        <f t="shared" si="160"/>
        <v>1405</v>
      </c>
      <c r="U92" s="311">
        <f>'T_Stock_TOTAL_&amp;_City'!U92-'T_Stock_TOTAL_&amp;_City'!V92</f>
        <v>0</v>
      </c>
      <c r="W92" s="908">
        <f t="shared" si="161"/>
        <v>0</v>
      </c>
      <c r="X92" s="908">
        <f t="shared" si="159"/>
        <v>0</v>
      </c>
      <c r="Y92" s="908">
        <f t="shared" si="159"/>
        <v>0</v>
      </c>
      <c r="Z92" s="908">
        <f t="shared" si="159"/>
        <v>0</v>
      </c>
      <c r="AA92" s="908">
        <f t="shared" si="159"/>
        <v>0</v>
      </c>
      <c r="AB92" s="908">
        <f t="shared" si="159"/>
        <v>0</v>
      </c>
      <c r="AC92" s="908">
        <f t="shared" si="159"/>
        <v>0</v>
      </c>
      <c r="AD92" s="908">
        <f t="shared" si="159"/>
        <v>0</v>
      </c>
      <c r="AE92" s="908">
        <f t="shared" si="159"/>
        <v>0</v>
      </c>
      <c r="AF92" s="908">
        <f t="shared" si="159"/>
        <v>0</v>
      </c>
      <c r="AG92" s="908">
        <f t="shared" si="159"/>
        <v>0</v>
      </c>
      <c r="AH92" s="908">
        <f t="shared" si="159"/>
        <v>0</v>
      </c>
      <c r="AI92" s="908">
        <f t="shared" si="159"/>
        <v>0</v>
      </c>
      <c r="AJ92" s="908">
        <f t="shared" si="159"/>
        <v>0</v>
      </c>
      <c r="AK92" s="908">
        <f t="shared" si="159"/>
        <v>0</v>
      </c>
      <c r="AL92" s="531">
        <f t="shared" si="162"/>
        <v>0</v>
      </c>
    </row>
    <row r="93" spans="2:38" x14ac:dyDescent="0.3">
      <c r="B93" s="245" t="str">
        <f>'T_Stock_TOTAL_&amp;_City'!B93</f>
        <v>Ethanol</v>
      </c>
      <c r="C93" s="245" t="s">
        <v>350</v>
      </c>
      <c r="D93" s="940">
        <v>546</v>
      </c>
      <c r="E93" s="797"/>
      <c r="F93" s="797"/>
      <c r="G93" s="797"/>
      <c r="H93" s="797"/>
      <c r="I93" s="797"/>
      <c r="J93" s="797"/>
      <c r="K93" s="797"/>
      <c r="L93" s="797"/>
      <c r="M93" s="797"/>
      <c r="N93" s="797"/>
      <c r="O93" s="797"/>
      <c r="P93" s="797"/>
      <c r="Q93" s="797"/>
      <c r="R93" s="797"/>
      <c r="S93" s="679">
        <f t="shared" si="160"/>
        <v>546</v>
      </c>
      <c r="U93" s="311">
        <f>'T_Stock_TOTAL_&amp;_City'!U93-'T_Stock_TOTAL_&amp;_City'!V93</f>
        <v>0</v>
      </c>
      <c r="W93" s="908">
        <f t="shared" si="161"/>
        <v>0</v>
      </c>
      <c r="X93" s="908">
        <f t="shared" si="159"/>
        <v>0</v>
      </c>
      <c r="Y93" s="908">
        <f t="shared" si="159"/>
        <v>0</v>
      </c>
      <c r="Z93" s="908">
        <f t="shared" si="159"/>
        <v>0</v>
      </c>
      <c r="AA93" s="908">
        <f t="shared" si="159"/>
        <v>0</v>
      </c>
      <c r="AB93" s="908">
        <f t="shared" si="159"/>
        <v>0</v>
      </c>
      <c r="AC93" s="908">
        <f t="shared" si="159"/>
        <v>0</v>
      </c>
      <c r="AD93" s="908">
        <f t="shared" si="159"/>
        <v>0</v>
      </c>
      <c r="AE93" s="908">
        <f t="shared" si="159"/>
        <v>0</v>
      </c>
      <c r="AF93" s="908">
        <f t="shared" si="159"/>
        <v>0</v>
      </c>
      <c r="AG93" s="908">
        <f t="shared" si="159"/>
        <v>0</v>
      </c>
      <c r="AH93" s="908">
        <f t="shared" si="159"/>
        <v>0</v>
      </c>
      <c r="AI93" s="908">
        <f t="shared" si="159"/>
        <v>0</v>
      </c>
      <c r="AJ93" s="908">
        <f t="shared" si="159"/>
        <v>0</v>
      </c>
      <c r="AK93" s="908">
        <f t="shared" si="159"/>
        <v>0</v>
      </c>
      <c r="AL93" s="531">
        <f t="shared" si="162"/>
        <v>0</v>
      </c>
    </row>
    <row r="94" spans="2:38" x14ac:dyDescent="0.3">
      <c r="B94" s="245" t="str">
        <f>'T_Stock_TOTAL_&amp;_City'!B94</f>
        <v>Gas (CNG)</v>
      </c>
      <c r="C94" s="245" t="s">
        <v>351</v>
      </c>
      <c r="D94" s="940">
        <v>2363</v>
      </c>
      <c r="E94" s="797"/>
      <c r="F94" s="797"/>
      <c r="G94" s="797"/>
      <c r="H94" s="797"/>
      <c r="I94" s="797"/>
      <c r="J94" s="797"/>
      <c r="K94" s="797"/>
      <c r="L94" s="797"/>
      <c r="M94" s="797"/>
      <c r="N94" s="797"/>
      <c r="O94" s="797"/>
      <c r="P94" s="797"/>
      <c r="Q94" s="797"/>
      <c r="R94" s="797"/>
      <c r="S94" s="679">
        <f t="shared" si="160"/>
        <v>2363</v>
      </c>
      <c r="U94" s="311">
        <f>'T_Stock_TOTAL_&amp;_City'!U94-'T_Stock_TOTAL_&amp;_City'!V94</f>
        <v>0</v>
      </c>
      <c r="W94" s="908">
        <f t="shared" si="161"/>
        <v>0</v>
      </c>
      <c r="X94" s="908">
        <f t="shared" si="159"/>
        <v>0</v>
      </c>
      <c r="Y94" s="908">
        <f t="shared" si="159"/>
        <v>0</v>
      </c>
      <c r="Z94" s="908">
        <f t="shared" si="159"/>
        <v>0</v>
      </c>
      <c r="AA94" s="908">
        <f t="shared" si="159"/>
        <v>0</v>
      </c>
      <c r="AB94" s="908">
        <f t="shared" si="159"/>
        <v>0</v>
      </c>
      <c r="AC94" s="908">
        <f t="shared" si="159"/>
        <v>0</v>
      </c>
      <c r="AD94" s="908">
        <f t="shared" si="159"/>
        <v>0</v>
      </c>
      <c r="AE94" s="908">
        <f t="shared" si="159"/>
        <v>0</v>
      </c>
      <c r="AF94" s="908">
        <f t="shared" si="159"/>
        <v>0</v>
      </c>
      <c r="AG94" s="908">
        <f t="shared" si="159"/>
        <v>0</v>
      </c>
      <c r="AH94" s="908">
        <f t="shared" si="159"/>
        <v>0</v>
      </c>
      <c r="AI94" s="908">
        <f t="shared" si="159"/>
        <v>0</v>
      </c>
      <c r="AJ94" s="908">
        <f t="shared" si="159"/>
        <v>0</v>
      </c>
      <c r="AK94" s="908">
        <f t="shared" si="159"/>
        <v>0</v>
      </c>
      <c r="AL94" s="531">
        <f t="shared" si="162"/>
        <v>0</v>
      </c>
    </row>
    <row r="95" spans="2:38" x14ac:dyDescent="0.3">
      <c r="B95" s="245" t="str">
        <f>'T_Stock_TOTAL_&amp;_City'!B95</f>
        <v>Gasoline</v>
      </c>
      <c r="C95" s="245" t="s">
        <v>352</v>
      </c>
      <c r="D95" s="940">
        <v>7347</v>
      </c>
      <c r="E95" s="797"/>
      <c r="F95" s="797"/>
      <c r="G95" s="797"/>
      <c r="H95" s="797"/>
      <c r="I95" s="797"/>
      <c r="J95" s="797"/>
      <c r="K95" s="797"/>
      <c r="L95" s="797"/>
      <c r="M95" s="797"/>
      <c r="N95" s="797"/>
      <c r="O95" s="797"/>
      <c r="P95" s="797"/>
      <c r="Q95" s="797"/>
      <c r="R95" s="797"/>
      <c r="S95" s="679">
        <f t="shared" si="160"/>
        <v>7347</v>
      </c>
      <c r="U95" s="311">
        <f>'T_Stock_TOTAL_&amp;_City'!U95-'T_Stock_TOTAL_&amp;_City'!V95</f>
        <v>0</v>
      </c>
      <c r="W95" s="908">
        <f t="shared" si="161"/>
        <v>0</v>
      </c>
      <c r="X95" s="908">
        <f t="shared" si="159"/>
        <v>0</v>
      </c>
      <c r="Y95" s="908">
        <f t="shared" si="159"/>
        <v>0</v>
      </c>
      <c r="Z95" s="908">
        <f t="shared" si="159"/>
        <v>0</v>
      </c>
      <c r="AA95" s="908">
        <f t="shared" si="159"/>
        <v>0</v>
      </c>
      <c r="AB95" s="908">
        <f t="shared" si="159"/>
        <v>0</v>
      </c>
      <c r="AC95" s="908">
        <f t="shared" si="159"/>
        <v>0</v>
      </c>
      <c r="AD95" s="908">
        <f t="shared" si="159"/>
        <v>0</v>
      </c>
      <c r="AE95" s="908">
        <f t="shared" si="159"/>
        <v>0</v>
      </c>
      <c r="AF95" s="908">
        <f t="shared" si="159"/>
        <v>0</v>
      </c>
      <c r="AG95" s="908">
        <f t="shared" si="159"/>
        <v>0</v>
      </c>
      <c r="AH95" s="908">
        <f t="shared" si="159"/>
        <v>0</v>
      </c>
      <c r="AI95" s="908">
        <f t="shared" si="159"/>
        <v>0</v>
      </c>
      <c r="AJ95" s="908">
        <f t="shared" si="159"/>
        <v>0</v>
      </c>
      <c r="AK95" s="908">
        <f t="shared" si="159"/>
        <v>0</v>
      </c>
      <c r="AL95" s="531">
        <f t="shared" si="162"/>
        <v>0</v>
      </c>
    </row>
    <row r="96" spans="2:38" x14ac:dyDescent="0.3">
      <c r="B96" s="245" t="str">
        <f>'T_Stock_TOTAL_&amp;_City'!B96</f>
        <v>Hybrid Electric - diesel</v>
      </c>
      <c r="C96" s="245" t="s">
        <v>353</v>
      </c>
      <c r="D96" s="940">
        <f>30/2</f>
        <v>15</v>
      </c>
      <c r="E96" s="797"/>
      <c r="F96" s="797"/>
      <c r="G96" s="797"/>
      <c r="H96" s="797"/>
      <c r="I96" s="797"/>
      <c r="J96" s="797"/>
      <c r="K96" s="797"/>
      <c r="L96" s="797"/>
      <c r="M96" s="797"/>
      <c r="N96" s="797"/>
      <c r="O96" s="797"/>
      <c r="P96" s="797"/>
      <c r="Q96" s="797"/>
      <c r="R96" s="797"/>
      <c r="S96" s="679">
        <f t="shared" si="160"/>
        <v>15</v>
      </c>
      <c r="U96" s="311">
        <f>'T_Stock_TOTAL_&amp;_City'!U96-'T_Stock_TOTAL_&amp;_City'!V96</f>
        <v>0</v>
      </c>
      <c r="W96" s="908">
        <f t="shared" si="161"/>
        <v>0</v>
      </c>
      <c r="X96" s="908">
        <f t="shared" si="159"/>
        <v>0</v>
      </c>
      <c r="Y96" s="908">
        <f t="shared" si="159"/>
        <v>0</v>
      </c>
      <c r="Z96" s="908">
        <f t="shared" si="159"/>
        <v>0</v>
      </c>
      <c r="AA96" s="908">
        <f t="shared" si="159"/>
        <v>0</v>
      </c>
      <c r="AB96" s="908">
        <f t="shared" si="159"/>
        <v>0</v>
      </c>
      <c r="AC96" s="908">
        <f t="shared" si="159"/>
        <v>0</v>
      </c>
      <c r="AD96" s="908">
        <f t="shared" si="159"/>
        <v>0</v>
      </c>
      <c r="AE96" s="908">
        <f t="shared" si="159"/>
        <v>0</v>
      </c>
      <c r="AF96" s="908">
        <f t="shared" si="159"/>
        <v>0</v>
      </c>
      <c r="AG96" s="908">
        <f t="shared" si="159"/>
        <v>0</v>
      </c>
      <c r="AH96" s="908">
        <f t="shared" si="159"/>
        <v>0</v>
      </c>
      <c r="AI96" s="908">
        <f t="shared" si="159"/>
        <v>0</v>
      </c>
      <c r="AJ96" s="908">
        <f t="shared" si="159"/>
        <v>0</v>
      </c>
      <c r="AK96" s="908">
        <f t="shared" si="159"/>
        <v>0</v>
      </c>
      <c r="AL96" s="531">
        <f t="shared" si="162"/>
        <v>0</v>
      </c>
    </row>
    <row r="97" spans="2:38" x14ac:dyDescent="0.3">
      <c r="B97" s="245" t="str">
        <f>'T_Stock_TOTAL_&amp;_City'!B97</f>
        <v>Hybrid Electric - gasoline</v>
      </c>
      <c r="C97" s="245" t="s">
        <v>354</v>
      </c>
      <c r="D97" s="940">
        <f>30/2</f>
        <v>15</v>
      </c>
      <c r="E97" s="797"/>
      <c r="F97" s="797"/>
      <c r="G97" s="797"/>
      <c r="H97" s="797"/>
      <c r="I97" s="797"/>
      <c r="J97" s="797"/>
      <c r="K97" s="797"/>
      <c r="L97" s="797"/>
      <c r="M97" s="797"/>
      <c r="N97" s="797"/>
      <c r="O97" s="797"/>
      <c r="P97" s="797"/>
      <c r="Q97" s="797"/>
      <c r="R97" s="797"/>
      <c r="S97" s="679">
        <f t="shared" si="160"/>
        <v>15</v>
      </c>
      <c r="U97" s="311">
        <f>'T_Stock_TOTAL_&amp;_City'!U97-'T_Stock_TOTAL_&amp;_City'!V97</f>
        <v>0</v>
      </c>
      <c r="W97" s="908">
        <f t="shared" si="161"/>
        <v>0</v>
      </c>
      <c r="X97" s="908">
        <f t="shared" si="159"/>
        <v>0</v>
      </c>
      <c r="Y97" s="908">
        <f t="shared" si="159"/>
        <v>0</v>
      </c>
      <c r="Z97" s="908">
        <f t="shared" si="159"/>
        <v>0</v>
      </c>
      <c r="AA97" s="908">
        <f t="shared" si="159"/>
        <v>0</v>
      </c>
      <c r="AB97" s="908">
        <f t="shared" si="159"/>
        <v>0</v>
      </c>
      <c r="AC97" s="908">
        <f t="shared" si="159"/>
        <v>0</v>
      </c>
      <c r="AD97" s="908">
        <f t="shared" si="159"/>
        <v>0</v>
      </c>
      <c r="AE97" s="908">
        <f t="shared" si="159"/>
        <v>0</v>
      </c>
      <c r="AF97" s="908">
        <f t="shared" si="159"/>
        <v>0</v>
      </c>
      <c r="AG97" s="908">
        <f t="shared" si="159"/>
        <v>0</v>
      </c>
      <c r="AH97" s="908">
        <f t="shared" si="159"/>
        <v>0</v>
      </c>
      <c r="AI97" s="908">
        <f t="shared" si="159"/>
        <v>0</v>
      </c>
      <c r="AJ97" s="908">
        <f t="shared" si="159"/>
        <v>0</v>
      </c>
      <c r="AK97" s="908">
        <f t="shared" si="159"/>
        <v>0</v>
      </c>
      <c r="AL97" s="531">
        <f t="shared" si="162"/>
        <v>0</v>
      </c>
    </row>
    <row r="98" spans="2:38" x14ac:dyDescent="0.3">
      <c r="B98" s="245" t="str">
        <f>'T_Stock_TOTAL_&amp;_City'!B98</f>
        <v>LPG</v>
      </c>
      <c r="C98" s="245" t="s">
        <v>355</v>
      </c>
      <c r="D98" s="940">
        <f t="shared" ref="D98" si="163">$U98*W98</f>
        <v>0</v>
      </c>
      <c r="E98" s="797"/>
      <c r="F98" s="797"/>
      <c r="G98" s="797"/>
      <c r="H98" s="797"/>
      <c r="I98" s="797"/>
      <c r="J98" s="797"/>
      <c r="K98" s="797"/>
      <c r="L98" s="797"/>
      <c r="M98" s="797"/>
      <c r="N98" s="797"/>
      <c r="O98" s="797"/>
      <c r="P98" s="797"/>
      <c r="Q98" s="797"/>
      <c r="R98" s="797"/>
      <c r="S98" s="679">
        <f t="shared" si="160"/>
        <v>0</v>
      </c>
      <c r="U98" s="311">
        <f>'T_Stock_TOTAL_&amp;_City'!U98-'T_Stock_TOTAL_&amp;_City'!V98</f>
        <v>0</v>
      </c>
      <c r="W98" s="908">
        <f t="shared" si="161"/>
        <v>0</v>
      </c>
      <c r="X98" s="908">
        <f t="shared" si="159"/>
        <v>0</v>
      </c>
      <c r="Y98" s="908">
        <f t="shared" si="159"/>
        <v>0</v>
      </c>
      <c r="Z98" s="908">
        <f t="shared" si="159"/>
        <v>0</v>
      </c>
      <c r="AA98" s="908">
        <f t="shared" si="159"/>
        <v>0</v>
      </c>
      <c r="AB98" s="908">
        <f t="shared" si="159"/>
        <v>0</v>
      </c>
      <c r="AC98" s="908">
        <f t="shared" si="159"/>
        <v>0</v>
      </c>
      <c r="AD98" s="908">
        <f t="shared" si="159"/>
        <v>0</v>
      </c>
      <c r="AE98" s="908">
        <f t="shared" si="159"/>
        <v>0</v>
      </c>
      <c r="AF98" s="908">
        <f t="shared" si="159"/>
        <v>0</v>
      </c>
      <c r="AG98" s="908">
        <f t="shared" si="159"/>
        <v>0</v>
      </c>
      <c r="AH98" s="908">
        <f t="shared" si="159"/>
        <v>0</v>
      </c>
      <c r="AI98" s="908">
        <f t="shared" si="159"/>
        <v>0</v>
      </c>
      <c r="AJ98" s="908">
        <f t="shared" si="159"/>
        <v>0</v>
      </c>
      <c r="AK98" s="908">
        <f t="shared" si="159"/>
        <v>0</v>
      </c>
      <c r="AL98" s="531">
        <f t="shared" si="162"/>
        <v>0</v>
      </c>
    </row>
    <row r="99" spans="2:38" x14ac:dyDescent="0.3">
      <c r="B99" s="245" t="str">
        <f>'T_Stock_TOTAL_&amp;_City'!B99</f>
        <v>Plugin Hybrid Electric - diesel</v>
      </c>
      <c r="C99" s="245" t="s">
        <v>356</v>
      </c>
      <c r="D99" s="940">
        <v>1</v>
      </c>
      <c r="E99" s="797"/>
      <c r="F99" s="797"/>
      <c r="G99" s="797"/>
      <c r="H99" s="797"/>
      <c r="I99" s="797"/>
      <c r="J99" s="797"/>
      <c r="K99" s="797"/>
      <c r="L99" s="797"/>
      <c r="M99" s="797"/>
      <c r="N99" s="797"/>
      <c r="O99" s="797"/>
      <c r="P99" s="797"/>
      <c r="Q99" s="797"/>
      <c r="R99" s="797"/>
      <c r="S99" s="679">
        <f t="shared" si="160"/>
        <v>1</v>
      </c>
      <c r="U99" s="311">
        <f>'T_Stock_TOTAL_&amp;_City'!U99-'T_Stock_TOTAL_&amp;_City'!V99</f>
        <v>0</v>
      </c>
      <c r="W99" s="908">
        <f t="shared" si="161"/>
        <v>0</v>
      </c>
      <c r="X99" s="908">
        <f t="shared" si="159"/>
        <v>0</v>
      </c>
      <c r="Y99" s="908">
        <f t="shared" si="159"/>
        <v>0</v>
      </c>
      <c r="Z99" s="908">
        <f t="shared" si="159"/>
        <v>0</v>
      </c>
      <c r="AA99" s="908">
        <f t="shared" si="159"/>
        <v>0</v>
      </c>
      <c r="AB99" s="908">
        <f t="shared" si="159"/>
        <v>0</v>
      </c>
      <c r="AC99" s="908">
        <f t="shared" si="159"/>
        <v>0</v>
      </c>
      <c r="AD99" s="908">
        <f t="shared" si="159"/>
        <v>0</v>
      </c>
      <c r="AE99" s="908">
        <f t="shared" si="159"/>
        <v>0</v>
      </c>
      <c r="AF99" s="908">
        <f t="shared" si="159"/>
        <v>0</v>
      </c>
      <c r="AG99" s="908">
        <f t="shared" si="159"/>
        <v>0</v>
      </c>
      <c r="AH99" s="908">
        <f t="shared" si="159"/>
        <v>0</v>
      </c>
      <c r="AI99" s="908">
        <f t="shared" si="159"/>
        <v>0</v>
      </c>
      <c r="AJ99" s="908">
        <f t="shared" si="159"/>
        <v>0</v>
      </c>
      <c r="AK99" s="908">
        <f t="shared" si="159"/>
        <v>0</v>
      </c>
      <c r="AL99" s="531">
        <f t="shared" si="162"/>
        <v>0</v>
      </c>
    </row>
    <row r="100" spans="2:38" x14ac:dyDescent="0.3">
      <c r="B100" s="245" t="str">
        <f>'T_Stock_TOTAL_&amp;_City'!B100</f>
        <v>Plugin Hybrid Electric - gasoline</v>
      </c>
      <c r="C100" s="245" t="s">
        <v>357</v>
      </c>
      <c r="D100" s="940">
        <v>0</v>
      </c>
      <c r="E100" s="797"/>
      <c r="F100" s="797"/>
      <c r="G100" s="797"/>
      <c r="H100" s="797"/>
      <c r="I100" s="797"/>
      <c r="J100" s="797"/>
      <c r="K100" s="797"/>
      <c r="L100" s="797"/>
      <c r="M100" s="797"/>
      <c r="N100" s="797"/>
      <c r="O100" s="797"/>
      <c r="P100" s="797"/>
      <c r="Q100" s="797"/>
      <c r="R100" s="797"/>
      <c r="S100" s="679">
        <f t="shared" si="160"/>
        <v>0</v>
      </c>
      <c r="U100" s="311">
        <f>'T_Stock_TOTAL_&amp;_City'!U100-'T_Stock_TOTAL_&amp;_City'!V100</f>
        <v>0</v>
      </c>
      <c r="W100" s="908">
        <f t="shared" si="161"/>
        <v>0</v>
      </c>
      <c r="X100" s="908">
        <f t="shared" si="159"/>
        <v>0</v>
      </c>
      <c r="Y100" s="908">
        <f t="shared" si="159"/>
        <v>0</v>
      </c>
      <c r="Z100" s="908">
        <f t="shared" si="159"/>
        <v>0</v>
      </c>
      <c r="AA100" s="908">
        <f t="shared" si="159"/>
        <v>0</v>
      </c>
      <c r="AB100" s="908">
        <f t="shared" si="159"/>
        <v>0</v>
      </c>
      <c r="AC100" s="908">
        <f t="shared" si="159"/>
        <v>0</v>
      </c>
      <c r="AD100" s="908">
        <f t="shared" si="159"/>
        <v>0</v>
      </c>
      <c r="AE100" s="908">
        <f t="shared" si="159"/>
        <v>0</v>
      </c>
      <c r="AF100" s="908">
        <f t="shared" si="159"/>
        <v>0</v>
      </c>
      <c r="AG100" s="908">
        <f t="shared" si="159"/>
        <v>0</v>
      </c>
      <c r="AH100" s="908">
        <f t="shared" si="159"/>
        <v>0</v>
      </c>
      <c r="AI100" s="908">
        <f t="shared" si="159"/>
        <v>0</v>
      </c>
      <c r="AJ100" s="908">
        <f t="shared" si="159"/>
        <v>0</v>
      </c>
      <c r="AK100" s="908">
        <f t="shared" si="159"/>
        <v>0</v>
      </c>
      <c r="AL100" s="531">
        <f t="shared" si="162"/>
        <v>0</v>
      </c>
    </row>
    <row r="101" spans="2:38" x14ac:dyDescent="0.3">
      <c r="B101" s="250" t="str">
        <f>'T_Stock_TOTAL_&amp;_City'!B101</f>
        <v>Other</v>
      </c>
      <c r="C101" s="250"/>
      <c r="D101" s="444">
        <f t="shared" ref="D101" si="164">$U101*W101</f>
        <v>0</v>
      </c>
      <c r="E101" s="444">
        <f t="shared" ref="E101" si="165">$U101*X101</f>
        <v>0</v>
      </c>
      <c r="F101" s="444">
        <f t="shared" ref="F101" si="166">$U101*Y101</f>
        <v>0</v>
      </c>
      <c r="G101" s="444">
        <f t="shared" ref="G101" si="167">$U101*Z101</f>
        <v>0</v>
      </c>
      <c r="H101" s="444">
        <f t="shared" ref="H101" si="168">$U101*AA101</f>
        <v>0</v>
      </c>
      <c r="I101" s="444">
        <f t="shared" ref="I101" si="169">$U101*AB101</f>
        <v>0</v>
      </c>
      <c r="J101" s="444">
        <f t="shared" ref="J101" si="170">$U101*AC101</f>
        <v>0</v>
      </c>
      <c r="K101" s="444">
        <f t="shared" ref="K101" si="171">$U101*AD101</f>
        <v>0</v>
      </c>
      <c r="L101" s="444">
        <f t="shared" ref="L101" si="172">$U101*AE101</f>
        <v>0</v>
      </c>
      <c r="M101" s="444">
        <f t="shared" ref="M101" si="173">$U101*AF101</f>
        <v>0</v>
      </c>
      <c r="N101" s="444">
        <f t="shared" ref="N101" si="174">$U101*AG101</f>
        <v>0</v>
      </c>
      <c r="O101" s="444">
        <f t="shared" ref="O101" si="175">$U101*AH101</f>
        <v>0</v>
      </c>
      <c r="P101" s="444">
        <f t="shared" ref="P101" si="176">$U101*AI101</f>
        <v>0</v>
      </c>
      <c r="Q101" s="444">
        <f t="shared" ref="Q101" si="177">$U101*AJ101</f>
        <v>0</v>
      </c>
      <c r="R101" s="444">
        <f t="shared" ref="R101" si="178">$U101*AK101</f>
        <v>0</v>
      </c>
      <c r="S101" s="444">
        <f>SUM(D101:R101)</f>
        <v>0</v>
      </c>
      <c r="U101" s="335">
        <v>0</v>
      </c>
      <c r="W101" s="908">
        <f t="shared" si="161"/>
        <v>0</v>
      </c>
      <c r="X101" s="908">
        <f t="shared" si="159"/>
        <v>0</v>
      </c>
      <c r="Y101" s="908">
        <f t="shared" si="159"/>
        <v>0</v>
      </c>
      <c r="Z101" s="908">
        <f t="shared" si="159"/>
        <v>0</v>
      </c>
      <c r="AA101" s="908">
        <f t="shared" si="159"/>
        <v>0</v>
      </c>
      <c r="AB101" s="908">
        <f t="shared" si="159"/>
        <v>0</v>
      </c>
      <c r="AC101" s="908">
        <f t="shared" si="159"/>
        <v>0</v>
      </c>
      <c r="AD101" s="908">
        <f t="shared" si="159"/>
        <v>0</v>
      </c>
      <c r="AE101" s="908">
        <f t="shared" si="159"/>
        <v>0</v>
      </c>
      <c r="AF101" s="908">
        <f t="shared" si="159"/>
        <v>0</v>
      </c>
      <c r="AG101" s="908">
        <f t="shared" si="159"/>
        <v>0</v>
      </c>
      <c r="AH101" s="908">
        <f t="shared" si="159"/>
        <v>0</v>
      </c>
      <c r="AI101" s="908">
        <f t="shared" si="159"/>
        <v>0</v>
      </c>
      <c r="AJ101" s="908">
        <f t="shared" si="159"/>
        <v>0</v>
      </c>
      <c r="AK101" s="908">
        <f t="shared" si="159"/>
        <v>0</v>
      </c>
      <c r="AL101" s="531">
        <f t="shared" si="162"/>
        <v>0</v>
      </c>
    </row>
    <row r="102" spans="2:38" x14ac:dyDescent="0.3">
      <c r="B102" s="131" t="s">
        <v>119</v>
      </c>
      <c r="C102" s="131"/>
      <c r="D102" s="130">
        <f>SUM(D90:D101)</f>
        <v>132934</v>
      </c>
      <c r="E102" s="130">
        <f t="shared" ref="E102" si="179">SUM(E90:E101)</f>
        <v>0</v>
      </c>
      <c r="F102" s="130">
        <f t="shared" ref="F102" si="180">SUM(F90:F101)</f>
        <v>0</v>
      </c>
      <c r="G102" s="130">
        <f t="shared" ref="G102" si="181">SUM(G90:G101)</f>
        <v>0</v>
      </c>
      <c r="H102" s="130">
        <f t="shared" ref="H102" si="182">SUM(H90:H101)</f>
        <v>0</v>
      </c>
      <c r="I102" s="130">
        <f t="shared" ref="I102" si="183">SUM(I90:I101)</f>
        <v>0</v>
      </c>
      <c r="J102" s="130">
        <f t="shared" ref="J102" si="184">SUM(J90:J101)</f>
        <v>0</v>
      </c>
      <c r="K102" s="130">
        <f t="shared" ref="K102" si="185">SUM(K90:K101)</f>
        <v>0</v>
      </c>
      <c r="L102" s="130">
        <f t="shared" ref="L102" si="186">SUM(L90:L101)</f>
        <v>0</v>
      </c>
      <c r="M102" s="130">
        <f t="shared" ref="M102" si="187">SUM(M90:M101)</f>
        <v>0</v>
      </c>
      <c r="N102" s="130">
        <f t="shared" ref="N102" si="188">SUM(N90:N101)</f>
        <v>0</v>
      </c>
      <c r="O102" s="130">
        <f t="shared" ref="O102" si="189">SUM(O90:O101)</f>
        <v>0</v>
      </c>
      <c r="P102" s="130">
        <f t="shared" ref="P102" si="190">SUM(P90:P101)</f>
        <v>0</v>
      </c>
      <c r="Q102" s="130">
        <f t="shared" ref="Q102" si="191">SUM(Q90:Q101)</f>
        <v>0</v>
      </c>
      <c r="R102" s="130">
        <f t="shared" ref="R102" si="192">SUM(R90:R101)</f>
        <v>0</v>
      </c>
      <c r="S102" s="130">
        <f t="shared" ref="S102" si="193">SUM(S90:S101)</f>
        <v>132934</v>
      </c>
      <c r="U102" s="130">
        <f>SUM(U91:U100)</f>
        <v>0</v>
      </c>
    </row>
    <row r="104" spans="2:38" hidden="1" x14ac:dyDescent="0.3">
      <c r="B104" s="441" t="s">
        <v>138</v>
      </c>
      <c r="C104" s="339"/>
      <c r="W104" s="3" t="s">
        <v>299</v>
      </c>
    </row>
    <row r="105" spans="2:38" hidden="1" x14ac:dyDescent="0.3">
      <c r="B105" s="476" t="s">
        <v>103</v>
      </c>
      <c r="C105" s="264" t="s">
        <v>104</v>
      </c>
      <c r="D105" s="121" t="str">
        <f>D$9</f>
        <v>Z01</v>
      </c>
      <c r="E105" s="121" t="str">
        <f t="shared" ref="E105:R105" si="194">E$9</f>
        <v>Z02</v>
      </c>
      <c r="F105" s="121" t="str">
        <f t="shared" si="194"/>
        <v>Z03</v>
      </c>
      <c r="G105" s="121" t="str">
        <f t="shared" si="194"/>
        <v>Z04</v>
      </c>
      <c r="H105" s="121" t="str">
        <f t="shared" si="194"/>
        <v>Z05</v>
      </c>
      <c r="I105" s="121" t="str">
        <f t="shared" si="194"/>
        <v>Z06</v>
      </c>
      <c r="J105" s="121" t="str">
        <f t="shared" si="194"/>
        <v>Z07</v>
      </c>
      <c r="K105" s="121" t="str">
        <f t="shared" si="194"/>
        <v>Z08</v>
      </c>
      <c r="L105" s="121" t="str">
        <f t="shared" si="194"/>
        <v>Z09</v>
      </c>
      <c r="M105" s="121" t="str">
        <f t="shared" si="194"/>
        <v>Z10</v>
      </c>
      <c r="N105" s="121" t="str">
        <f t="shared" si="194"/>
        <v>Z11</v>
      </c>
      <c r="O105" s="121" t="str">
        <f t="shared" si="194"/>
        <v>Z12</v>
      </c>
      <c r="P105" s="121" t="str">
        <f t="shared" si="194"/>
        <v>Z13</v>
      </c>
      <c r="Q105" s="121" t="str">
        <f t="shared" si="194"/>
        <v>Z14</v>
      </c>
      <c r="R105" s="121" t="str">
        <f t="shared" si="194"/>
        <v>Z15</v>
      </c>
      <c r="S105" s="121" t="s">
        <v>100</v>
      </c>
      <c r="U105" s="17" t="str">
        <f>U$9</f>
        <v>Private stock</v>
      </c>
      <c r="W105" s="121" t="str">
        <f t="shared" ref="W105:AK105" si="195">D105</f>
        <v>Z01</v>
      </c>
      <c r="X105" s="121" t="str">
        <f t="shared" si="195"/>
        <v>Z02</v>
      </c>
      <c r="Y105" s="121" t="str">
        <f t="shared" si="195"/>
        <v>Z03</v>
      </c>
      <c r="Z105" s="121" t="str">
        <f t="shared" si="195"/>
        <v>Z04</v>
      </c>
      <c r="AA105" s="121" t="str">
        <f t="shared" si="195"/>
        <v>Z05</v>
      </c>
      <c r="AB105" s="121" t="str">
        <f t="shared" si="195"/>
        <v>Z06</v>
      </c>
      <c r="AC105" s="121" t="str">
        <f t="shared" si="195"/>
        <v>Z07</v>
      </c>
      <c r="AD105" s="121" t="str">
        <f t="shared" si="195"/>
        <v>Z08</v>
      </c>
      <c r="AE105" s="121" t="str">
        <f t="shared" si="195"/>
        <v>Z09</v>
      </c>
      <c r="AF105" s="121" t="str">
        <f t="shared" si="195"/>
        <v>Z10</v>
      </c>
      <c r="AG105" s="121" t="str">
        <f t="shared" si="195"/>
        <v>Z11</v>
      </c>
      <c r="AH105" s="121" t="str">
        <f t="shared" si="195"/>
        <v>Z12</v>
      </c>
      <c r="AI105" s="121" t="str">
        <f t="shared" si="195"/>
        <v>Z13</v>
      </c>
      <c r="AJ105" s="121" t="str">
        <f t="shared" si="195"/>
        <v>Z14</v>
      </c>
      <c r="AK105" s="121" t="str">
        <f t="shared" si="195"/>
        <v>Z15</v>
      </c>
      <c r="AL105" s="121" t="s">
        <v>100</v>
      </c>
    </row>
    <row r="106" spans="2:38" hidden="1" x14ac:dyDescent="0.3">
      <c r="B106" s="245" t="str">
        <f>'T_Stock_TOTAL_&amp;_City'!B106</f>
        <v>Biodiesel</v>
      </c>
      <c r="C106" s="245" t="s">
        <v>358</v>
      </c>
      <c r="D106" s="679">
        <f>$U106*W106</f>
        <v>0</v>
      </c>
      <c r="E106" s="679">
        <f t="shared" ref="E106:E117" si="196">$U106*X106</f>
        <v>0</v>
      </c>
      <c r="F106" s="679">
        <f t="shared" ref="F106:F117" si="197">$U106*Y106</f>
        <v>0</v>
      </c>
      <c r="G106" s="679">
        <f t="shared" ref="G106:G117" si="198">$U106*Z106</f>
        <v>0</v>
      </c>
      <c r="H106" s="679">
        <f t="shared" ref="H106:H117" si="199">$U106*AA106</f>
        <v>0</v>
      </c>
      <c r="I106" s="679">
        <f t="shared" ref="I106:I117" si="200">$U106*AB106</f>
        <v>0</v>
      </c>
      <c r="J106" s="679">
        <f t="shared" ref="J106:J117" si="201">$U106*AC106</f>
        <v>0</v>
      </c>
      <c r="K106" s="679">
        <f t="shared" ref="K106:K117" si="202">$U106*AD106</f>
        <v>0</v>
      </c>
      <c r="L106" s="679">
        <f t="shared" ref="L106:L117" si="203">$U106*AE106</f>
        <v>0</v>
      </c>
      <c r="M106" s="679">
        <f t="shared" ref="M106:M117" si="204">$U106*AF106</f>
        <v>0</v>
      </c>
      <c r="N106" s="679">
        <f t="shared" ref="N106:N117" si="205">$U106*AG106</f>
        <v>0</v>
      </c>
      <c r="O106" s="679">
        <f t="shared" ref="O106:O117" si="206">$U106*AH106</f>
        <v>0</v>
      </c>
      <c r="P106" s="679">
        <f t="shared" ref="P106:P117" si="207">$U106*AI106</f>
        <v>0</v>
      </c>
      <c r="Q106" s="679">
        <f t="shared" ref="Q106:Q117" si="208">$U106*AJ106</f>
        <v>0</v>
      </c>
      <c r="R106" s="679">
        <f t="shared" ref="R106:R117" si="209">$U106*AK106</f>
        <v>0</v>
      </c>
      <c r="S106" s="679">
        <f>SUM(D106:R106)</f>
        <v>0</v>
      </c>
      <c r="U106" s="311">
        <f>'T_Stock_TOTAL_&amp;_City'!U106-'T_Stock_TOTAL_&amp;_City'!V106</f>
        <v>0</v>
      </c>
      <c r="W106" s="519">
        <f>W$6</f>
        <v>0</v>
      </c>
      <c r="X106" s="519">
        <f t="shared" ref="X106:AK117" si="210">X$6</f>
        <v>0</v>
      </c>
      <c r="Y106" s="519">
        <f t="shared" si="210"/>
        <v>0</v>
      </c>
      <c r="Z106" s="519">
        <f t="shared" si="210"/>
        <v>0</v>
      </c>
      <c r="AA106" s="519">
        <f t="shared" si="210"/>
        <v>0</v>
      </c>
      <c r="AB106" s="519">
        <f t="shared" si="210"/>
        <v>0</v>
      </c>
      <c r="AC106" s="519">
        <f t="shared" si="210"/>
        <v>0</v>
      </c>
      <c r="AD106" s="519">
        <f t="shared" si="210"/>
        <v>0</v>
      </c>
      <c r="AE106" s="519">
        <f t="shared" si="210"/>
        <v>0</v>
      </c>
      <c r="AF106" s="519">
        <f t="shared" si="210"/>
        <v>0</v>
      </c>
      <c r="AG106" s="519">
        <f t="shared" si="210"/>
        <v>0</v>
      </c>
      <c r="AH106" s="519">
        <f t="shared" si="210"/>
        <v>0</v>
      </c>
      <c r="AI106" s="519">
        <f t="shared" si="210"/>
        <v>0</v>
      </c>
      <c r="AJ106" s="519">
        <f t="shared" si="210"/>
        <v>0</v>
      </c>
      <c r="AK106" s="519">
        <f t="shared" si="210"/>
        <v>0</v>
      </c>
      <c r="AL106" s="531">
        <f>SUM(W106:AK106)</f>
        <v>0</v>
      </c>
    </row>
    <row r="107" spans="2:38" hidden="1" x14ac:dyDescent="0.3">
      <c r="B107" s="245" t="str">
        <f>'T_Stock_TOTAL_&amp;_City'!B107</f>
        <v>Diesel</v>
      </c>
      <c r="C107" s="245" t="s">
        <v>359</v>
      </c>
      <c r="D107" s="679">
        <f t="shared" ref="D107:D117" si="211">$U107*W107</f>
        <v>0</v>
      </c>
      <c r="E107" s="679">
        <f t="shared" si="196"/>
        <v>0</v>
      </c>
      <c r="F107" s="679">
        <f t="shared" si="197"/>
        <v>0</v>
      </c>
      <c r="G107" s="679">
        <f t="shared" si="198"/>
        <v>0</v>
      </c>
      <c r="H107" s="679">
        <f t="shared" si="199"/>
        <v>0</v>
      </c>
      <c r="I107" s="679">
        <f t="shared" si="200"/>
        <v>0</v>
      </c>
      <c r="J107" s="679">
        <f t="shared" si="201"/>
        <v>0</v>
      </c>
      <c r="K107" s="679">
        <f t="shared" si="202"/>
        <v>0</v>
      </c>
      <c r="L107" s="679">
        <f t="shared" si="203"/>
        <v>0</v>
      </c>
      <c r="M107" s="679">
        <f t="shared" si="204"/>
        <v>0</v>
      </c>
      <c r="N107" s="679">
        <f t="shared" si="205"/>
        <v>0</v>
      </c>
      <c r="O107" s="679">
        <f t="shared" si="206"/>
        <v>0</v>
      </c>
      <c r="P107" s="679">
        <f t="shared" si="207"/>
        <v>0</v>
      </c>
      <c r="Q107" s="679">
        <f t="shared" si="208"/>
        <v>0</v>
      </c>
      <c r="R107" s="679">
        <f t="shared" si="209"/>
        <v>0</v>
      </c>
      <c r="S107" s="679">
        <f t="shared" ref="S107:S116" si="212">SUM(D107:R107)</f>
        <v>0</v>
      </c>
      <c r="U107" s="311">
        <f>'T_Stock_TOTAL_&amp;_City'!U107-'T_Stock_TOTAL_&amp;_City'!V107</f>
        <v>0</v>
      </c>
      <c r="W107" s="519">
        <f t="shared" ref="W107:W117" si="213">W$6</f>
        <v>0</v>
      </c>
      <c r="X107" s="519">
        <f t="shared" si="210"/>
        <v>0</v>
      </c>
      <c r="Y107" s="519">
        <f t="shared" si="210"/>
        <v>0</v>
      </c>
      <c r="Z107" s="519">
        <f t="shared" si="210"/>
        <v>0</v>
      </c>
      <c r="AA107" s="519">
        <f t="shared" si="210"/>
        <v>0</v>
      </c>
      <c r="AB107" s="519">
        <f t="shared" si="210"/>
        <v>0</v>
      </c>
      <c r="AC107" s="519">
        <f t="shared" si="210"/>
        <v>0</v>
      </c>
      <c r="AD107" s="519">
        <f t="shared" si="210"/>
        <v>0</v>
      </c>
      <c r="AE107" s="519">
        <f t="shared" si="210"/>
        <v>0</v>
      </c>
      <c r="AF107" s="519">
        <f t="shared" si="210"/>
        <v>0</v>
      </c>
      <c r="AG107" s="519">
        <f t="shared" si="210"/>
        <v>0</v>
      </c>
      <c r="AH107" s="519">
        <f t="shared" si="210"/>
        <v>0</v>
      </c>
      <c r="AI107" s="519">
        <f t="shared" si="210"/>
        <v>0</v>
      </c>
      <c r="AJ107" s="519">
        <f t="shared" si="210"/>
        <v>0</v>
      </c>
      <c r="AK107" s="519">
        <f t="shared" si="210"/>
        <v>0</v>
      </c>
      <c r="AL107" s="531">
        <f t="shared" ref="AL107:AL117" si="214">SUM(W107:AK107)</f>
        <v>0</v>
      </c>
    </row>
    <row r="108" spans="2:38" hidden="1" x14ac:dyDescent="0.3">
      <c r="B108" s="245" t="str">
        <f>'T_Stock_TOTAL_&amp;_City'!B108</f>
        <v>Battery electric (BEV)</v>
      </c>
      <c r="C108" s="245" t="s">
        <v>360</v>
      </c>
      <c r="D108" s="679">
        <f t="shared" si="211"/>
        <v>0</v>
      </c>
      <c r="E108" s="679">
        <f t="shared" si="196"/>
        <v>0</v>
      </c>
      <c r="F108" s="679">
        <f t="shared" si="197"/>
        <v>0</v>
      </c>
      <c r="G108" s="679">
        <f t="shared" si="198"/>
        <v>0</v>
      </c>
      <c r="H108" s="679">
        <f t="shared" si="199"/>
        <v>0</v>
      </c>
      <c r="I108" s="679">
        <f t="shared" si="200"/>
        <v>0</v>
      </c>
      <c r="J108" s="679">
        <f t="shared" si="201"/>
        <v>0</v>
      </c>
      <c r="K108" s="679">
        <f t="shared" si="202"/>
        <v>0</v>
      </c>
      <c r="L108" s="679">
        <f t="shared" si="203"/>
        <v>0</v>
      </c>
      <c r="M108" s="679">
        <f t="shared" si="204"/>
        <v>0</v>
      </c>
      <c r="N108" s="679">
        <f t="shared" si="205"/>
        <v>0</v>
      </c>
      <c r="O108" s="679">
        <f t="shared" si="206"/>
        <v>0</v>
      </c>
      <c r="P108" s="679">
        <f t="shared" si="207"/>
        <v>0</v>
      </c>
      <c r="Q108" s="679">
        <f t="shared" si="208"/>
        <v>0</v>
      </c>
      <c r="R108" s="679">
        <f t="shared" si="209"/>
        <v>0</v>
      </c>
      <c r="S108" s="679">
        <f t="shared" si="212"/>
        <v>0</v>
      </c>
      <c r="U108" s="311">
        <f>'T_Stock_TOTAL_&amp;_City'!U108-'T_Stock_TOTAL_&amp;_City'!V108</f>
        <v>0</v>
      </c>
      <c r="W108" s="519">
        <f t="shared" si="213"/>
        <v>0</v>
      </c>
      <c r="X108" s="519">
        <f t="shared" si="210"/>
        <v>0</v>
      </c>
      <c r="Y108" s="519">
        <f t="shared" si="210"/>
        <v>0</v>
      </c>
      <c r="Z108" s="519">
        <f t="shared" si="210"/>
        <v>0</v>
      </c>
      <c r="AA108" s="519">
        <f t="shared" si="210"/>
        <v>0</v>
      </c>
      <c r="AB108" s="519">
        <f t="shared" si="210"/>
        <v>0</v>
      </c>
      <c r="AC108" s="519">
        <f t="shared" si="210"/>
        <v>0</v>
      </c>
      <c r="AD108" s="519">
        <f t="shared" si="210"/>
        <v>0</v>
      </c>
      <c r="AE108" s="519">
        <f t="shared" si="210"/>
        <v>0</v>
      </c>
      <c r="AF108" s="519">
        <f t="shared" si="210"/>
        <v>0</v>
      </c>
      <c r="AG108" s="519">
        <f t="shared" si="210"/>
        <v>0</v>
      </c>
      <c r="AH108" s="519">
        <f t="shared" si="210"/>
        <v>0</v>
      </c>
      <c r="AI108" s="519">
        <f t="shared" si="210"/>
        <v>0</v>
      </c>
      <c r="AJ108" s="519">
        <f t="shared" si="210"/>
        <v>0</v>
      </c>
      <c r="AK108" s="519">
        <f t="shared" si="210"/>
        <v>0</v>
      </c>
      <c r="AL108" s="531">
        <f t="shared" si="214"/>
        <v>0</v>
      </c>
    </row>
    <row r="109" spans="2:38" hidden="1" x14ac:dyDescent="0.3">
      <c r="B109" s="245" t="str">
        <f>'T_Stock_TOTAL_&amp;_City'!B109</f>
        <v>Ethanol</v>
      </c>
      <c r="C109" s="245" t="s">
        <v>361</v>
      </c>
      <c r="D109" s="679">
        <f t="shared" si="211"/>
        <v>0</v>
      </c>
      <c r="E109" s="679">
        <f t="shared" si="196"/>
        <v>0</v>
      </c>
      <c r="F109" s="679">
        <f t="shared" si="197"/>
        <v>0</v>
      </c>
      <c r="G109" s="679">
        <f t="shared" si="198"/>
        <v>0</v>
      </c>
      <c r="H109" s="679">
        <f t="shared" si="199"/>
        <v>0</v>
      </c>
      <c r="I109" s="679">
        <f t="shared" si="200"/>
        <v>0</v>
      </c>
      <c r="J109" s="679">
        <f t="shared" si="201"/>
        <v>0</v>
      </c>
      <c r="K109" s="679">
        <f t="shared" si="202"/>
        <v>0</v>
      </c>
      <c r="L109" s="679">
        <f t="shared" si="203"/>
        <v>0</v>
      </c>
      <c r="M109" s="679">
        <f t="shared" si="204"/>
        <v>0</v>
      </c>
      <c r="N109" s="679">
        <f t="shared" si="205"/>
        <v>0</v>
      </c>
      <c r="O109" s="679">
        <f t="shared" si="206"/>
        <v>0</v>
      </c>
      <c r="P109" s="679">
        <f t="shared" si="207"/>
        <v>0</v>
      </c>
      <c r="Q109" s="679">
        <f t="shared" si="208"/>
        <v>0</v>
      </c>
      <c r="R109" s="679">
        <f t="shared" si="209"/>
        <v>0</v>
      </c>
      <c r="S109" s="679">
        <f t="shared" si="212"/>
        <v>0</v>
      </c>
      <c r="U109" s="311">
        <f>'T_Stock_TOTAL_&amp;_City'!U109-'T_Stock_TOTAL_&amp;_City'!V109</f>
        <v>0</v>
      </c>
      <c r="W109" s="519">
        <f t="shared" si="213"/>
        <v>0</v>
      </c>
      <c r="X109" s="519">
        <f t="shared" si="210"/>
        <v>0</v>
      </c>
      <c r="Y109" s="519">
        <f t="shared" si="210"/>
        <v>0</v>
      </c>
      <c r="Z109" s="519">
        <f t="shared" si="210"/>
        <v>0</v>
      </c>
      <c r="AA109" s="519">
        <f t="shared" si="210"/>
        <v>0</v>
      </c>
      <c r="AB109" s="519">
        <f t="shared" si="210"/>
        <v>0</v>
      </c>
      <c r="AC109" s="519">
        <f t="shared" si="210"/>
        <v>0</v>
      </c>
      <c r="AD109" s="519">
        <f t="shared" si="210"/>
        <v>0</v>
      </c>
      <c r="AE109" s="519">
        <f t="shared" si="210"/>
        <v>0</v>
      </c>
      <c r="AF109" s="519">
        <f t="shared" si="210"/>
        <v>0</v>
      </c>
      <c r="AG109" s="519">
        <f t="shared" si="210"/>
        <v>0</v>
      </c>
      <c r="AH109" s="519">
        <f t="shared" si="210"/>
        <v>0</v>
      </c>
      <c r="AI109" s="519">
        <f t="shared" si="210"/>
        <v>0</v>
      </c>
      <c r="AJ109" s="519">
        <f t="shared" si="210"/>
        <v>0</v>
      </c>
      <c r="AK109" s="519">
        <f t="shared" si="210"/>
        <v>0</v>
      </c>
      <c r="AL109" s="531">
        <f t="shared" si="214"/>
        <v>0</v>
      </c>
    </row>
    <row r="110" spans="2:38" hidden="1" x14ac:dyDescent="0.3">
      <c r="B110" s="245" t="str">
        <f>'T_Stock_TOTAL_&amp;_City'!B110</f>
        <v>Gas (CNG)</v>
      </c>
      <c r="C110" s="245" t="s">
        <v>362</v>
      </c>
      <c r="D110" s="679">
        <f t="shared" si="211"/>
        <v>0</v>
      </c>
      <c r="E110" s="679">
        <f t="shared" si="196"/>
        <v>0</v>
      </c>
      <c r="F110" s="679">
        <f t="shared" si="197"/>
        <v>0</v>
      </c>
      <c r="G110" s="679">
        <f t="shared" si="198"/>
        <v>0</v>
      </c>
      <c r="H110" s="679">
        <f t="shared" si="199"/>
        <v>0</v>
      </c>
      <c r="I110" s="679">
        <f t="shared" si="200"/>
        <v>0</v>
      </c>
      <c r="J110" s="679">
        <f t="shared" si="201"/>
        <v>0</v>
      </c>
      <c r="K110" s="679">
        <f t="shared" si="202"/>
        <v>0</v>
      </c>
      <c r="L110" s="679">
        <f t="shared" si="203"/>
        <v>0</v>
      </c>
      <c r="M110" s="679">
        <f t="shared" si="204"/>
        <v>0</v>
      </c>
      <c r="N110" s="679">
        <f t="shared" si="205"/>
        <v>0</v>
      </c>
      <c r="O110" s="679">
        <f t="shared" si="206"/>
        <v>0</v>
      </c>
      <c r="P110" s="679">
        <f t="shared" si="207"/>
        <v>0</v>
      </c>
      <c r="Q110" s="679">
        <f t="shared" si="208"/>
        <v>0</v>
      </c>
      <c r="R110" s="679">
        <f t="shared" si="209"/>
        <v>0</v>
      </c>
      <c r="S110" s="679">
        <f t="shared" si="212"/>
        <v>0</v>
      </c>
      <c r="U110" s="311">
        <f>'T_Stock_TOTAL_&amp;_City'!U110-'T_Stock_TOTAL_&amp;_City'!V110</f>
        <v>0</v>
      </c>
      <c r="W110" s="519">
        <f t="shared" si="213"/>
        <v>0</v>
      </c>
      <c r="X110" s="519">
        <f t="shared" si="210"/>
        <v>0</v>
      </c>
      <c r="Y110" s="519">
        <f t="shared" si="210"/>
        <v>0</v>
      </c>
      <c r="Z110" s="519">
        <f t="shared" si="210"/>
        <v>0</v>
      </c>
      <c r="AA110" s="519">
        <f t="shared" si="210"/>
        <v>0</v>
      </c>
      <c r="AB110" s="519">
        <f t="shared" si="210"/>
        <v>0</v>
      </c>
      <c r="AC110" s="519">
        <f t="shared" si="210"/>
        <v>0</v>
      </c>
      <c r="AD110" s="519">
        <f t="shared" si="210"/>
        <v>0</v>
      </c>
      <c r="AE110" s="519">
        <f t="shared" si="210"/>
        <v>0</v>
      </c>
      <c r="AF110" s="519">
        <f t="shared" si="210"/>
        <v>0</v>
      </c>
      <c r="AG110" s="519">
        <f t="shared" si="210"/>
        <v>0</v>
      </c>
      <c r="AH110" s="519">
        <f t="shared" si="210"/>
        <v>0</v>
      </c>
      <c r="AI110" s="519">
        <f t="shared" si="210"/>
        <v>0</v>
      </c>
      <c r="AJ110" s="519">
        <f t="shared" si="210"/>
        <v>0</v>
      </c>
      <c r="AK110" s="519">
        <f t="shared" si="210"/>
        <v>0</v>
      </c>
      <c r="AL110" s="531">
        <f t="shared" si="214"/>
        <v>0</v>
      </c>
    </row>
    <row r="111" spans="2:38" hidden="1" x14ac:dyDescent="0.3">
      <c r="B111" s="245" t="str">
        <f>'T_Stock_TOTAL_&amp;_City'!B111</f>
        <v>Gasoline</v>
      </c>
      <c r="C111" s="245" t="s">
        <v>363</v>
      </c>
      <c r="D111" s="679">
        <f t="shared" si="211"/>
        <v>0</v>
      </c>
      <c r="E111" s="679">
        <f t="shared" si="196"/>
        <v>0</v>
      </c>
      <c r="F111" s="679">
        <f t="shared" si="197"/>
        <v>0</v>
      </c>
      <c r="G111" s="679">
        <f t="shared" si="198"/>
        <v>0</v>
      </c>
      <c r="H111" s="679">
        <f t="shared" si="199"/>
        <v>0</v>
      </c>
      <c r="I111" s="679">
        <f t="shared" si="200"/>
        <v>0</v>
      </c>
      <c r="J111" s="679">
        <f t="shared" si="201"/>
        <v>0</v>
      </c>
      <c r="K111" s="679">
        <f t="shared" si="202"/>
        <v>0</v>
      </c>
      <c r="L111" s="679">
        <f t="shared" si="203"/>
        <v>0</v>
      </c>
      <c r="M111" s="679">
        <f t="shared" si="204"/>
        <v>0</v>
      </c>
      <c r="N111" s="679">
        <f t="shared" si="205"/>
        <v>0</v>
      </c>
      <c r="O111" s="679">
        <f t="shared" si="206"/>
        <v>0</v>
      </c>
      <c r="P111" s="679">
        <f t="shared" si="207"/>
        <v>0</v>
      </c>
      <c r="Q111" s="679">
        <f t="shared" si="208"/>
        <v>0</v>
      </c>
      <c r="R111" s="679">
        <f t="shared" si="209"/>
        <v>0</v>
      </c>
      <c r="S111" s="679">
        <f t="shared" si="212"/>
        <v>0</v>
      </c>
      <c r="U111" s="311">
        <f>'T_Stock_TOTAL_&amp;_City'!U111-'T_Stock_TOTAL_&amp;_City'!V111</f>
        <v>0</v>
      </c>
      <c r="W111" s="519">
        <f t="shared" si="213"/>
        <v>0</v>
      </c>
      <c r="X111" s="519">
        <f t="shared" si="210"/>
        <v>0</v>
      </c>
      <c r="Y111" s="519">
        <f t="shared" si="210"/>
        <v>0</v>
      </c>
      <c r="Z111" s="519">
        <f t="shared" si="210"/>
        <v>0</v>
      </c>
      <c r="AA111" s="519">
        <f t="shared" si="210"/>
        <v>0</v>
      </c>
      <c r="AB111" s="519">
        <f t="shared" si="210"/>
        <v>0</v>
      </c>
      <c r="AC111" s="519">
        <f t="shared" si="210"/>
        <v>0</v>
      </c>
      <c r="AD111" s="519">
        <f t="shared" si="210"/>
        <v>0</v>
      </c>
      <c r="AE111" s="519">
        <f t="shared" si="210"/>
        <v>0</v>
      </c>
      <c r="AF111" s="519">
        <f t="shared" si="210"/>
        <v>0</v>
      </c>
      <c r="AG111" s="519">
        <f t="shared" si="210"/>
        <v>0</v>
      </c>
      <c r="AH111" s="519">
        <f t="shared" si="210"/>
        <v>0</v>
      </c>
      <c r="AI111" s="519">
        <f t="shared" si="210"/>
        <v>0</v>
      </c>
      <c r="AJ111" s="519">
        <f t="shared" si="210"/>
        <v>0</v>
      </c>
      <c r="AK111" s="519">
        <f t="shared" si="210"/>
        <v>0</v>
      </c>
      <c r="AL111" s="531">
        <f t="shared" si="214"/>
        <v>0</v>
      </c>
    </row>
    <row r="112" spans="2:38" hidden="1" x14ac:dyDescent="0.3">
      <c r="B112" s="245" t="str">
        <f>'T_Stock_TOTAL_&amp;_City'!B112</f>
        <v>Hybrid Electric - diesel</v>
      </c>
      <c r="C112" s="245" t="s">
        <v>364</v>
      </c>
      <c r="D112" s="679">
        <f t="shared" si="211"/>
        <v>0</v>
      </c>
      <c r="E112" s="679">
        <f t="shared" si="196"/>
        <v>0</v>
      </c>
      <c r="F112" s="679">
        <f t="shared" si="197"/>
        <v>0</v>
      </c>
      <c r="G112" s="679">
        <f t="shared" si="198"/>
        <v>0</v>
      </c>
      <c r="H112" s="679">
        <f t="shared" si="199"/>
        <v>0</v>
      </c>
      <c r="I112" s="679">
        <f t="shared" si="200"/>
        <v>0</v>
      </c>
      <c r="J112" s="679">
        <f t="shared" si="201"/>
        <v>0</v>
      </c>
      <c r="K112" s="679">
        <f t="shared" si="202"/>
        <v>0</v>
      </c>
      <c r="L112" s="679">
        <f t="shared" si="203"/>
        <v>0</v>
      </c>
      <c r="M112" s="679">
        <f t="shared" si="204"/>
        <v>0</v>
      </c>
      <c r="N112" s="679">
        <f t="shared" si="205"/>
        <v>0</v>
      </c>
      <c r="O112" s="679">
        <f t="shared" si="206"/>
        <v>0</v>
      </c>
      <c r="P112" s="679">
        <f t="shared" si="207"/>
        <v>0</v>
      </c>
      <c r="Q112" s="679">
        <f t="shared" si="208"/>
        <v>0</v>
      </c>
      <c r="R112" s="679">
        <f t="shared" si="209"/>
        <v>0</v>
      </c>
      <c r="S112" s="679">
        <f t="shared" si="212"/>
        <v>0</v>
      </c>
      <c r="U112" s="311">
        <f>'T_Stock_TOTAL_&amp;_City'!U112-'T_Stock_TOTAL_&amp;_City'!V112</f>
        <v>0</v>
      </c>
      <c r="W112" s="519">
        <f t="shared" si="213"/>
        <v>0</v>
      </c>
      <c r="X112" s="519">
        <f t="shared" si="210"/>
        <v>0</v>
      </c>
      <c r="Y112" s="519">
        <f t="shared" si="210"/>
        <v>0</v>
      </c>
      <c r="Z112" s="519">
        <f t="shared" si="210"/>
        <v>0</v>
      </c>
      <c r="AA112" s="519">
        <f t="shared" si="210"/>
        <v>0</v>
      </c>
      <c r="AB112" s="519">
        <f t="shared" si="210"/>
        <v>0</v>
      </c>
      <c r="AC112" s="519">
        <f t="shared" si="210"/>
        <v>0</v>
      </c>
      <c r="AD112" s="519">
        <f t="shared" si="210"/>
        <v>0</v>
      </c>
      <c r="AE112" s="519">
        <f t="shared" si="210"/>
        <v>0</v>
      </c>
      <c r="AF112" s="519">
        <f t="shared" si="210"/>
        <v>0</v>
      </c>
      <c r="AG112" s="519">
        <f t="shared" si="210"/>
        <v>0</v>
      </c>
      <c r="AH112" s="519">
        <f t="shared" si="210"/>
        <v>0</v>
      </c>
      <c r="AI112" s="519">
        <f t="shared" si="210"/>
        <v>0</v>
      </c>
      <c r="AJ112" s="519">
        <f t="shared" si="210"/>
        <v>0</v>
      </c>
      <c r="AK112" s="519">
        <f t="shared" si="210"/>
        <v>0</v>
      </c>
      <c r="AL112" s="531">
        <f t="shared" si="214"/>
        <v>0</v>
      </c>
    </row>
    <row r="113" spans="2:38" hidden="1" x14ac:dyDescent="0.3">
      <c r="B113" s="245" t="str">
        <f>'T_Stock_TOTAL_&amp;_City'!B113</f>
        <v>Hybrid Electric - gasoline</v>
      </c>
      <c r="C113" s="245" t="s">
        <v>365</v>
      </c>
      <c r="D113" s="679">
        <f t="shared" si="211"/>
        <v>0</v>
      </c>
      <c r="E113" s="679">
        <f t="shared" si="196"/>
        <v>0</v>
      </c>
      <c r="F113" s="679">
        <f t="shared" si="197"/>
        <v>0</v>
      </c>
      <c r="G113" s="679">
        <f t="shared" si="198"/>
        <v>0</v>
      </c>
      <c r="H113" s="679">
        <f t="shared" si="199"/>
        <v>0</v>
      </c>
      <c r="I113" s="679">
        <f t="shared" si="200"/>
        <v>0</v>
      </c>
      <c r="J113" s="679">
        <f t="shared" si="201"/>
        <v>0</v>
      </c>
      <c r="K113" s="679">
        <f t="shared" si="202"/>
        <v>0</v>
      </c>
      <c r="L113" s="679">
        <f t="shared" si="203"/>
        <v>0</v>
      </c>
      <c r="M113" s="679">
        <f t="shared" si="204"/>
        <v>0</v>
      </c>
      <c r="N113" s="679">
        <f t="shared" si="205"/>
        <v>0</v>
      </c>
      <c r="O113" s="679">
        <f t="shared" si="206"/>
        <v>0</v>
      </c>
      <c r="P113" s="679">
        <f t="shared" si="207"/>
        <v>0</v>
      </c>
      <c r="Q113" s="679">
        <f t="shared" si="208"/>
        <v>0</v>
      </c>
      <c r="R113" s="679">
        <f t="shared" si="209"/>
        <v>0</v>
      </c>
      <c r="S113" s="679">
        <f t="shared" si="212"/>
        <v>0</v>
      </c>
      <c r="U113" s="311">
        <f>'T_Stock_TOTAL_&amp;_City'!U113-'T_Stock_TOTAL_&amp;_City'!V113</f>
        <v>0</v>
      </c>
      <c r="W113" s="519">
        <f t="shared" si="213"/>
        <v>0</v>
      </c>
      <c r="X113" s="519">
        <f t="shared" si="210"/>
        <v>0</v>
      </c>
      <c r="Y113" s="519">
        <f t="shared" si="210"/>
        <v>0</v>
      </c>
      <c r="Z113" s="519">
        <f t="shared" si="210"/>
        <v>0</v>
      </c>
      <c r="AA113" s="519">
        <f t="shared" si="210"/>
        <v>0</v>
      </c>
      <c r="AB113" s="519">
        <f t="shared" si="210"/>
        <v>0</v>
      </c>
      <c r="AC113" s="519">
        <f t="shared" si="210"/>
        <v>0</v>
      </c>
      <c r="AD113" s="519">
        <f t="shared" si="210"/>
        <v>0</v>
      </c>
      <c r="AE113" s="519">
        <f t="shared" si="210"/>
        <v>0</v>
      </c>
      <c r="AF113" s="519">
        <f t="shared" si="210"/>
        <v>0</v>
      </c>
      <c r="AG113" s="519">
        <f t="shared" si="210"/>
        <v>0</v>
      </c>
      <c r="AH113" s="519">
        <f t="shared" si="210"/>
        <v>0</v>
      </c>
      <c r="AI113" s="519">
        <f t="shared" si="210"/>
        <v>0</v>
      </c>
      <c r="AJ113" s="519">
        <f t="shared" si="210"/>
        <v>0</v>
      </c>
      <c r="AK113" s="519">
        <f t="shared" si="210"/>
        <v>0</v>
      </c>
      <c r="AL113" s="531">
        <f t="shared" si="214"/>
        <v>0</v>
      </c>
    </row>
    <row r="114" spans="2:38" hidden="1" x14ac:dyDescent="0.3">
      <c r="B114" s="245" t="str">
        <f>'T_Stock_TOTAL_&amp;_City'!B114</f>
        <v>LPG</v>
      </c>
      <c r="C114" s="245" t="s">
        <v>366</v>
      </c>
      <c r="D114" s="679">
        <f t="shared" si="211"/>
        <v>0</v>
      </c>
      <c r="E114" s="679">
        <f t="shared" si="196"/>
        <v>0</v>
      </c>
      <c r="F114" s="679">
        <f t="shared" si="197"/>
        <v>0</v>
      </c>
      <c r="G114" s="679">
        <f t="shared" si="198"/>
        <v>0</v>
      </c>
      <c r="H114" s="679">
        <f t="shared" si="199"/>
        <v>0</v>
      </c>
      <c r="I114" s="679">
        <f t="shared" si="200"/>
        <v>0</v>
      </c>
      <c r="J114" s="679">
        <f t="shared" si="201"/>
        <v>0</v>
      </c>
      <c r="K114" s="679">
        <f t="shared" si="202"/>
        <v>0</v>
      </c>
      <c r="L114" s="679">
        <f t="shared" si="203"/>
        <v>0</v>
      </c>
      <c r="M114" s="679">
        <f t="shared" si="204"/>
        <v>0</v>
      </c>
      <c r="N114" s="679">
        <f t="shared" si="205"/>
        <v>0</v>
      </c>
      <c r="O114" s="679">
        <f t="shared" si="206"/>
        <v>0</v>
      </c>
      <c r="P114" s="679">
        <f t="shared" si="207"/>
        <v>0</v>
      </c>
      <c r="Q114" s="679">
        <f t="shared" si="208"/>
        <v>0</v>
      </c>
      <c r="R114" s="679">
        <f t="shared" si="209"/>
        <v>0</v>
      </c>
      <c r="S114" s="679">
        <f t="shared" si="212"/>
        <v>0</v>
      </c>
      <c r="U114" s="311">
        <f>'T_Stock_TOTAL_&amp;_City'!U114-'T_Stock_TOTAL_&amp;_City'!V114</f>
        <v>0</v>
      </c>
      <c r="W114" s="519">
        <f t="shared" si="213"/>
        <v>0</v>
      </c>
      <c r="X114" s="519">
        <f t="shared" si="210"/>
        <v>0</v>
      </c>
      <c r="Y114" s="519">
        <f t="shared" si="210"/>
        <v>0</v>
      </c>
      <c r="Z114" s="519">
        <f t="shared" si="210"/>
        <v>0</v>
      </c>
      <c r="AA114" s="519">
        <f t="shared" si="210"/>
        <v>0</v>
      </c>
      <c r="AB114" s="519">
        <f t="shared" si="210"/>
        <v>0</v>
      </c>
      <c r="AC114" s="519">
        <f t="shared" si="210"/>
        <v>0</v>
      </c>
      <c r="AD114" s="519">
        <f t="shared" si="210"/>
        <v>0</v>
      </c>
      <c r="AE114" s="519">
        <f t="shared" si="210"/>
        <v>0</v>
      </c>
      <c r="AF114" s="519">
        <f t="shared" si="210"/>
        <v>0</v>
      </c>
      <c r="AG114" s="519">
        <f t="shared" si="210"/>
        <v>0</v>
      </c>
      <c r="AH114" s="519">
        <f t="shared" si="210"/>
        <v>0</v>
      </c>
      <c r="AI114" s="519">
        <f t="shared" si="210"/>
        <v>0</v>
      </c>
      <c r="AJ114" s="519">
        <f t="shared" si="210"/>
        <v>0</v>
      </c>
      <c r="AK114" s="519">
        <f t="shared" si="210"/>
        <v>0</v>
      </c>
      <c r="AL114" s="531">
        <f t="shared" si="214"/>
        <v>0</v>
      </c>
    </row>
    <row r="115" spans="2:38" hidden="1" x14ac:dyDescent="0.3">
      <c r="B115" s="245" t="str">
        <f>'T_Stock_TOTAL_&amp;_City'!B115</f>
        <v>Plugin Hybrid Electric - diesel</v>
      </c>
      <c r="C115" s="245" t="s">
        <v>367</v>
      </c>
      <c r="D115" s="679">
        <f t="shared" si="211"/>
        <v>0</v>
      </c>
      <c r="E115" s="679">
        <f t="shared" si="196"/>
        <v>0</v>
      </c>
      <c r="F115" s="679">
        <f t="shared" si="197"/>
        <v>0</v>
      </c>
      <c r="G115" s="679">
        <f t="shared" si="198"/>
        <v>0</v>
      </c>
      <c r="H115" s="679">
        <f t="shared" si="199"/>
        <v>0</v>
      </c>
      <c r="I115" s="679">
        <f t="shared" si="200"/>
        <v>0</v>
      </c>
      <c r="J115" s="679">
        <f t="shared" si="201"/>
        <v>0</v>
      </c>
      <c r="K115" s="679">
        <f t="shared" si="202"/>
        <v>0</v>
      </c>
      <c r="L115" s="679">
        <f t="shared" si="203"/>
        <v>0</v>
      </c>
      <c r="M115" s="679">
        <f t="shared" si="204"/>
        <v>0</v>
      </c>
      <c r="N115" s="679">
        <f t="shared" si="205"/>
        <v>0</v>
      </c>
      <c r="O115" s="679">
        <f t="shared" si="206"/>
        <v>0</v>
      </c>
      <c r="P115" s="679">
        <f t="shared" si="207"/>
        <v>0</v>
      </c>
      <c r="Q115" s="679">
        <f t="shared" si="208"/>
        <v>0</v>
      </c>
      <c r="R115" s="679">
        <f t="shared" si="209"/>
        <v>0</v>
      </c>
      <c r="S115" s="679">
        <f t="shared" si="212"/>
        <v>0</v>
      </c>
      <c r="U115" s="311">
        <f>'T_Stock_TOTAL_&amp;_City'!U115-'T_Stock_TOTAL_&amp;_City'!V115</f>
        <v>0</v>
      </c>
      <c r="W115" s="519">
        <f t="shared" si="213"/>
        <v>0</v>
      </c>
      <c r="X115" s="519">
        <f t="shared" si="210"/>
        <v>0</v>
      </c>
      <c r="Y115" s="519">
        <f t="shared" si="210"/>
        <v>0</v>
      </c>
      <c r="Z115" s="519">
        <f t="shared" si="210"/>
        <v>0</v>
      </c>
      <c r="AA115" s="519">
        <f t="shared" si="210"/>
        <v>0</v>
      </c>
      <c r="AB115" s="519">
        <f t="shared" si="210"/>
        <v>0</v>
      </c>
      <c r="AC115" s="519">
        <f t="shared" si="210"/>
        <v>0</v>
      </c>
      <c r="AD115" s="519">
        <f t="shared" si="210"/>
        <v>0</v>
      </c>
      <c r="AE115" s="519">
        <f t="shared" si="210"/>
        <v>0</v>
      </c>
      <c r="AF115" s="519">
        <f t="shared" si="210"/>
        <v>0</v>
      </c>
      <c r="AG115" s="519">
        <f t="shared" si="210"/>
        <v>0</v>
      </c>
      <c r="AH115" s="519">
        <f t="shared" si="210"/>
        <v>0</v>
      </c>
      <c r="AI115" s="519">
        <f t="shared" si="210"/>
        <v>0</v>
      </c>
      <c r="AJ115" s="519">
        <f t="shared" si="210"/>
        <v>0</v>
      </c>
      <c r="AK115" s="519">
        <f t="shared" si="210"/>
        <v>0</v>
      </c>
      <c r="AL115" s="531">
        <f t="shared" si="214"/>
        <v>0</v>
      </c>
    </row>
    <row r="116" spans="2:38" hidden="1" x14ac:dyDescent="0.3">
      <c r="B116" s="245" t="str">
        <f>'T_Stock_TOTAL_&amp;_City'!B116</f>
        <v>Plugin Hybrid Electric - gasoline</v>
      </c>
      <c r="C116" s="245" t="s">
        <v>368</v>
      </c>
      <c r="D116" s="679">
        <f t="shared" si="211"/>
        <v>0</v>
      </c>
      <c r="E116" s="679">
        <f t="shared" si="196"/>
        <v>0</v>
      </c>
      <c r="F116" s="679">
        <f t="shared" si="197"/>
        <v>0</v>
      </c>
      <c r="G116" s="679">
        <f t="shared" si="198"/>
        <v>0</v>
      </c>
      <c r="H116" s="679">
        <f t="shared" si="199"/>
        <v>0</v>
      </c>
      <c r="I116" s="679">
        <f t="shared" si="200"/>
        <v>0</v>
      </c>
      <c r="J116" s="679">
        <f t="shared" si="201"/>
        <v>0</v>
      </c>
      <c r="K116" s="679">
        <f t="shared" si="202"/>
        <v>0</v>
      </c>
      <c r="L116" s="679">
        <f t="shared" si="203"/>
        <v>0</v>
      </c>
      <c r="M116" s="679">
        <f t="shared" si="204"/>
        <v>0</v>
      </c>
      <c r="N116" s="679">
        <f t="shared" si="205"/>
        <v>0</v>
      </c>
      <c r="O116" s="679">
        <f t="shared" si="206"/>
        <v>0</v>
      </c>
      <c r="P116" s="679">
        <f t="shared" si="207"/>
        <v>0</v>
      </c>
      <c r="Q116" s="679">
        <f t="shared" si="208"/>
        <v>0</v>
      </c>
      <c r="R116" s="679">
        <f t="shared" si="209"/>
        <v>0</v>
      </c>
      <c r="S116" s="679">
        <f t="shared" si="212"/>
        <v>0</v>
      </c>
      <c r="U116" s="311">
        <f>'T_Stock_TOTAL_&amp;_City'!U116-'T_Stock_TOTAL_&amp;_City'!V116</f>
        <v>0</v>
      </c>
      <c r="W116" s="519">
        <f t="shared" si="213"/>
        <v>0</v>
      </c>
      <c r="X116" s="519">
        <f t="shared" si="210"/>
        <v>0</v>
      </c>
      <c r="Y116" s="519">
        <f t="shared" si="210"/>
        <v>0</v>
      </c>
      <c r="Z116" s="519">
        <f t="shared" si="210"/>
        <v>0</v>
      </c>
      <c r="AA116" s="519">
        <f t="shared" si="210"/>
        <v>0</v>
      </c>
      <c r="AB116" s="519">
        <f t="shared" si="210"/>
        <v>0</v>
      </c>
      <c r="AC116" s="519">
        <f t="shared" si="210"/>
        <v>0</v>
      </c>
      <c r="AD116" s="519">
        <f t="shared" si="210"/>
        <v>0</v>
      </c>
      <c r="AE116" s="519">
        <f t="shared" si="210"/>
        <v>0</v>
      </c>
      <c r="AF116" s="519">
        <f t="shared" si="210"/>
        <v>0</v>
      </c>
      <c r="AG116" s="519">
        <f t="shared" si="210"/>
        <v>0</v>
      </c>
      <c r="AH116" s="519">
        <f t="shared" si="210"/>
        <v>0</v>
      </c>
      <c r="AI116" s="519">
        <f t="shared" si="210"/>
        <v>0</v>
      </c>
      <c r="AJ116" s="519">
        <f t="shared" si="210"/>
        <v>0</v>
      </c>
      <c r="AK116" s="519">
        <f t="shared" si="210"/>
        <v>0</v>
      </c>
      <c r="AL116" s="531">
        <f t="shared" si="214"/>
        <v>0</v>
      </c>
    </row>
    <row r="117" spans="2:38" hidden="1" x14ac:dyDescent="0.3">
      <c r="B117" s="250" t="str">
        <f>'T_Stock_TOTAL_&amp;_City'!B117</f>
        <v>Other</v>
      </c>
      <c r="C117" s="250"/>
      <c r="D117" s="444">
        <f t="shared" si="211"/>
        <v>0</v>
      </c>
      <c r="E117" s="444">
        <f t="shared" si="196"/>
        <v>0</v>
      </c>
      <c r="F117" s="444">
        <f t="shared" si="197"/>
        <v>0</v>
      </c>
      <c r="G117" s="444">
        <f t="shared" si="198"/>
        <v>0</v>
      </c>
      <c r="H117" s="444">
        <f t="shared" si="199"/>
        <v>0</v>
      </c>
      <c r="I117" s="444">
        <f t="shared" si="200"/>
        <v>0</v>
      </c>
      <c r="J117" s="444">
        <f t="shared" si="201"/>
        <v>0</v>
      </c>
      <c r="K117" s="444">
        <f t="shared" si="202"/>
        <v>0</v>
      </c>
      <c r="L117" s="444">
        <f t="shared" si="203"/>
        <v>0</v>
      </c>
      <c r="M117" s="444">
        <f t="shared" si="204"/>
        <v>0</v>
      </c>
      <c r="N117" s="444">
        <f t="shared" si="205"/>
        <v>0</v>
      </c>
      <c r="O117" s="444">
        <f t="shared" si="206"/>
        <v>0</v>
      </c>
      <c r="P117" s="444">
        <f t="shared" si="207"/>
        <v>0</v>
      </c>
      <c r="Q117" s="444">
        <f t="shared" si="208"/>
        <v>0</v>
      </c>
      <c r="R117" s="444">
        <f t="shared" si="209"/>
        <v>0</v>
      </c>
      <c r="S117" s="444">
        <f>SUM(D117:R117)</f>
        <v>0</v>
      </c>
      <c r="U117" s="335">
        <f>'T_Stock_TOTAL_&amp;_City'!U117-'T_Stock_TOTAL_&amp;_City'!V117</f>
        <v>0</v>
      </c>
      <c r="W117" s="519">
        <f t="shared" si="213"/>
        <v>0</v>
      </c>
      <c r="X117" s="519">
        <f t="shared" si="210"/>
        <v>0</v>
      </c>
      <c r="Y117" s="519">
        <f t="shared" si="210"/>
        <v>0</v>
      </c>
      <c r="Z117" s="519">
        <f t="shared" si="210"/>
        <v>0</v>
      </c>
      <c r="AA117" s="519">
        <f t="shared" si="210"/>
        <v>0</v>
      </c>
      <c r="AB117" s="519">
        <f t="shared" si="210"/>
        <v>0</v>
      </c>
      <c r="AC117" s="519">
        <f t="shared" si="210"/>
        <v>0</v>
      </c>
      <c r="AD117" s="519">
        <f t="shared" si="210"/>
        <v>0</v>
      </c>
      <c r="AE117" s="519">
        <f t="shared" si="210"/>
        <v>0</v>
      </c>
      <c r="AF117" s="519">
        <f t="shared" si="210"/>
        <v>0</v>
      </c>
      <c r="AG117" s="519">
        <f t="shared" si="210"/>
        <v>0</v>
      </c>
      <c r="AH117" s="519">
        <f t="shared" si="210"/>
        <v>0</v>
      </c>
      <c r="AI117" s="519">
        <f t="shared" si="210"/>
        <v>0</v>
      </c>
      <c r="AJ117" s="519">
        <f t="shared" si="210"/>
        <v>0</v>
      </c>
      <c r="AK117" s="519">
        <f t="shared" si="210"/>
        <v>0</v>
      </c>
      <c r="AL117" s="531">
        <f t="shared" si="214"/>
        <v>0</v>
      </c>
    </row>
    <row r="118" spans="2:38" hidden="1" x14ac:dyDescent="0.3">
      <c r="B118" s="131" t="s">
        <v>119</v>
      </c>
      <c r="C118" s="131"/>
      <c r="D118" s="130">
        <f>SUM(D106:D117)</f>
        <v>0</v>
      </c>
      <c r="E118" s="130">
        <f t="shared" ref="E118" si="215">SUM(E106:E117)</f>
        <v>0</v>
      </c>
      <c r="F118" s="130">
        <f t="shared" ref="F118" si="216">SUM(F106:F117)</f>
        <v>0</v>
      </c>
      <c r="G118" s="130">
        <f t="shared" ref="G118" si="217">SUM(G106:G117)</f>
        <v>0</v>
      </c>
      <c r="H118" s="130">
        <f t="shared" ref="H118" si="218">SUM(H106:H117)</f>
        <v>0</v>
      </c>
      <c r="I118" s="130">
        <f t="shared" ref="I118" si="219">SUM(I106:I117)</f>
        <v>0</v>
      </c>
      <c r="J118" s="130">
        <f t="shared" ref="J118" si="220">SUM(J106:J117)</f>
        <v>0</v>
      </c>
      <c r="K118" s="130">
        <f t="shared" ref="K118" si="221">SUM(K106:K117)</f>
        <v>0</v>
      </c>
      <c r="L118" s="130">
        <f t="shared" ref="L118" si="222">SUM(L106:L117)</f>
        <v>0</v>
      </c>
      <c r="M118" s="130">
        <f t="shared" ref="M118" si="223">SUM(M106:M117)</f>
        <v>0</v>
      </c>
      <c r="N118" s="130">
        <f t="shared" ref="N118" si="224">SUM(N106:N117)</f>
        <v>0</v>
      </c>
      <c r="O118" s="130">
        <f t="shared" ref="O118" si="225">SUM(O106:O117)</f>
        <v>0</v>
      </c>
      <c r="P118" s="130">
        <f t="shared" ref="P118" si="226">SUM(P106:P117)</f>
        <v>0</v>
      </c>
      <c r="Q118" s="130">
        <f t="shared" ref="Q118" si="227">SUM(Q106:Q117)</f>
        <v>0</v>
      </c>
      <c r="R118" s="130">
        <f t="shared" ref="R118" si="228">SUM(R106:R117)</f>
        <v>0</v>
      </c>
      <c r="S118" s="130">
        <f t="shared" ref="S118" si="229">SUM(S106:S117)</f>
        <v>0</v>
      </c>
      <c r="U118" s="130">
        <f>SUM(U107:U116)</f>
        <v>0</v>
      </c>
    </row>
    <row r="119" spans="2:38" hidden="1" x14ac:dyDescent="0.3"/>
    <row r="120" spans="2:38" x14ac:dyDescent="0.3">
      <c r="B120" s="441" t="s">
        <v>150</v>
      </c>
      <c r="C120" s="339"/>
      <c r="W120" s="3" t="s">
        <v>299</v>
      </c>
    </row>
    <row r="121" spans="2:38" x14ac:dyDescent="0.3">
      <c r="B121" s="476" t="s">
        <v>103</v>
      </c>
      <c r="C121" s="264" t="s">
        <v>104</v>
      </c>
      <c r="D121" s="121" t="str">
        <f>D$9</f>
        <v>Z01</v>
      </c>
      <c r="E121" s="121" t="str">
        <f t="shared" ref="E121:R121" si="230">E$9</f>
        <v>Z02</v>
      </c>
      <c r="F121" s="121" t="str">
        <f t="shared" si="230"/>
        <v>Z03</v>
      </c>
      <c r="G121" s="121" t="str">
        <f t="shared" si="230"/>
        <v>Z04</v>
      </c>
      <c r="H121" s="121" t="str">
        <f t="shared" si="230"/>
        <v>Z05</v>
      </c>
      <c r="I121" s="121" t="str">
        <f t="shared" si="230"/>
        <v>Z06</v>
      </c>
      <c r="J121" s="121" t="str">
        <f t="shared" si="230"/>
        <v>Z07</v>
      </c>
      <c r="K121" s="121" t="str">
        <f t="shared" si="230"/>
        <v>Z08</v>
      </c>
      <c r="L121" s="121" t="str">
        <f t="shared" si="230"/>
        <v>Z09</v>
      </c>
      <c r="M121" s="121" t="str">
        <f t="shared" si="230"/>
        <v>Z10</v>
      </c>
      <c r="N121" s="121" t="str">
        <f t="shared" si="230"/>
        <v>Z11</v>
      </c>
      <c r="O121" s="121" t="str">
        <f t="shared" si="230"/>
        <v>Z12</v>
      </c>
      <c r="P121" s="121" t="str">
        <f t="shared" si="230"/>
        <v>Z13</v>
      </c>
      <c r="Q121" s="121" t="str">
        <f t="shared" si="230"/>
        <v>Z14</v>
      </c>
      <c r="R121" s="121" t="str">
        <f t="shared" si="230"/>
        <v>Z15</v>
      </c>
      <c r="S121" s="121" t="s">
        <v>100</v>
      </c>
      <c r="U121" s="17" t="str">
        <f>U$9</f>
        <v>Private stock</v>
      </c>
      <c r="W121" s="121" t="str">
        <f t="shared" ref="W121:AK121" si="231">D121</f>
        <v>Z01</v>
      </c>
      <c r="X121" s="121" t="str">
        <f t="shared" si="231"/>
        <v>Z02</v>
      </c>
      <c r="Y121" s="121" t="str">
        <f t="shared" si="231"/>
        <v>Z03</v>
      </c>
      <c r="Z121" s="121" t="str">
        <f t="shared" si="231"/>
        <v>Z04</v>
      </c>
      <c r="AA121" s="121" t="str">
        <f t="shared" si="231"/>
        <v>Z05</v>
      </c>
      <c r="AB121" s="121" t="str">
        <f t="shared" si="231"/>
        <v>Z06</v>
      </c>
      <c r="AC121" s="121" t="str">
        <f t="shared" si="231"/>
        <v>Z07</v>
      </c>
      <c r="AD121" s="121" t="str">
        <f t="shared" si="231"/>
        <v>Z08</v>
      </c>
      <c r="AE121" s="121" t="str">
        <f t="shared" si="231"/>
        <v>Z09</v>
      </c>
      <c r="AF121" s="121" t="str">
        <f t="shared" si="231"/>
        <v>Z10</v>
      </c>
      <c r="AG121" s="121" t="str">
        <f t="shared" si="231"/>
        <v>Z11</v>
      </c>
      <c r="AH121" s="121" t="str">
        <f t="shared" si="231"/>
        <v>Z12</v>
      </c>
      <c r="AI121" s="121" t="str">
        <f t="shared" si="231"/>
        <v>Z13</v>
      </c>
      <c r="AJ121" s="121" t="str">
        <f t="shared" si="231"/>
        <v>Z14</v>
      </c>
      <c r="AK121" s="121" t="str">
        <f t="shared" si="231"/>
        <v>Z15</v>
      </c>
      <c r="AL121" s="121" t="s">
        <v>100</v>
      </c>
    </row>
    <row r="122" spans="2:38" x14ac:dyDescent="0.3">
      <c r="B122" s="245" t="str">
        <f>'T_Stock_TOTAL_&amp;_City'!B122</f>
        <v>Biodiesel</v>
      </c>
      <c r="C122" s="286" t="s">
        <v>369</v>
      </c>
      <c r="D122" s="940">
        <f>13617/2</f>
        <v>6808.5</v>
      </c>
      <c r="E122" s="797"/>
      <c r="F122" s="797"/>
      <c r="G122" s="797"/>
      <c r="H122" s="797"/>
      <c r="I122" s="797"/>
      <c r="J122" s="797"/>
      <c r="K122" s="797"/>
      <c r="L122" s="797"/>
      <c r="M122" s="797"/>
      <c r="N122" s="797"/>
      <c r="O122" s="797"/>
      <c r="P122" s="797"/>
      <c r="Q122" s="797"/>
      <c r="R122" s="797"/>
      <c r="S122" s="679">
        <f>SUM(D122:R122)</f>
        <v>6808.5</v>
      </c>
      <c r="U122" s="311">
        <f>'T_Stock_TOTAL_&amp;_City'!U122-'T_Stock_TOTAL_&amp;_City'!V122</f>
        <v>0</v>
      </c>
      <c r="W122" s="908">
        <f>W$6</f>
        <v>0</v>
      </c>
      <c r="X122" s="908">
        <f t="shared" ref="X122:AK133" si="232">X$6</f>
        <v>0</v>
      </c>
      <c r="Y122" s="908">
        <f t="shared" si="232"/>
        <v>0</v>
      </c>
      <c r="Z122" s="908">
        <f t="shared" si="232"/>
        <v>0</v>
      </c>
      <c r="AA122" s="908">
        <f t="shared" si="232"/>
        <v>0</v>
      </c>
      <c r="AB122" s="908">
        <f t="shared" si="232"/>
        <v>0</v>
      </c>
      <c r="AC122" s="908">
        <f t="shared" si="232"/>
        <v>0</v>
      </c>
      <c r="AD122" s="908">
        <f t="shared" si="232"/>
        <v>0</v>
      </c>
      <c r="AE122" s="908">
        <f t="shared" si="232"/>
        <v>0</v>
      </c>
      <c r="AF122" s="908">
        <f t="shared" si="232"/>
        <v>0</v>
      </c>
      <c r="AG122" s="908">
        <f t="shared" si="232"/>
        <v>0</v>
      </c>
      <c r="AH122" s="908">
        <f t="shared" si="232"/>
        <v>0</v>
      </c>
      <c r="AI122" s="908">
        <f t="shared" si="232"/>
        <v>0</v>
      </c>
      <c r="AJ122" s="908">
        <f t="shared" si="232"/>
        <v>0</v>
      </c>
      <c r="AK122" s="908">
        <f t="shared" si="232"/>
        <v>0</v>
      </c>
      <c r="AL122" s="531">
        <f>SUM(W122:AK122)</f>
        <v>0</v>
      </c>
    </row>
    <row r="123" spans="2:38" x14ac:dyDescent="0.3">
      <c r="B123" s="245" t="str">
        <f>'T_Stock_TOTAL_&amp;_City'!B123</f>
        <v>Diesel</v>
      </c>
      <c r="C123" s="286" t="s">
        <v>370</v>
      </c>
      <c r="D123" s="940">
        <f>13617/2</f>
        <v>6808.5</v>
      </c>
      <c r="E123" s="797"/>
      <c r="F123" s="797"/>
      <c r="G123" s="797"/>
      <c r="H123" s="797"/>
      <c r="I123" s="797"/>
      <c r="J123" s="797"/>
      <c r="K123" s="797"/>
      <c r="L123" s="797"/>
      <c r="M123" s="797"/>
      <c r="N123" s="797"/>
      <c r="O123" s="797"/>
      <c r="P123" s="797"/>
      <c r="Q123" s="797"/>
      <c r="R123" s="797"/>
      <c r="S123" s="679">
        <f t="shared" ref="S123:S132" si="233">SUM(D123:R123)</f>
        <v>6808.5</v>
      </c>
      <c r="U123" s="311">
        <f>'T_Stock_TOTAL_&amp;_City'!U123-'T_Stock_TOTAL_&amp;_City'!V123</f>
        <v>0</v>
      </c>
      <c r="W123" s="908">
        <f t="shared" ref="W123:W133" si="234">W$6</f>
        <v>0</v>
      </c>
      <c r="X123" s="908">
        <f t="shared" si="232"/>
        <v>0</v>
      </c>
      <c r="Y123" s="908">
        <f t="shared" si="232"/>
        <v>0</v>
      </c>
      <c r="Z123" s="908">
        <f t="shared" si="232"/>
        <v>0</v>
      </c>
      <c r="AA123" s="908">
        <f t="shared" si="232"/>
        <v>0</v>
      </c>
      <c r="AB123" s="908">
        <f t="shared" si="232"/>
        <v>0</v>
      </c>
      <c r="AC123" s="908">
        <f t="shared" si="232"/>
        <v>0</v>
      </c>
      <c r="AD123" s="908">
        <f t="shared" si="232"/>
        <v>0</v>
      </c>
      <c r="AE123" s="908">
        <f t="shared" si="232"/>
        <v>0</v>
      </c>
      <c r="AF123" s="908">
        <f t="shared" si="232"/>
        <v>0</v>
      </c>
      <c r="AG123" s="908">
        <f t="shared" si="232"/>
        <v>0</v>
      </c>
      <c r="AH123" s="908">
        <f t="shared" si="232"/>
        <v>0</v>
      </c>
      <c r="AI123" s="908">
        <f t="shared" si="232"/>
        <v>0</v>
      </c>
      <c r="AJ123" s="908">
        <f t="shared" si="232"/>
        <v>0</v>
      </c>
      <c r="AK123" s="908">
        <f t="shared" si="232"/>
        <v>0</v>
      </c>
      <c r="AL123" s="531">
        <f t="shared" ref="AL123:AL133" si="235">SUM(W123:AK123)</f>
        <v>0</v>
      </c>
    </row>
    <row r="124" spans="2:38" x14ac:dyDescent="0.3">
      <c r="B124" s="245" t="str">
        <f>'T_Stock_TOTAL_&amp;_City'!B124</f>
        <v>Battery electric (BEV)</v>
      </c>
      <c r="C124" s="286" t="s">
        <v>371</v>
      </c>
      <c r="D124" s="940">
        <v>3</v>
      </c>
      <c r="E124" s="797"/>
      <c r="F124" s="797"/>
      <c r="G124" s="797"/>
      <c r="H124" s="797"/>
      <c r="I124" s="797"/>
      <c r="J124" s="797"/>
      <c r="K124" s="797"/>
      <c r="L124" s="797"/>
      <c r="M124" s="797"/>
      <c r="N124" s="797"/>
      <c r="O124" s="797"/>
      <c r="P124" s="797"/>
      <c r="Q124" s="797"/>
      <c r="R124" s="797"/>
      <c r="S124" s="679">
        <f t="shared" si="233"/>
        <v>3</v>
      </c>
      <c r="U124" s="311">
        <f>'T_Stock_TOTAL_&amp;_City'!U124-'T_Stock_TOTAL_&amp;_City'!V124</f>
        <v>0</v>
      </c>
      <c r="W124" s="908">
        <f t="shared" si="234"/>
        <v>0</v>
      </c>
      <c r="X124" s="908">
        <f t="shared" si="232"/>
        <v>0</v>
      </c>
      <c r="Y124" s="908">
        <f t="shared" si="232"/>
        <v>0</v>
      </c>
      <c r="Z124" s="908">
        <f t="shared" si="232"/>
        <v>0</v>
      </c>
      <c r="AA124" s="908">
        <f t="shared" si="232"/>
        <v>0</v>
      </c>
      <c r="AB124" s="908">
        <f t="shared" si="232"/>
        <v>0</v>
      </c>
      <c r="AC124" s="908">
        <f t="shared" si="232"/>
        <v>0</v>
      </c>
      <c r="AD124" s="908">
        <f t="shared" si="232"/>
        <v>0</v>
      </c>
      <c r="AE124" s="908">
        <f t="shared" si="232"/>
        <v>0</v>
      </c>
      <c r="AF124" s="908">
        <f t="shared" si="232"/>
        <v>0</v>
      </c>
      <c r="AG124" s="908">
        <f t="shared" si="232"/>
        <v>0</v>
      </c>
      <c r="AH124" s="908">
        <f t="shared" si="232"/>
        <v>0</v>
      </c>
      <c r="AI124" s="908">
        <f t="shared" si="232"/>
        <v>0</v>
      </c>
      <c r="AJ124" s="908">
        <f t="shared" si="232"/>
        <v>0</v>
      </c>
      <c r="AK124" s="908">
        <f t="shared" si="232"/>
        <v>0</v>
      </c>
      <c r="AL124" s="531">
        <f t="shared" si="235"/>
        <v>0</v>
      </c>
    </row>
    <row r="125" spans="2:38" x14ac:dyDescent="0.3">
      <c r="B125" s="245" t="str">
        <f>'T_Stock_TOTAL_&amp;_City'!B125</f>
        <v>Ethanol</v>
      </c>
      <c r="C125" s="286" t="s">
        <v>372</v>
      </c>
      <c r="D125" s="940">
        <v>60</v>
      </c>
      <c r="E125" s="797"/>
      <c r="F125" s="797"/>
      <c r="G125" s="797"/>
      <c r="H125" s="797"/>
      <c r="I125" s="797"/>
      <c r="J125" s="797"/>
      <c r="K125" s="797"/>
      <c r="L125" s="797"/>
      <c r="M125" s="797"/>
      <c r="N125" s="797"/>
      <c r="O125" s="797"/>
      <c r="P125" s="797"/>
      <c r="Q125" s="797"/>
      <c r="R125" s="797"/>
      <c r="S125" s="679">
        <f t="shared" si="233"/>
        <v>60</v>
      </c>
      <c r="U125" s="311">
        <f>'T_Stock_TOTAL_&amp;_City'!U125-'T_Stock_TOTAL_&amp;_City'!V125</f>
        <v>0</v>
      </c>
      <c r="W125" s="908">
        <f t="shared" si="234"/>
        <v>0</v>
      </c>
      <c r="X125" s="908">
        <f t="shared" si="232"/>
        <v>0</v>
      </c>
      <c r="Y125" s="908">
        <f t="shared" si="232"/>
        <v>0</v>
      </c>
      <c r="Z125" s="908">
        <f t="shared" si="232"/>
        <v>0</v>
      </c>
      <c r="AA125" s="908">
        <f t="shared" si="232"/>
        <v>0</v>
      </c>
      <c r="AB125" s="908">
        <f t="shared" si="232"/>
        <v>0</v>
      </c>
      <c r="AC125" s="908">
        <f t="shared" si="232"/>
        <v>0</v>
      </c>
      <c r="AD125" s="908">
        <f t="shared" si="232"/>
        <v>0</v>
      </c>
      <c r="AE125" s="908">
        <f t="shared" si="232"/>
        <v>0</v>
      </c>
      <c r="AF125" s="908">
        <f t="shared" si="232"/>
        <v>0</v>
      </c>
      <c r="AG125" s="908">
        <f t="shared" si="232"/>
        <v>0</v>
      </c>
      <c r="AH125" s="908">
        <f t="shared" si="232"/>
        <v>0</v>
      </c>
      <c r="AI125" s="908">
        <f t="shared" si="232"/>
        <v>0</v>
      </c>
      <c r="AJ125" s="908">
        <f t="shared" si="232"/>
        <v>0</v>
      </c>
      <c r="AK125" s="908">
        <f t="shared" si="232"/>
        <v>0</v>
      </c>
      <c r="AL125" s="531">
        <f t="shared" si="235"/>
        <v>0</v>
      </c>
    </row>
    <row r="126" spans="2:38" x14ac:dyDescent="0.3">
      <c r="B126" s="245" t="str">
        <f>'T_Stock_TOTAL_&amp;_City'!B126</f>
        <v>Gas (CNG)</v>
      </c>
      <c r="C126" s="286" t="s">
        <v>373</v>
      </c>
      <c r="D126" s="940">
        <v>301</v>
      </c>
      <c r="E126" s="797"/>
      <c r="F126" s="797"/>
      <c r="G126" s="797"/>
      <c r="H126" s="797"/>
      <c r="I126" s="797"/>
      <c r="J126" s="797"/>
      <c r="K126" s="797"/>
      <c r="L126" s="797"/>
      <c r="M126" s="797"/>
      <c r="N126" s="797"/>
      <c r="O126" s="797"/>
      <c r="P126" s="797"/>
      <c r="Q126" s="797"/>
      <c r="R126" s="797"/>
      <c r="S126" s="679">
        <f t="shared" si="233"/>
        <v>301</v>
      </c>
      <c r="U126" s="311">
        <f>'T_Stock_TOTAL_&amp;_City'!U126-'T_Stock_TOTAL_&amp;_City'!V126</f>
        <v>0</v>
      </c>
      <c r="W126" s="908">
        <f t="shared" si="234"/>
        <v>0</v>
      </c>
      <c r="X126" s="908">
        <f t="shared" si="232"/>
        <v>0</v>
      </c>
      <c r="Y126" s="908">
        <f t="shared" si="232"/>
        <v>0</v>
      </c>
      <c r="Z126" s="908">
        <f t="shared" si="232"/>
        <v>0</v>
      </c>
      <c r="AA126" s="908">
        <f t="shared" si="232"/>
        <v>0</v>
      </c>
      <c r="AB126" s="908">
        <f t="shared" si="232"/>
        <v>0</v>
      </c>
      <c r="AC126" s="908">
        <f t="shared" si="232"/>
        <v>0</v>
      </c>
      <c r="AD126" s="908">
        <f t="shared" si="232"/>
        <v>0</v>
      </c>
      <c r="AE126" s="908">
        <f t="shared" si="232"/>
        <v>0</v>
      </c>
      <c r="AF126" s="908">
        <f t="shared" si="232"/>
        <v>0</v>
      </c>
      <c r="AG126" s="908">
        <f t="shared" si="232"/>
        <v>0</v>
      </c>
      <c r="AH126" s="908">
        <f t="shared" si="232"/>
        <v>0</v>
      </c>
      <c r="AI126" s="908">
        <f t="shared" si="232"/>
        <v>0</v>
      </c>
      <c r="AJ126" s="908">
        <f t="shared" si="232"/>
        <v>0</v>
      </c>
      <c r="AK126" s="908">
        <f t="shared" si="232"/>
        <v>0</v>
      </c>
      <c r="AL126" s="531">
        <f t="shared" si="235"/>
        <v>0</v>
      </c>
    </row>
    <row r="127" spans="2:38" x14ac:dyDescent="0.3">
      <c r="B127" s="245" t="str">
        <f>'T_Stock_TOTAL_&amp;_City'!B127</f>
        <v>Gasoline</v>
      </c>
      <c r="C127" s="286" t="s">
        <v>374</v>
      </c>
      <c r="D127" s="940">
        <v>165</v>
      </c>
      <c r="E127" s="797"/>
      <c r="F127" s="797"/>
      <c r="G127" s="797"/>
      <c r="H127" s="797"/>
      <c r="I127" s="797"/>
      <c r="J127" s="797"/>
      <c r="K127" s="797"/>
      <c r="L127" s="797"/>
      <c r="M127" s="797"/>
      <c r="N127" s="797"/>
      <c r="O127" s="797"/>
      <c r="P127" s="797"/>
      <c r="Q127" s="797"/>
      <c r="R127" s="797"/>
      <c r="S127" s="679">
        <f t="shared" si="233"/>
        <v>165</v>
      </c>
      <c r="U127" s="311">
        <f>'T_Stock_TOTAL_&amp;_City'!U127-'T_Stock_TOTAL_&amp;_City'!V127</f>
        <v>0</v>
      </c>
      <c r="W127" s="908">
        <f t="shared" si="234"/>
        <v>0</v>
      </c>
      <c r="X127" s="908">
        <f t="shared" si="232"/>
        <v>0</v>
      </c>
      <c r="Y127" s="908">
        <f t="shared" si="232"/>
        <v>0</v>
      </c>
      <c r="Z127" s="908">
        <f t="shared" si="232"/>
        <v>0</v>
      </c>
      <c r="AA127" s="908">
        <f t="shared" si="232"/>
        <v>0</v>
      </c>
      <c r="AB127" s="908">
        <f t="shared" si="232"/>
        <v>0</v>
      </c>
      <c r="AC127" s="908">
        <f t="shared" si="232"/>
        <v>0</v>
      </c>
      <c r="AD127" s="908">
        <f t="shared" si="232"/>
        <v>0</v>
      </c>
      <c r="AE127" s="908">
        <f t="shared" si="232"/>
        <v>0</v>
      </c>
      <c r="AF127" s="908">
        <f t="shared" si="232"/>
        <v>0</v>
      </c>
      <c r="AG127" s="908">
        <f t="shared" si="232"/>
        <v>0</v>
      </c>
      <c r="AH127" s="908">
        <f t="shared" si="232"/>
        <v>0</v>
      </c>
      <c r="AI127" s="908">
        <f t="shared" si="232"/>
        <v>0</v>
      </c>
      <c r="AJ127" s="908">
        <f t="shared" si="232"/>
        <v>0</v>
      </c>
      <c r="AK127" s="908">
        <f t="shared" si="232"/>
        <v>0</v>
      </c>
      <c r="AL127" s="531">
        <f t="shared" si="235"/>
        <v>0</v>
      </c>
    </row>
    <row r="128" spans="2:38" x14ac:dyDescent="0.3">
      <c r="B128" s="245" t="str">
        <f>'T_Stock_TOTAL_&amp;_City'!B128</f>
        <v>Hybrid Electric - diesel</v>
      </c>
      <c r="C128" s="286" t="s">
        <v>375</v>
      </c>
      <c r="D128" s="940">
        <v>8</v>
      </c>
      <c r="E128" s="797"/>
      <c r="F128" s="797"/>
      <c r="G128" s="797"/>
      <c r="H128" s="797"/>
      <c r="I128" s="797"/>
      <c r="J128" s="797"/>
      <c r="K128" s="797"/>
      <c r="L128" s="797"/>
      <c r="M128" s="797"/>
      <c r="N128" s="797"/>
      <c r="O128" s="797"/>
      <c r="P128" s="797"/>
      <c r="Q128" s="797"/>
      <c r="R128" s="797"/>
      <c r="S128" s="679">
        <f t="shared" si="233"/>
        <v>8</v>
      </c>
      <c r="U128" s="311">
        <f>'T_Stock_TOTAL_&amp;_City'!U128-'T_Stock_TOTAL_&amp;_City'!V128</f>
        <v>0</v>
      </c>
      <c r="W128" s="908">
        <f t="shared" si="234"/>
        <v>0</v>
      </c>
      <c r="X128" s="908">
        <f t="shared" si="232"/>
        <v>0</v>
      </c>
      <c r="Y128" s="908">
        <f t="shared" si="232"/>
        <v>0</v>
      </c>
      <c r="Z128" s="908">
        <f t="shared" si="232"/>
        <v>0</v>
      </c>
      <c r="AA128" s="908">
        <f t="shared" si="232"/>
        <v>0</v>
      </c>
      <c r="AB128" s="908">
        <f t="shared" si="232"/>
        <v>0</v>
      </c>
      <c r="AC128" s="908">
        <f t="shared" si="232"/>
        <v>0</v>
      </c>
      <c r="AD128" s="908">
        <f t="shared" si="232"/>
        <v>0</v>
      </c>
      <c r="AE128" s="908">
        <f t="shared" si="232"/>
        <v>0</v>
      </c>
      <c r="AF128" s="908">
        <f t="shared" si="232"/>
        <v>0</v>
      </c>
      <c r="AG128" s="908">
        <f t="shared" si="232"/>
        <v>0</v>
      </c>
      <c r="AH128" s="908">
        <f t="shared" si="232"/>
        <v>0</v>
      </c>
      <c r="AI128" s="908">
        <f t="shared" si="232"/>
        <v>0</v>
      </c>
      <c r="AJ128" s="908">
        <f t="shared" si="232"/>
        <v>0</v>
      </c>
      <c r="AK128" s="908">
        <f t="shared" si="232"/>
        <v>0</v>
      </c>
      <c r="AL128" s="531">
        <f t="shared" si="235"/>
        <v>0</v>
      </c>
    </row>
    <row r="129" spans="2:38" x14ac:dyDescent="0.3">
      <c r="B129" s="245" t="str">
        <f>'T_Stock_TOTAL_&amp;_City'!B129</f>
        <v>Hybrid Electric - gasoline</v>
      </c>
      <c r="C129" s="286" t="s">
        <v>376</v>
      </c>
      <c r="D129" s="940">
        <v>7</v>
      </c>
      <c r="E129" s="797"/>
      <c r="F129" s="797"/>
      <c r="G129" s="797"/>
      <c r="H129" s="797"/>
      <c r="I129" s="797"/>
      <c r="J129" s="797"/>
      <c r="K129" s="797"/>
      <c r="L129" s="797"/>
      <c r="M129" s="797"/>
      <c r="N129" s="797"/>
      <c r="O129" s="797"/>
      <c r="P129" s="797"/>
      <c r="Q129" s="797"/>
      <c r="R129" s="797"/>
      <c r="S129" s="679">
        <f t="shared" si="233"/>
        <v>7</v>
      </c>
      <c r="U129" s="311">
        <f>'T_Stock_TOTAL_&amp;_City'!U129-'T_Stock_TOTAL_&amp;_City'!V129</f>
        <v>0</v>
      </c>
      <c r="W129" s="908">
        <f t="shared" si="234"/>
        <v>0</v>
      </c>
      <c r="X129" s="908">
        <f t="shared" si="232"/>
        <v>0</v>
      </c>
      <c r="Y129" s="908">
        <f t="shared" si="232"/>
        <v>0</v>
      </c>
      <c r="Z129" s="908">
        <f t="shared" si="232"/>
        <v>0</v>
      </c>
      <c r="AA129" s="908">
        <f t="shared" si="232"/>
        <v>0</v>
      </c>
      <c r="AB129" s="908">
        <f t="shared" si="232"/>
        <v>0</v>
      </c>
      <c r="AC129" s="908">
        <f t="shared" si="232"/>
        <v>0</v>
      </c>
      <c r="AD129" s="908">
        <f t="shared" si="232"/>
        <v>0</v>
      </c>
      <c r="AE129" s="908">
        <f t="shared" si="232"/>
        <v>0</v>
      </c>
      <c r="AF129" s="908">
        <f t="shared" si="232"/>
        <v>0</v>
      </c>
      <c r="AG129" s="908">
        <f t="shared" si="232"/>
        <v>0</v>
      </c>
      <c r="AH129" s="908">
        <f t="shared" si="232"/>
        <v>0</v>
      </c>
      <c r="AI129" s="908">
        <f t="shared" si="232"/>
        <v>0</v>
      </c>
      <c r="AJ129" s="908">
        <f t="shared" si="232"/>
        <v>0</v>
      </c>
      <c r="AK129" s="908">
        <f t="shared" si="232"/>
        <v>0</v>
      </c>
      <c r="AL129" s="531">
        <f t="shared" si="235"/>
        <v>0</v>
      </c>
    </row>
    <row r="130" spans="2:38" x14ac:dyDescent="0.3">
      <c r="B130" s="245" t="str">
        <f>'T_Stock_TOTAL_&amp;_City'!B130</f>
        <v>LPG</v>
      </c>
      <c r="C130" s="286" t="s">
        <v>377</v>
      </c>
      <c r="D130" s="940">
        <f t="shared" ref="D130:D132" si="236">$U130*W130</f>
        <v>0</v>
      </c>
      <c r="E130" s="797"/>
      <c r="F130" s="797"/>
      <c r="G130" s="797"/>
      <c r="H130" s="797"/>
      <c r="I130" s="797"/>
      <c r="J130" s="797"/>
      <c r="K130" s="797"/>
      <c r="L130" s="797"/>
      <c r="M130" s="797"/>
      <c r="N130" s="797"/>
      <c r="O130" s="797"/>
      <c r="P130" s="797"/>
      <c r="Q130" s="797"/>
      <c r="R130" s="797"/>
      <c r="S130" s="679">
        <f t="shared" si="233"/>
        <v>0</v>
      </c>
      <c r="U130" s="311">
        <f>'T_Stock_TOTAL_&amp;_City'!U130-'T_Stock_TOTAL_&amp;_City'!V130</f>
        <v>0</v>
      </c>
      <c r="W130" s="908">
        <f t="shared" si="234"/>
        <v>0</v>
      </c>
      <c r="X130" s="908">
        <f t="shared" si="232"/>
        <v>0</v>
      </c>
      <c r="Y130" s="908">
        <f t="shared" si="232"/>
        <v>0</v>
      </c>
      <c r="Z130" s="908">
        <f t="shared" si="232"/>
        <v>0</v>
      </c>
      <c r="AA130" s="908">
        <f t="shared" si="232"/>
        <v>0</v>
      </c>
      <c r="AB130" s="908">
        <f t="shared" si="232"/>
        <v>0</v>
      </c>
      <c r="AC130" s="908">
        <f t="shared" si="232"/>
        <v>0</v>
      </c>
      <c r="AD130" s="908">
        <f t="shared" si="232"/>
        <v>0</v>
      </c>
      <c r="AE130" s="908">
        <f t="shared" si="232"/>
        <v>0</v>
      </c>
      <c r="AF130" s="908">
        <f t="shared" si="232"/>
        <v>0</v>
      </c>
      <c r="AG130" s="908">
        <f t="shared" si="232"/>
        <v>0</v>
      </c>
      <c r="AH130" s="908">
        <f t="shared" si="232"/>
        <v>0</v>
      </c>
      <c r="AI130" s="908">
        <f t="shared" si="232"/>
        <v>0</v>
      </c>
      <c r="AJ130" s="908">
        <f t="shared" si="232"/>
        <v>0</v>
      </c>
      <c r="AK130" s="908">
        <f t="shared" si="232"/>
        <v>0</v>
      </c>
      <c r="AL130" s="531">
        <f t="shared" si="235"/>
        <v>0</v>
      </c>
    </row>
    <row r="131" spans="2:38" x14ac:dyDescent="0.3">
      <c r="B131" s="245" t="str">
        <f>'T_Stock_TOTAL_&amp;_City'!B131</f>
        <v>Plugin Hybrid Electric - diesel</v>
      </c>
      <c r="C131" s="286" t="s">
        <v>378</v>
      </c>
      <c r="D131" s="940">
        <f t="shared" si="236"/>
        <v>0</v>
      </c>
      <c r="E131" s="797"/>
      <c r="F131" s="797"/>
      <c r="G131" s="797"/>
      <c r="H131" s="797"/>
      <c r="I131" s="797"/>
      <c r="J131" s="797"/>
      <c r="K131" s="797"/>
      <c r="L131" s="797"/>
      <c r="M131" s="797"/>
      <c r="N131" s="797"/>
      <c r="O131" s="797"/>
      <c r="P131" s="797"/>
      <c r="Q131" s="797"/>
      <c r="R131" s="797"/>
      <c r="S131" s="679">
        <f t="shared" si="233"/>
        <v>0</v>
      </c>
      <c r="U131" s="311">
        <f>'T_Stock_TOTAL_&amp;_City'!U131-'T_Stock_TOTAL_&amp;_City'!V131</f>
        <v>0</v>
      </c>
      <c r="W131" s="908">
        <f t="shared" si="234"/>
        <v>0</v>
      </c>
      <c r="X131" s="908">
        <f t="shared" si="232"/>
        <v>0</v>
      </c>
      <c r="Y131" s="908">
        <f t="shared" si="232"/>
        <v>0</v>
      </c>
      <c r="Z131" s="908">
        <f t="shared" si="232"/>
        <v>0</v>
      </c>
      <c r="AA131" s="908">
        <f t="shared" si="232"/>
        <v>0</v>
      </c>
      <c r="AB131" s="908">
        <f t="shared" si="232"/>
        <v>0</v>
      </c>
      <c r="AC131" s="908">
        <f t="shared" si="232"/>
        <v>0</v>
      </c>
      <c r="AD131" s="908">
        <f t="shared" si="232"/>
        <v>0</v>
      </c>
      <c r="AE131" s="908">
        <f t="shared" si="232"/>
        <v>0</v>
      </c>
      <c r="AF131" s="908">
        <f t="shared" si="232"/>
        <v>0</v>
      </c>
      <c r="AG131" s="908">
        <f t="shared" si="232"/>
        <v>0</v>
      </c>
      <c r="AH131" s="908">
        <f t="shared" si="232"/>
        <v>0</v>
      </c>
      <c r="AI131" s="908">
        <f t="shared" si="232"/>
        <v>0</v>
      </c>
      <c r="AJ131" s="908">
        <f t="shared" si="232"/>
        <v>0</v>
      </c>
      <c r="AK131" s="908">
        <f t="shared" si="232"/>
        <v>0</v>
      </c>
      <c r="AL131" s="531">
        <f t="shared" si="235"/>
        <v>0</v>
      </c>
    </row>
    <row r="132" spans="2:38" x14ac:dyDescent="0.3">
      <c r="B132" s="245" t="str">
        <f>'T_Stock_TOTAL_&amp;_City'!B132</f>
        <v>Plugin Hybrid Electric - gasoline</v>
      </c>
      <c r="C132" s="286" t="s">
        <v>379</v>
      </c>
      <c r="D132" s="940">
        <f t="shared" si="236"/>
        <v>0</v>
      </c>
      <c r="E132" s="797"/>
      <c r="F132" s="797"/>
      <c r="G132" s="797"/>
      <c r="H132" s="797"/>
      <c r="I132" s="797"/>
      <c r="J132" s="797"/>
      <c r="K132" s="797"/>
      <c r="L132" s="797"/>
      <c r="M132" s="797"/>
      <c r="N132" s="797"/>
      <c r="O132" s="797"/>
      <c r="P132" s="797"/>
      <c r="Q132" s="797"/>
      <c r="R132" s="797"/>
      <c r="S132" s="679">
        <f t="shared" si="233"/>
        <v>0</v>
      </c>
      <c r="U132" s="311">
        <f>'T_Stock_TOTAL_&amp;_City'!U132-'T_Stock_TOTAL_&amp;_City'!V132</f>
        <v>0</v>
      </c>
      <c r="W132" s="908">
        <f t="shared" si="234"/>
        <v>0</v>
      </c>
      <c r="X132" s="908">
        <f t="shared" si="232"/>
        <v>0</v>
      </c>
      <c r="Y132" s="908">
        <f t="shared" si="232"/>
        <v>0</v>
      </c>
      <c r="Z132" s="908">
        <f t="shared" si="232"/>
        <v>0</v>
      </c>
      <c r="AA132" s="908">
        <f t="shared" si="232"/>
        <v>0</v>
      </c>
      <c r="AB132" s="908">
        <f t="shared" si="232"/>
        <v>0</v>
      </c>
      <c r="AC132" s="908">
        <f t="shared" si="232"/>
        <v>0</v>
      </c>
      <c r="AD132" s="908">
        <f t="shared" si="232"/>
        <v>0</v>
      </c>
      <c r="AE132" s="908">
        <f t="shared" si="232"/>
        <v>0</v>
      </c>
      <c r="AF132" s="908">
        <f t="shared" si="232"/>
        <v>0</v>
      </c>
      <c r="AG132" s="908">
        <f t="shared" si="232"/>
        <v>0</v>
      </c>
      <c r="AH132" s="908">
        <f t="shared" si="232"/>
        <v>0</v>
      </c>
      <c r="AI132" s="908">
        <f t="shared" si="232"/>
        <v>0</v>
      </c>
      <c r="AJ132" s="908">
        <f t="shared" si="232"/>
        <v>0</v>
      </c>
      <c r="AK132" s="908">
        <f t="shared" si="232"/>
        <v>0</v>
      </c>
      <c r="AL132" s="531">
        <f t="shared" si="235"/>
        <v>0</v>
      </c>
    </row>
    <row r="133" spans="2:38" x14ac:dyDescent="0.3">
      <c r="B133" s="250" t="str">
        <f>'T_Stock_TOTAL_&amp;_City'!B133</f>
        <v>Other</v>
      </c>
      <c r="C133" s="250"/>
      <c r="D133" s="444">
        <f t="shared" ref="D133" si="237">$U133*W133</f>
        <v>0</v>
      </c>
      <c r="E133" s="444">
        <f t="shared" ref="E133" si="238">$U133*X133</f>
        <v>0</v>
      </c>
      <c r="F133" s="444">
        <f t="shared" ref="F133" si="239">$U133*Y133</f>
        <v>0</v>
      </c>
      <c r="G133" s="444">
        <f t="shared" ref="G133" si="240">$U133*Z133</f>
        <v>0</v>
      </c>
      <c r="H133" s="444">
        <f t="shared" ref="H133" si="241">$U133*AA133</f>
        <v>0</v>
      </c>
      <c r="I133" s="444">
        <f t="shared" ref="I133" si="242">$U133*AB133</f>
        <v>0</v>
      </c>
      <c r="J133" s="444">
        <f t="shared" ref="J133" si="243">$U133*AC133</f>
        <v>0</v>
      </c>
      <c r="K133" s="444">
        <f t="shared" ref="K133" si="244">$U133*AD133</f>
        <v>0</v>
      </c>
      <c r="L133" s="444">
        <f t="shared" ref="L133" si="245">$U133*AE133</f>
        <v>0</v>
      </c>
      <c r="M133" s="444">
        <f t="shared" ref="M133" si="246">$U133*AF133</f>
        <v>0</v>
      </c>
      <c r="N133" s="444">
        <f t="shared" ref="N133" si="247">$U133*AG133</f>
        <v>0</v>
      </c>
      <c r="O133" s="444">
        <f t="shared" ref="O133" si="248">$U133*AH133</f>
        <v>0</v>
      </c>
      <c r="P133" s="444">
        <f t="shared" ref="P133" si="249">$U133*AI133</f>
        <v>0</v>
      </c>
      <c r="Q133" s="444">
        <f t="shared" ref="Q133" si="250">$U133*AJ133</f>
        <v>0</v>
      </c>
      <c r="R133" s="444">
        <f t="shared" ref="R133" si="251">$U133*AK133</f>
        <v>0</v>
      </c>
      <c r="S133" s="444">
        <f>SUM(D133:R133)</f>
        <v>0</v>
      </c>
      <c r="U133" s="335">
        <f>'T_Stock_TOTAL_&amp;_City'!U133-'T_Stock_TOTAL_&amp;_City'!V133</f>
        <v>0</v>
      </c>
      <c r="W133" s="908">
        <f t="shared" si="234"/>
        <v>0</v>
      </c>
      <c r="X133" s="908">
        <f t="shared" si="232"/>
        <v>0</v>
      </c>
      <c r="Y133" s="908">
        <f t="shared" si="232"/>
        <v>0</v>
      </c>
      <c r="Z133" s="908">
        <f t="shared" si="232"/>
        <v>0</v>
      </c>
      <c r="AA133" s="908">
        <f t="shared" si="232"/>
        <v>0</v>
      </c>
      <c r="AB133" s="908">
        <f t="shared" si="232"/>
        <v>0</v>
      </c>
      <c r="AC133" s="908">
        <f t="shared" si="232"/>
        <v>0</v>
      </c>
      <c r="AD133" s="908">
        <f t="shared" si="232"/>
        <v>0</v>
      </c>
      <c r="AE133" s="908">
        <f t="shared" si="232"/>
        <v>0</v>
      </c>
      <c r="AF133" s="908">
        <f t="shared" si="232"/>
        <v>0</v>
      </c>
      <c r="AG133" s="908">
        <f t="shared" si="232"/>
        <v>0</v>
      </c>
      <c r="AH133" s="908">
        <f t="shared" si="232"/>
        <v>0</v>
      </c>
      <c r="AI133" s="908">
        <f t="shared" si="232"/>
        <v>0</v>
      </c>
      <c r="AJ133" s="908">
        <f t="shared" si="232"/>
        <v>0</v>
      </c>
      <c r="AK133" s="908">
        <f t="shared" si="232"/>
        <v>0</v>
      </c>
      <c r="AL133" s="531">
        <f t="shared" si="235"/>
        <v>0</v>
      </c>
    </row>
    <row r="134" spans="2:38" x14ac:dyDescent="0.3">
      <c r="B134" s="131" t="s">
        <v>119</v>
      </c>
      <c r="C134" s="131"/>
      <c r="D134" s="130">
        <f>SUM(D122:D133)</f>
        <v>14161</v>
      </c>
      <c r="E134" s="130">
        <f t="shared" ref="E134" si="252">SUM(E122:E133)</f>
        <v>0</v>
      </c>
      <c r="F134" s="130">
        <f t="shared" ref="F134" si="253">SUM(F122:F133)</f>
        <v>0</v>
      </c>
      <c r="G134" s="130">
        <f t="shared" ref="G134" si="254">SUM(G122:G133)</f>
        <v>0</v>
      </c>
      <c r="H134" s="130">
        <f t="shared" ref="H134" si="255">SUM(H122:H133)</f>
        <v>0</v>
      </c>
      <c r="I134" s="130">
        <f t="shared" ref="I134" si="256">SUM(I122:I133)</f>
        <v>0</v>
      </c>
      <c r="J134" s="130">
        <f t="shared" ref="J134" si="257">SUM(J122:J133)</f>
        <v>0</v>
      </c>
      <c r="K134" s="130">
        <f t="shared" ref="K134" si="258">SUM(K122:K133)</f>
        <v>0</v>
      </c>
      <c r="L134" s="130">
        <f t="shared" ref="L134" si="259">SUM(L122:L133)</f>
        <v>0</v>
      </c>
      <c r="M134" s="130">
        <f t="shared" ref="M134" si="260">SUM(M122:M133)</f>
        <v>0</v>
      </c>
      <c r="N134" s="130">
        <f t="shared" ref="N134" si="261">SUM(N122:N133)</f>
        <v>0</v>
      </c>
      <c r="O134" s="130">
        <f t="shared" ref="O134" si="262">SUM(O122:O133)</f>
        <v>0</v>
      </c>
      <c r="P134" s="130">
        <f t="shared" ref="P134" si="263">SUM(P122:P133)</f>
        <v>0</v>
      </c>
      <c r="Q134" s="130">
        <f t="shared" ref="Q134" si="264">SUM(Q122:Q133)</f>
        <v>0</v>
      </c>
      <c r="R134" s="130">
        <f t="shared" ref="R134" si="265">SUM(R122:R133)</f>
        <v>0</v>
      </c>
      <c r="S134" s="130">
        <f t="shared" ref="S134" si="266">SUM(S122:S133)</f>
        <v>14161</v>
      </c>
      <c r="U134" s="130">
        <f>SUM(U122:U132)</f>
        <v>0</v>
      </c>
    </row>
    <row r="136" spans="2:38" hidden="1" x14ac:dyDescent="0.3">
      <c r="B136" s="476" t="s">
        <v>162</v>
      </c>
      <c r="C136" s="339"/>
      <c r="W136" s="3" t="s">
        <v>299</v>
      </c>
    </row>
    <row r="137" spans="2:38" hidden="1" x14ac:dyDescent="0.3">
      <c r="B137" s="476" t="s">
        <v>103</v>
      </c>
      <c r="C137" s="264" t="s">
        <v>104</v>
      </c>
      <c r="D137" s="121" t="str">
        <f>D$9</f>
        <v>Z01</v>
      </c>
      <c r="E137" s="121" t="str">
        <f t="shared" ref="E137:R137" si="267">E$9</f>
        <v>Z02</v>
      </c>
      <c r="F137" s="121" t="str">
        <f t="shared" si="267"/>
        <v>Z03</v>
      </c>
      <c r="G137" s="121" t="str">
        <f t="shared" si="267"/>
        <v>Z04</v>
      </c>
      <c r="H137" s="121" t="str">
        <f t="shared" si="267"/>
        <v>Z05</v>
      </c>
      <c r="I137" s="121" t="str">
        <f t="shared" si="267"/>
        <v>Z06</v>
      </c>
      <c r="J137" s="121" t="str">
        <f t="shared" si="267"/>
        <v>Z07</v>
      </c>
      <c r="K137" s="121" t="str">
        <f t="shared" si="267"/>
        <v>Z08</v>
      </c>
      <c r="L137" s="121" t="str">
        <f t="shared" si="267"/>
        <v>Z09</v>
      </c>
      <c r="M137" s="121" t="str">
        <f t="shared" si="267"/>
        <v>Z10</v>
      </c>
      <c r="N137" s="121" t="str">
        <f t="shared" si="267"/>
        <v>Z11</v>
      </c>
      <c r="O137" s="121" t="str">
        <f t="shared" si="267"/>
        <v>Z12</v>
      </c>
      <c r="P137" s="121" t="str">
        <f t="shared" si="267"/>
        <v>Z13</v>
      </c>
      <c r="Q137" s="121" t="str">
        <f t="shared" si="267"/>
        <v>Z14</v>
      </c>
      <c r="R137" s="121" t="str">
        <f t="shared" si="267"/>
        <v>Z15</v>
      </c>
      <c r="S137" s="121" t="s">
        <v>100</v>
      </c>
      <c r="U137" s="17" t="str">
        <f>U$9</f>
        <v>Private stock</v>
      </c>
      <c r="W137" s="121" t="str">
        <f t="shared" ref="W137:AK137" si="268">D137</f>
        <v>Z01</v>
      </c>
      <c r="X137" s="121" t="str">
        <f t="shared" si="268"/>
        <v>Z02</v>
      </c>
      <c r="Y137" s="121" t="str">
        <f t="shared" si="268"/>
        <v>Z03</v>
      </c>
      <c r="Z137" s="121" t="str">
        <f t="shared" si="268"/>
        <v>Z04</v>
      </c>
      <c r="AA137" s="121" t="str">
        <f t="shared" si="268"/>
        <v>Z05</v>
      </c>
      <c r="AB137" s="121" t="str">
        <f t="shared" si="268"/>
        <v>Z06</v>
      </c>
      <c r="AC137" s="121" t="str">
        <f t="shared" si="268"/>
        <v>Z07</v>
      </c>
      <c r="AD137" s="121" t="str">
        <f t="shared" si="268"/>
        <v>Z08</v>
      </c>
      <c r="AE137" s="121" t="str">
        <f t="shared" si="268"/>
        <v>Z09</v>
      </c>
      <c r="AF137" s="121" t="str">
        <f t="shared" si="268"/>
        <v>Z10</v>
      </c>
      <c r="AG137" s="121" t="str">
        <f t="shared" si="268"/>
        <v>Z11</v>
      </c>
      <c r="AH137" s="121" t="str">
        <f t="shared" si="268"/>
        <v>Z12</v>
      </c>
      <c r="AI137" s="121" t="str">
        <f t="shared" si="268"/>
        <v>Z13</v>
      </c>
      <c r="AJ137" s="121" t="str">
        <f t="shared" si="268"/>
        <v>Z14</v>
      </c>
      <c r="AK137" s="121" t="str">
        <f t="shared" si="268"/>
        <v>Z15</v>
      </c>
      <c r="AL137" s="121" t="s">
        <v>100</v>
      </c>
    </row>
    <row r="138" spans="2:38" hidden="1" x14ac:dyDescent="0.3">
      <c r="B138" s="245" t="str">
        <f>'T_Stock_TOTAL_&amp;_City'!B138</f>
        <v>Electric</v>
      </c>
      <c r="C138" s="245" t="s">
        <v>380</v>
      </c>
      <c r="D138" s="679">
        <f>$U138*W138</f>
        <v>0</v>
      </c>
      <c r="E138" s="679">
        <f t="shared" ref="E138:E139" si="269">$U138*X138</f>
        <v>0</v>
      </c>
      <c r="F138" s="679">
        <f t="shared" ref="F138:F139" si="270">$U138*Y138</f>
        <v>0</v>
      </c>
      <c r="G138" s="679">
        <f t="shared" ref="G138:G139" si="271">$U138*Z138</f>
        <v>0</v>
      </c>
      <c r="H138" s="679">
        <f t="shared" ref="H138:H139" si="272">$U138*AA138</f>
        <v>0</v>
      </c>
      <c r="I138" s="679">
        <f t="shared" ref="I138:I139" si="273">$U138*AB138</f>
        <v>0</v>
      </c>
      <c r="J138" s="679">
        <f t="shared" ref="J138:J139" si="274">$U138*AC138</f>
        <v>0</v>
      </c>
      <c r="K138" s="679">
        <f t="shared" ref="K138:K139" si="275">$U138*AD138</f>
        <v>0</v>
      </c>
      <c r="L138" s="679">
        <f t="shared" ref="L138:L139" si="276">$U138*AE138</f>
        <v>0</v>
      </c>
      <c r="M138" s="679">
        <f t="shared" ref="M138:M139" si="277">$U138*AF138</f>
        <v>0</v>
      </c>
      <c r="N138" s="679">
        <f t="shared" ref="N138:N139" si="278">$U138*AG138</f>
        <v>0</v>
      </c>
      <c r="O138" s="679">
        <f t="shared" ref="O138:O139" si="279">$U138*AH138</f>
        <v>0</v>
      </c>
      <c r="P138" s="679">
        <f t="shared" ref="P138:P139" si="280">$U138*AI138</f>
        <v>0</v>
      </c>
      <c r="Q138" s="679">
        <f t="shared" ref="Q138:Q139" si="281">$U138*AJ138</f>
        <v>0</v>
      </c>
      <c r="R138" s="679">
        <f t="shared" ref="R138:R139" si="282">$U138*AK138</f>
        <v>0</v>
      </c>
      <c r="S138" s="679">
        <f t="shared" ref="S138:S139" si="283">$U138*AL138</f>
        <v>0</v>
      </c>
      <c r="U138" s="311">
        <f>'T_Stock_TOTAL_&amp;_City'!U138-'T_Stock_TOTAL_&amp;_City'!V138</f>
        <v>0</v>
      </c>
      <c r="W138" s="519">
        <f t="shared" ref="W138:AK139" si="284">W$6</f>
        <v>0</v>
      </c>
      <c r="X138" s="519">
        <f t="shared" si="284"/>
        <v>0</v>
      </c>
      <c r="Y138" s="519">
        <f t="shared" si="284"/>
        <v>0</v>
      </c>
      <c r="Z138" s="519">
        <f t="shared" si="284"/>
        <v>0</v>
      </c>
      <c r="AA138" s="519">
        <f t="shared" si="284"/>
        <v>0</v>
      </c>
      <c r="AB138" s="519">
        <f t="shared" si="284"/>
        <v>0</v>
      </c>
      <c r="AC138" s="519">
        <f t="shared" si="284"/>
        <v>0</v>
      </c>
      <c r="AD138" s="519">
        <f t="shared" si="284"/>
        <v>0</v>
      </c>
      <c r="AE138" s="519">
        <f t="shared" si="284"/>
        <v>0</v>
      </c>
      <c r="AF138" s="519">
        <f t="shared" si="284"/>
        <v>0</v>
      </c>
      <c r="AG138" s="519">
        <f t="shared" si="284"/>
        <v>0</v>
      </c>
      <c r="AH138" s="519">
        <f t="shared" si="284"/>
        <v>0</v>
      </c>
      <c r="AI138" s="519">
        <f t="shared" si="284"/>
        <v>0</v>
      </c>
      <c r="AJ138" s="519">
        <f t="shared" si="284"/>
        <v>0</v>
      </c>
      <c r="AK138" s="519">
        <f t="shared" si="284"/>
        <v>0</v>
      </c>
      <c r="AL138" s="531">
        <f>SUM(W138:AK138)</f>
        <v>0</v>
      </c>
    </row>
    <row r="139" spans="2:38" hidden="1" x14ac:dyDescent="0.3">
      <c r="B139" s="250" t="s">
        <v>164</v>
      </c>
      <c r="C139" s="250" t="s">
        <v>381</v>
      </c>
      <c r="D139" s="444">
        <f t="shared" ref="D139" si="285">$U139*W139</f>
        <v>0</v>
      </c>
      <c r="E139" s="444">
        <f t="shared" si="269"/>
        <v>0</v>
      </c>
      <c r="F139" s="444">
        <f t="shared" si="270"/>
        <v>0</v>
      </c>
      <c r="G139" s="444">
        <f t="shared" si="271"/>
        <v>0</v>
      </c>
      <c r="H139" s="444">
        <f t="shared" si="272"/>
        <v>0</v>
      </c>
      <c r="I139" s="444">
        <f t="shared" si="273"/>
        <v>0</v>
      </c>
      <c r="J139" s="444">
        <f t="shared" si="274"/>
        <v>0</v>
      </c>
      <c r="K139" s="444">
        <f t="shared" si="275"/>
        <v>0</v>
      </c>
      <c r="L139" s="444">
        <f t="shared" si="276"/>
        <v>0</v>
      </c>
      <c r="M139" s="444">
        <f t="shared" si="277"/>
        <v>0</v>
      </c>
      <c r="N139" s="444">
        <f t="shared" si="278"/>
        <v>0</v>
      </c>
      <c r="O139" s="444">
        <f t="shared" si="279"/>
        <v>0</v>
      </c>
      <c r="P139" s="444">
        <f t="shared" si="280"/>
        <v>0</v>
      </c>
      <c r="Q139" s="444">
        <f t="shared" si="281"/>
        <v>0</v>
      </c>
      <c r="R139" s="444">
        <f t="shared" si="282"/>
        <v>0</v>
      </c>
      <c r="S139" s="444">
        <f t="shared" si="283"/>
        <v>0</v>
      </c>
      <c r="U139" s="335">
        <f>'T_Stock_TOTAL_&amp;_City'!U139-'T_Stock_TOTAL_&amp;_City'!V139</f>
        <v>0</v>
      </c>
      <c r="W139" s="519">
        <f t="shared" si="284"/>
        <v>0</v>
      </c>
      <c r="X139" s="519">
        <f t="shared" si="284"/>
        <v>0</v>
      </c>
      <c r="Y139" s="519">
        <f t="shared" si="284"/>
        <v>0</v>
      </c>
      <c r="Z139" s="519">
        <f t="shared" si="284"/>
        <v>0</v>
      </c>
      <c r="AA139" s="519">
        <f t="shared" si="284"/>
        <v>0</v>
      </c>
      <c r="AB139" s="519">
        <f t="shared" si="284"/>
        <v>0</v>
      </c>
      <c r="AC139" s="519">
        <f t="shared" si="284"/>
        <v>0</v>
      </c>
      <c r="AD139" s="519">
        <f t="shared" si="284"/>
        <v>0</v>
      </c>
      <c r="AE139" s="519">
        <f t="shared" si="284"/>
        <v>0</v>
      </c>
      <c r="AF139" s="519">
        <f t="shared" si="284"/>
        <v>0</v>
      </c>
      <c r="AG139" s="519">
        <f t="shared" si="284"/>
        <v>0</v>
      </c>
      <c r="AH139" s="519">
        <f t="shared" si="284"/>
        <v>0</v>
      </c>
      <c r="AI139" s="519">
        <f t="shared" si="284"/>
        <v>0</v>
      </c>
      <c r="AJ139" s="519">
        <f t="shared" si="284"/>
        <v>0</v>
      </c>
      <c r="AK139" s="519">
        <f t="shared" si="284"/>
        <v>0</v>
      </c>
      <c r="AL139" s="531">
        <f t="shared" ref="AL139" si="286">SUM(W139:AK139)</f>
        <v>0</v>
      </c>
    </row>
    <row r="140" spans="2:38" hidden="1" x14ac:dyDescent="0.3">
      <c r="B140" s="131" t="s">
        <v>119</v>
      </c>
      <c r="C140" s="131"/>
      <c r="D140" s="130">
        <f t="shared" ref="D140:S140" si="287">SUM(D138:D139)</f>
        <v>0</v>
      </c>
      <c r="E140" s="130">
        <f t="shared" si="287"/>
        <v>0</v>
      </c>
      <c r="F140" s="130">
        <f t="shared" si="287"/>
        <v>0</v>
      </c>
      <c r="G140" s="130">
        <f t="shared" si="287"/>
        <v>0</v>
      </c>
      <c r="H140" s="130">
        <f t="shared" si="287"/>
        <v>0</v>
      </c>
      <c r="I140" s="130">
        <f t="shared" si="287"/>
        <v>0</v>
      </c>
      <c r="J140" s="130">
        <f t="shared" si="287"/>
        <v>0</v>
      </c>
      <c r="K140" s="130">
        <f t="shared" si="287"/>
        <v>0</v>
      </c>
      <c r="L140" s="130">
        <f t="shared" si="287"/>
        <v>0</v>
      </c>
      <c r="M140" s="130">
        <f t="shared" si="287"/>
        <v>0</v>
      </c>
      <c r="N140" s="130">
        <f t="shared" si="287"/>
        <v>0</v>
      </c>
      <c r="O140" s="130">
        <f t="shared" si="287"/>
        <v>0</v>
      </c>
      <c r="P140" s="130">
        <f t="shared" si="287"/>
        <v>0</v>
      </c>
      <c r="Q140" s="130">
        <f t="shared" si="287"/>
        <v>0</v>
      </c>
      <c r="R140" s="130">
        <f t="shared" si="287"/>
        <v>0</v>
      </c>
      <c r="S140" s="130">
        <f t="shared" si="287"/>
        <v>0</v>
      </c>
      <c r="U140" s="130">
        <f>SUM(U138:U139)</f>
        <v>0</v>
      </c>
    </row>
    <row r="141" spans="2:38" hidden="1" x14ac:dyDescent="0.3"/>
    <row r="142" spans="2:38" hidden="1" x14ac:dyDescent="0.3">
      <c r="B142" s="476" t="s">
        <v>165</v>
      </c>
      <c r="C142" s="339"/>
      <c r="W142" s="3" t="s">
        <v>299</v>
      </c>
    </row>
    <row r="143" spans="2:38" hidden="1" x14ac:dyDescent="0.3">
      <c r="B143" s="476" t="s">
        <v>103</v>
      </c>
      <c r="C143" s="264" t="s">
        <v>104</v>
      </c>
      <c r="D143" s="121" t="str">
        <f>D$9</f>
        <v>Z01</v>
      </c>
      <c r="E143" s="121" t="str">
        <f t="shared" ref="E143:R143" si="288">E$9</f>
        <v>Z02</v>
      </c>
      <c r="F143" s="121" t="str">
        <f t="shared" si="288"/>
        <v>Z03</v>
      </c>
      <c r="G143" s="121" t="str">
        <f t="shared" si="288"/>
        <v>Z04</v>
      </c>
      <c r="H143" s="121" t="str">
        <f t="shared" si="288"/>
        <v>Z05</v>
      </c>
      <c r="I143" s="121" t="str">
        <f t="shared" si="288"/>
        <v>Z06</v>
      </c>
      <c r="J143" s="121" t="str">
        <f t="shared" si="288"/>
        <v>Z07</v>
      </c>
      <c r="K143" s="121" t="str">
        <f t="shared" si="288"/>
        <v>Z08</v>
      </c>
      <c r="L143" s="121" t="str">
        <f t="shared" si="288"/>
        <v>Z09</v>
      </c>
      <c r="M143" s="121" t="str">
        <f t="shared" si="288"/>
        <v>Z10</v>
      </c>
      <c r="N143" s="121" t="str">
        <f t="shared" si="288"/>
        <v>Z11</v>
      </c>
      <c r="O143" s="121" t="str">
        <f t="shared" si="288"/>
        <v>Z12</v>
      </c>
      <c r="P143" s="121" t="str">
        <f t="shared" si="288"/>
        <v>Z13</v>
      </c>
      <c r="Q143" s="121" t="str">
        <f t="shared" si="288"/>
        <v>Z14</v>
      </c>
      <c r="R143" s="121" t="str">
        <f t="shared" si="288"/>
        <v>Z15</v>
      </c>
      <c r="S143" s="121" t="s">
        <v>100</v>
      </c>
      <c r="U143" s="17" t="str">
        <f>U$9</f>
        <v>Private stock</v>
      </c>
      <c r="W143" s="121" t="str">
        <f t="shared" ref="W143" si="289">D143</f>
        <v>Z01</v>
      </c>
      <c r="X143" s="121" t="str">
        <f t="shared" ref="X143" si="290">E143</f>
        <v>Z02</v>
      </c>
      <c r="Y143" s="121" t="str">
        <f t="shared" ref="Y143" si="291">F143</f>
        <v>Z03</v>
      </c>
      <c r="Z143" s="121" t="str">
        <f t="shared" ref="Z143" si="292">G143</f>
        <v>Z04</v>
      </c>
      <c r="AA143" s="121" t="str">
        <f t="shared" ref="AA143" si="293">H143</f>
        <v>Z05</v>
      </c>
      <c r="AB143" s="121" t="str">
        <f t="shared" ref="AB143" si="294">I143</f>
        <v>Z06</v>
      </c>
      <c r="AC143" s="121" t="str">
        <f t="shared" ref="AC143" si="295">J143</f>
        <v>Z07</v>
      </c>
      <c r="AD143" s="121" t="str">
        <f t="shared" ref="AD143" si="296">K143</f>
        <v>Z08</v>
      </c>
      <c r="AE143" s="121" t="str">
        <f t="shared" ref="AE143" si="297">L143</f>
        <v>Z09</v>
      </c>
      <c r="AF143" s="121" t="str">
        <f t="shared" ref="AF143" si="298">M143</f>
        <v>Z10</v>
      </c>
      <c r="AG143" s="121" t="str">
        <f t="shared" ref="AG143" si="299">N143</f>
        <v>Z11</v>
      </c>
      <c r="AH143" s="121" t="str">
        <f t="shared" ref="AH143" si="300">O143</f>
        <v>Z12</v>
      </c>
      <c r="AI143" s="121" t="str">
        <f t="shared" ref="AI143" si="301">P143</f>
        <v>Z13</v>
      </c>
      <c r="AJ143" s="121" t="str">
        <f t="shared" ref="AJ143" si="302">Q143</f>
        <v>Z14</v>
      </c>
      <c r="AK143" s="121" t="str">
        <f t="shared" ref="AK143" si="303">R143</f>
        <v>Z15</v>
      </c>
      <c r="AL143" s="121" t="s">
        <v>100</v>
      </c>
    </row>
    <row r="144" spans="2:38" hidden="1" x14ac:dyDescent="0.3">
      <c r="B144" s="245" t="str">
        <f>'T_Stock_TOTAL_&amp;_City'!B144</f>
        <v>Electric</v>
      </c>
      <c r="C144" s="245"/>
      <c r="D144" s="679">
        <f>$U144*W144</f>
        <v>0</v>
      </c>
      <c r="E144" s="679">
        <f t="shared" ref="E144:E145" si="304">$U144*X144</f>
        <v>0</v>
      </c>
      <c r="F144" s="679">
        <f t="shared" ref="F144:F145" si="305">$U144*Y144</f>
        <v>0</v>
      </c>
      <c r="G144" s="679">
        <f t="shared" ref="G144:G145" si="306">$U144*Z144</f>
        <v>0</v>
      </c>
      <c r="H144" s="679">
        <f t="shared" ref="H144:H145" si="307">$U144*AA144</f>
        <v>0</v>
      </c>
      <c r="I144" s="679">
        <f t="shared" ref="I144:I145" si="308">$U144*AB144</f>
        <v>0</v>
      </c>
      <c r="J144" s="679">
        <f t="shared" ref="J144:J145" si="309">$U144*AC144</f>
        <v>0</v>
      </c>
      <c r="K144" s="679">
        <f t="shared" ref="K144:K145" si="310">$U144*AD144</f>
        <v>0</v>
      </c>
      <c r="L144" s="679">
        <f t="shared" ref="L144:L145" si="311">$U144*AE144</f>
        <v>0</v>
      </c>
      <c r="M144" s="679">
        <f t="shared" ref="M144:M145" si="312">$U144*AF144</f>
        <v>0</v>
      </c>
      <c r="N144" s="679">
        <f t="shared" ref="N144:N145" si="313">$U144*AG144</f>
        <v>0</v>
      </c>
      <c r="O144" s="679">
        <f t="shared" ref="O144:O145" si="314">$U144*AH144</f>
        <v>0</v>
      </c>
      <c r="P144" s="679">
        <f t="shared" ref="P144:P145" si="315">$U144*AI144</f>
        <v>0</v>
      </c>
      <c r="Q144" s="679">
        <f t="shared" ref="Q144:Q145" si="316">$U144*AJ144</f>
        <v>0</v>
      </c>
      <c r="R144" s="679">
        <f t="shared" ref="R144:R145" si="317">$U144*AK144</f>
        <v>0</v>
      </c>
      <c r="S144" s="679">
        <f t="shared" ref="S144:S145" si="318">$U144*AL144</f>
        <v>0</v>
      </c>
      <c r="U144" s="311">
        <f>'T_Stock_TOTAL_&amp;_City'!U144-'T_Stock_TOTAL_&amp;_City'!V144</f>
        <v>0</v>
      </c>
      <c r="W144" s="519">
        <f t="shared" ref="W144:AK145" si="319">W$6</f>
        <v>0</v>
      </c>
      <c r="X144" s="519">
        <f t="shared" si="319"/>
        <v>0</v>
      </c>
      <c r="Y144" s="519">
        <f t="shared" si="319"/>
        <v>0</v>
      </c>
      <c r="Z144" s="519">
        <f t="shared" si="319"/>
        <v>0</v>
      </c>
      <c r="AA144" s="519">
        <f t="shared" si="319"/>
        <v>0</v>
      </c>
      <c r="AB144" s="519">
        <f t="shared" si="319"/>
        <v>0</v>
      </c>
      <c r="AC144" s="519">
        <f t="shared" si="319"/>
        <v>0</v>
      </c>
      <c r="AD144" s="519">
        <f t="shared" si="319"/>
        <v>0</v>
      </c>
      <c r="AE144" s="519">
        <f t="shared" si="319"/>
        <v>0</v>
      </c>
      <c r="AF144" s="519">
        <f t="shared" si="319"/>
        <v>0</v>
      </c>
      <c r="AG144" s="519">
        <f t="shared" si="319"/>
        <v>0</v>
      </c>
      <c r="AH144" s="519">
        <f t="shared" si="319"/>
        <v>0</v>
      </c>
      <c r="AI144" s="519">
        <f t="shared" si="319"/>
        <v>0</v>
      </c>
      <c r="AJ144" s="519">
        <f t="shared" si="319"/>
        <v>0</v>
      </c>
      <c r="AK144" s="519">
        <f t="shared" si="319"/>
        <v>0</v>
      </c>
      <c r="AL144" s="531">
        <f>SUM(W144:AK144)</f>
        <v>0</v>
      </c>
    </row>
    <row r="145" spans="2:38" hidden="1" x14ac:dyDescent="0.3">
      <c r="B145" s="250" t="s">
        <v>164</v>
      </c>
      <c r="C145" s="250"/>
      <c r="D145" s="444">
        <f t="shared" ref="D145" si="320">$U145*W145</f>
        <v>0</v>
      </c>
      <c r="E145" s="444">
        <f t="shared" si="304"/>
        <v>0</v>
      </c>
      <c r="F145" s="444">
        <f t="shared" si="305"/>
        <v>0</v>
      </c>
      <c r="G145" s="444">
        <f t="shared" si="306"/>
        <v>0</v>
      </c>
      <c r="H145" s="444">
        <f t="shared" si="307"/>
        <v>0</v>
      </c>
      <c r="I145" s="444">
        <f t="shared" si="308"/>
        <v>0</v>
      </c>
      <c r="J145" s="444">
        <f t="shared" si="309"/>
        <v>0</v>
      </c>
      <c r="K145" s="444">
        <f t="shared" si="310"/>
        <v>0</v>
      </c>
      <c r="L145" s="444">
        <f t="shared" si="311"/>
        <v>0</v>
      </c>
      <c r="M145" s="444">
        <f t="shared" si="312"/>
        <v>0</v>
      </c>
      <c r="N145" s="444">
        <f t="shared" si="313"/>
        <v>0</v>
      </c>
      <c r="O145" s="444">
        <f t="shared" si="314"/>
        <v>0</v>
      </c>
      <c r="P145" s="444">
        <f t="shared" si="315"/>
        <v>0</v>
      </c>
      <c r="Q145" s="444">
        <f t="shared" si="316"/>
        <v>0</v>
      </c>
      <c r="R145" s="444">
        <f t="shared" si="317"/>
        <v>0</v>
      </c>
      <c r="S145" s="444">
        <f t="shared" si="318"/>
        <v>0</v>
      </c>
      <c r="U145" s="335">
        <f>'T_Stock_TOTAL_&amp;_City'!U146-'T_Stock_TOTAL_&amp;_City'!V146</f>
        <v>0</v>
      </c>
      <c r="W145" s="519">
        <f t="shared" si="319"/>
        <v>0</v>
      </c>
      <c r="X145" s="519">
        <f t="shared" si="319"/>
        <v>0</v>
      </c>
      <c r="Y145" s="519">
        <f t="shared" si="319"/>
        <v>0</v>
      </c>
      <c r="Z145" s="519">
        <f t="shared" si="319"/>
        <v>0</v>
      </c>
      <c r="AA145" s="519">
        <f t="shared" si="319"/>
        <v>0</v>
      </c>
      <c r="AB145" s="519">
        <f t="shared" si="319"/>
        <v>0</v>
      </c>
      <c r="AC145" s="519">
        <f t="shared" si="319"/>
        <v>0</v>
      </c>
      <c r="AD145" s="519">
        <f t="shared" si="319"/>
        <v>0</v>
      </c>
      <c r="AE145" s="519">
        <f t="shared" si="319"/>
        <v>0</v>
      </c>
      <c r="AF145" s="519">
        <f t="shared" si="319"/>
        <v>0</v>
      </c>
      <c r="AG145" s="519">
        <f t="shared" si="319"/>
        <v>0</v>
      </c>
      <c r="AH145" s="519">
        <f t="shared" si="319"/>
        <v>0</v>
      </c>
      <c r="AI145" s="519">
        <f t="shared" si="319"/>
        <v>0</v>
      </c>
      <c r="AJ145" s="519">
        <f t="shared" si="319"/>
        <v>0</v>
      </c>
      <c r="AK145" s="519">
        <f t="shared" si="319"/>
        <v>0</v>
      </c>
      <c r="AL145" s="531">
        <f t="shared" ref="AL145" si="321">SUM(W145:AK145)</f>
        <v>0</v>
      </c>
    </row>
    <row r="146" spans="2:38" hidden="1" x14ac:dyDescent="0.3">
      <c r="B146" s="131" t="s">
        <v>119</v>
      </c>
      <c r="C146" s="131"/>
      <c r="D146" s="680">
        <f t="shared" ref="D146" si="322">SUM(D144:D145)</f>
        <v>0</v>
      </c>
      <c r="E146" s="680">
        <f t="shared" ref="E146" si="323">SUM(E144:E145)</f>
        <v>0</v>
      </c>
      <c r="F146" s="680">
        <f t="shared" ref="F146" si="324">SUM(F144:F145)</f>
        <v>0</v>
      </c>
      <c r="G146" s="680">
        <f t="shared" ref="G146" si="325">SUM(G144:G145)</f>
        <v>0</v>
      </c>
      <c r="H146" s="680">
        <f t="shared" ref="H146" si="326">SUM(H144:H145)</f>
        <v>0</v>
      </c>
      <c r="I146" s="680">
        <f t="shared" ref="I146" si="327">SUM(I144:I145)</f>
        <v>0</v>
      </c>
      <c r="J146" s="680">
        <f t="shared" ref="J146" si="328">SUM(J144:J145)</f>
        <v>0</v>
      </c>
      <c r="K146" s="680">
        <f t="shared" ref="K146" si="329">SUM(K144:K145)</f>
        <v>0</v>
      </c>
      <c r="L146" s="680">
        <f t="shared" ref="L146" si="330">SUM(L144:L145)</f>
        <v>0</v>
      </c>
      <c r="M146" s="680">
        <f t="shared" ref="M146" si="331">SUM(M144:M145)</f>
        <v>0</v>
      </c>
      <c r="N146" s="680">
        <f t="shared" ref="N146" si="332">SUM(N144:N145)</f>
        <v>0</v>
      </c>
      <c r="O146" s="680">
        <f t="shared" ref="O146" si="333">SUM(O144:O145)</f>
        <v>0</v>
      </c>
      <c r="P146" s="680">
        <f t="shared" ref="P146" si="334">SUM(P144:P145)</f>
        <v>0</v>
      </c>
      <c r="Q146" s="680">
        <f t="shared" ref="Q146" si="335">SUM(Q144:Q145)</f>
        <v>0</v>
      </c>
      <c r="R146" s="680">
        <f>SUM(R144:R145)</f>
        <v>0</v>
      </c>
      <c r="S146" s="680">
        <f>SUM(S144:S145)</f>
        <v>0</v>
      </c>
      <c r="U146" s="130">
        <f>SUM(U144:U145)</f>
        <v>0</v>
      </c>
    </row>
    <row r="147" spans="2:38" hidden="1" x14ac:dyDescent="0.3"/>
    <row r="148" spans="2:38" hidden="1" x14ac:dyDescent="0.3">
      <c r="B148" s="476" t="s">
        <v>197</v>
      </c>
      <c r="C148" s="339"/>
      <c r="W148" s="3" t="s">
        <v>299</v>
      </c>
    </row>
    <row r="149" spans="2:38" hidden="1" x14ac:dyDescent="0.3">
      <c r="B149" s="476" t="s">
        <v>103</v>
      </c>
      <c r="C149" s="264" t="s">
        <v>104</v>
      </c>
      <c r="D149" s="121" t="str">
        <f>D$9</f>
        <v>Z01</v>
      </c>
      <c r="E149" s="121" t="str">
        <f t="shared" ref="E149:R149" si="336">E$9</f>
        <v>Z02</v>
      </c>
      <c r="F149" s="121" t="str">
        <f t="shared" si="336"/>
        <v>Z03</v>
      </c>
      <c r="G149" s="121" t="str">
        <f t="shared" si="336"/>
        <v>Z04</v>
      </c>
      <c r="H149" s="121" t="str">
        <f t="shared" si="336"/>
        <v>Z05</v>
      </c>
      <c r="I149" s="121" t="str">
        <f t="shared" si="336"/>
        <v>Z06</v>
      </c>
      <c r="J149" s="121" t="str">
        <f t="shared" si="336"/>
        <v>Z07</v>
      </c>
      <c r="K149" s="121" t="str">
        <f t="shared" si="336"/>
        <v>Z08</v>
      </c>
      <c r="L149" s="121" t="str">
        <f t="shared" si="336"/>
        <v>Z09</v>
      </c>
      <c r="M149" s="121" t="str">
        <f t="shared" si="336"/>
        <v>Z10</v>
      </c>
      <c r="N149" s="121" t="str">
        <f t="shared" si="336"/>
        <v>Z11</v>
      </c>
      <c r="O149" s="121" t="str">
        <f t="shared" si="336"/>
        <v>Z12</v>
      </c>
      <c r="P149" s="121" t="str">
        <f t="shared" si="336"/>
        <v>Z13</v>
      </c>
      <c r="Q149" s="121" t="str">
        <f t="shared" si="336"/>
        <v>Z14</v>
      </c>
      <c r="R149" s="121" t="str">
        <f t="shared" si="336"/>
        <v>Z15</v>
      </c>
      <c r="S149" s="121" t="s">
        <v>100</v>
      </c>
      <c r="U149" s="17" t="str">
        <f>U$9</f>
        <v>Private stock</v>
      </c>
      <c r="W149" s="121" t="str">
        <f t="shared" ref="W149" si="337">D149</f>
        <v>Z01</v>
      </c>
      <c r="X149" s="121" t="str">
        <f t="shared" ref="X149" si="338">E149</f>
        <v>Z02</v>
      </c>
      <c r="Y149" s="121" t="str">
        <f t="shared" ref="Y149" si="339">F149</f>
        <v>Z03</v>
      </c>
      <c r="Z149" s="121" t="str">
        <f t="shared" ref="Z149" si="340">G149</f>
        <v>Z04</v>
      </c>
      <c r="AA149" s="121" t="str">
        <f t="shared" ref="AA149" si="341">H149</f>
        <v>Z05</v>
      </c>
      <c r="AB149" s="121" t="str">
        <f t="shared" ref="AB149" si="342">I149</f>
        <v>Z06</v>
      </c>
      <c r="AC149" s="121" t="str">
        <f t="shared" ref="AC149" si="343">J149</f>
        <v>Z07</v>
      </c>
      <c r="AD149" s="121" t="str">
        <f t="shared" ref="AD149" si="344">K149</f>
        <v>Z08</v>
      </c>
      <c r="AE149" s="121" t="str">
        <f t="shared" ref="AE149" si="345">L149</f>
        <v>Z09</v>
      </c>
      <c r="AF149" s="121" t="str">
        <f t="shared" ref="AF149" si="346">M149</f>
        <v>Z10</v>
      </c>
      <c r="AG149" s="121" t="str">
        <f t="shared" ref="AG149" si="347">N149</f>
        <v>Z11</v>
      </c>
      <c r="AH149" s="121" t="str">
        <f t="shared" ref="AH149" si="348">O149</f>
        <v>Z12</v>
      </c>
      <c r="AI149" s="121" t="str">
        <f t="shared" ref="AI149" si="349">P149</f>
        <v>Z13</v>
      </c>
      <c r="AJ149" s="121" t="str">
        <f t="shared" ref="AJ149" si="350">Q149</f>
        <v>Z14</v>
      </c>
      <c r="AK149" s="121" t="str">
        <f t="shared" ref="AK149" si="351">R149</f>
        <v>Z15</v>
      </c>
      <c r="AL149" s="121" t="s">
        <v>100</v>
      </c>
    </row>
    <row r="150" spans="2:38" hidden="1" x14ac:dyDescent="0.3">
      <c r="B150" s="250" t="str">
        <f>'T_Stock_TOTAL_&amp;_City'!B150</f>
        <v>Electric</v>
      </c>
      <c r="C150" s="250"/>
      <c r="D150" s="444">
        <f>$U150*W150</f>
        <v>0</v>
      </c>
      <c r="E150" s="444">
        <f t="shared" ref="E150:S150" si="352">$U150*X150</f>
        <v>0</v>
      </c>
      <c r="F150" s="444">
        <f t="shared" si="352"/>
        <v>0</v>
      </c>
      <c r="G150" s="444">
        <f t="shared" si="352"/>
        <v>0</v>
      </c>
      <c r="H150" s="444">
        <f t="shared" si="352"/>
        <v>0</v>
      </c>
      <c r="I150" s="444">
        <f t="shared" si="352"/>
        <v>0</v>
      </c>
      <c r="J150" s="444">
        <f t="shared" si="352"/>
        <v>0</v>
      </c>
      <c r="K150" s="444">
        <f t="shared" si="352"/>
        <v>0</v>
      </c>
      <c r="L150" s="444">
        <f t="shared" si="352"/>
        <v>0</v>
      </c>
      <c r="M150" s="444">
        <f t="shared" si="352"/>
        <v>0</v>
      </c>
      <c r="N150" s="444">
        <f t="shared" si="352"/>
        <v>0</v>
      </c>
      <c r="O150" s="444">
        <f t="shared" si="352"/>
        <v>0</v>
      </c>
      <c r="P150" s="444">
        <f t="shared" si="352"/>
        <v>0</v>
      </c>
      <c r="Q150" s="444">
        <f t="shared" si="352"/>
        <v>0</v>
      </c>
      <c r="R150" s="444">
        <f t="shared" si="352"/>
        <v>0</v>
      </c>
      <c r="S150" s="444">
        <f t="shared" si="352"/>
        <v>0</v>
      </c>
      <c r="U150" s="335">
        <f>'T_Stock_TOTAL_&amp;_City'!U144-'T_Stock_TOTAL_&amp;_City'!V144</f>
        <v>0</v>
      </c>
      <c r="W150" s="519">
        <f t="shared" ref="W150:AK150" si="353">W$6</f>
        <v>0</v>
      </c>
      <c r="X150" s="519">
        <f t="shared" si="353"/>
        <v>0</v>
      </c>
      <c r="Y150" s="519">
        <f t="shared" si="353"/>
        <v>0</v>
      </c>
      <c r="Z150" s="519">
        <f t="shared" si="353"/>
        <v>0</v>
      </c>
      <c r="AA150" s="519">
        <f t="shared" si="353"/>
        <v>0</v>
      </c>
      <c r="AB150" s="519">
        <f t="shared" si="353"/>
        <v>0</v>
      </c>
      <c r="AC150" s="519">
        <f t="shared" si="353"/>
        <v>0</v>
      </c>
      <c r="AD150" s="519">
        <f t="shared" si="353"/>
        <v>0</v>
      </c>
      <c r="AE150" s="519">
        <f t="shared" si="353"/>
        <v>0</v>
      </c>
      <c r="AF150" s="519">
        <f t="shared" si="353"/>
        <v>0</v>
      </c>
      <c r="AG150" s="519">
        <f t="shared" si="353"/>
        <v>0</v>
      </c>
      <c r="AH150" s="519">
        <f t="shared" si="353"/>
        <v>0</v>
      </c>
      <c r="AI150" s="519">
        <f t="shared" si="353"/>
        <v>0</v>
      </c>
      <c r="AJ150" s="519">
        <f t="shared" si="353"/>
        <v>0</v>
      </c>
      <c r="AK150" s="519">
        <f t="shared" si="353"/>
        <v>0</v>
      </c>
      <c r="AL150" s="531">
        <f t="shared" ref="AL150" si="354">SUM(W150:AK150)</f>
        <v>0</v>
      </c>
    </row>
    <row r="151" spans="2:38" hidden="1" x14ac:dyDescent="0.3">
      <c r="B151" s="131" t="s">
        <v>119</v>
      </c>
      <c r="C151" s="131"/>
      <c r="D151" s="680">
        <f t="shared" ref="D151:S151" si="355">SUM(D150:D150)</f>
        <v>0</v>
      </c>
      <c r="E151" s="680">
        <f t="shared" si="355"/>
        <v>0</v>
      </c>
      <c r="F151" s="680">
        <f t="shared" si="355"/>
        <v>0</v>
      </c>
      <c r="G151" s="680">
        <f t="shared" si="355"/>
        <v>0</v>
      </c>
      <c r="H151" s="680">
        <f t="shared" si="355"/>
        <v>0</v>
      </c>
      <c r="I151" s="680">
        <f t="shared" si="355"/>
        <v>0</v>
      </c>
      <c r="J151" s="680">
        <f t="shared" si="355"/>
        <v>0</v>
      </c>
      <c r="K151" s="680">
        <f t="shared" si="355"/>
        <v>0</v>
      </c>
      <c r="L151" s="680">
        <f t="shared" si="355"/>
        <v>0</v>
      </c>
      <c r="M151" s="680">
        <f t="shared" si="355"/>
        <v>0</v>
      </c>
      <c r="N151" s="680">
        <f t="shared" si="355"/>
        <v>0</v>
      </c>
      <c r="O151" s="680">
        <f t="shared" si="355"/>
        <v>0</v>
      </c>
      <c r="P151" s="680">
        <f t="shared" si="355"/>
        <v>0</v>
      </c>
      <c r="Q151" s="680">
        <f t="shared" si="355"/>
        <v>0</v>
      </c>
      <c r="R151" s="680">
        <f t="shared" si="355"/>
        <v>0</v>
      </c>
      <c r="S151" s="680">
        <f t="shared" si="355"/>
        <v>0</v>
      </c>
      <c r="U151" s="130">
        <f>SUM(U150:U150)</f>
        <v>0</v>
      </c>
    </row>
    <row r="152" spans="2:38" hidden="1" x14ac:dyDescent="0.3"/>
    <row r="153" spans="2:38" hidden="1" x14ac:dyDescent="0.3">
      <c r="B153" s="476" t="s">
        <v>169</v>
      </c>
      <c r="C153" s="339"/>
      <c r="W153" s="3" t="s">
        <v>299</v>
      </c>
    </row>
    <row r="154" spans="2:38" hidden="1" x14ac:dyDescent="0.3">
      <c r="B154" s="476" t="s">
        <v>103</v>
      </c>
      <c r="C154" s="264" t="s">
        <v>104</v>
      </c>
      <c r="D154" s="121" t="str">
        <f>D$9</f>
        <v>Z01</v>
      </c>
      <c r="E154" s="121" t="str">
        <f t="shared" ref="E154:R154" si="356">E$9</f>
        <v>Z02</v>
      </c>
      <c r="F154" s="121" t="str">
        <f t="shared" si="356"/>
        <v>Z03</v>
      </c>
      <c r="G154" s="121" t="str">
        <f t="shared" si="356"/>
        <v>Z04</v>
      </c>
      <c r="H154" s="121" t="str">
        <f t="shared" si="356"/>
        <v>Z05</v>
      </c>
      <c r="I154" s="121" t="str">
        <f t="shared" si="356"/>
        <v>Z06</v>
      </c>
      <c r="J154" s="121" t="str">
        <f t="shared" si="356"/>
        <v>Z07</v>
      </c>
      <c r="K154" s="121" t="str">
        <f t="shared" si="356"/>
        <v>Z08</v>
      </c>
      <c r="L154" s="121" t="str">
        <f t="shared" si="356"/>
        <v>Z09</v>
      </c>
      <c r="M154" s="121" t="str">
        <f t="shared" si="356"/>
        <v>Z10</v>
      </c>
      <c r="N154" s="121" t="str">
        <f t="shared" si="356"/>
        <v>Z11</v>
      </c>
      <c r="O154" s="121" t="str">
        <f t="shared" si="356"/>
        <v>Z12</v>
      </c>
      <c r="P154" s="121" t="str">
        <f t="shared" si="356"/>
        <v>Z13</v>
      </c>
      <c r="Q154" s="121" t="str">
        <f t="shared" si="356"/>
        <v>Z14</v>
      </c>
      <c r="R154" s="121" t="str">
        <f t="shared" si="356"/>
        <v>Z15</v>
      </c>
      <c r="S154" s="121" t="s">
        <v>100</v>
      </c>
      <c r="U154" s="17" t="str">
        <f>U$9</f>
        <v>Private stock</v>
      </c>
      <c r="W154" s="121" t="str">
        <f t="shared" ref="W154" si="357">D154</f>
        <v>Z01</v>
      </c>
      <c r="X154" s="121" t="str">
        <f t="shared" ref="X154" si="358">E154</f>
        <v>Z02</v>
      </c>
      <c r="Y154" s="121" t="str">
        <f t="shared" ref="Y154" si="359">F154</f>
        <v>Z03</v>
      </c>
      <c r="Z154" s="121" t="str">
        <f t="shared" ref="Z154" si="360">G154</f>
        <v>Z04</v>
      </c>
      <c r="AA154" s="121" t="str">
        <f t="shared" ref="AA154" si="361">H154</f>
        <v>Z05</v>
      </c>
      <c r="AB154" s="121" t="str">
        <f t="shared" ref="AB154" si="362">I154</f>
        <v>Z06</v>
      </c>
      <c r="AC154" s="121" t="str">
        <f t="shared" ref="AC154" si="363">J154</f>
        <v>Z07</v>
      </c>
      <c r="AD154" s="121" t="str">
        <f t="shared" ref="AD154" si="364">K154</f>
        <v>Z08</v>
      </c>
      <c r="AE154" s="121" t="str">
        <f t="shared" ref="AE154" si="365">L154</f>
        <v>Z09</v>
      </c>
      <c r="AF154" s="121" t="str">
        <f t="shared" ref="AF154" si="366">M154</f>
        <v>Z10</v>
      </c>
      <c r="AG154" s="121" t="str">
        <f t="shared" ref="AG154" si="367">N154</f>
        <v>Z11</v>
      </c>
      <c r="AH154" s="121" t="str">
        <f t="shared" ref="AH154" si="368">O154</f>
        <v>Z12</v>
      </c>
      <c r="AI154" s="121" t="str">
        <f t="shared" ref="AI154" si="369">P154</f>
        <v>Z13</v>
      </c>
      <c r="AJ154" s="121" t="str">
        <f t="shared" ref="AJ154" si="370">Q154</f>
        <v>Z14</v>
      </c>
      <c r="AK154" s="121" t="str">
        <f t="shared" ref="AK154" si="371">R154</f>
        <v>Z15</v>
      </c>
      <c r="AL154" s="121" t="s">
        <v>100</v>
      </c>
    </row>
    <row r="155" spans="2:38" hidden="1" x14ac:dyDescent="0.3">
      <c r="B155" s="250" t="str">
        <f>'T_Stock_TOTAL_&amp;_City'!B155</f>
        <v>Electric</v>
      </c>
      <c r="C155" s="250"/>
      <c r="D155" s="444">
        <f>$U155*W155</f>
        <v>0</v>
      </c>
      <c r="E155" s="444">
        <f t="shared" ref="E155:S155" si="372">$U155*X155</f>
        <v>0</v>
      </c>
      <c r="F155" s="444">
        <f t="shared" si="372"/>
        <v>0</v>
      </c>
      <c r="G155" s="444">
        <f t="shared" si="372"/>
        <v>0</v>
      </c>
      <c r="H155" s="444">
        <f t="shared" si="372"/>
        <v>0</v>
      </c>
      <c r="I155" s="444">
        <f t="shared" si="372"/>
        <v>0</v>
      </c>
      <c r="J155" s="444">
        <f t="shared" si="372"/>
        <v>0</v>
      </c>
      <c r="K155" s="444">
        <f t="shared" si="372"/>
        <v>0</v>
      </c>
      <c r="L155" s="444">
        <f t="shared" si="372"/>
        <v>0</v>
      </c>
      <c r="M155" s="444">
        <f t="shared" si="372"/>
        <v>0</v>
      </c>
      <c r="N155" s="444">
        <f t="shared" si="372"/>
        <v>0</v>
      </c>
      <c r="O155" s="444">
        <f t="shared" si="372"/>
        <v>0</v>
      </c>
      <c r="P155" s="444">
        <f t="shared" si="372"/>
        <v>0</v>
      </c>
      <c r="Q155" s="444">
        <f t="shared" si="372"/>
        <v>0</v>
      </c>
      <c r="R155" s="444">
        <f t="shared" si="372"/>
        <v>0</v>
      </c>
      <c r="S155" s="444">
        <f t="shared" si="372"/>
        <v>0</v>
      </c>
      <c r="U155" s="335">
        <f>'T_Stock_TOTAL_&amp;_City'!U155-'T_Stock_TOTAL_&amp;_City'!V155</f>
        <v>0</v>
      </c>
      <c r="W155" s="519">
        <f t="shared" ref="W155:AK155" si="373">W$6</f>
        <v>0</v>
      </c>
      <c r="X155" s="519">
        <f t="shared" si="373"/>
        <v>0</v>
      </c>
      <c r="Y155" s="519">
        <f t="shared" si="373"/>
        <v>0</v>
      </c>
      <c r="Z155" s="519">
        <f t="shared" si="373"/>
        <v>0</v>
      </c>
      <c r="AA155" s="519">
        <f t="shared" si="373"/>
        <v>0</v>
      </c>
      <c r="AB155" s="519">
        <f t="shared" si="373"/>
        <v>0</v>
      </c>
      <c r="AC155" s="519">
        <f t="shared" si="373"/>
        <v>0</v>
      </c>
      <c r="AD155" s="519">
        <f t="shared" si="373"/>
        <v>0</v>
      </c>
      <c r="AE155" s="519">
        <f t="shared" si="373"/>
        <v>0</v>
      </c>
      <c r="AF155" s="519">
        <f t="shared" si="373"/>
        <v>0</v>
      </c>
      <c r="AG155" s="519">
        <f t="shared" si="373"/>
        <v>0</v>
      </c>
      <c r="AH155" s="519">
        <f t="shared" si="373"/>
        <v>0</v>
      </c>
      <c r="AI155" s="519">
        <f t="shared" si="373"/>
        <v>0</v>
      </c>
      <c r="AJ155" s="519">
        <f t="shared" si="373"/>
        <v>0</v>
      </c>
      <c r="AK155" s="519">
        <f t="shared" si="373"/>
        <v>0</v>
      </c>
      <c r="AL155" s="531">
        <f t="shared" ref="AL155" si="374">SUM(W155:AK155)</f>
        <v>0</v>
      </c>
    </row>
    <row r="156" spans="2:38" hidden="1" x14ac:dyDescent="0.3">
      <c r="B156" s="131" t="s">
        <v>119</v>
      </c>
      <c r="C156" s="131"/>
      <c r="D156" s="680">
        <f t="shared" ref="D156:S156" si="375">SUM(D155:D155)</f>
        <v>0</v>
      </c>
      <c r="E156" s="680">
        <f t="shared" si="375"/>
        <v>0</v>
      </c>
      <c r="F156" s="680">
        <f t="shared" si="375"/>
        <v>0</v>
      </c>
      <c r="G156" s="680">
        <f t="shared" si="375"/>
        <v>0</v>
      </c>
      <c r="H156" s="680">
        <f t="shared" si="375"/>
        <v>0</v>
      </c>
      <c r="I156" s="680">
        <f t="shared" si="375"/>
        <v>0</v>
      </c>
      <c r="J156" s="680">
        <f t="shared" si="375"/>
        <v>0</v>
      </c>
      <c r="K156" s="680">
        <f t="shared" si="375"/>
        <v>0</v>
      </c>
      <c r="L156" s="680">
        <f t="shared" si="375"/>
        <v>0</v>
      </c>
      <c r="M156" s="680">
        <f t="shared" si="375"/>
        <v>0</v>
      </c>
      <c r="N156" s="680">
        <f t="shared" si="375"/>
        <v>0</v>
      </c>
      <c r="O156" s="680">
        <f t="shared" si="375"/>
        <v>0</v>
      </c>
      <c r="P156" s="680">
        <f t="shared" si="375"/>
        <v>0</v>
      </c>
      <c r="Q156" s="680">
        <f t="shared" si="375"/>
        <v>0</v>
      </c>
      <c r="R156" s="680">
        <f t="shared" si="375"/>
        <v>0</v>
      </c>
      <c r="S156" s="680">
        <f t="shared" si="375"/>
        <v>0</v>
      </c>
      <c r="U156" s="130">
        <f>SUM(U155:U155)</f>
        <v>0</v>
      </c>
    </row>
    <row r="157" spans="2:38" hidden="1" x14ac:dyDescent="0.3"/>
    <row r="158" spans="2:38" hidden="1" x14ac:dyDescent="0.3">
      <c r="B158" s="476" t="s">
        <v>170</v>
      </c>
      <c r="C158" s="339"/>
      <c r="W158" s="3" t="s">
        <v>299</v>
      </c>
    </row>
    <row r="159" spans="2:38" hidden="1" x14ac:dyDescent="0.3">
      <c r="B159" s="476" t="s">
        <v>103</v>
      </c>
      <c r="C159" s="264" t="s">
        <v>104</v>
      </c>
      <c r="D159" s="121" t="str">
        <f>D$9</f>
        <v>Z01</v>
      </c>
      <c r="E159" s="121" t="str">
        <f t="shared" ref="E159:R159" si="376">E$9</f>
        <v>Z02</v>
      </c>
      <c r="F159" s="121" t="str">
        <f t="shared" si="376"/>
        <v>Z03</v>
      </c>
      <c r="G159" s="121" t="str">
        <f t="shared" si="376"/>
        <v>Z04</v>
      </c>
      <c r="H159" s="121" t="str">
        <f t="shared" si="376"/>
        <v>Z05</v>
      </c>
      <c r="I159" s="121" t="str">
        <f t="shared" si="376"/>
        <v>Z06</v>
      </c>
      <c r="J159" s="121" t="str">
        <f t="shared" si="376"/>
        <v>Z07</v>
      </c>
      <c r="K159" s="121" t="str">
        <f t="shared" si="376"/>
        <v>Z08</v>
      </c>
      <c r="L159" s="121" t="str">
        <f t="shared" si="376"/>
        <v>Z09</v>
      </c>
      <c r="M159" s="121" t="str">
        <f t="shared" si="376"/>
        <v>Z10</v>
      </c>
      <c r="N159" s="121" t="str">
        <f t="shared" si="376"/>
        <v>Z11</v>
      </c>
      <c r="O159" s="121" t="str">
        <f t="shared" si="376"/>
        <v>Z12</v>
      </c>
      <c r="P159" s="121" t="str">
        <f t="shared" si="376"/>
        <v>Z13</v>
      </c>
      <c r="Q159" s="121" t="str">
        <f t="shared" si="376"/>
        <v>Z14</v>
      </c>
      <c r="R159" s="121" t="str">
        <f t="shared" si="376"/>
        <v>Z15</v>
      </c>
      <c r="S159" s="121" t="s">
        <v>100</v>
      </c>
      <c r="U159" s="17" t="str">
        <f>U$9</f>
        <v>Private stock</v>
      </c>
      <c r="W159" s="121" t="str">
        <f t="shared" ref="W159:AK159" si="377">D159</f>
        <v>Z01</v>
      </c>
      <c r="X159" s="121" t="str">
        <f t="shared" si="377"/>
        <v>Z02</v>
      </c>
      <c r="Y159" s="121" t="str">
        <f t="shared" si="377"/>
        <v>Z03</v>
      </c>
      <c r="Z159" s="121" t="str">
        <f t="shared" si="377"/>
        <v>Z04</v>
      </c>
      <c r="AA159" s="121" t="str">
        <f t="shared" si="377"/>
        <v>Z05</v>
      </c>
      <c r="AB159" s="121" t="str">
        <f t="shared" si="377"/>
        <v>Z06</v>
      </c>
      <c r="AC159" s="121" t="str">
        <f t="shared" si="377"/>
        <v>Z07</v>
      </c>
      <c r="AD159" s="121" t="str">
        <f t="shared" si="377"/>
        <v>Z08</v>
      </c>
      <c r="AE159" s="121" t="str">
        <f t="shared" si="377"/>
        <v>Z09</v>
      </c>
      <c r="AF159" s="121" t="str">
        <f t="shared" si="377"/>
        <v>Z10</v>
      </c>
      <c r="AG159" s="121" t="str">
        <f t="shared" si="377"/>
        <v>Z11</v>
      </c>
      <c r="AH159" s="121" t="str">
        <f t="shared" si="377"/>
        <v>Z12</v>
      </c>
      <c r="AI159" s="121" t="str">
        <f t="shared" si="377"/>
        <v>Z13</v>
      </c>
      <c r="AJ159" s="121" t="str">
        <f t="shared" si="377"/>
        <v>Z14</v>
      </c>
      <c r="AK159" s="121" t="str">
        <f t="shared" si="377"/>
        <v>Z15</v>
      </c>
      <c r="AL159" s="121" t="s">
        <v>100</v>
      </c>
    </row>
    <row r="160" spans="2:38" hidden="1" x14ac:dyDescent="0.3">
      <c r="B160" s="250" t="s">
        <v>164</v>
      </c>
      <c r="C160" s="250" t="s">
        <v>382</v>
      </c>
      <c r="D160" s="444">
        <f>$U160*W160</f>
        <v>0</v>
      </c>
      <c r="E160" s="496">
        <f t="shared" ref="E160:S160" si="378">$U160*X160</f>
        <v>0</v>
      </c>
      <c r="F160" s="496">
        <f t="shared" si="378"/>
        <v>0</v>
      </c>
      <c r="G160" s="496">
        <f t="shared" si="378"/>
        <v>0</v>
      </c>
      <c r="H160" s="496">
        <f t="shared" si="378"/>
        <v>0</v>
      </c>
      <c r="I160" s="496">
        <f t="shared" si="378"/>
        <v>0</v>
      </c>
      <c r="J160" s="496">
        <f t="shared" si="378"/>
        <v>0</v>
      </c>
      <c r="K160" s="496">
        <f t="shared" si="378"/>
        <v>0</v>
      </c>
      <c r="L160" s="496">
        <f t="shared" si="378"/>
        <v>0</v>
      </c>
      <c r="M160" s="496">
        <f t="shared" si="378"/>
        <v>0</v>
      </c>
      <c r="N160" s="496">
        <f t="shared" si="378"/>
        <v>0</v>
      </c>
      <c r="O160" s="496">
        <f t="shared" si="378"/>
        <v>0</v>
      </c>
      <c r="P160" s="496">
        <f t="shared" si="378"/>
        <v>0</v>
      </c>
      <c r="Q160" s="496">
        <f t="shared" si="378"/>
        <v>0</v>
      </c>
      <c r="R160" s="496">
        <f t="shared" si="378"/>
        <v>0</v>
      </c>
      <c r="S160" s="444">
        <f t="shared" si="378"/>
        <v>0</v>
      </c>
      <c r="U160" s="335">
        <f>'T_Stock_TOTAL_&amp;_City'!U160-'T_Stock_TOTAL_&amp;_City'!V160</f>
        <v>0</v>
      </c>
      <c r="W160" s="519">
        <f t="shared" ref="W160:AK160" si="379">W$6</f>
        <v>0</v>
      </c>
      <c r="X160" s="519">
        <f t="shared" si="379"/>
        <v>0</v>
      </c>
      <c r="Y160" s="519">
        <f t="shared" si="379"/>
        <v>0</v>
      </c>
      <c r="Z160" s="519">
        <f t="shared" si="379"/>
        <v>0</v>
      </c>
      <c r="AA160" s="519">
        <f t="shared" si="379"/>
        <v>0</v>
      </c>
      <c r="AB160" s="519">
        <f t="shared" si="379"/>
        <v>0</v>
      </c>
      <c r="AC160" s="519">
        <f t="shared" si="379"/>
        <v>0</v>
      </c>
      <c r="AD160" s="519">
        <f t="shared" si="379"/>
        <v>0</v>
      </c>
      <c r="AE160" s="519">
        <f t="shared" si="379"/>
        <v>0</v>
      </c>
      <c r="AF160" s="519">
        <f t="shared" si="379"/>
        <v>0</v>
      </c>
      <c r="AG160" s="519">
        <f t="shared" si="379"/>
        <v>0</v>
      </c>
      <c r="AH160" s="519">
        <f t="shared" si="379"/>
        <v>0</v>
      </c>
      <c r="AI160" s="519">
        <f t="shared" si="379"/>
        <v>0</v>
      </c>
      <c r="AJ160" s="519">
        <f t="shared" si="379"/>
        <v>0</v>
      </c>
      <c r="AK160" s="519">
        <f t="shared" si="379"/>
        <v>0</v>
      </c>
      <c r="AL160" s="531">
        <f t="shared" ref="AL160" si="380">SUM(W160:AK160)</f>
        <v>0</v>
      </c>
    </row>
    <row r="161" spans="2:38" hidden="1" x14ac:dyDescent="0.3">
      <c r="B161" s="131" t="s">
        <v>119</v>
      </c>
      <c r="C161" s="131"/>
      <c r="D161" s="130">
        <f t="shared" ref="D161:S161" si="381">SUM(D160:D160)</f>
        <v>0</v>
      </c>
      <c r="E161" s="130">
        <f t="shared" si="381"/>
        <v>0</v>
      </c>
      <c r="F161" s="130">
        <f t="shared" si="381"/>
        <v>0</v>
      </c>
      <c r="G161" s="130">
        <f t="shared" si="381"/>
        <v>0</v>
      </c>
      <c r="H161" s="130">
        <f t="shared" si="381"/>
        <v>0</v>
      </c>
      <c r="I161" s="130">
        <f t="shared" si="381"/>
        <v>0</v>
      </c>
      <c r="J161" s="130">
        <f t="shared" si="381"/>
        <v>0</v>
      </c>
      <c r="K161" s="130">
        <f t="shared" si="381"/>
        <v>0</v>
      </c>
      <c r="L161" s="130">
        <f t="shared" si="381"/>
        <v>0</v>
      </c>
      <c r="M161" s="130">
        <f t="shared" si="381"/>
        <v>0</v>
      </c>
      <c r="N161" s="130">
        <f t="shared" si="381"/>
        <v>0</v>
      </c>
      <c r="O161" s="130">
        <f t="shared" si="381"/>
        <v>0</v>
      </c>
      <c r="P161" s="130">
        <f t="shared" si="381"/>
        <v>0</v>
      </c>
      <c r="Q161" s="130">
        <f t="shared" si="381"/>
        <v>0</v>
      </c>
      <c r="R161" s="130">
        <f t="shared" si="381"/>
        <v>0</v>
      </c>
      <c r="S161" s="130">
        <f t="shared" si="381"/>
        <v>0</v>
      </c>
      <c r="U161" s="130">
        <f>U160</f>
        <v>0</v>
      </c>
    </row>
    <row r="162" spans="2:38" hidden="1" x14ac:dyDescent="0.3"/>
    <row r="163" spans="2:38" hidden="1" x14ac:dyDescent="0.3">
      <c r="B163" s="476" t="s">
        <v>172</v>
      </c>
      <c r="C163" s="339"/>
      <c r="W163" s="3" t="s">
        <v>299</v>
      </c>
    </row>
    <row r="164" spans="2:38" hidden="1" x14ac:dyDescent="0.3">
      <c r="B164" s="476" t="s">
        <v>103</v>
      </c>
      <c r="C164" s="264" t="s">
        <v>104</v>
      </c>
      <c r="D164" s="121" t="str">
        <f>D$9</f>
        <v>Z01</v>
      </c>
      <c r="E164" s="121" t="str">
        <f t="shared" ref="E164:R164" si="382">E$9</f>
        <v>Z02</v>
      </c>
      <c r="F164" s="121" t="str">
        <f t="shared" si="382"/>
        <v>Z03</v>
      </c>
      <c r="G164" s="121" t="str">
        <f t="shared" si="382"/>
        <v>Z04</v>
      </c>
      <c r="H164" s="121" t="str">
        <f t="shared" si="382"/>
        <v>Z05</v>
      </c>
      <c r="I164" s="121" t="str">
        <f t="shared" si="382"/>
        <v>Z06</v>
      </c>
      <c r="J164" s="121" t="str">
        <f t="shared" si="382"/>
        <v>Z07</v>
      </c>
      <c r="K164" s="121" t="str">
        <f t="shared" si="382"/>
        <v>Z08</v>
      </c>
      <c r="L164" s="121" t="str">
        <f t="shared" si="382"/>
        <v>Z09</v>
      </c>
      <c r="M164" s="121" t="str">
        <f t="shared" si="382"/>
        <v>Z10</v>
      </c>
      <c r="N164" s="121" t="str">
        <f t="shared" si="382"/>
        <v>Z11</v>
      </c>
      <c r="O164" s="121" t="str">
        <f t="shared" si="382"/>
        <v>Z12</v>
      </c>
      <c r="P164" s="121" t="str">
        <f t="shared" si="382"/>
        <v>Z13</v>
      </c>
      <c r="Q164" s="121" t="str">
        <f t="shared" si="382"/>
        <v>Z14</v>
      </c>
      <c r="R164" s="121" t="str">
        <f t="shared" si="382"/>
        <v>Z15</v>
      </c>
      <c r="S164" s="121" t="s">
        <v>100</v>
      </c>
      <c r="U164" s="17" t="str">
        <f>U$9</f>
        <v>Private stock</v>
      </c>
      <c r="W164" s="121" t="str">
        <f t="shared" ref="W164:AK164" si="383">D164</f>
        <v>Z01</v>
      </c>
      <c r="X164" s="121" t="str">
        <f t="shared" si="383"/>
        <v>Z02</v>
      </c>
      <c r="Y164" s="121" t="str">
        <f t="shared" si="383"/>
        <v>Z03</v>
      </c>
      <c r="Z164" s="121" t="str">
        <f t="shared" si="383"/>
        <v>Z04</v>
      </c>
      <c r="AA164" s="121" t="str">
        <f t="shared" si="383"/>
        <v>Z05</v>
      </c>
      <c r="AB164" s="121" t="str">
        <f t="shared" si="383"/>
        <v>Z06</v>
      </c>
      <c r="AC164" s="121" t="str">
        <f t="shared" si="383"/>
        <v>Z07</v>
      </c>
      <c r="AD164" s="121" t="str">
        <f t="shared" si="383"/>
        <v>Z08</v>
      </c>
      <c r="AE164" s="121" t="str">
        <f t="shared" si="383"/>
        <v>Z09</v>
      </c>
      <c r="AF164" s="121" t="str">
        <f t="shared" si="383"/>
        <v>Z10</v>
      </c>
      <c r="AG164" s="121" t="str">
        <f t="shared" si="383"/>
        <v>Z11</v>
      </c>
      <c r="AH164" s="121" t="str">
        <f t="shared" si="383"/>
        <v>Z12</v>
      </c>
      <c r="AI164" s="121" t="str">
        <f t="shared" si="383"/>
        <v>Z13</v>
      </c>
      <c r="AJ164" s="121" t="str">
        <f t="shared" si="383"/>
        <v>Z14</v>
      </c>
      <c r="AK164" s="121" t="str">
        <f t="shared" si="383"/>
        <v>Z15</v>
      </c>
      <c r="AL164" s="121" t="s">
        <v>100</v>
      </c>
    </row>
    <row r="165" spans="2:38" s="123" customFormat="1" hidden="1" x14ac:dyDescent="0.3">
      <c r="B165" s="385" t="s">
        <v>178</v>
      </c>
      <c r="C165" s="403" t="s">
        <v>216</v>
      </c>
      <c r="D165" s="683">
        <f>$U165*W165</f>
        <v>0</v>
      </c>
      <c r="E165" s="683">
        <f t="shared" ref="E165:E175" si="384">$U165*X165</f>
        <v>0</v>
      </c>
      <c r="F165" s="683">
        <f t="shared" ref="F165:F175" si="385">$U165*Y165</f>
        <v>0</v>
      </c>
      <c r="G165" s="683">
        <f t="shared" ref="G165:G175" si="386">$U165*Z165</f>
        <v>0</v>
      </c>
      <c r="H165" s="683">
        <f t="shared" ref="H165:H175" si="387">$U165*AA165</f>
        <v>0</v>
      </c>
      <c r="I165" s="683">
        <f t="shared" ref="I165:I175" si="388">$U165*AB165</f>
        <v>0</v>
      </c>
      <c r="J165" s="683">
        <f t="shared" ref="J165:J175" si="389">$U165*AC165</f>
        <v>0</v>
      </c>
      <c r="K165" s="683">
        <f t="shared" ref="K165:K175" si="390">$U165*AD165</f>
        <v>0</v>
      </c>
      <c r="L165" s="683">
        <f t="shared" ref="L165:L175" si="391">$U165*AE165</f>
        <v>0</v>
      </c>
      <c r="M165" s="683">
        <f t="shared" ref="M165:M175" si="392">$U165*AF165</f>
        <v>0</v>
      </c>
      <c r="N165" s="683">
        <f t="shared" ref="N165:N175" si="393">$U165*AG165</f>
        <v>0</v>
      </c>
      <c r="O165" s="683">
        <f t="shared" ref="O165:O175" si="394">$U165*AH165</f>
        <v>0</v>
      </c>
      <c r="P165" s="683">
        <f t="shared" ref="P165:P175" si="395">$U165*AI165</f>
        <v>0</v>
      </c>
      <c r="Q165" s="683">
        <f t="shared" ref="Q165:Q175" si="396">$U165*AJ165</f>
        <v>0</v>
      </c>
      <c r="R165" s="683">
        <f t="shared" ref="R165:R175" si="397">$U165*AK165</f>
        <v>0</v>
      </c>
      <c r="S165" s="683">
        <f t="shared" ref="S165:S175" si="398">$U165*AL165</f>
        <v>0</v>
      </c>
      <c r="U165" s="533">
        <f>'T_Stock_TOTAL_&amp;_City'!U165-'T_Stock_TOTAL_&amp;_City'!V165</f>
        <v>0</v>
      </c>
      <c r="W165" s="520">
        <f t="shared" ref="W165:AK175" si="399">W$6</f>
        <v>0</v>
      </c>
      <c r="X165" s="520">
        <f t="shared" si="399"/>
        <v>0</v>
      </c>
      <c r="Y165" s="520">
        <f t="shared" si="399"/>
        <v>0</v>
      </c>
      <c r="Z165" s="520">
        <f t="shared" si="399"/>
        <v>0</v>
      </c>
      <c r="AA165" s="520">
        <f t="shared" si="399"/>
        <v>0</v>
      </c>
      <c r="AB165" s="520">
        <f t="shared" si="399"/>
        <v>0</v>
      </c>
      <c r="AC165" s="520">
        <f t="shared" si="399"/>
        <v>0</v>
      </c>
      <c r="AD165" s="520">
        <f t="shared" si="399"/>
        <v>0</v>
      </c>
      <c r="AE165" s="520">
        <f t="shared" si="399"/>
        <v>0</v>
      </c>
      <c r="AF165" s="520">
        <f t="shared" si="399"/>
        <v>0</v>
      </c>
      <c r="AG165" s="520">
        <f t="shared" si="399"/>
        <v>0</v>
      </c>
      <c r="AH165" s="520">
        <f t="shared" si="399"/>
        <v>0</v>
      </c>
      <c r="AI165" s="520">
        <f t="shared" si="399"/>
        <v>0</v>
      </c>
      <c r="AJ165" s="520">
        <f t="shared" si="399"/>
        <v>0</v>
      </c>
      <c r="AK165" s="520">
        <f t="shared" si="399"/>
        <v>0</v>
      </c>
      <c r="AL165" s="532">
        <f t="shared" ref="AL165:AL175" si="400">SUM(W165:AH165)</f>
        <v>0</v>
      </c>
    </row>
    <row r="166" spans="2:38" s="123" customFormat="1" hidden="1" x14ac:dyDescent="0.3">
      <c r="B166" s="385" t="s">
        <v>179</v>
      </c>
      <c r="C166" s="403" t="s">
        <v>217</v>
      </c>
      <c r="D166" s="683">
        <f t="shared" ref="D166:D175" si="401">$U166*W166</f>
        <v>0</v>
      </c>
      <c r="E166" s="683">
        <f t="shared" si="384"/>
        <v>0</v>
      </c>
      <c r="F166" s="683">
        <f t="shared" si="385"/>
        <v>0</v>
      </c>
      <c r="G166" s="683">
        <f t="shared" si="386"/>
        <v>0</v>
      </c>
      <c r="H166" s="683">
        <f t="shared" si="387"/>
        <v>0</v>
      </c>
      <c r="I166" s="683">
        <f t="shared" si="388"/>
        <v>0</v>
      </c>
      <c r="J166" s="683">
        <f t="shared" si="389"/>
        <v>0</v>
      </c>
      <c r="K166" s="683">
        <f t="shared" si="390"/>
        <v>0</v>
      </c>
      <c r="L166" s="683">
        <f t="shared" si="391"/>
        <v>0</v>
      </c>
      <c r="M166" s="683">
        <f t="shared" si="392"/>
        <v>0</v>
      </c>
      <c r="N166" s="683">
        <f t="shared" si="393"/>
        <v>0</v>
      </c>
      <c r="O166" s="683">
        <f t="shared" si="394"/>
        <v>0</v>
      </c>
      <c r="P166" s="683">
        <f t="shared" si="395"/>
        <v>0</v>
      </c>
      <c r="Q166" s="683">
        <f t="shared" si="396"/>
        <v>0</v>
      </c>
      <c r="R166" s="683">
        <f t="shared" si="397"/>
        <v>0</v>
      </c>
      <c r="S166" s="683">
        <f t="shared" si="398"/>
        <v>0</v>
      </c>
      <c r="U166" s="533">
        <f>'T_Stock_TOTAL_&amp;_City'!U166-'T_Stock_TOTAL_&amp;_City'!V166</f>
        <v>0</v>
      </c>
      <c r="W166" s="520">
        <f t="shared" si="399"/>
        <v>0</v>
      </c>
      <c r="X166" s="520">
        <f t="shared" si="399"/>
        <v>0</v>
      </c>
      <c r="Y166" s="520">
        <f t="shared" si="399"/>
        <v>0</v>
      </c>
      <c r="Z166" s="520">
        <f t="shared" si="399"/>
        <v>0</v>
      </c>
      <c r="AA166" s="520">
        <f t="shared" si="399"/>
        <v>0</v>
      </c>
      <c r="AB166" s="520">
        <f t="shared" si="399"/>
        <v>0</v>
      </c>
      <c r="AC166" s="520">
        <f t="shared" si="399"/>
        <v>0</v>
      </c>
      <c r="AD166" s="520">
        <f t="shared" si="399"/>
        <v>0</v>
      </c>
      <c r="AE166" s="520">
        <f t="shared" si="399"/>
        <v>0</v>
      </c>
      <c r="AF166" s="520">
        <f t="shared" si="399"/>
        <v>0</v>
      </c>
      <c r="AG166" s="520">
        <f t="shared" si="399"/>
        <v>0</v>
      </c>
      <c r="AH166" s="520">
        <f t="shared" si="399"/>
        <v>0</v>
      </c>
      <c r="AI166" s="520">
        <f t="shared" si="399"/>
        <v>0</v>
      </c>
      <c r="AJ166" s="520">
        <f t="shared" si="399"/>
        <v>0</v>
      </c>
      <c r="AK166" s="520">
        <f t="shared" si="399"/>
        <v>0</v>
      </c>
      <c r="AL166" s="532">
        <f t="shared" si="400"/>
        <v>0</v>
      </c>
    </row>
    <row r="167" spans="2:38" s="123" customFormat="1" hidden="1" x14ac:dyDescent="0.3">
      <c r="B167" s="384" t="s">
        <v>182</v>
      </c>
      <c r="C167" s="403" t="s">
        <v>383</v>
      </c>
      <c r="D167" s="683">
        <f t="shared" si="401"/>
        <v>0</v>
      </c>
      <c r="E167" s="683">
        <f t="shared" si="384"/>
        <v>0</v>
      </c>
      <c r="F167" s="683">
        <f t="shared" si="385"/>
        <v>0</v>
      </c>
      <c r="G167" s="683">
        <f t="shared" si="386"/>
        <v>0</v>
      </c>
      <c r="H167" s="683">
        <f t="shared" si="387"/>
        <v>0</v>
      </c>
      <c r="I167" s="683">
        <f t="shared" si="388"/>
        <v>0</v>
      </c>
      <c r="J167" s="683">
        <f t="shared" si="389"/>
        <v>0</v>
      </c>
      <c r="K167" s="683">
        <f t="shared" si="390"/>
        <v>0</v>
      </c>
      <c r="L167" s="683">
        <f t="shared" si="391"/>
        <v>0</v>
      </c>
      <c r="M167" s="683">
        <f t="shared" si="392"/>
        <v>0</v>
      </c>
      <c r="N167" s="683">
        <f t="shared" si="393"/>
        <v>0</v>
      </c>
      <c r="O167" s="683">
        <f t="shared" si="394"/>
        <v>0</v>
      </c>
      <c r="P167" s="683">
        <f t="shared" si="395"/>
        <v>0</v>
      </c>
      <c r="Q167" s="683">
        <f t="shared" si="396"/>
        <v>0</v>
      </c>
      <c r="R167" s="683">
        <f t="shared" si="397"/>
        <v>0</v>
      </c>
      <c r="S167" s="683">
        <f t="shared" si="398"/>
        <v>0</v>
      </c>
      <c r="U167" s="533">
        <f>'T_Stock_TOTAL_&amp;_City'!U167-'T_Stock_TOTAL_&amp;_City'!V167</f>
        <v>0</v>
      </c>
      <c r="W167" s="520">
        <f t="shared" si="399"/>
        <v>0</v>
      </c>
      <c r="X167" s="520">
        <f t="shared" si="399"/>
        <v>0</v>
      </c>
      <c r="Y167" s="520">
        <f t="shared" si="399"/>
        <v>0</v>
      </c>
      <c r="Z167" s="520">
        <f t="shared" si="399"/>
        <v>0</v>
      </c>
      <c r="AA167" s="520">
        <f t="shared" si="399"/>
        <v>0</v>
      </c>
      <c r="AB167" s="520">
        <f t="shared" si="399"/>
        <v>0</v>
      </c>
      <c r="AC167" s="520">
        <f t="shared" si="399"/>
        <v>0</v>
      </c>
      <c r="AD167" s="520">
        <f t="shared" si="399"/>
        <v>0</v>
      </c>
      <c r="AE167" s="520">
        <f t="shared" si="399"/>
        <v>0</v>
      </c>
      <c r="AF167" s="520">
        <f t="shared" si="399"/>
        <v>0</v>
      </c>
      <c r="AG167" s="520">
        <f t="shared" si="399"/>
        <v>0</v>
      </c>
      <c r="AH167" s="520">
        <f t="shared" si="399"/>
        <v>0</v>
      </c>
      <c r="AI167" s="520">
        <f t="shared" si="399"/>
        <v>0</v>
      </c>
      <c r="AJ167" s="520">
        <f t="shared" si="399"/>
        <v>0</v>
      </c>
      <c r="AK167" s="520">
        <f t="shared" si="399"/>
        <v>0</v>
      </c>
      <c r="AL167" s="532">
        <f t="shared" si="400"/>
        <v>0</v>
      </c>
    </row>
    <row r="168" spans="2:38" s="123" customFormat="1" hidden="1" x14ac:dyDescent="0.3">
      <c r="B168" s="384" t="s">
        <v>183</v>
      </c>
      <c r="C168" s="403" t="s">
        <v>384</v>
      </c>
      <c r="D168" s="683">
        <f t="shared" si="401"/>
        <v>0</v>
      </c>
      <c r="E168" s="683">
        <f t="shared" si="384"/>
        <v>0</v>
      </c>
      <c r="F168" s="683">
        <f t="shared" si="385"/>
        <v>0</v>
      </c>
      <c r="G168" s="683">
        <f t="shared" si="386"/>
        <v>0</v>
      </c>
      <c r="H168" s="683">
        <f t="shared" si="387"/>
        <v>0</v>
      </c>
      <c r="I168" s="683">
        <f t="shared" si="388"/>
        <v>0</v>
      </c>
      <c r="J168" s="683">
        <f t="shared" si="389"/>
        <v>0</v>
      </c>
      <c r="K168" s="683">
        <f t="shared" si="390"/>
        <v>0</v>
      </c>
      <c r="L168" s="683">
        <f t="shared" si="391"/>
        <v>0</v>
      </c>
      <c r="M168" s="683">
        <f t="shared" si="392"/>
        <v>0</v>
      </c>
      <c r="N168" s="683">
        <f t="shared" si="393"/>
        <v>0</v>
      </c>
      <c r="O168" s="683">
        <f t="shared" si="394"/>
        <v>0</v>
      </c>
      <c r="P168" s="683">
        <f t="shared" si="395"/>
        <v>0</v>
      </c>
      <c r="Q168" s="683">
        <f t="shared" si="396"/>
        <v>0</v>
      </c>
      <c r="R168" s="683">
        <f t="shared" si="397"/>
        <v>0</v>
      </c>
      <c r="S168" s="683">
        <f t="shared" si="398"/>
        <v>0</v>
      </c>
      <c r="U168" s="533">
        <f>'T_Stock_TOTAL_&amp;_City'!U168-'T_Stock_TOTAL_&amp;_City'!V168</f>
        <v>0</v>
      </c>
      <c r="W168" s="520">
        <f t="shared" si="399"/>
        <v>0</v>
      </c>
      <c r="X168" s="520">
        <f t="shared" si="399"/>
        <v>0</v>
      </c>
      <c r="Y168" s="520">
        <f t="shared" si="399"/>
        <v>0</v>
      </c>
      <c r="Z168" s="520">
        <f t="shared" si="399"/>
        <v>0</v>
      </c>
      <c r="AA168" s="520">
        <f t="shared" si="399"/>
        <v>0</v>
      </c>
      <c r="AB168" s="520">
        <f t="shared" si="399"/>
        <v>0</v>
      </c>
      <c r="AC168" s="520">
        <f t="shared" si="399"/>
        <v>0</v>
      </c>
      <c r="AD168" s="520">
        <f t="shared" si="399"/>
        <v>0</v>
      </c>
      <c r="AE168" s="520">
        <f t="shared" si="399"/>
        <v>0</v>
      </c>
      <c r="AF168" s="520">
        <f t="shared" si="399"/>
        <v>0</v>
      </c>
      <c r="AG168" s="520">
        <f t="shared" si="399"/>
        <v>0</v>
      </c>
      <c r="AH168" s="520">
        <f t="shared" si="399"/>
        <v>0</v>
      </c>
      <c r="AI168" s="520">
        <f t="shared" si="399"/>
        <v>0</v>
      </c>
      <c r="AJ168" s="520">
        <f t="shared" si="399"/>
        <v>0</v>
      </c>
      <c r="AK168" s="520">
        <f t="shared" si="399"/>
        <v>0</v>
      </c>
      <c r="AL168" s="532">
        <f t="shared" si="400"/>
        <v>0</v>
      </c>
    </row>
    <row r="169" spans="2:38" s="123" customFormat="1" hidden="1" x14ac:dyDescent="0.3">
      <c r="B169" s="383" t="s">
        <v>173</v>
      </c>
      <c r="C169" s="403" t="s">
        <v>218</v>
      </c>
      <c r="D169" s="683">
        <f t="shared" si="401"/>
        <v>0</v>
      </c>
      <c r="E169" s="683">
        <f t="shared" si="384"/>
        <v>0</v>
      </c>
      <c r="F169" s="683">
        <f t="shared" si="385"/>
        <v>0</v>
      </c>
      <c r="G169" s="683">
        <f t="shared" si="386"/>
        <v>0</v>
      </c>
      <c r="H169" s="683">
        <f t="shared" si="387"/>
        <v>0</v>
      </c>
      <c r="I169" s="683">
        <f t="shared" si="388"/>
        <v>0</v>
      </c>
      <c r="J169" s="683">
        <f t="shared" si="389"/>
        <v>0</v>
      </c>
      <c r="K169" s="683">
        <f t="shared" si="390"/>
        <v>0</v>
      </c>
      <c r="L169" s="683">
        <f t="shared" si="391"/>
        <v>0</v>
      </c>
      <c r="M169" s="683">
        <f t="shared" si="392"/>
        <v>0</v>
      </c>
      <c r="N169" s="683">
        <f t="shared" si="393"/>
        <v>0</v>
      </c>
      <c r="O169" s="683">
        <f t="shared" si="394"/>
        <v>0</v>
      </c>
      <c r="P169" s="683">
        <f t="shared" si="395"/>
        <v>0</v>
      </c>
      <c r="Q169" s="683">
        <f t="shared" si="396"/>
        <v>0</v>
      </c>
      <c r="R169" s="683">
        <f t="shared" si="397"/>
        <v>0</v>
      </c>
      <c r="S169" s="683">
        <f t="shared" si="398"/>
        <v>0</v>
      </c>
      <c r="U169" s="533">
        <f>'T_Stock_TOTAL_&amp;_City'!U169-'T_Stock_TOTAL_&amp;_City'!V169</f>
        <v>0</v>
      </c>
      <c r="W169" s="520">
        <f t="shared" si="399"/>
        <v>0</v>
      </c>
      <c r="X169" s="520">
        <f t="shared" si="399"/>
        <v>0</v>
      </c>
      <c r="Y169" s="520">
        <f t="shared" si="399"/>
        <v>0</v>
      </c>
      <c r="Z169" s="520">
        <f t="shared" si="399"/>
        <v>0</v>
      </c>
      <c r="AA169" s="520">
        <f t="shared" si="399"/>
        <v>0</v>
      </c>
      <c r="AB169" s="520">
        <f t="shared" si="399"/>
        <v>0</v>
      </c>
      <c r="AC169" s="520">
        <f t="shared" si="399"/>
        <v>0</v>
      </c>
      <c r="AD169" s="520">
        <f t="shared" si="399"/>
        <v>0</v>
      </c>
      <c r="AE169" s="520">
        <f t="shared" si="399"/>
        <v>0</v>
      </c>
      <c r="AF169" s="520">
        <f t="shared" si="399"/>
        <v>0</v>
      </c>
      <c r="AG169" s="520">
        <f t="shared" si="399"/>
        <v>0</v>
      </c>
      <c r="AH169" s="520">
        <f t="shared" si="399"/>
        <v>0</v>
      </c>
      <c r="AI169" s="520">
        <f t="shared" si="399"/>
        <v>0</v>
      </c>
      <c r="AJ169" s="520">
        <f t="shared" si="399"/>
        <v>0</v>
      </c>
      <c r="AK169" s="520">
        <f t="shared" si="399"/>
        <v>0</v>
      </c>
      <c r="AL169" s="532">
        <f t="shared" si="400"/>
        <v>0</v>
      </c>
    </row>
    <row r="170" spans="2:38" s="123" customFormat="1" hidden="1" x14ac:dyDescent="0.3">
      <c r="B170" s="384" t="s">
        <v>174</v>
      </c>
      <c r="C170" s="403" t="s">
        <v>219</v>
      </c>
      <c r="D170" s="683">
        <f t="shared" si="401"/>
        <v>0</v>
      </c>
      <c r="E170" s="683">
        <f t="shared" si="384"/>
        <v>0</v>
      </c>
      <c r="F170" s="683">
        <f t="shared" si="385"/>
        <v>0</v>
      </c>
      <c r="G170" s="683">
        <f t="shared" si="386"/>
        <v>0</v>
      </c>
      <c r="H170" s="683">
        <f t="shared" si="387"/>
        <v>0</v>
      </c>
      <c r="I170" s="683">
        <f t="shared" si="388"/>
        <v>0</v>
      </c>
      <c r="J170" s="683">
        <f t="shared" si="389"/>
        <v>0</v>
      </c>
      <c r="K170" s="683">
        <f t="shared" si="390"/>
        <v>0</v>
      </c>
      <c r="L170" s="683">
        <f t="shared" si="391"/>
        <v>0</v>
      </c>
      <c r="M170" s="683">
        <f t="shared" si="392"/>
        <v>0</v>
      </c>
      <c r="N170" s="683">
        <f t="shared" si="393"/>
        <v>0</v>
      </c>
      <c r="O170" s="683">
        <f t="shared" si="394"/>
        <v>0</v>
      </c>
      <c r="P170" s="683">
        <f t="shared" si="395"/>
        <v>0</v>
      </c>
      <c r="Q170" s="683">
        <f t="shared" si="396"/>
        <v>0</v>
      </c>
      <c r="R170" s="683">
        <f t="shared" si="397"/>
        <v>0</v>
      </c>
      <c r="S170" s="683">
        <f t="shared" si="398"/>
        <v>0</v>
      </c>
      <c r="U170" s="533">
        <f>'T_Stock_TOTAL_&amp;_City'!U170-'T_Stock_TOTAL_&amp;_City'!V170</f>
        <v>0</v>
      </c>
      <c r="W170" s="520">
        <f t="shared" si="399"/>
        <v>0</v>
      </c>
      <c r="X170" s="520">
        <f t="shared" si="399"/>
        <v>0</v>
      </c>
      <c r="Y170" s="520">
        <f t="shared" si="399"/>
        <v>0</v>
      </c>
      <c r="Z170" s="520">
        <f t="shared" si="399"/>
        <v>0</v>
      </c>
      <c r="AA170" s="520">
        <f t="shared" si="399"/>
        <v>0</v>
      </c>
      <c r="AB170" s="520">
        <f t="shared" si="399"/>
        <v>0</v>
      </c>
      <c r="AC170" s="520">
        <f t="shared" si="399"/>
        <v>0</v>
      </c>
      <c r="AD170" s="520">
        <f t="shared" si="399"/>
        <v>0</v>
      </c>
      <c r="AE170" s="520">
        <f t="shared" si="399"/>
        <v>0</v>
      </c>
      <c r="AF170" s="520">
        <f t="shared" si="399"/>
        <v>0</v>
      </c>
      <c r="AG170" s="520">
        <f t="shared" si="399"/>
        <v>0</v>
      </c>
      <c r="AH170" s="520">
        <f t="shared" si="399"/>
        <v>0</v>
      </c>
      <c r="AI170" s="520">
        <f t="shared" si="399"/>
        <v>0</v>
      </c>
      <c r="AJ170" s="520">
        <f t="shared" si="399"/>
        <v>0</v>
      </c>
      <c r="AK170" s="520">
        <f t="shared" si="399"/>
        <v>0</v>
      </c>
      <c r="AL170" s="532">
        <f t="shared" si="400"/>
        <v>0</v>
      </c>
    </row>
    <row r="171" spans="2:38" s="123" customFormat="1" hidden="1" x14ac:dyDescent="0.3">
      <c r="B171" s="384" t="s">
        <v>177</v>
      </c>
      <c r="C171" s="403" t="s">
        <v>224</v>
      </c>
      <c r="D171" s="683">
        <f t="shared" si="401"/>
        <v>0</v>
      </c>
      <c r="E171" s="683">
        <f t="shared" si="384"/>
        <v>0</v>
      </c>
      <c r="F171" s="683">
        <f t="shared" si="385"/>
        <v>0</v>
      </c>
      <c r="G171" s="683">
        <f t="shared" si="386"/>
        <v>0</v>
      </c>
      <c r="H171" s="683">
        <f t="shared" si="387"/>
        <v>0</v>
      </c>
      <c r="I171" s="683">
        <f t="shared" si="388"/>
        <v>0</v>
      </c>
      <c r="J171" s="683">
        <f t="shared" si="389"/>
        <v>0</v>
      </c>
      <c r="K171" s="683">
        <f t="shared" si="390"/>
        <v>0</v>
      </c>
      <c r="L171" s="683">
        <f t="shared" si="391"/>
        <v>0</v>
      </c>
      <c r="M171" s="683">
        <f t="shared" si="392"/>
        <v>0</v>
      </c>
      <c r="N171" s="683">
        <f t="shared" si="393"/>
        <v>0</v>
      </c>
      <c r="O171" s="683">
        <f t="shared" si="394"/>
        <v>0</v>
      </c>
      <c r="P171" s="683">
        <f t="shared" si="395"/>
        <v>0</v>
      </c>
      <c r="Q171" s="683">
        <f t="shared" si="396"/>
        <v>0</v>
      </c>
      <c r="R171" s="683">
        <f t="shared" si="397"/>
        <v>0</v>
      </c>
      <c r="S171" s="683">
        <f t="shared" si="398"/>
        <v>0</v>
      </c>
      <c r="U171" s="533">
        <f>'T_Stock_TOTAL_&amp;_City'!U171-'T_Stock_TOTAL_&amp;_City'!V171</f>
        <v>0</v>
      </c>
      <c r="W171" s="520">
        <f t="shared" si="399"/>
        <v>0</v>
      </c>
      <c r="X171" s="520">
        <f t="shared" si="399"/>
        <v>0</v>
      </c>
      <c r="Y171" s="520">
        <f t="shared" si="399"/>
        <v>0</v>
      </c>
      <c r="Z171" s="520">
        <f t="shared" si="399"/>
        <v>0</v>
      </c>
      <c r="AA171" s="520">
        <f t="shared" si="399"/>
        <v>0</v>
      </c>
      <c r="AB171" s="520">
        <f t="shared" si="399"/>
        <v>0</v>
      </c>
      <c r="AC171" s="520">
        <f t="shared" si="399"/>
        <v>0</v>
      </c>
      <c r="AD171" s="520">
        <f t="shared" si="399"/>
        <v>0</v>
      </c>
      <c r="AE171" s="520">
        <f t="shared" si="399"/>
        <v>0</v>
      </c>
      <c r="AF171" s="520">
        <f t="shared" si="399"/>
        <v>0</v>
      </c>
      <c r="AG171" s="520">
        <f t="shared" si="399"/>
        <v>0</v>
      </c>
      <c r="AH171" s="520">
        <f t="shared" si="399"/>
        <v>0</v>
      </c>
      <c r="AI171" s="520">
        <f t="shared" si="399"/>
        <v>0</v>
      </c>
      <c r="AJ171" s="520">
        <f t="shared" si="399"/>
        <v>0</v>
      </c>
      <c r="AK171" s="520">
        <f t="shared" si="399"/>
        <v>0</v>
      </c>
      <c r="AL171" s="532">
        <f t="shared" si="400"/>
        <v>0</v>
      </c>
    </row>
    <row r="172" spans="2:38" s="123" customFormat="1" hidden="1" x14ac:dyDescent="0.3">
      <c r="B172" s="385" t="s">
        <v>181</v>
      </c>
      <c r="C172" s="403" t="s">
        <v>385</v>
      </c>
      <c r="D172" s="683">
        <f t="shared" si="401"/>
        <v>0</v>
      </c>
      <c r="E172" s="683">
        <f t="shared" si="384"/>
        <v>0</v>
      </c>
      <c r="F172" s="683">
        <f t="shared" si="385"/>
        <v>0</v>
      </c>
      <c r="G172" s="683">
        <f t="shared" si="386"/>
        <v>0</v>
      </c>
      <c r="H172" s="683">
        <f t="shared" si="387"/>
        <v>0</v>
      </c>
      <c r="I172" s="683">
        <f t="shared" si="388"/>
        <v>0</v>
      </c>
      <c r="J172" s="683">
        <f t="shared" si="389"/>
        <v>0</v>
      </c>
      <c r="K172" s="683">
        <f t="shared" si="390"/>
        <v>0</v>
      </c>
      <c r="L172" s="683">
        <f t="shared" si="391"/>
        <v>0</v>
      </c>
      <c r="M172" s="683">
        <f t="shared" si="392"/>
        <v>0</v>
      </c>
      <c r="N172" s="683">
        <f t="shared" si="393"/>
        <v>0</v>
      </c>
      <c r="O172" s="683">
        <f t="shared" si="394"/>
        <v>0</v>
      </c>
      <c r="P172" s="683">
        <f t="shared" si="395"/>
        <v>0</v>
      </c>
      <c r="Q172" s="683">
        <f t="shared" si="396"/>
        <v>0</v>
      </c>
      <c r="R172" s="683">
        <f t="shared" si="397"/>
        <v>0</v>
      </c>
      <c r="S172" s="683">
        <f t="shared" si="398"/>
        <v>0</v>
      </c>
      <c r="U172" s="533">
        <f>'T_Stock_TOTAL_&amp;_City'!U172-'T_Stock_TOTAL_&amp;_City'!V172</f>
        <v>0</v>
      </c>
      <c r="W172" s="520">
        <f t="shared" si="399"/>
        <v>0</v>
      </c>
      <c r="X172" s="520">
        <f t="shared" si="399"/>
        <v>0</v>
      </c>
      <c r="Y172" s="520">
        <f t="shared" si="399"/>
        <v>0</v>
      </c>
      <c r="Z172" s="520">
        <f t="shared" si="399"/>
        <v>0</v>
      </c>
      <c r="AA172" s="520">
        <f t="shared" si="399"/>
        <v>0</v>
      </c>
      <c r="AB172" s="520">
        <f t="shared" si="399"/>
        <v>0</v>
      </c>
      <c r="AC172" s="520">
        <f t="shared" si="399"/>
        <v>0</v>
      </c>
      <c r="AD172" s="520">
        <f t="shared" si="399"/>
        <v>0</v>
      </c>
      <c r="AE172" s="520">
        <f t="shared" si="399"/>
        <v>0</v>
      </c>
      <c r="AF172" s="520">
        <f t="shared" si="399"/>
        <v>0</v>
      </c>
      <c r="AG172" s="520">
        <f t="shared" si="399"/>
        <v>0</v>
      </c>
      <c r="AH172" s="520">
        <f t="shared" si="399"/>
        <v>0</v>
      </c>
      <c r="AI172" s="520">
        <f t="shared" si="399"/>
        <v>0</v>
      </c>
      <c r="AJ172" s="520">
        <f t="shared" si="399"/>
        <v>0</v>
      </c>
      <c r="AK172" s="520">
        <f t="shared" si="399"/>
        <v>0</v>
      </c>
      <c r="AL172" s="532">
        <f t="shared" si="400"/>
        <v>0</v>
      </c>
    </row>
    <row r="173" spans="2:38" s="123" customFormat="1" hidden="1" x14ac:dyDescent="0.3">
      <c r="B173" s="384" t="s">
        <v>176</v>
      </c>
      <c r="C173" s="403" t="s">
        <v>386</v>
      </c>
      <c r="D173" s="683">
        <f t="shared" si="401"/>
        <v>0</v>
      </c>
      <c r="E173" s="683">
        <f t="shared" si="384"/>
        <v>0</v>
      </c>
      <c r="F173" s="683">
        <f t="shared" si="385"/>
        <v>0</v>
      </c>
      <c r="G173" s="683">
        <f t="shared" si="386"/>
        <v>0</v>
      </c>
      <c r="H173" s="683">
        <f t="shared" si="387"/>
        <v>0</v>
      </c>
      <c r="I173" s="683">
        <f t="shared" si="388"/>
        <v>0</v>
      </c>
      <c r="J173" s="683">
        <f t="shared" si="389"/>
        <v>0</v>
      </c>
      <c r="K173" s="683">
        <f t="shared" si="390"/>
        <v>0</v>
      </c>
      <c r="L173" s="683">
        <f t="shared" si="391"/>
        <v>0</v>
      </c>
      <c r="M173" s="683">
        <f t="shared" si="392"/>
        <v>0</v>
      </c>
      <c r="N173" s="683">
        <f t="shared" si="393"/>
        <v>0</v>
      </c>
      <c r="O173" s="683">
        <f t="shared" si="394"/>
        <v>0</v>
      </c>
      <c r="P173" s="683">
        <f t="shared" si="395"/>
        <v>0</v>
      </c>
      <c r="Q173" s="683">
        <f t="shared" si="396"/>
        <v>0</v>
      </c>
      <c r="R173" s="683">
        <f t="shared" si="397"/>
        <v>0</v>
      </c>
      <c r="S173" s="683">
        <f t="shared" si="398"/>
        <v>0</v>
      </c>
      <c r="U173" s="533">
        <f>'T_Stock_TOTAL_&amp;_City'!U173-'T_Stock_TOTAL_&amp;_City'!V173</f>
        <v>0</v>
      </c>
      <c r="W173" s="520">
        <f t="shared" si="399"/>
        <v>0</v>
      </c>
      <c r="X173" s="520">
        <f t="shared" si="399"/>
        <v>0</v>
      </c>
      <c r="Y173" s="520">
        <f t="shared" si="399"/>
        <v>0</v>
      </c>
      <c r="Z173" s="520">
        <f t="shared" si="399"/>
        <v>0</v>
      </c>
      <c r="AA173" s="520">
        <f t="shared" si="399"/>
        <v>0</v>
      </c>
      <c r="AB173" s="520">
        <f t="shared" si="399"/>
        <v>0</v>
      </c>
      <c r="AC173" s="520">
        <f t="shared" si="399"/>
        <v>0</v>
      </c>
      <c r="AD173" s="520">
        <f t="shared" si="399"/>
        <v>0</v>
      </c>
      <c r="AE173" s="520">
        <f t="shared" si="399"/>
        <v>0</v>
      </c>
      <c r="AF173" s="520">
        <f t="shared" si="399"/>
        <v>0</v>
      </c>
      <c r="AG173" s="520">
        <f t="shared" si="399"/>
        <v>0</v>
      </c>
      <c r="AH173" s="520">
        <f t="shared" si="399"/>
        <v>0</v>
      </c>
      <c r="AI173" s="520">
        <f t="shared" si="399"/>
        <v>0</v>
      </c>
      <c r="AJ173" s="520">
        <f t="shared" si="399"/>
        <v>0</v>
      </c>
      <c r="AK173" s="520">
        <f t="shared" si="399"/>
        <v>0</v>
      </c>
      <c r="AL173" s="532">
        <f t="shared" si="400"/>
        <v>0</v>
      </c>
    </row>
    <row r="174" spans="2:38" s="123" customFormat="1" hidden="1" x14ac:dyDescent="0.3">
      <c r="B174" s="385" t="s">
        <v>180</v>
      </c>
      <c r="C174" s="403" t="s">
        <v>387</v>
      </c>
      <c r="D174" s="683">
        <f t="shared" si="401"/>
        <v>0</v>
      </c>
      <c r="E174" s="683">
        <f t="shared" si="384"/>
        <v>0</v>
      </c>
      <c r="F174" s="683">
        <f t="shared" si="385"/>
        <v>0</v>
      </c>
      <c r="G174" s="683">
        <f t="shared" si="386"/>
        <v>0</v>
      </c>
      <c r="H174" s="683">
        <f t="shared" si="387"/>
        <v>0</v>
      </c>
      <c r="I174" s="683">
        <f t="shared" si="388"/>
        <v>0</v>
      </c>
      <c r="J174" s="683">
        <f t="shared" si="389"/>
        <v>0</v>
      </c>
      <c r="K174" s="683">
        <f t="shared" si="390"/>
        <v>0</v>
      </c>
      <c r="L174" s="683">
        <f t="shared" si="391"/>
        <v>0</v>
      </c>
      <c r="M174" s="683">
        <f t="shared" si="392"/>
        <v>0</v>
      </c>
      <c r="N174" s="683">
        <f t="shared" si="393"/>
        <v>0</v>
      </c>
      <c r="O174" s="683">
        <f t="shared" si="394"/>
        <v>0</v>
      </c>
      <c r="P174" s="683">
        <f t="shared" si="395"/>
        <v>0</v>
      </c>
      <c r="Q174" s="683">
        <f t="shared" si="396"/>
        <v>0</v>
      </c>
      <c r="R174" s="683">
        <f t="shared" si="397"/>
        <v>0</v>
      </c>
      <c r="S174" s="683">
        <f t="shared" si="398"/>
        <v>0</v>
      </c>
      <c r="U174" s="533">
        <f>'T_Stock_TOTAL_&amp;_City'!U174-'T_Stock_TOTAL_&amp;_City'!V174</f>
        <v>0</v>
      </c>
      <c r="W174" s="520">
        <f t="shared" si="399"/>
        <v>0</v>
      </c>
      <c r="X174" s="520">
        <f t="shared" si="399"/>
        <v>0</v>
      </c>
      <c r="Y174" s="520">
        <f t="shared" si="399"/>
        <v>0</v>
      </c>
      <c r="Z174" s="520">
        <f t="shared" si="399"/>
        <v>0</v>
      </c>
      <c r="AA174" s="520">
        <f t="shared" si="399"/>
        <v>0</v>
      </c>
      <c r="AB174" s="520">
        <f t="shared" si="399"/>
        <v>0</v>
      </c>
      <c r="AC174" s="520">
        <f t="shared" si="399"/>
        <v>0</v>
      </c>
      <c r="AD174" s="520">
        <f t="shared" si="399"/>
        <v>0</v>
      </c>
      <c r="AE174" s="520">
        <f t="shared" si="399"/>
        <v>0</v>
      </c>
      <c r="AF174" s="520">
        <f t="shared" si="399"/>
        <v>0</v>
      </c>
      <c r="AG174" s="520">
        <f t="shared" si="399"/>
        <v>0</v>
      </c>
      <c r="AH174" s="520">
        <f t="shared" si="399"/>
        <v>0</v>
      </c>
      <c r="AI174" s="520">
        <f t="shared" si="399"/>
        <v>0</v>
      </c>
      <c r="AJ174" s="520">
        <f t="shared" si="399"/>
        <v>0</v>
      </c>
      <c r="AK174" s="520">
        <f t="shared" si="399"/>
        <v>0</v>
      </c>
      <c r="AL174" s="532">
        <f t="shared" si="400"/>
        <v>0</v>
      </c>
    </row>
    <row r="175" spans="2:38" s="123" customFormat="1" hidden="1" x14ac:dyDescent="0.3">
      <c r="B175" s="386" t="s">
        <v>175</v>
      </c>
      <c r="C175" s="404" t="s">
        <v>388</v>
      </c>
      <c r="D175" s="684">
        <f t="shared" si="401"/>
        <v>0</v>
      </c>
      <c r="E175" s="684">
        <f t="shared" si="384"/>
        <v>0</v>
      </c>
      <c r="F175" s="684">
        <f t="shared" si="385"/>
        <v>0</v>
      </c>
      <c r="G175" s="684">
        <f t="shared" si="386"/>
        <v>0</v>
      </c>
      <c r="H175" s="684">
        <f t="shared" si="387"/>
        <v>0</v>
      </c>
      <c r="I175" s="684">
        <f t="shared" si="388"/>
        <v>0</v>
      </c>
      <c r="J175" s="684">
        <f t="shared" si="389"/>
        <v>0</v>
      </c>
      <c r="K175" s="684">
        <f t="shared" si="390"/>
        <v>0</v>
      </c>
      <c r="L175" s="684">
        <f t="shared" si="391"/>
        <v>0</v>
      </c>
      <c r="M175" s="684">
        <f t="shared" si="392"/>
        <v>0</v>
      </c>
      <c r="N175" s="684">
        <f t="shared" si="393"/>
        <v>0</v>
      </c>
      <c r="O175" s="684">
        <f t="shared" si="394"/>
        <v>0</v>
      </c>
      <c r="P175" s="684">
        <f t="shared" si="395"/>
        <v>0</v>
      </c>
      <c r="Q175" s="684">
        <f t="shared" si="396"/>
        <v>0</v>
      </c>
      <c r="R175" s="684">
        <f t="shared" si="397"/>
        <v>0</v>
      </c>
      <c r="S175" s="684">
        <f t="shared" si="398"/>
        <v>0</v>
      </c>
      <c r="U175" s="534">
        <f>'T_Stock_TOTAL_&amp;_City'!U175-'T_Stock_TOTAL_&amp;_City'!V175</f>
        <v>0</v>
      </c>
      <c r="W175" s="520">
        <f t="shared" si="399"/>
        <v>0</v>
      </c>
      <c r="X175" s="520">
        <f t="shared" si="399"/>
        <v>0</v>
      </c>
      <c r="Y175" s="520">
        <f t="shared" si="399"/>
        <v>0</v>
      </c>
      <c r="Z175" s="520">
        <f t="shared" si="399"/>
        <v>0</v>
      </c>
      <c r="AA175" s="520">
        <f t="shared" si="399"/>
        <v>0</v>
      </c>
      <c r="AB175" s="520">
        <f t="shared" si="399"/>
        <v>0</v>
      </c>
      <c r="AC175" s="520">
        <f t="shared" si="399"/>
        <v>0</v>
      </c>
      <c r="AD175" s="520">
        <f t="shared" si="399"/>
        <v>0</v>
      </c>
      <c r="AE175" s="520">
        <f t="shared" si="399"/>
        <v>0</v>
      </c>
      <c r="AF175" s="520">
        <f t="shared" si="399"/>
        <v>0</v>
      </c>
      <c r="AG175" s="520">
        <f t="shared" si="399"/>
        <v>0</v>
      </c>
      <c r="AH175" s="520">
        <f t="shared" si="399"/>
        <v>0</v>
      </c>
      <c r="AI175" s="520">
        <f t="shared" si="399"/>
        <v>0</v>
      </c>
      <c r="AJ175" s="520">
        <f t="shared" si="399"/>
        <v>0</v>
      </c>
      <c r="AK175" s="520">
        <f t="shared" si="399"/>
        <v>0</v>
      </c>
      <c r="AL175" s="532">
        <f t="shared" si="400"/>
        <v>0</v>
      </c>
    </row>
    <row r="176" spans="2:38" s="123" customFormat="1" hidden="1" x14ac:dyDescent="0.3">
      <c r="B176" s="387" t="s">
        <v>119</v>
      </c>
      <c r="C176" s="387"/>
      <c r="D176" s="685">
        <f>SUM(D165:D175)</f>
        <v>0</v>
      </c>
      <c r="E176" s="685">
        <f t="shared" ref="E176:S176" si="402">SUM(E165:E175)</f>
        <v>0</v>
      </c>
      <c r="F176" s="685">
        <f t="shared" si="402"/>
        <v>0</v>
      </c>
      <c r="G176" s="685">
        <f t="shared" si="402"/>
        <v>0</v>
      </c>
      <c r="H176" s="685">
        <f t="shared" si="402"/>
        <v>0</v>
      </c>
      <c r="I176" s="685">
        <f t="shared" si="402"/>
        <v>0</v>
      </c>
      <c r="J176" s="685">
        <f t="shared" si="402"/>
        <v>0</v>
      </c>
      <c r="K176" s="685">
        <f t="shared" si="402"/>
        <v>0</v>
      </c>
      <c r="L176" s="685">
        <f t="shared" si="402"/>
        <v>0</v>
      </c>
      <c r="M176" s="685">
        <f t="shared" si="402"/>
        <v>0</v>
      </c>
      <c r="N176" s="685">
        <f t="shared" si="402"/>
        <v>0</v>
      </c>
      <c r="O176" s="685">
        <f t="shared" si="402"/>
        <v>0</v>
      </c>
      <c r="P176" s="685">
        <f t="shared" si="402"/>
        <v>0</v>
      </c>
      <c r="Q176" s="685">
        <f t="shared" si="402"/>
        <v>0</v>
      </c>
      <c r="R176" s="685">
        <f t="shared" si="402"/>
        <v>0</v>
      </c>
      <c r="S176" s="685">
        <f t="shared" si="402"/>
        <v>0</v>
      </c>
      <c r="U176" s="535">
        <f>SUM(U165:U175)</f>
        <v>0</v>
      </c>
    </row>
    <row r="177" spans="2:38" hidden="1" x14ac:dyDescent="0.3"/>
    <row r="178" spans="2:38" hidden="1" x14ac:dyDescent="0.3">
      <c r="B178" s="441" t="s">
        <v>184</v>
      </c>
      <c r="C178" s="339"/>
      <c r="W178" s="3" t="s">
        <v>299</v>
      </c>
    </row>
    <row r="179" spans="2:38" hidden="1" x14ac:dyDescent="0.3">
      <c r="B179" s="441" t="s">
        <v>103</v>
      </c>
      <c r="C179" s="264" t="s">
        <v>104</v>
      </c>
      <c r="D179" s="121" t="str">
        <f t="shared" ref="D179:R179" si="403">D9</f>
        <v>Z01</v>
      </c>
      <c r="E179" s="121" t="str">
        <f t="shared" si="403"/>
        <v>Z02</v>
      </c>
      <c r="F179" s="121" t="str">
        <f t="shared" si="403"/>
        <v>Z03</v>
      </c>
      <c r="G179" s="121" t="str">
        <f t="shared" si="403"/>
        <v>Z04</v>
      </c>
      <c r="H179" s="121" t="str">
        <f t="shared" si="403"/>
        <v>Z05</v>
      </c>
      <c r="I179" s="121" t="str">
        <f t="shared" si="403"/>
        <v>Z06</v>
      </c>
      <c r="J179" s="121" t="str">
        <f t="shared" si="403"/>
        <v>Z07</v>
      </c>
      <c r="K179" s="121" t="str">
        <f t="shared" si="403"/>
        <v>Z08</v>
      </c>
      <c r="L179" s="121" t="str">
        <f t="shared" si="403"/>
        <v>Z09</v>
      </c>
      <c r="M179" s="121" t="str">
        <f t="shared" si="403"/>
        <v>Z10</v>
      </c>
      <c r="N179" s="121" t="str">
        <f t="shared" si="403"/>
        <v>Z11</v>
      </c>
      <c r="O179" s="121" t="str">
        <f t="shared" si="403"/>
        <v>Z12</v>
      </c>
      <c r="P179" s="121" t="str">
        <f t="shared" si="403"/>
        <v>Z13</v>
      </c>
      <c r="Q179" s="121" t="str">
        <f t="shared" si="403"/>
        <v>Z14</v>
      </c>
      <c r="R179" s="121" t="str">
        <f t="shared" si="403"/>
        <v>Z15</v>
      </c>
      <c r="S179" s="121" t="s">
        <v>100</v>
      </c>
      <c r="U179" s="17" t="str">
        <f>U$9</f>
        <v>Private stock</v>
      </c>
      <c r="W179" s="121" t="str">
        <f t="shared" ref="W179:AK179" si="404">D179</f>
        <v>Z01</v>
      </c>
      <c r="X179" s="121" t="str">
        <f t="shared" si="404"/>
        <v>Z02</v>
      </c>
      <c r="Y179" s="121" t="str">
        <f t="shared" si="404"/>
        <v>Z03</v>
      </c>
      <c r="Z179" s="121" t="str">
        <f t="shared" si="404"/>
        <v>Z04</v>
      </c>
      <c r="AA179" s="121" t="str">
        <f t="shared" si="404"/>
        <v>Z05</v>
      </c>
      <c r="AB179" s="121" t="str">
        <f t="shared" si="404"/>
        <v>Z06</v>
      </c>
      <c r="AC179" s="121" t="str">
        <f t="shared" si="404"/>
        <v>Z07</v>
      </c>
      <c r="AD179" s="121" t="str">
        <f t="shared" si="404"/>
        <v>Z08</v>
      </c>
      <c r="AE179" s="121" t="str">
        <f t="shared" si="404"/>
        <v>Z09</v>
      </c>
      <c r="AF179" s="121" t="str">
        <f t="shared" si="404"/>
        <v>Z10</v>
      </c>
      <c r="AG179" s="121" t="str">
        <f t="shared" si="404"/>
        <v>Z11</v>
      </c>
      <c r="AH179" s="121" t="str">
        <f t="shared" si="404"/>
        <v>Z12</v>
      </c>
      <c r="AI179" s="121" t="str">
        <f t="shared" si="404"/>
        <v>Z13</v>
      </c>
      <c r="AJ179" s="121" t="str">
        <f t="shared" si="404"/>
        <v>Z14</v>
      </c>
      <c r="AK179" s="121" t="str">
        <f t="shared" si="404"/>
        <v>Z15</v>
      </c>
      <c r="AL179" s="121" t="s">
        <v>100</v>
      </c>
    </row>
    <row r="180" spans="2:38" s="123" customFormat="1" ht="14.1" hidden="1" customHeight="1" x14ac:dyDescent="0.3">
      <c r="B180" s="386" t="s">
        <v>185</v>
      </c>
      <c r="C180" s="386" t="s">
        <v>186</v>
      </c>
      <c r="D180" s="684">
        <f>$U$180*W180</f>
        <v>0</v>
      </c>
      <c r="E180" s="684">
        <f t="shared" ref="E180:S180" si="405">$U$180*X180</f>
        <v>0</v>
      </c>
      <c r="F180" s="684">
        <f t="shared" si="405"/>
        <v>0</v>
      </c>
      <c r="G180" s="684">
        <f t="shared" si="405"/>
        <v>0</v>
      </c>
      <c r="H180" s="684">
        <f t="shared" si="405"/>
        <v>0</v>
      </c>
      <c r="I180" s="684">
        <f t="shared" si="405"/>
        <v>0</v>
      </c>
      <c r="J180" s="684">
        <f t="shared" si="405"/>
        <v>0</v>
      </c>
      <c r="K180" s="684">
        <f t="shared" si="405"/>
        <v>0</v>
      </c>
      <c r="L180" s="684">
        <f t="shared" si="405"/>
        <v>0</v>
      </c>
      <c r="M180" s="684">
        <f t="shared" si="405"/>
        <v>0</v>
      </c>
      <c r="N180" s="684">
        <f t="shared" si="405"/>
        <v>0</v>
      </c>
      <c r="O180" s="684">
        <f t="shared" si="405"/>
        <v>0</v>
      </c>
      <c r="P180" s="684">
        <f t="shared" si="405"/>
        <v>0</v>
      </c>
      <c r="Q180" s="684">
        <f t="shared" si="405"/>
        <v>0</v>
      </c>
      <c r="R180" s="684">
        <f t="shared" si="405"/>
        <v>0</v>
      </c>
      <c r="S180" s="684">
        <f t="shared" si="405"/>
        <v>0</v>
      </c>
      <c r="U180" s="536">
        <f>'T_Stock_TOTAL_&amp;_City'!U180-'T_Stock_TOTAL_&amp;_City'!V180</f>
        <v>0</v>
      </c>
      <c r="W180" s="520">
        <f t="shared" ref="W180:AK180" si="406">W$6</f>
        <v>0</v>
      </c>
      <c r="X180" s="520">
        <f t="shared" si="406"/>
        <v>0</v>
      </c>
      <c r="Y180" s="520">
        <f t="shared" si="406"/>
        <v>0</v>
      </c>
      <c r="Z180" s="520">
        <f t="shared" si="406"/>
        <v>0</v>
      </c>
      <c r="AA180" s="520">
        <f t="shared" si="406"/>
        <v>0</v>
      </c>
      <c r="AB180" s="520">
        <f t="shared" si="406"/>
        <v>0</v>
      </c>
      <c r="AC180" s="520">
        <f t="shared" si="406"/>
        <v>0</v>
      </c>
      <c r="AD180" s="520">
        <f t="shared" si="406"/>
        <v>0</v>
      </c>
      <c r="AE180" s="520">
        <f t="shared" si="406"/>
        <v>0</v>
      </c>
      <c r="AF180" s="520">
        <f t="shared" si="406"/>
        <v>0</v>
      </c>
      <c r="AG180" s="520">
        <f t="shared" si="406"/>
        <v>0</v>
      </c>
      <c r="AH180" s="520">
        <f t="shared" si="406"/>
        <v>0</v>
      </c>
      <c r="AI180" s="520">
        <f t="shared" si="406"/>
        <v>0</v>
      </c>
      <c r="AJ180" s="520">
        <f t="shared" si="406"/>
        <v>0</v>
      </c>
      <c r="AK180" s="520">
        <f t="shared" si="406"/>
        <v>0</v>
      </c>
      <c r="AL180" s="532">
        <f t="shared" ref="AL180" si="407">SUM(W180:AH180)</f>
        <v>0</v>
      </c>
    </row>
    <row r="181" spans="2:38" s="123" customFormat="1" hidden="1" x14ac:dyDescent="0.3">
      <c r="B181" s="387" t="s">
        <v>119</v>
      </c>
      <c r="C181" s="387"/>
      <c r="D181" s="685">
        <f>SUM(D180:D180)</f>
        <v>0</v>
      </c>
      <c r="E181" s="685">
        <f t="shared" ref="E181:S181" si="408">SUM(E180:E180)</f>
        <v>0</v>
      </c>
      <c r="F181" s="685">
        <f t="shared" si="408"/>
        <v>0</v>
      </c>
      <c r="G181" s="685">
        <f t="shared" si="408"/>
        <v>0</v>
      </c>
      <c r="H181" s="685">
        <f t="shared" si="408"/>
        <v>0</v>
      </c>
      <c r="I181" s="685">
        <f t="shared" si="408"/>
        <v>0</v>
      </c>
      <c r="J181" s="685">
        <f t="shared" si="408"/>
        <v>0</v>
      </c>
      <c r="K181" s="685">
        <f t="shared" si="408"/>
        <v>0</v>
      </c>
      <c r="L181" s="685">
        <f t="shared" si="408"/>
        <v>0</v>
      </c>
      <c r="M181" s="685">
        <f t="shared" si="408"/>
        <v>0</v>
      </c>
      <c r="N181" s="685">
        <f t="shared" si="408"/>
        <v>0</v>
      </c>
      <c r="O181" s="685">
        <f t="shared" si="408"/>
        <v>0</v>
      </c>
      <c r="P181" s="685">
        <f t="shared" si="408"/>
        <v>0</v>
      </c>
      <c r="Q181" s="685">
        <f t="shared" si="408"/>
        <v>0</v>
      </c>
      <c r="R181" s="685">
        <f t="shared" si="408"/>
        <v>0</v>
      </c>
      <c r="S181" s="685">
        <f t="shared" si="408"/>
        <v>0</v>
      </c>
      <c r="U181" s="537">
        <f>SUM(U180)</f>
        <v>0</v>
      </c>
    </row>
    <row r="182" spans="2:38" hidden="1" x14ac:dyDescent="0.3"/>
    <row r="183" spans="2:38" hidden="1" x14ac:dyDescent="0.3">
      <c r="B183" s="441" t="s">
        <v>187</v>
      </c>
      <c r="C183" s="339"/>
      <c r="W183" s="3" t="s">
        <v>299</v>
      </c>
    </row>
    <row r="184" spans="2:38" hidden="1" x14ac:dyDescent="0.3">
      <c r="B184" s="441" t="s">
        <v>103</v>
      </c>
      <c r="C184" s="264" t="s">
        <v>104</v>
      </c>
      <c r="D184" s="121" t="str">
        <f>D179</f>
        <v>Z01</v>
      </c>
      <c r="E184" s="121" t="str">
        <f t="shared" ref="E184:R184" si="409">E179</f>
        <v>Z02</v>
      </c>
      <c r="F184" s="121" t="str">
        <f t="shared" si="409"/>
        <v>Z03</v>
      </c>
      <c r="G184" s="121" t="str">
        <f t="shared" si="409"/>
        <v>Z04</v>
      </c>
      <c r="H184" s="121" t="str">
        <f t="shared" si="409"/>
        <v>Z05</v>
      </c>
      <c r="I184" s="121" t="str">
        <f t="shared" si="409"/>
        <v>Z06</v>
      </c>
      <c r="J184" s="121" t="str">
        <f t="shared" si="409"/>
        <v>Z07</v>
      </c>
      <c r="K184" s="121" t="str">
        <f t="shared" si="409"/>
        <v>Z08</v>
      </c>
      <c r="L184" s="121" t="str">
        <f t="shared" si="409"/>
        <v>Z09</v>
      </c>
      <c r="M184" s="121" t="str">
        <f t="shared" si="409"/>
        <v>Z10</v>
      </c>
      <c r="N184" s="121" t="str">
        <f t="shared" si="409"/>
        <v>Z11</v>
      </c>
      <c r="O184" s="121" t="str">
        <f t="shared" si="409"/>
        <v>Z12</v>
      </c>
      <c r="P184" s="121" t="str">
        <f t="shared" si="409"/>
        <v>Z13</v>
      </c>
      <c r="Q184" s="121" t="str">
        <f t="shared" si="409"/>
        <v>Z14</v>
      </c>
      <c r="R184" s="121" t="str">
        <f t="shared" si="409"/>
        <v>Z15</v>
      </c>
      <c r="S184" s="121" t="s">
        <v>100</v>
      </c>
      <c r="U184" s="17" t="s">
        <v>85</v>
      </c>
      <c r="W184" s="121" t="str">
        <f t="shared" ref="W184" si="410">D184</f>
        <v>Z01</v>
      </c>
      <c r="X184" s="121" t="str">
        <f t="shared" ref="X184" si="411">E184</f>
        <v>Z02</v>
      </c>
      <c r="Y184" s="121" t="str">
        <f t="shared" ref="Y184" si="412">F184</f>
        <v>Z03</v>
      </c>
      <c r="Z184" s="121" t="str">
        <f t="shared" ref="Z184" si="413">G184</f>
        <v>Z04</v>
      </c>
      <c r="AA184" s="121" t="str">
        <f t="shared" ref="AA184" si="414">H184</f>
        <v>Z05</v>
      </c>
      <c r="AB184" s="121" t="str">
        <f t="shared" ref="AB184" si="415">I184</f>
        <v>Z06</v>
      </c>
      <c r="AC184" s="121" t="str">
        <f t="shared" ref="AC184" si="416">J184</f>
        <v>Z07</v>
      </c>
      <c r="AD184" s="121" t="str">
        <f t="shared" ref="AD184" si="417">K184</f>
        <v>Z08</v>
      </c>
      <c r="AE184" s="121" t="str">
        <f t="shared" ref="AE184" si="418">L184</f>
        <v>Z09</v>
      </c>
      <c r="AF184" s="121" t="str">
        <f t="shared" ref="AF184" si="419">M184</f>
        <v>Z10</v>
      </c>
      <c r="AG184" s="121" t="str">
        <f t="shared" ref="AG184" si="420">N184</f>
        <v>Z11</v>
      </c>
      <c r="AH184" s="121" t="str">
        <f t="shared" ref="AH184" si="421">O184</f>
        <v>Z12</v>
      </c>
      <c r="AI184" s="121" t="str">
        <f t="shared" ref="AI184" si="422">P184</f>
        <v>Z13</v>
      </c>
      <c r="AJ184" s="121" t="str">
        <f t="shared" ref="AJ184" si="423">Q184</f>
        <v>Z14</v>
      </c>
      <c r="AK184" s="121" t="str">
        <f t="shared" ref="AK184" si="424">R184</f>
        <v>Z15</v>
      </c>
      <c r="AL184" s="121" t="s">
        <v>100</v>
      </c>
    </row>
    <row r="185" spans="2:38" ht="14.1" hidden="1" customHeight="1" x14ac:dyDescent="0.3">
      <c r="B185" s="250" t="s">
        <v>185</v>
      </c>
      <c r="C185" s="250" t="s">
        <v>389</v>
      </c>
      <c r="D185" s="444">
        <f>$U$185*W185</f>
        <v>0</v>
      </c>
      <c r="E185" s="444">
        <f t="shared" ref="E185:S185" si="425">$U$185*X185</f>
        <v>0</v>
      </c>
      <c r="F185" s="444">
        <f t="shared" si="425"/>
        <v>0</v>
      </c>
      <c r="G185" s="444">
        <f t="shared" si="425"/>
        <v>0</v>
      </c>
      <c r="H185" s="444">
        <f t="shared" si="425"/>
        <v>0</v>
      </c>
      <c r="I185" s="444">
        <f t="shared" si="425"/>
        <v>0</v>
      </c>
      <c r="J185" s="444">
        <f t="shared" si="425"/>
        <v>0</v>
      </c>
      <c r="K185" s="444">
        <f t="shared" si="425"/>
        <v>0</v>
      </c>
      <c r="L185" s="444">
        <f t="shared" si="425"/>
        <v>0</v>
      </c>
      <c r="M185" s="444">
        <f t="shared" si="425"/>
        <v>0</v>
      </c>
      <c r="N185" s="444">
        <f t="shared" si="425"/>
        <v>0</v>
      </c>
      <c r="O185" s="444">
        <f t="shared" si="425"/>
        <v>0</v>
      </c>
      <c r="P185" s="444">
        <f t="shared" si="425"/>
        <v>0</v>
      </c>
      <c r="Q185" s="444">
        <f t="shared" si="425"/>
        <v>0</v>
      </c>
      <c r="R185" s="444">
        <f t="shared" si="425"/>
        <v>0</v>
      </c>
      <c r="S185" s="444">
        <f t="shared" si="425"/>
        <v>0</v>
      </c>
      <c r="U185" s="335">
        <f>'T_Stock_TOTAL_&amp;_City'!U185-'T_Stock_TOTAL_&amp;_City'!V185</f>
        <v>0</v>
      </c>
      <c r="W185" s="519">
        <f t="shared" ref="W185:AK185" si="426">W$6</f>
        <v>0</v>
      </c>
      <c r="X185" s="519">
        <f t="shared" si="426"/>
        <v>0</v>
      </c>
      <c r="Y185" s="519">
        <f t="shared" si="426"/>
        <v>0</v>
      </c>
      <c r="Z185" s="519">
        <f t="shared" si="426"/>
        <v>0</v>
      </c>
      <c r="AA185" s="519">
        <f t="shared" si="426"/>
        <v>0</v>
      </c>
      <c r="AB185" s="519">
        <f t="shared" si="426"/>
        <v>0</v>
      </c>
      <c r="AC185" s="519">
        <f t="shared" si="426"/>
        <v>0</v>
      </c>
      <c r="AD185" s="519">
        <f t="shared" si="426"/>
        <v>0</v>
      </c>
      <c r="AE185" s="519">
        <f t="shared" si="426"/>
        <v>0</v>
      </c>
      <c r="AF185" s="519">
        <f t="shared" si="426"/>
        <v>0</v>
      </c>
      <c r="AG185" s="519">
        <f t="shared" si="426"/>
        <v>0</v>
      </c>
      <c r="AH185" s="519">
        <f t="shared" si="426"/>
        <v>0</v>
      </c>
      <c r="AI185" s="519">
        <f t="shared" si="426"/>
        <v>0</v>
      </c>
      <c r="AJ185" s="519">
        <f t="shared" si="426"/>
        <v>0</v>
      </c>
      <c r="AK185" s="519">
        <f t="shared" si="426"/>
        <v>0</v>
      </c>
      <c r="AL185" s="531">
        <f t="shared" ref="AL185" si="427">SUM(W185:AH185)</f>
        <v>0</v>
      </c>
    </row>
    <row r="186" spans="2:38" hidden="1" x14ac:dyDescent="0.3">
      <c r="B186" s="131" t="s">
        <v>119</v>
      </c>
      <c r="C186" s="131"/>
      <c r="D186" s="680">
        <f>SUM(D185:D185)</f>
        <v>0</v>
      </c>
      <c r="E186" s="680">
        <f t="shared" ref="E186:S186" si="428">SUM(E185:E185)</f>
        <v>0</v>
      </c>
      <c r="F186" s="680">
        <f t="shared" si="428"/>
        <v>0</v>
      </c>
      <c r="G186" s="680">
        <f t="shared" si="428"/>
        <v>0</v>
      </c>
      <c r="H186" s="680">
        <f t="shared" si="428"/>
        <v>0</v>
      </c>
      <c r="I186" s="680">
        <f t="shared" si="428"/>
        <v>0</v>
      </c>
      <c r="J186" s="680">
        <f t="shared" si="428"/>
        <v>0</v>
      </c>
      <c r="K186" s="680">
        <f t="shared" si="428"/>
        <v>0</v>
      </c>
      <c r="L186" s="680">
        <f t="shared" si="428"/>
        <v>0</v>
      </c>
      <c r="M186" s="680">
        <f t="shared" si="428"/>
        <v>0</v>
      </c>
      <c r="N186" s="680">
        <f t="shared" si="428"/>
        <v>0</v>
      </c>
      <c r="O186" s="680">
        <f t="shared" si="428"/>
        <v>0</v>
      </c>
      <c r="P186" s="680">
        <f t="shared" si="428"/>
        <v>0</v>
      </c>
      <c r="Q186" s="680">
        <f t="shared" si="428"/>
        <v>0</v>
      </c>
      <c r="R186" s="680">
        <f t="shared" si="428"/>
        <v>0</v>
      </c>
      <c r="S186" s="680">
        <f t="shared" si="428"/>
        <v>0</v>
      </c>
      <c r="U186" s="479">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colorId="55" zoomScale="75" zoomScaleNormal="75" workbookViewId="0">
      <selection activeCell="F79" sqref="F79"/>
    </sheetView>
  </sheetViews>
  <sheetFormatPr defaultRowHeight="14.4" x14ac:dyDescent="0.3"/>
  <cols>
    <col min="1" max="1" width="5.6640625" customWidth="1"/>
    <col min="2" max="2" width="30.33203125" customWidth="1"/>
    <col min="3" max="16" width="12.5546875" customWidth="1"/>
    <col min="18" max="18" width="14.6640625" customWidth="1"/>
    <col min="252" max="252" width="48.6640625" customWidth="1"/>
    <col min="253" max="253" width="14.6640625" customWidth="1"/>
    <col min="254" max="254" width="14.44140625" customWidth="1"/>
    <col min="255" max="255" width="12.33203125" customWidth="1"/>
    <col min="256" max="256" width="13.6640625" customWidth="1"/>
    <col min="257" max="257" width="11.33203125" customWidth="1"/>
    <col min="258" max="258" width="12.44140625" customWidth="1"/>
    <col min="259" max="259" width="10.33203125" customWidth="1"/>
    <col min="260" max="260" width="15" customWidth="1"/>
    <col min="261" max="261" width="13.33203125" customWidth="1"/>
    <col min="262" max="262" width="12.33203125" customWidth="1"/>
    <col min="263" max="263" width="12.44140625" customWidth="1"/>
    <col min="264" max="264" width="10.6640625" customWidth="1"/>
    <col min="265" max="265" width="13" customWidth="1"/>
    <col min="508" max="508" width="48.6640625" customWidth="1"/>
    <col min="509" max="509" width="14.6640625" customWidth="1"/>
    <col min="510" max="510" width="14.44140625" customWidth="1"/>
    <col min="511" max="511" width="12.33203125" customWidth="1"/>
    <col min="512" max="512" width="13.6640625" customWidth="1"/>
    <col min="513" max="513" width="11.33203125" customWidth="1"/>
    <col min="514" max="514" width="12.44140625" customWidth="1"/>
    <col min="515" max="515" width="10.33203125" customWidth="1"/>
    <col min="516" max="516" width="15" customWidth="1"/>
    <col min="517" max="517" width="13.33203125" customWidth="1"/>
    <col min="518" max="518" width="12.33203125" customWidth="1"/>
    <col min="519" max="519" width="12.44140625" customWidth="1"/>
    <col min="520" max="520" width="10.6640625" customWidth="1"/>
    <col min="521" max="521" width="13" customWidth="1"/>
    <col min="764" max="764" width="48.6640625" customWidth="1"/>
    <col min="765" max="765" width="14.6640625" customWidth="1"/>
    <col min="766" max="766" width="14.44140625" customWidth="1"/>
    <col min="767" max="767" width="12.33203125" customWidth="1"/>
    <col min="768" max="768" width="13.6640625" customWidth="1"/>
    <col min="769" max="769" width="11.33203125" customWidth="1"/>
    <col min="770" max="770" width="12.44140625" customWidth="1"/>
    <col min="771" max="771" width="10.33203125" customWidth="1"/>
    <col min="772" max="772" width="15" customWidth="1"/>
    <col min="773" max="773" width="13.33203125" customWidth="1"/>
    <col min="774" max="774" width="12.33203125" customWidth="1"/>
    <col min="775" max="775" width="12.44140625" customWidth="1"/>
    <col min="776" max="776" width="10.6640625" customWidth="1"/>
    <col min="777" max="777" width="13" customWidth="1"/>
    <col min="1020" max="1020" width="48.6640625" customWidth="1"/>
    <col min="1021" max="1021" width="14.6640625" customWidth="1"/>
    <col min="1022" max="1022" width="14.44140625" customWidth="1"/>
    <col min="1023" max="1023" width="12.33203125" customWidth="1"/>
    <col min="1024" max="1024" width="13.6640625" customWidth="1"/>
    <col min="1025" max="1025" width="11.33203125" customWidth="1"/>
    <col min="1026" max="1026" width="12.44140625" customWidth="1"/>
    <col min="1027" max="1027" width="10.33203125" customWidth="1"/>
    <col min="1028" max="1028" width="15" customWidth="1"/>
    <col min="1029" max="1029" width="13.33203125" customWidth="1"/>
    <col min="1030" max="1030" width="12.33203125" customWidth="1"/>
    <col min="1031" max="1031" width="12.44140625" customWidth="1"/>
    <col min="1032" max="1032" width="10.6640625" customWidth="1"/>
    <col min="1033" max="1033" width="13" customWidth="1"/>
    <col min="1276" max="1276" width="48.6640625" customWidth="1"/>
    <col min="1277" max="1277" width="14.6640625" customWidth="1"/>
    <col min="1278" max="1278" width="14.44140625" customWidth="1"/>
    <col min="1279" max="1279" width="12.33203125" customWidth="1"/>
    <col min="1280" max="1280" width="13.6640625" customWidth="1"/>
    <col min="1281" max="1281" width="11.33203125" customWidth="1"/>
    <col min="1282" max="1282" width="12.44140625" customWidth="1"/>
    <col min="1283" max="1283" width="10.33203125" customWidth="1"/>
    <col min="1284" max="1284" width="15" customWidth="1"/>
    <col min="1285" max="1285" width="13.33203125" customWidth="1"/>
    <col min="1286" max="1286" width="12.33203125" customWidth="1"/>
    <col min="1287" max="1287" width="12.44140625" customWidth="1"/>
    <col min="1288" max="1288" width="10.6640625" customWidth="1"/>
    <col min="1289" max="1289" width="13" customWidth="1"/>
    <col min="1532" max="1532" width="48.6640625" customWidth="1"/>
    <col min="1533" max="1533" width="14.6640625" customWidth="1"/>
    <col min="1534" max="1534" width="14.44140625" customWidth="1"/>
    <col min="1535" max="1535" width="12.33203125" customWidth="1"/>
    <col min="1536" max="1536" width="13.6640625" customWidth="1"/>
    <col min="1537" max="1537" width="11.33203125" customWidth="1"/>
    <col min="1538" max="1538" width="12.44140625" customWidth="1"/>
    <col min="1539" max="1539" width="10.33203125" customWidth="1"/>
    <col min="1540" max="1540" width="15" customWidth="1"/>
    <col min="1541" max="1541" width="13.33203125" customWidth="1"/>
    <col min="1542" max="1542" width="12.33203125" customWidth="1"/>
    <col min="1543" max="1543" width="12.44140625" customWidth="1"/>
    <col min="1544" max="1544" width="10.6640625" customWidth="1"/>
    <col min="1545" max="1545" width="13" customWidth="1"/>
    <col min="1788" max="1788" width="48.6640625" customWidth="1"/>
    <col min="1789" max="1789" width="14.6640625" customWidth="1"/>
    <col min="1790" max="1790" width="14.44140625" customWidth="1"/>
    <col min="1791" max="1791" width="12.33203125" customWidth="1"/>
    <col min="1792" max="1792" width="13.6640625" customWidth="1"/>
    <col min="1793" max="1793" width="11.33203125" customWidth="1"/>
    <col min="1794" max="1794" width="12.44140625" customWidth="1"/>
    <col min="1795" max="1795" width="10.33203125" customWidth="1"/>
    <col min="1796" max="1796" width="15" customWidth="1"/>
    <col min="1797" max="1797" width="13.33203125" customWidth="1"/>
    <col min="1798" max="1798" width="12.33203125" customWidth="1"/>
    <col min="1799" max="1799" width="12.44140625" customWidth="1"/>
    <col min="1800" max="1800" width="10.6640625" customWidth="1"/>
    <col min="1801" max="1801" width="13" customWidth="1"/>
    <col min="2044" max="2044" width="48.6640625" customWidth="1"/>
    <col min="2045" max="2045" width="14.6640625" customWidth="1"/>
    <col min="2046" max="2046" width="14.44140625" customWidth="1"/>
    <col min="2047" max="2047" width="12.33203125" customWidth="1"/>
    <col min="2048" max="2048" width="13.6640625" customWidth="1"/>
    <col min="2049" max="2049" width="11.33203125" customWidth="1"/>
    <col min="2050" max="2050" width="12.44140625" customWidth="1"/>
    <col min="2051" max="2051" width="10.33203125" customWidth="1"/>
    <col min="2052" max="2052" width="15" customWidth="1"/>
    <col min="2053" max="2053" width="13.33203125" customWidth="1"/>
    <col min="2054" max="2054" width="12.33203125" customWidth="1"/>
    <col min="2055" max="2055" width="12.44140625" customWidth="1"/>
    <col min="2056" max="2056" width="10.6640625" customWidth="1"/>
    <col min="2057" max="2057" width="13" customWidth="1"/>
    <col min="2300" max="2300" width="48.6640625" customWidth="1"/>
    <col min="2301" max="2301" width="14.6640625" customWidth="1"/>
    <col min="2302" max="2302" width="14.44140625" customWidth="1"/>
    <col min="2303" max="2303" width="12.33203125" customWidth="1"/>
    <col min="2304" max="2304" width="13.6640625" customWidth="1"/>
    <col min="2305" max="2305" width="11.33203125" customWidth="1"/>
    <col min="2306" max="2306" width="12.44140625" customWidth="1"/>
    <col min="2307" max="2307" width="10.33203125" customWidth="1"/>
    <col min="2308" max="2308" width="15" customWidth="1"/>
    <col min="2309" max="2309" width="13.33203125" customWidth="1"/>
    <col min="2310" max="2310" width="12.33203125" customWidth="1"/>
    <col min="2311" max="2311" width="12.44140625" customWidth="1"/>
    <col min="2312" max="2312" width="10.6640625" customWidth="1"/>
    <col min="2313" max="2313" width="13" customWidth="1"/>
    <col min="2556" max="2556" width="48.6640625" customWidth="1"/>
    <col min="2557" max="2557" width="14.6640625" customWidth="1"/>
    <col min="2558" max="2558" width="14.44140625" customWidth="1"/>
    <col min="2559" max="2559" width="12.33203125" customWidth="1"/>
    <col min="2560" max="2560" width="13.6640625" customWidth="1"/>
    <col min="2561" max="2561" width="11.33203125" customWidth="1"/>
    <col min="2562" max="2562" width="12.44140625" customWidth="1"/>
    <col min="2563" max="2563" width="10.33203125" customWidth="1"/>
    <col min="2564" max="2564" width="15" customWidth="1"/>
    <col min="2565" max="2565" width="13.33203125" customWidth="1"/>
    <col min="2566" max="2566" width="12.33203125" customWidth="1"/>
    <col min="2567" max="2567" width="12.44140625" customWidth="1"/>
    <col min="2568" max="2568" width="10.6640625" customWidth="1"/>
    <col min="2569" max="2569" width="13" customWidth="1"/>
    <col min="2812" max="2812" width="48.6640625" customWidth="1"/>
    <col min="2813" max="2813" width="14.6640625" customWidth="1"/>
    <col min="2814" max="2814" width="14.44140625" customWidth="1"/>
    <col min="2815" max="2815" width="12.33203125" customWidth="1"/>
    <col min="2816" max="2816" width="13.6640625" customWidth="1"/>
    <col min="2817" max="2817" width="11.33203125" customWidth="1"/>
    <col min="2818" max="2818" width="12.44140625" customWidth="1"/>
    <col min="2819" max="2819" width="10.33203125" customWidth="1"/>
    <col min="2820" max="2820" width="15" customWidth="1"/>
    <col min="2821" max="2821" width="13.33203125" customWidth="1"/>
    <col min="2822" max="2822" width="12.33203125" customWidth="1"/>
    <col min="2823" max="2823" width="12.44140625" customWidth="1"/>
    <col min="2824" max="2824" width="10.6640625" customWidth="1"/>
    <col min="2825" max="2825" width="13" customWidth="1"/>
    <col min="3068" max="3068" width="48.6640625" customWidth="1"/>
    <col min="3069" max="3069" width="14.6640625" customWidth="1"/>
    <col min="3070" max="3070" width="14.44140625" customWidth="1"/>
    <col min="3071" max="3071" width="12.33203125" customWidth="1"/>
    <col min="3072" max="3072" width="13.6640625" customWidth="1"/>
    <col min="3073" max="3073" width="11.33203125" customWidth="1"/>
    <col min="3074" max="3074" width="12.44140625" customWidth="1"/>
    <col min="3075" max="3075" width="10.33203125" customWidth="1"/>
    <col min="3076" max="3076" width="15" customWidth="1"/>
    <col min="3077" max="3077" width="13.33203125" customWidth="1"/>
    <col min="3078" max="3078" width="12.33203125" customWidth="1"/>
    <col min="3079" max="3079" width="12.44140625" customWidth="1"/>
    <col min="3080" max="3080" width="10.6640625" customWidth="1"/>
    <col min="3081" max="3081" width="13" customWidth="1"/>
    <col min="3324" max="3324" width="48.6640625" customWidth="1"/>
    <col min="3325" max="3325" width="14.6640625" customWidth="1"/>
    <col min="3326" max="3326" width="14.44140625" customWidth="1"/>
    <col min="3327" max="3327" width="12.33203125" customWidth="1"/>
    <col min="3328" max="3328" width="13.6640625" customWidth="1"/>
    <col min="3329" max="3329" width="11.33203125" customWidth="1"/>
    <col min="3330" max="3330" width="12.44140625" customWidth="1"/>
    <col min="3331" max="3331" width="10.33203125" customWidth="1"/>
    <col min="3332" max="3332" width="15" customWidth="1"/>
    <col min="3333" max="3333" width="13.33203125" customWidth="1"/>
    <col min="3334" max="3334" width="12.33203125" customWidth="1"/>
    <col min="3335" max="3335" width="12.44140625" customWidth="1"/>
    <col min="3336" max="3336" width="10.6640625" customWidth="1"/>
    <col min="3337" max="3337" width="13" customWidth="1"/>
    <col min="3580" max="3580" width="48.6640625" customWidth="1"/>
    <col min="3581" max="3581" width="14.6640625" customWidth="1"/>
    <col min="3582" max="3582" width="14.44140625" customWidth="1"/>
    <col min="3583" max="3583" width="12.33203125" customWidth="1"/>
    <col min="3584" max="3584" width="13.6640625" customWidth="1"/>
    <col min="3585" max="3585" width="11.33203125" customWidth="1"/>
    <col min="3586" max="3586" width="12.44140625" customWidth="1"/>
    <col min="3587" max="3587" width="10.33203125" customWidth="1"/>
    <col min="3588" max="3588" width="15" customWidth="1"/>
    <col min="3589" max="3589" width="13.33203125" customWidth="1"/>
    <col min="3590" max="3590" width="12.33203125" customWidth="1"/>
    <col min="3591" max="3591" width="12.44140625" customWidth="1"/>
    <col min="3592" max="3592" width="10.6640625" customWidth="1"/>
    <col min="3593" max="3593" width="13" customWidth="1"/>
    <col min="3836" max="3836" width="48.6640625" customWidth="1"/>
    <col min="3837" max="3837" width="14.6640625" customWidth="1"/>
    <col min="3838" max="3838" width="14.44140625" customWidth="1"/>
    <col min="3839" max="3839" width="12.33203125" customWidth="1"/>
    <col min="3840" max="3840" width="13.6640625" customWidth="1"/>
    <col min="3841" max="3841" width="11.33203125" customWidth="1"/>
    <col min="3842" max="3842" width="12.44140625" customWidth="1"/>
    <col min="3843" max="3843" width="10.33203125" customWidth="1"/>
    <col min="3844" max="3844" width="15" customWidth="1"/>
    <col min="3845" max="3845" width="13.33203125" customWidth="1"/>
    <col min="3846" max="3846" width="12.33203125" customWidth="1"/>
    <col min="3847" max="3847" width="12.44140625" customWidth="1"/>
    <col min="3848" max="3848" width="10.6640625" customWidth="1"/>
    <col min="3849" max="3849" width="13" customWidth="1"/>
    <col min="4092" max="4092" width="48.6640625" customWidth="1"/>
    <col min="4093" max="4093" width="14.6640625" customWidth="1"/>
    <col min="4094" max="4094" width="14.44140625" customWidth="1"/>
    <col min="4095" max="4095" width="12.33203125" customWidth="1"/>
    <col min="4096" max="4096" width="13.6640625" customWidth="1"/>
    <col min="4097" max="4097" width="11.33203125" customWidth="1"/>
    <col min="4098" max="4098" width="12.44140625" customWidth="1"/>
    <col min="4099" max="4099" width="10.33203125" customWidth="1"/>
    <col min="4100" max="4100" width="15" customWidth="1"/>
    <col min="4101" max="4101" width="13.33203125" customWidth="1"/>
    <col min="4102" max="4102" width="12.33203125" customWidth="1"/>
    <col min="4103" max="4103" width="12.44140625" customWidth="1"/>
    <col min="4104" max="4104" width="10.6640625" customWidth="1"/>
    <col min="4105" max="4105" width="13" customWidth="1"/>
    <col min="4348" max="4348" width="48.6640625" customWidth="1"/>
    <col min="4349" max="4349" width="14.6640625" customWidth="1"/>
    <col min="4350" max="4350" width="14.44140625" customWidth="1"/>
    <col min="4351" max="4351" width="12.33203125" customWidth="1"/>
    <col min="4352" max="4352" width="13.6640625" customWidth="1"/>
    <col min="4353" max="4353" width="11.33203125" customWidth="1"/>
    <col min="4354" max="4354" width="12.44140625" customWidth="1"/>
    <col min="4355" max="4355" width="10.33203125" customWidth="1"/>
    <col min="4356" max="4356" width="15" customWidth="1"/>
    <col min="4357" max="4357" width="13.33203125" customWidth="1"/>
    <col min="4358" max="4358" width="12.33203125" customWidth="1"/>
    <col min="4359" max="4359" width="12.44140625" customWidth="1"/>
    <col min="4360" max="4360" width="10.6640625" customWidth="1"/>
    <col min="4361" max="4361" width="13" customWidth="1"/>
    <col min="4604" max="4604" width="48.6640625" customWidth="1"/>
    <col min="4605" max="4605" width="14.6640625" customWidth="1"/>
    <col min="4606" max="4606" width="14.44140625" customWidth="1"/>
    <col min="4607" max="4607" width="12.33203125" customWidth="1"/>
    <col min="4608" max="4608" width="13.6640625" customWidth="1"/>
    <col min="4609" max="4609" width="11.33203125" customWidth="1"/>
    <col min="4610" max="4610" width="12.44140625" customWidth="1"/>
    <col min="4611" max="4611" width="10.33203125" customWidth="1"/>
    <col min="4612" max="4612" width="15" customWidth="1"/>
    <col min="4613" max="4613" width="13.33203125" customWidth="1"/>
    <col min="4614" max="4614" width="12.33203125" customWidth="1"/>
    <col min="4615" max="4615" width="12.44140625" customWidth="1"/>
    <col min="4616" max="4616" width="10.6640625" customWidth="1"/>
    <col min="4617" max="4617" width="13" customWidth="1"/>
    <col min="4860" max="4860" width="48.6640625" customWidth="1"/>
    <col min="4861" max="4861" width="14.6640625" customWidth="1"/>
    <col min="4862" max="4862" width="14.44140625" customWidth="1"/>
    <col min="4863" max="4863" width="12.33203125" customWidth="1"/>
    <col min="4864" max="4864" width="13.6640625" customWidth="1"/>
    <col min="4865" max="4865" width="11.33203125" customWidth="1"/>
    <col min="4866" max="4866" width="12.44140625" customWidth="1"/>
    <col min="4867" max="4867" width="10.33203125" customWidth="1"/>
    <col min="4868" max="4868" width="15" customWidth="1"/>
    <col min="4869" max="4869" width="13.33203125" customWidth="1"/>
    <col min="4870" max="4870" width="12.33203125" customWidth="1"/>
    <col min="4871" max="4871" width="12.44140625" customWidth="1"/>
    <col min="4872" max="4872" width="10.6640625" customWidth="1"/>
    <col min="4873" max="4873" width="13" customWidth="1"/>
    <col min="5116" max="5116" width="48.6640625" customWidth="1"/>
    <col min="5117" max="5117" width="14.6640625" customWidth="1"/>
    <col min="5118" max="5118" width="14.44140625" customWidth="1"/>
    <col min="5119" max="5119" width="12.33203125" customWidth="1"/>
    <col min="5120" max="5120" width="13.6640625" customWidth="1"/>
    <col min="5121" max="5121" width="11.33203125" customWidth="1"/>
    <col min="5122" max="5122" width="12.44140625" customWidth="1"/>
    <col min="5123" max="5123" width="10.33203125" customWidth="1"/>
    <col min="5124" max="5124" width="15" customWidth="1"/>
    <col min="5125" max="5125" width="13.33203125" customWidth="1"/>
    <col min="5126" max="5126" width="12.33203125" customWidth="1"/>
    <col min="5127" max="5127" width="12.44140625" customWidth="1"/>
    <col min="5128" max="5128" width="10.6640625" customWidth="1"/>
    <col min="5129" max="5129" width="13" customWidth="1"/>
    <col min="5372" max="5372" width="48.6640625" customWidth="1"/>
    <col min="5373" max="5373" width="14.6640625" customWidth="1"/>
    <col min="5374" max="5374" width="14.44140625" customWidth="1"/>
    <col min="5375" max="5375" width="12.33203125" customWidth="1"/>
    <col min="5376" max="5376" width="13.6640625" customWidth="1"/>
    <col min="5377" max="5377" width="11.33203125" customWidth="1"/>
    <col min="5378" max="5378" width="12.44140625" customWidth="1"/>
    <col min="5379" max="5379" width="10.33203125" customWidth="1"/>
    <col min="5380" max="5380" width="15" customWidth="1"/>
    <col min="5381" max="5381" width="13.33203125" customWidth="1"/>
    <col min="5382" max="5382" width="12.33203125" customWidth="1"/>
    <col min="5383" max="5383" width="12.44140625" customWidth="1"/>
    <col min="5384" max="5384" width="10.6640625" customWidth="1"/>
    <col min="5385" max="5385" width="13" customWidth="1"/>
    <col min="5628" max="5628" width="48.6640625" customWidth="1"/>
    <col min="5629" max="5629" width="14.6640625" customWidth="1"/>
    <col min="5630" max="5630" width="14.44140625" customWidth="1"/>
    <col min="5631" max="5631" width="12.33203125" customWidth="1"/>
    <col min="5632" max="5632" width="13.6640625" customWidth="1"/>
    <col min="5633" max="5633" width="11.33203125" customWidth="1"/>
    <col min="5634" max="5634" width="12.44140625" customWidth="1"/>
    <col min="5635" max="5635" width="10.33203125" customWidth="1"/>
    <col min="5636" max="5636" width="15" customWidth="1"/>
    <col min="5637" max="5637" width="13.33203125" customWidth="1"/>
    <col min="5638" max="5638" width="12.33203125" customWidth="1"/>
    <col min="5639" max="5639" width="12.44140625" customWidth="1"/>
    <col min="5640" max="5640" width="10.6640625" customWidth="1"/>
    <col min="5641" max="5641" width="13" customWidth="1"/>
    <col min="5884" max="5884" width="48.6640625" customWidth="1"/>
    <col min="5885" max="5885" width="14.6640625" customWidth="1"/>
    <col min="5886" max="5886" width="14.44140625" customWidth="1"/>
    <col min="5887" max="5887" width="12.33203125" customWidth="1"/>
    <col min="5888" max="5888" width="13.6640625" customWidth="1"/>
    <col min="5889" max="5889" width="11.33203125" customWidth="1"/>
    <col min="5890" max="5890" width="12.44140625" customWidth="1"/>
    <col min="5891" max="5891" width="10.33203125" customWidth="1"/>
    <col min="5892" max="5892" width="15" customWidth="1"/>
    <col min="5893" max="5893" width="13.33203125" customWidth="1"/>
    <col min="5894" max="5894" width="12.33203125" customWidth="1"/>
    <col min="5895" max="5895" width="12.44140625" customWidth="1"/>
    <col min="5896" max="5896" width="10.6640625" customWidth="1"/>
    <col min="5897" max="5897" width="13" customWidth="1"/>
    <col min="6140" max="6140" width="48.6640625" customWidth="1"/>
    <col min="6141" max="6141" width="14.6640625" customWidth="1"/>
    <col min="6142" max="6142" width="14.44140625" customWidth="1"/>
    <col min="6143" max="6143" width="12.33203125" customWidth="1"/>
    <col min="6144" max="6144" width="13.6640625" customWidth="1"/>
    <col min="6145" max="6145" width="11.33203125" customWidth="1"/>
    <col min="6146" max="6146" width="12.44140625" customWidth="1"/>
    <col min="6147" max="6147" width="10.33203125" customWidth="1"/>
    <col min="6148" max="6148" width="15" customWidth="1"/>
    <col min="6149" max="6149" width="13.33203125" customWidth="1"/>
    <col min="6150" max="6150" width="12.33203125" customWidth="1"/>
    <col min="6151" max="6151" width="12.44140625" customWidth="1"/>
    <col min="6152" max="6152" width="10.6640625" customWidth="1"/>
    <col min="6153" max="6153" width="13" customWidth="1"/>
    <col min="6396" max="6396" width="48.6640625" customWidth="1"/>
    <col min="6397" max="6397" width="14.6640625" customWidth="1"/>
    <col min="6398" max="6398" width="14.44140625" customWidth="1"/>
    <col min="6399" max="6399" width="12.33203125" customWidth="1"/>
    <col min="6400" max="6400" width="13.6640625" customWidth="1"/>
    <col min="6401" max="6401" width="11.33203125" customWidth="1"/>
    <col min="6402" max="6402" width="12.44140625" customWidth="1"/>
    <col min="6403" max="6403" width="10.33203125" customWidth="1"/>
    <col min="6404" max="6404" width="15" customWidth="1"/>
    <col min="6405" max="6405" width="13.33203125" customWidth="1"/>
    <col min="6406" max="6406" width="12.33203125" customWidth="1"/>
    <col min="6407" max="6407" width="12.44140625" customWidth="1"/>
    <col min="6408" max="6408" width="10.6640625" customWidth="1"/>
    <col min="6409" max="6409" width="13" customWidth="1"/>
    <col min="6652" max="6652" width="48.6640625" customWidth="1"/>
    <col min="6653" max="6653" width="14.6640625" customWidth="1"/>
    <col min="6654" max="6654" width="14.44140625" customWidth="1"/>
    <col min="6655" max="6655" width="12.33203125" customWidth="1"/>
    <col min="6656" max="6656" width="13.6640625" customWidth="1"/>
    <col min="6657" max="6657" width="11.33203125" customWidth="1"/>
    <col min="6658" max="6658" width="12.44140625" customWidth="1"/>
    <col min="6659" max="6659" width="10.33203125" customWidth="1"/>
    <col min="6660" max="6660" width="15" customWidth="1"/>
    <col min="6661" max="6661" width="13.33203125" customWidth="1"/>
    <col min="6662" max="6662" width="12.33203125" customWidth="1"/>
    <col min="6663" max="6663" width="12.44140625" customWidth="1"/>
    <col min="6664" max="6664" width="10.6640625" customWidth="1"/>
    <col min="6665" max="6665" width="13" customWidth="1"/>
    <col min="6908" max="6908" width="48.6640625" customWidth="1"/>
    <col min="6909" max="6909" width="14.6640625" customWidth="1"/>
    <col min="6910" max="6910" width="14.44140625" customWidth="1"/>
    <col min="6911" max="6911" width="12.33203125" customWidth="1"/>
    <col min="6912" max="6912" width="13.6640625" customWidth="1"/>
    <col min="6913" max="6913" width="11.33203125" customWidth="1"/>
    <col min="6914" max="6914" width="12.44140625" customWidth="1"/>
    <col min="6915" max="6915" width="10.33203125" customWidth="1"/>
    <col min="6916" max="6916" width="15" customWidth="1"/>
    <col min="6917" max="6917" width="13.33203125" customWidth="1"/>
    <col min="6918" max="6918" width="12.33203125" customWidth="1"/>
    <col min="6919" max="6919" width="12.44140625" customWidth="1"/>
    <col min="6920" max="6920" width="10.6640625" customWidth="1"/>
    <col min="6921" max="6921" width="13" customWidth="1"/>
    <col min="7164" max="7164" width="48.6640625" customWidth="1"/>
    <col min="7165" max="7165" width="14.6640625" customWidth="1"/>
    <col min="7166" max="7166" width="14.44140625" customWidth="1"/>
    <col min="7167" max="7167" width="12.33203125" customWidth="1"/>
    <col min="7168" max="7168" width="13.6640625" customWidth="1"/>
    <col min="7169" max="7169" width="11.33203125" customWidth="1"/>
    <col min="7170" max="7170" width="12.44140625" customWidth="1"/>
    <col min="7171" max="7171" width="10.33203125" customWidth="1"/>
    <col min="7172" max="7172" width="15" customWidth="1"/>
    <col min="7173" max="7173" width="13.33203125" customWidth="1"/>
    <col min="7174" max="7174" width="12.33203125" customWidth="1"/>
    <col min="7175" max="7175" width="12.44140625" customWidth="1"/>
    <col min="7176" max="7176" width="10.6640625" customWidth="1"/>
    <col min="7177" max="7177" width="13" customWidth="1"/>
    <col min="7420" max="7420" width="48.6640625" customWidth="1"/>
    <col min="7421" max="7421" width="14.6640625" customWidth="1"/>
    <col min="7422" max="7422" width="14.44140625" customWidth="1"/>
    <col min="7423" max="7423" width="12.33203125" customWidth="1"/>
    <col min="7424" max="7424" width="13.6640625" customWidth="1"/>
    <col min="7425" max="7425" width="11.33203125" customWidth="1"/>
    <col min="7426" max="7426" width="12.44140625" customWidth="1"/>
    <col min="7427" max="7427" width="10.33203125" customWidth="1"/>
    <col min="7428" max="7428" width="15" customWidth="1"/>
    <col min="7429" max="7429" width="13.33203125" customWidth="1"/>
    <col min="7430" max="7430" width="12.33203125" customWidth="1"/>
    <col min="7431" max="7431" width="12.44140625" customWidth="1"/>
    <col min="7432" max="7432" width="10.6640625" customWidth="1"/>
    <col min="7433" max="7433" width="13" customWidth="1"/>
    <col min="7676" max="7676" width="48.6640625" customWidth="1"/>
    <col min="7677" max="7677" width="14.6640625" customWidth="1"/>
    <col min="7678" max="7678" width="14.44140625" customWidth="1"/>
    <col min="7679" max="7679" width="12.33203125" customWidth="1"/>
    <col min="7680" max="7680" width="13.6640625" customWidth="1"/>
    <col min="7681" max="7681" width="11.33203125" customWidth="1"/>
    <col min="7682" max="7682" width="12.44140625" customWidth="1"/>
    <col min="7683" max="7683" width="10.33203125" customWidth="1"/>
    <col min="7684" max="7684" width="15" customWidth="1"/>
    <col min="7685" max="7685" width="13.33203125" customWidth="1"/>
    <col min="7686" max="7686" width="12.33203125" customWidth="1"/>
    <col min="7687" max="7687" width="12.44140625" customWidth="1"/>
    <col min="7688" max="7688" width="10.6640625" customWidth="1"/>
    <col min="7689" max="7689" width="13" customWidth="1"/>
    <col min="7932" max="7932" width="48.6640625" customWidth="1"/>
    <col min="7933" max="7933" width="14.6640625" customWidth="1"/>
    <col min="7934" max="7934" width="14.44140625" customWidth="1"/>
    <col min="7935" max="7935" width="12.33203125" customWidth="1"/>
    <col min="7936" max="7936" width="13.6640625" customWidth="1"/>
    <col min="7937" max="7937" width="11.33203125" customWidth="1"/>
    <col min="7938" max="7938" width="12.44140625" customWidth="1"/>
    <col min="7939" max="7939" width="10.33203125" customWidth="1"/>
    <col min="7940" max="7940" width="15" customWidth="1"/>
    <col min="7941" max="7941" width="13.33203125" customWidth="1"/>
    <col min="7942" max="7942" width="12.33203125" customWidth="1"/>
    <col min="7943" max="7943" width="12.44140625" customWidth="1"/>
    <col min="7944" max="7944" width="10.6640625" customWidth="1"/>
    <col min="7945" max="7945" width="13" customWidth="1"/>
    <col min="8188" max="8188" width="48.6640625" customWidth="1"/>
    <col min="8189" max="8189" width="14.6640625" customWidth="1"/>
    <col min="8190" max="8190" width="14.44140625" customWidth="1"/>
    <col min="8191" max="8191" width="12.33203125" customWidth="1"/>
    <col min="8192" max="8192" width="13.6640625" customWidth="1"/>
    <col min="8193" max="8193" width="11.33203125" customWidth="1"/>
    <col min="8194" max="8194" width="12.44140625" customWidth="1"/>
    <col min="8195" max="8195" width="10.33203125" customWidth="1"/>
    <col min="8196" max="8196" width="15" customWidth="1"/>
    <col min="8197" max="8197" width="13.33203125" customWidth="1"/>
    <col min="8198" max="8198" width="12.33203125" customWidth="1"/>
    <col min="8199" max="8199" width="12.44140625" customWidth="1"/>
    <col min="8200" max="8200" width="10.6640625" customWidth="1"/>
    <col min="8201" max="8201" width="13" customWidth="1"/>
    <col min="8444" max="8444" width="48.6640625" customWidth="1"/>
    <col min="8445" max="8445" width="14.6640625" customWidth="1"/>
    <col min="8446" max="8446" width="14.44140625" customWidth="1"/>
    <col min="8447" max="8447" width="12.33203125" customWidth="1"/>
    <col min="8448" max="8448" width="13.6640625" customWidth="1"/>
    <col min="8449" max="8449" width="11.33203125" customWidth="1"/>
    <col min="8450" max="8450" width="12.44140625" customWidth="1"/>
    <col min="8451" max="8451" width="10.33203125" customWidth="1"/>
    <col min="8452" max="8452" width="15" customWidth="1"/>
    <col min="8453" max="8453" width="13.33203125" customWidth="1"/>
    <col min="8454" max="8454" width="12.33203125" customWidth="1"/>
    <col min="8455" max="8455" width="12.44140625" customWidth="1"/>
    <col min="8456" max="8456" width="10.6640625" customWidth="1"/>
    <col min="8457" max="8457" width="13" customWidth="1"/>
    <col min="8700" max="8700" width="48.6640625" customWidth="1"/>
    <col min="8701" max="8701" width="14.6640625" customWidth="1"/>
    <col min="8702" max="8702" width="14.44140625" customWidth="1"/>
    <col min="8703" max="8703" width="12.33203125" customWidth="1"/>
    <col min="8704" max="8704" width="13.6640625" customWidth="1"/>
    <col min="8705" max="8705" width="11.33203125" customWidth="1"/>
    <col min="8706" max="8706" width="12.44140625" customWidth="1"/>
    <col min="8707" max="8707" width="10.33203125" customWidth="1"/>
    <col min="8708" max="8708" width="15" customWidth="1"/>
    <col min="8709" max="8709" width="13.33203125" customWidth="1"/>
    <col min="8710" max="8710" width="12.33203125" customWidth="1"/>
    <col min="8711" max="8711" width="12.44140625" customWidth="1"/>
    <col min="8712" max="8712" width="10.6640625" customWidth="1"/>
    <col min="8713" max="8713" width="13" customWidth="1"/>
    <col min="8956" max="8956" width="48.6640625" customWidth="1"/>
    <col min="8957" max="8957" width="14.6640625" customWidth="1"/>
    <col min="8958" max="8958" width="14.44140625" customWidth="1"/>
    <col min="8959" max="8959" width="12.33203125" customWidth="1"/>
    <col min="8960" max="8960" width="13.6640625" customWidth="1"/>
    <col min="8961" max="8961" width="11.33203125" customWidth="1"/>
    <col min="8962" max="8962" width="12.44140625" customWidth="1"/>
    <col min="8963" max="8963" width="10.33203125" customWidth="1"/>
    <col min="8964" max="8964" width="15" customWidth="1"/>
    <col min="8965" max="8965" width="13.33203125" customWidth="1"/>
    <col min="8966" max="8966" width="12.33203125" customWidth="1"/>
    <col min="8967" max="8967" width="12.44140625" customWidth="1"/>
    <col min="8968" max="8968" width="10.6640625" customWidth="1"/>
    <col min="8969" max="8969" width="13" customWidth="1"/>
    <col min="9212" max="9212" width="48.6640625" customWidth="1"/>
    <col min="9213" max="9213" width="14.6640625" customWidth="1"/>
    <col min="9214" max="9214" width="14.44140625" customWidth="1"/>
    <col min="9215" max="9215" width="12.33203125" customWidth="1"/>
    <col min="9216" max="9216" width="13.6640625" customWidth="1"/>
    <col min="9217" max="9217" width="11.33203125" customWidth="1"/>
    <col min="9218" max="9218" width="12.44140625" customWidth="1"/>
    <col min="9219" max="9219" width="10.33203125" customWidth="1"/>
    <col min="9220" max="9220" width="15" customWidth="1"/>
    <col min="9221" max="9221" width="13.33203125" customWidth="1"/>
    <col min="9222" max="9222" width="12.33203125" customWidth="1"/>
    <col min="9223" max="9223" width="12.44140625" customWidth="1"/>
    <col min="9224" max="9224" width="10.6640625" customWidth="1"/>
    <col min="9225" max="9225" width="13" customWidth="1"/>
    <col min="9468" max="9468" width="48.6640625" customWidth="1"/>
    <col min="9469" max="9469" width="14.6640625" customWidth="1"/>
    <col min="9470" max="9470" width="14.44140625" customWidth="1"/>
    <col min="9471" max="9471" width="12.33203125" customWidth="1"/>
    <col min="9472" max="9472" width="13.6640625" customWidth="1"/>
    <col min="9473" max="9473" width="11.33203125" customWidth="1"/>
    <col min="9474" max="9474" width="12.44140625" customWidth="1"/>
    <col min="9475" max="9475" width="10.33203125" customWidth="1"/>
    <col min="9476" max="9476" width="15" customWidth="1"/>
    <col min="9477" max="9477" width="13.33203125" customWidth="1"/>
    <col min="9478" max="9478" width="12.33203125" customWidth="1"/>
    <col min="9479" max="9479" width="12.44140625" customWidth="1"/>
    <col min="9480" max="9480" width="10.6640625" customWidth="1"/>
    <col min="9481" max="9481" width="13" customWidth="1"/>
    <col min="9724" max="9724" width="48.6640625" customWidth="1"/>
    <col min="9725" max="9725" width="14.6640625" customWidth="1"/>
    <col min="9726" max="9726" width="14.44140625" customWidth="1"/>
    <col min="9727" max="9727" width="12.33203125" customWidth="1"/>
    <col min="9728" max="9728" width="13.6640625" customWidth="1"/>
    <col min="9729" max="9729" width="11.33203125" customWidth="1"/>
    <col min="9730" max="9730" width="12.44140625" customWidth="1"/>
    <col min="9731" max="9731" width="10.33203125" customWidth="1"/>
    <col min="9732" max="9732" width="15" customWidth="1"/>
    <col min="9733" max="9733" width="13.33203125" customWidth="1"/>
    <col min="9734" max="9734" width="12.33203125" customWidth="1"/>
    <col min="9735" max="9735" width="12.44140625" customWidth="1"/>
    <col min="9736" max="9736" width="10.6640625" customWidth="1"/>
    <col min="9737" max="9737" width="13" customWidth="1"/>
    <col min="9980" max="9980" width="48.6640625" customWidth="1"/>
    <col min="9981" max="9981" width="14.6640625" customWidth="1"/>
    <col min="9982" max="9982" width="14.44140625" customWidth="1"/>
    <col min="9983" max="9983" width="12.33203125" customWidth="1"/>
    <col min="9984" max="9984" width="13.6640625" customWidth="1"/>
    <col min="9985" max="9985" width="11.33203125" customWidth="1"/>
    <col min="9986" max="9986" width="12.44140625" customWidth="1"/>
    <col min="9987" max="9987" width="10.33203125" customWidth="1"/>
    <col min="9988" max="9988" width="15" customWidth="1"/>
    <col min="9989" max="9989" width="13.33203125" customWidth="1"/>
    <col min="9990" max="9990" width="12.33203125" customWidth="1"/>
    <col min="9991" max="9991" width="12.44140625" customWidth="1"/>
    <col min="9992" max="9992" width="10.6640625" customWidth="1"/>
    <col min="9993" max="9993" width="13" customWidth="1"/>
    <col min="10236" max="10236" width="48.6640625" customWidth="1"/>
    <col min="10237" max="10237" width="14.6640625" customWidth="1"/>
    <col min="10238" max="10238" width="14.44140625" customWidth="1"/>
    <col min="10239" max="10239" width="12.33203125" customWidth="1"/>
    <col min="10240" max="10240" width="13.6640625" customWidth="1"/>
    <col min="10241" max="10241" width="11.33203125" customWidth="1"/>
    <col min="10242" max="10242" width="12.44140625" customWidth="1"/>
    <col min="10243" max="10243" width="10.33203125" customWidth="1"/>
    <col min="10244" max="10244" width="15" customWidth="1"/>
    <col min="10245" max="10245" width="13.33203125" customWidth="1"/>
    <col min="10246" max="10246" width="12.33203125" customWidth="1"/>
    <col min="10247" max="10247" width="12.44140625" customWidth="1"/>
    <col min="10248" max="10248" width="10.6640625" customWidth="1"/>
    <col min="10249" max="10249" width="13" customWidth="1"/>
    <col min="10492" max="10492" width="48.6640625" customWidth="1"/>
    <col min="10493" max="10493" width="14.6640625" customWidth="1"/>
    <col min="10494" max="10494" width="14.44140625" customWidth="1"/>
    <col min="10495" max="10495" width="12.33203125" customWidth="1"/>
    <col min="10496" max="10496" width="13.6640625" customWidth="1"/>
    <col min="10497" max="10497" width="11.33203125" customWidth="1"/>
    <col min="10498" max="10498" width="12.44140625" customWidth="1"/>
    <col min="10499" max="10499" width="10.33203125" customWidth="1"/>
    <col min="10500" max="10500" width="15" customWidth="1"/>
    <col min="10501" max="10501" width="13.33203125" customWidth="1"/>
    <col min="10502" max="10502" width="12.33203125" customWidth="1"/>
    <col min="10503" max="10503" width="12.44140625" customWidth="1"/>
    <col min="10504" max="10504" width="10.6640625" customWidth="1"/>
    <col min="10505" max="10505" width="13" customWidth="1"/>
    <col min="10748" max="10748" width="48.6640625" customWidth="1"/>
    <col min="10749" max="10749" width="14.6640625" customWidth="1"/>
    <col min="10750" max="10750" width="14.44140625" customWidth="1"/>
    <col min="10751" max="10751" width="12.33203125" customWidth="1"/>
    <col min="10752" max="10752" width="13.6640625" customWidth="1"/>
    <col min="10753" max="10753" width="11.33203125" customWidth="1"/>
    <col min="10754" max="10754" width="12.44140625" customWidth="1"/>
    <col min="10755" max="10755" width="10.33203125" customWidth="1"/>
    <col min="10756" max="10756" width="15" customWidth="1"/>
    <col min="10757" max="10757" width="13.33203125" customWidth="1"/>
    <col min="10758" max="10758" width="12.33203125" customWidth="1"/>
    <col min="10759" max="10759" width="12.44140625" customWidth="1"/>
    <col min="10760" max="10760" width="10.6640625" customWidth="1"/>
    <col min="10761" max="10761" width="13" customWidth="1"/>
    <col min="11004" max="11004" width="48.6640625" customWidth="1"/>
    <col min="11005" max="11005" width="14.6640625" customWidth="1"/>
    <col min="11006" max="11006" width="14.44140625" customWidth="1"/>
    <col min="11007" max="11007" width="12.33203125" customWidth="1"/>
    <col min="11008" max="11008" width="13.6640625" customWidth="1"/>
    <col min="11009" max="11009" width="11.33203125" customWidth="1"/>
    <col min="11010" max="11010" width="12.44140625" customWidth="1"/>
    <col min="11011" max="11011" width="10.33203125" customWidth="1"/>
    <col min="11012" max="11012" width="15" customWidth="1"/>
    <col min="11013" max="11013" width="13.33203125" customWidth="1"/>
    <col min="11014" max="11014" width="12.33203125" customWidth="1"/>
    <col min="11015" max="11015" width="12.44140625" customWidth="1"/>
    <col min="11016" max="11016" width="10.6640625" customWidth="1"/>
    <col min="11017" max="11017" width="13" customWidth="1"/>
    <col min="11260" max="11260" width="48.6640625" customWidth="1"/>
    <col min="11261" max="11261" width="14.6640625" customWidth="1"/>
    <col min="11262" max="11262" width="14.44140625" customWidth="1"/>
    <col min="11263" max="11263" width="12.33203125" customWidth="1"/>
    <col min="11264" max="11264" width="13.6640625" customWidth="1"/>
    <col min="11265" max="11265" width="11.33203125" customWidth="1"/>
    <col min="11266" max="11266" width="12.44140625" customWidth="1"/>
    <col min="11267" max="11267" width="10.33203125" customWidth="1"/>
    <col min="11268" max="11268" width="15" customWidth="1"/>
    <col min="11269" max="11269" width="13.33203125" customWidth="1"/>
    <col min="11270" max="11270" width="12.33203125" customWidth="1"/>
    <col min="11271" max="11271" width="12.44140625" customWidth="1"/>
    <col min="11272" max="11272" width="10.6640625" customWidth="1"/>
    <col min="11273" max="11273" width="13" customWidth="1"/>
    <col min="11516" max="11516" width="48.6640625" customWidth="1"/>
    <col min="11517" max="11517" width="14.6640625" customWidth="1"/>
    <col min="11518" max="11518" width="14.44140625" customWidth="1"/>
    <col min="11519" max="11519" width="12.33203125" customWidth="1"/>
    <col min="11520" max="11520" width="13.6640625" customWidth="1"/>
    <col min="11521" max="11521" width="11.33203125" customWidth="1"/>
    <col min="11522" max="11522" width="12.44140625" customWidth="1"/>
    <col min="11523" max="11523" width="10.33203125" customWidth="1"/>
    <col min="11524" max="11524" width="15" customWidth="1"/>
    <col min="11525" max="11525" width="13.33203125" customWidth="1"/>
    <col min="11526" max="11526" width="12.33203125" customWidth="1"/>
    <col min="11527" max="11527" width="12.44140625" customWidth="1"/>
    <col min="11528" max="11528" width="10.6640625" customWidth="1"/>
    <col min="11529" max="11529" width="13" customWidth="1"/>
    <col min="11772" max="11772" width="48.6640625" customWidth="1"/>
    <col min="11773" max="11773" width="14.6640625" customWidth="1"/>
    <col min="11774" max="11774" width="14.44140625" customWidth="1"/>
    <col min="11775" max="11775" width="12.33203125" customWidth="1"/>
    <col min="11776" max="11776" width="13.6640625" customWidth="1"/>
    <col min="11777" max="11777" width="11.33203125" customWidth="1"/>
    <col min="11778" max="11778" width="12.44140625" customWidth="1"/>
    <col min="11779" max="11779" width="10.33203125" customWidth="1"/>
    <col min="11780" max="11780" width="15" customWidth="1"/>
    <col min="11781" max="11781" width="13.33203125" customWidth="1"/>
    <col min="11782" max="11782" width="12.33203125" customWidth="1"/>
    <col min="11783" max="11783" width="12.44140625" customWidth="1"/>
    <col min="11784" max="11784" width="10.6640625" customWidth="1"/>
    <col min="11785" max="11785" width="13" customWidth="1"/>
    <col min="12028" max="12028" width="48.6640625" customWidth="1"/>
    <col min="12029" max="12029" width="14.6640625" customWidth="1"/>
    <col min="12030" max="12030" width="14.44140625" customWidth="1"/>
    <col min="12031" max="12031" width="12.33203125" customWidth="1"/>
    <col min="12032" max="12032" width="13.6640625" customWidth="1"/>
    <col min="12033" max="12033" width="11.33203125" customWidth="1"/>
    <col min="12034" max="12034" width="12.44140625" customWidth="1"/>
    <col min="12035" max="12035" width="10.33203125" customWidth="1"/>
    <col min="12036" max="12036" width="15" customWidth="1"/>
    <col min="12037" max="12037" width="13.33203125" customWidth="1"/>
    <col min="12038" max="12038" width="12.33203125" customWidth="1"/>
    <col min="12039" max="12039" width="12.44140625" customWidth="1"/>
    <col min="12040" max="12040" width="10.6640625" customWidth="1"/>
    <col min="12041" max="12041" width="13" customWidth="1"/>
    <col min="12284" max="12284" width="48.6640625" customWidth="1"/>
    <col min="12285" max="12285" width="14.6640625" customWidth="1"/>
    <col min="12286" max="12286" width="14.44140625" customWidth="1"/>
    <col min="12287" max="12287" width="12.33203125" customWidth="1"/>
    <col min="12288" max="12288" width="13.6640625" customWidth="1"/>
    <col min="12289" max="12289" width="11.33203125" customWidth="1"/>
    <col min="12290" max="12290" width="12.44140625" customWidth="1"/>
    <col min="12291" max="12291" width="10.33203125" customWidth="1"/>
    <col min="12292" max="12292" width="15" customWidth="1"/>
    <col min="12293" max="12293" width="13.33203125" customWidth="1"/>
    <col min="12294" max="12294" width="12.33203125" customWidth="1"/>
    <col min="12295" max="12295" width="12.44140625" customWidth="1"/>
    <col min="12296" max="12296" width="10.6640625" customWidth="1"/>
    <col min="12297" max="12297" width="13" customWidth="1"/>
    <col min="12540" max="12540" width="48.6640625" customWidth="1"/>
    <col min="12541" max="12541" width="14.6640625" customWidth="1"/>
    <col min="12542" max="12542" width="14.44140625" customWidth="1"/>
    <col min="12543" max="12543" width="12.33203125" customWidth="1"/>
    <col min="12544" max="12544" width="13.6640625" customWidth="1"/>
    <col min="12545" max="12545" width="11.33203125" customWidth="1"/>
    <col min="12546" max="12546" width="12.44140625" customWidth="1"/>
    <col min="12547" max="12547" width="10.33203125" customWidth="1"/>
    <col min="12548" max="12548" width="15" customWidth="1"/>
    <col min="12549" max="12549" width="13.33203125" customWidth="1"/>
    <col min="12550" max="12550" width="12.33203125" customWidth="1"/>
    <col min="12551" max="12551" width="12.44140625" customWidth="1"/>
    <col min="12552" max="12552" width="10.6640625" customWidth="1"/>
    <col min="12553" max="12553" width="13" customWidth="1"/>
    <col min="12796" max="12796" width="48.6640625" customWidth="1"/>
    <col min="12797" max="12797" width="14.6640625" customWidth="1"/>
    <col min="12798" max="12798" width="14.44140625" customWidth="1"/>
    <col min="12799" max="12799" width="12.33203125" customWidth="1"/>
    <col min="12800" max="12800" width="13.6640625" customWidth="1"/>
    <col min="12801" max="12801" width="11.33203125" customWidth="1"/>
    <col min="12802" max="12802" width="12.44140625" customWidth="1"/>
    <col min="12803" max="12803" width="10.33203125" customWidth="1"/>
    <col min="12804" max="12804" width="15" customWidth="1"/>
    <col min="12805" max="12805" width="13.33203125" customWidth="1"/>
    <col min="12806" max="12806" width="12.33203125" customWidth="1"/>
    <col min="12807" max="12807" width="12.44140625" customWidth="1"/>
    <col min="12808" max="12808" width="10.6640625" customWidth="1"/>
    <col min="12809" max="12809" width="13" customWidth="1"/>
    <col min="13052" max="13052" width="48.6640625" customWidth="1"/>
    <col min="13053" max="13053" width="14.6640625" customWidth="1"/>
    <col min="13054" max="13054" width="14.44140625" customWidth="1"/>
    <col min="13055" max="13055" width="12.33203125" customWidth="1"/>
    <col min="13056" max="13056" width="13.6640625" customWidth="1"/>
    <col min="13057" max="13057" width="11.33203125" customWidth="1"/>
    <col min="13058" max="13058" width="12.44140625" customWidth="1"/>
    <col min="13059" max="13059" width="10.33203125" customWidth="1"/>
    <col min="13060" max="13060" width="15" customWidth="1"/>
    <col min="13061" max="13061" width="13.33203125" customWidth="1"/>
    <col min="13062" max="13062" width="12.33203125" customWidth="1"/>
    <col min="13063" max="13063" width="12.44140625" customWidth="1"/>
    <col min="13064" max="13064" width="10.6640625" customWidth="1"/>
    <col min="13065" max="13065" width="13" customWidth="1"/>
    <col min="13308" max="13308" width="48.6640625" customWidth="1"/>
    <col min="13309" max="13309" width="14.6640625" customWidth="1"/>
    <col min="13310" max="13310" width="14.44140625" customWidth="1"/>
    <col min="13311" max="13311" width="12.33203125" customWidth="1"/>
    <col min="13312" max="13312" width="13.6640625" customWidth="1"/>
    <col min="13313" max="13313" width="11.33203125" customWidth="1"/>
    <col min="13314" max="13314" width="12.44140625" customWidth="1"/>
    <col min="13315" max="13315" width="10.33203125" customWidth="1"/>
    <col min="13316" max="13316" width="15" customWidth="1"/>
    <col min="13317" max="13317" width="13.33203125" customWidth="1"/>
    <col min="13318" max="13318" width="12.33203125" customWidth="1"/>
    <col min="13319" max="13319" width="12.44140625" customWidth="1"/>
    <col min="13320" max="13320" width="10.6640625" customWidth="1"/>
    <col min="13321" max="13321" width="13" customWidth="1"/>
    <col min="13564" max="13564" width="48.6640625" customWidth="1"/>
    <col min="13565" max="13565" width="14.6640625" customWidth="1"/>
    <col min="13566" max="13566" width="14.44140625" customWidth="1"/>
    <col min="13567" max="13567" width="12.33203125" customWidth="1"/>
    <col min="13568" max="13568" width="13.6640625" customWidth="1"/>
    <col min="13569" max="13569" width="11.33203125" customWidth="1"/>
    <col min="13570" max="13570" width="12.44140625" customWidth="1"/>
    <col min="13571" max="13571" width="10.33203125" customWidth="1"/>
    <col min="13572" max="13572" width="15" customWidth="1"/>
    <col min="13573" max="13573" width="13.33203125" customWidth="1"/>
    <col min="13574" max="13574" width="12.33203125" customWidth="1"/>
    <col min="13575" max="13575" width="12.44140625" customWidth="1"/>
    <col min="13576" max="13576" width="10.6640625" customWidth="1"/>
    <col min="13577" max="13577" width="13" customWidth="1"/>
    <col min="13820" max="13820" width="48.6640625" customWidth="1"/>
    <col min="13821" max="13821" width="14.6640625" customWidth="1"/>
    <col min="13822" max="13822" width="14.44140625" customWidth="1"/>
    <col min="13823" max="13823" width="12.33203125" customWidth="1"/>
    <col min="13824" max="13824" width="13.6640625" customWidth="1"/>
    <col min="13825" max="13825" width="11.33203125" customWidth="1"/>
    <col min="13826" max="13826" width="12.44140625" customWidth="1"/>
    <col min="13827" max="13827" width="10.33203125" customWidth="1"/>
    <col min="13828" max="13828" width="15" customWidth="1"/>
    <col min="13829" max="13829" width="13.33203125" customWidth="1"/>
    <col min="13830" max="13830" width="12.33203125" customWidth="1"/>
    <col min="13831" max="13831" width="12.44140625" customWidth="1"/>
    <col min="13832" max="13832" width="10.6640625" customWidth="1"/>
    <col min="13833" max="13833" width="13" customWidth="1"/>
    <col min="14076" max="14076" width="48.6640625" customWidth="1"/>
    <col min="14077" max="14077" width="14.6640625" customWidth="1"/>
    <col min="14078" max="14078" width="14.44140625" customWidth="1"/>
    <col min="14079" max="14079" width="12.33203125" customWidth="1"/>
    <col min="14080" max="14080" width="13.6640625" customWidth="1"/>
    <col min="14081" max="14081" width="11.33203125" customWidth="1"/>
    <col min="14082" max="14082" width="12.44140625" customWidth="1"/>
    <col min="14083" max="14083" width="10.33203125" customWidth="1"/>
    <col min="14084" max="14084" width="15" customWidth="1"/>
    <col min="14085" max="14085" width="13.33203125" customWidth="1"/>
    <col min="14086" max="14086" width="12.33203125" customWidth="1"/>
    <col min="14087" max="14087" width="12.44140625" customWidth="1"/>
    <col min="14088" max="14088" width="10.6640625" customWidth="1"/>
    <col min="14089" max="14089" width="13" customWidth="1"/>
    <col min="14332" max="14332" width="48.6640625" customWidth="1"/>
    <col min="14333" max="14333" width="14.6640625" customWidth="1"/>
    <col min="14334" max="14334" width="14.44140625" customWidth="1"/>
    <col min="14335" max="14335" width="12.33203125" customWidth="1"/>
    <col min="14336" max="14336" width="13.6640625" customWidth="1"/>
    <col min="14337" max="14337" width="11.33203125" customWidth="1"/>
    <col min="14338" max="14338" width="12.44140625" customWidth="1"/>
    <col min="14339" max="14339" width="10.33203125" customWidth="1"/>
    <col min="14340" max="14340" width="15" customWidth="1"/>
    <col min="14341" max="14341" width="13.33203125" customWidth="1"/>
    <col min="14342" max="14342" width="12.33203125" customWidth="1"/>
    <col min="14343" max="14343" width="12.44140625" customWidth="1"/>
    <col min="14344" max="14344" width="10.6640625" customWidth="1"/>
    <col min="14345" max="14345" width="13" customWidth="1"/>
    <col min="14588" max="14588" width="48.6640625" customWidth="1"/>
    <col min="14589" max="14589" width="14.6640625" customWidth="1"/>
    <col min="14590" max="14590" width="14.44140625" customWidth="1"/>
    <col min="14591" max="14591" width="12.33203125" customWidth="1"/>
    <col min="14592" max="14592" width="13.6640625" customWidth="1"/>
    <col min="14593" max="14593" width="11.33203125" customWidth="1"/>
    <col min="14594" max="14594" width="12.44140625" customWidth="1"/>
    <col min="14595" max="14595" width="10.33203125" customWidth="1"/>
    <col min="14596" max="14596" width="15" customWidth="1"/>
    <col min="14597" max="14597" width="13.33203125" customWidth="1"/>
    <col min="14598" max="14598" width="12.33203125" customWidth="1"/>
    <col min="14599" max="14599" width="12.44140625" customWidth="1"/>
    <col min="14600" max="14600" width="10.6640625" customWidth="1"/>
    <col min="14601" max="14601" width="13" customWidth="1"/>
    <col min="14844" max="14844" width="48.6640625" customWidth="1"/>
    <col min="14845" max="14845" width="14.6640625" customWidth="1"/>
    <col min="14846" max="14846" width="14.44140625" customWidth="1"/>
    <col min="14847" max="14847" width="12.33203125" customWidth="1"/>
    <col min="14848" max="14848" width="13.6640625" customWidth="1"/>
    <col min="14849" max="14849" width="11.33203125" customWidth="1"/>
    <col min="14850" max="14850" width="12.44140625" customWidth="1"/>
    <col min="14851" max="14851" width="10.33203125" customWidth="1"/>
    <col min="14852" max="14852" width="15" customWidth="1"/>
    <col min="14853" max="14853" width="13.33203125" customWidth="1"/>
    <col min="14854" max="14854" width="12.33203125" customWidth="1"/>
    <col min="14855" max="14855" width="12.44140625" customWidth="1"/>
    <col min="14856" max="14856" width="10.6640625" customWidth="1"/>
    <col min="14857" max="14857" width="13" customWidth="1"/>
    <col min="15100" max="15100" width="48.6640625" customWidth="1"/>
    <col min="15101" max="15101" width="14.6640625" customWidth="1"/>
    <col min="15102" max="15102" width="14.44140625" customWidth="1"/>
    <col min="15103" max="15103" width="12.33203125" customWidth="1"/>
    <col min="15104" max="15104" width="13.6640625" customWidth="1"/>
    <col min="15105" max="15105" width="11.33203125" customWidth="1"/>
    <col min="15106" max="15106" width="12.44140625" customWidth="1"/>
    <col min="15107" max="15107" width="10.33203125" customWidth="1"/>
    <col min="15108" max="15108" width="15" customWidth="1"/>
    <col min="15109" max="15109" width="13.33203125" customWidth="1"/>
    <col min="15110" max="15110" width="12.33203125" customWidth="1"/>
    <col min="15111" max="15111" width="12.44140625" customWidth="1"/>
    <col min="15112" max="15112" width="10.6640625" customWidth="1"/>
    <col min="15113" max="15113" width="13" customWidth="1"/>
    <col min="15356" max="15356" width="48.6640625" customWidth="1"/>
    <col min="15357" max="15357" width="14.6640625" customWidth="1"/>
    <col min="15358" max="15358" width="14.44140625" customWidth="1"/>
    <col min="15359" max="15359" width="12.33203125" customWidth="1"/>
    <col min="15360" max="15360" width="13.6640625" customWidth="1"/>
    <col min="15361" max="15361" width="11.33203125" customWidth="1"/>
    <col min="15362" max="15362" width="12.44140625" customWidth="1"/>
    <col min="15363" max="15363" width="10.33203125" customWidth="1"/>
    <col min="15364" max="15364" width="15" customWidth="1"/>
    <col min="15365" max="15365" width="13.33203125" customWidth="1"/>
    <col min="15366" max="15366" width="12.33203125" customWidth="1"/>
    <col min="15367" max="15367" width="12.44140625" customWidth="1"/>
    <col min="15368" max="15368" width="10.6640625" customWidth="1"/>
    <col min="15369" max="15369" width="13" customWidth="1"/>
    <col min="15612" max="15612" width="48.6640625" customWidth="1"/>
    <col min="15613" max="15613" width="14.6640625" customWidth="1"/>
    <col min="15614" max="15614" width="14.44140625" customWidth="1"/>
    <col min="15615" max="15615" width="12.33203125" customWidth="1"/>
    <col min="15616" max="15616" width="13.6640625" customWidth="1"/>
    <col min="15617" max="15617" width="11.33203125" customWidth="1"/>
    <col min="15618" max="15618" width="12.44140625" customWidth="1"/>
    <col min="15619" max="15619" width="10.33203125" customWidth="1"/>
    <col min="15620" max="15620" width="15" customWidth="1"/>
    <col min="15621" max="15621" width="13.33203125" customWidth="1"/>
    <col min="15622" max="15622" width="12.33203125" customWidth="1"/>
    <col min="15623" max="15623" width="12.44140625" customWidth="1"/>
    <col min="15624" max="15624" width="10.6640625" customWidth="1"/>
    <col min="15625" max="15625" width="13" customWidth="1"/>
    <col min="15868" max="15868" width="48.6640625" customWidth="1"/>
    <col min="15869" max="15869" width="14.6640625" customWidth="1"/>
    <col min="15870" max="15870" width="14.44140625" customWidth="1"/>
    <col min="15871" max="15871" width="12.33203125" customWidth="1"/>
    <col min="15872" max="15872" width="13.6640625" customWidth="1"/>
    <col min="15873" max="15873" width="11.33203125" customWidth="1"/>
    <col min="15874" max="15874" width="12.44140625" customWidth="1"/>
    <col min="15875" max="15875" width="10.33203125" customWidth="1"/>
    <col min="15876" max="15876" width="15" customWidth="1"/>
    <col min="15877" max="15877" width="13.33203125" customWidth="1"/>
    <col min="15878" max="15878" width="12.33203125" customWidth="1"/>
    <col min="15879" max="15879" width="12.44140625" customWidth="1"/>
    <col min="15880" max="15880" width="10.6640625" customWidth="1"/>
    <col min="15881" max="15881" width="13" customWidth="1"/>
    <col min="16124" max="16124" width="48.6640625" customWidth="1"/>
    <col min="16125" max="16125" width="14.6640625" customWidth="1"/>
    <col min="16126" max="16126" width="14.44140625" customWidth="1"/>
    <col min="16127" max="16127" width="12.33203125" customWidth="1"/>
    <col min="16128" max="16128" width="13.6640625" customWidth="1"/>
    <col min="16129" max="16129" width="11.33203125" customWidth="1"/>
    <col min="16130" max="16130" width="12.44140625" customWidth="1"/>
    <col min="16131" max="16131" width="10.33203125" customWidth="1"/>
    <col min="16132" max="16132" width="15" customWidth="1"/>
    <col min="16133" max="16133" width="13.33203125" customWidth="1"/>
    <col min="16134" max="16134" width="12.33203125" customWidth="1"/>
    <col min="16135" max="16135" width="12.44140625" customWidth="1"/>
    <col min="16136" max="16136" width="10.6640625" customWidth="1"/>
    <col min="16137" max="16137" width="13" customWidth="1"/>
  </cols>
  <sheetData>
    <row r="1" spans="1:31" x14ac:dyDescent="0.3">
      <c r="A1" s="127"/>
      <c r="B1" s="129"/>
      <c r="C1" s="127"/>
      <c r="D1" s="127"/>
      <c r="E1" s="127"/>
      <c r="F1" s="127"/>
      <c r="G1" s="127"/>
      <c r="H1" s="127"/>
      <c r="I1" s="127"/>
      <c r="J1" s="127"/>
      <c r="K1" s="127"/>
      <c r="L1" s="127"/>
      <c r="M1" s="127"/>
      <c r="N1" s="127"/>
    </row>
    <row r="2" spans="1:31" x14ac:dyDescent="0.3">
      <c r="A2" s="127"/>
      <c r="B2" s="113" t="s">
        <v>189</v>
      </c>
      <c r="C2" s="127"/>
      <c r="D2" s="127"/>
      <c r="E2" s="127"/>
      <c r="F2" s="127"/>
      <c r="G2" s="127"/>
      <c r="H2" s="127"/>
      <c r="I2" s="127"/>
      <c r="J2" s="127"/>
      <c r="K2" s="127"/>
      <c r="L2" s="127"/>
      <c r="M2" s="127"/>
      <c r="N2" s="127"/>
    </row>
    <row r="3" spans="1:31" x14ac:dyDescent="0.3">
      <c r="A3" s="127"/>
      <c r="B3" s="113" t="s">
        <v>190</v>
      </c>
      <c r="C3" s="133"/>
      <c r="D3" s="127"/>
      <c r="E3" s="139"/>
      <c r="F3" s="127"/>
      <c r="G3" s="127"/>
      <c r="H3" s="127"/>
      <c r="I3" s="127"/>
      <c r="J3" s="127"/>
      <c r="K3" s="127"/>
      <c r="L3" s="127"/>
      <c r="M3" s="127"/>
      <c r="N3" s="127"/>
    </row>
    <row r="4" spans="1:31" x14ac:dyDescent="0.3">
      <c r="A4" s="127"/>
      <c r="B4" s="113" t="s">
        <v>191</v>
      </c>
      <c r="C4" s="133"/>
      <c r="D4" s="127"/>
      <c r="E4" s="139"/>
      <c r="F4" s="127"/>
      <c r="G4" s="127"/>
      <c r="H4" s="127"/>
      <c r="I4" s="127"/>
      <c r="J4" s="127"/>
      <c r="K4" s="127"/>
      <c r="L4" s="127"/>
      <c r="M4" s="127"/>
      <c r="N4" s="127"/>
    </row>
    <row r="5" spans="1:31" x14ac:dyDescent="0.3">
      <c r="A5" s="127"/>
      <c r="B5" s="113" t="s">
        <v>192</v>
      </c>
      <c r="C5" s="133"/>
      <c r="D5" s="127"/>
      <c r="E5" s="139"/>
      <c r="F5" s="127"/>
      <c r="G5" s="127"/>
      <c r="H5" s="127"/>
      <c r="I5" s="127"/>
      <c r="J5" s="127"/>
      <c r="K5" s="127"/>
      <c r="L5" s="127"/>
      <c r="M5" s="127"/>
      <c r="N5" s="127"/>
    </row>
    <row r="6" spans="1:31" ht="15" thickBot="1" x14ac:dyDescent="0.35">
      <c r="A6" s="127"/>
      <c r="B6" s="312" t="s">
        <v>193</v>
      </c>
      <c r="C6" s="135"/>
      <c r="D6" s="127"/>
      <c r="E6" s="127"/>
      <c r="F6" s="127"/>
      <c r="G6" s="127"/>
      <c r="H6" s="127"/>
      <c r="N6" s="127"/>
      <c r="O6" s="127"/>
      <c r="Q6" s="127"/>
      <c r="U6" s="127"/>
      <c r="V6" s="127"/>
      <c r="X6" s="127"/>
      <c r="Y6" s="127"/>
    </row>
    <row r="7" spans="1:31" s="14" customFormat="1" ht="26.7" customHeight="1" x14ac:dyDescent="0.3">
      <c r="A7" s="126"/>
      <c r="B7" s="948" t="s">
        <v>103</v>
      </c>
      <c r="C7" s="950" t="s">
        <v>102</v>
      </c>
      <c r="D7" s="951"/>
      <c r="E7" s="950" t="s">
        <v>123</v>
      </c>
      <c r="F7" s="951"/>
      <c r="G7" s="950" t="s">
        <v>194</v>
      </c>
      <c r="H7" s="952"/>
      <c r="I7" s="950" t="s">
        <v>195</v>
      </c>
      <c r="J7" s="951"/>
      <c r="K7" s="950" t="s">
        <v>162</v>
      </c>
      <c r="L7" s="951"/>
      <c r="M7" s="950" t="s">
        <v>196</v>
      </c>
      <c r="N7" s="951"/>
      <c r="O7" s="950" t="s">
        <v>170</v>
      </c>
      <c r="P7" s="952"/>
      <c r="Q7" s="950" t="s">
        <v>197</v>
      </c>
      <c r="R7" s="953"/>
      <c r="S7" s="338"/>
      <c r="T7" s="338"/>
      <c r="U7" s="338"/>
      <c r="V7" s="338"/>
      <c r="W7" s="338"/>
      <c r="X7" s="338"/>
      <c r="Y7" s="126"/>
      <c r="Z7" s="339"/>
      <c r="AA7" s="340"/>
      <c r="AB7" s="340"/>
      <c r="AC7" s="340"/>
      <c r="AD7" s="340"/>
      <c r="AE7" s="340"/>
    </row>
    <row r="8" spans="1:31" s="14" customFormat="1" ht="18" customHeight="1" x14ac:dyDescent="0.3">
      <c r="A8" s="126"/>
      <c r="B8" s="949"/>
      <c r="C8" s="447" t="s">
        <v>198</v>
      </c>
      <c r="D8" s="447" t="s">
        <v>11</v>
      </c>
      <c r="E8" s="447" t="s">
        <v>198</v>
      </c>
      <c r="F8" s="341" t="s">
        <v>11</v>
      </c>
      <c r="G8" s="447" t="s">
        <v>198</v>
      </c>
      <c r="H8" s="341" t="s">
        <v>11</v>
      </c>
      <c r="I8" s="556" t="s">
        <v>199</v>
      </c>
      <c r="J8" s="447" t="s">
        <v>200</v>
      </c>
      <c r="K8" s="341" t="s">
        <v>201</v>
      </c>
      <c r="L8" s="447" t="s">
        <v>202</v>
      </c>
      <c r="M8" s="447"/>
      <c r="N8" s="447"/>
      <c r="O8" s="341" t="s">
        <v>201</v>
      </c>
      <c r="P8" s="341" t="s">
        <v>202</v>
      </c>
      <c r="Q8" s="447" t="s">
        <v>198</v>
      </c>
      <c r="R8" s="490" t="s">
        <v>11</v>
      </c>
      <c r="S8" s="338"/>
      <c r="T8" s="338"/>
      <c r="U8" s="338"/>
      <c r="V8" s="338"/>
      <c r="W8" s="338"/>
      <c r="X8" s="338"/>
      <c r="Y8" s="126"/>
      <c r="Z8" s="339"/>
      <c r="AA8" s="340"/>
      <c r="AB8" s="340"/>
      <c r="AC8" s="340"/>
      <c r="AD8" s="340"/>
      <c r="AE8" s="340"/>
    </row>
    <row r="9" spans="1:31" x14ac:dyDescent="0.3">
      <c r="A9" s="127"/>
      <c r="B9" s="348" t="s">
        <v>107</v>
      </c>
      <c r="C9" s="346"/>
      <c r="D9" s="334"/>
      <c r="E9" s="346"/>
      <c r="F9" s="588"/>
      <c r="G9" s="489"/>
      <c r="H9" s="588"/>
      <c r="I9" s="346"/>
      <c r="J9" s="344"/>
      <c r="K9" s="500"/>
      <c r="L9" s="506"/>
      <c r="M9" s="500"/>
      <c r="N9" s="506"/>
      <c r="O9" s="500"/>
      <c r="P9" s="505"/>
      <c r="Q9" s="500"/>
      <c r="R9" s="502"/>
      <c r="S9" s="141"/>
      <c r="T9" s="141"/>
      <c r="U9" s="141"/>
      <c r="V9" s="337"/>
      <c r="W9" s="141"/>
      <c r="X9" s="141"/>
      <c r="Y9" s="127"/>
      <c r="Z9" s="141"/>
      <c r="AA9" s="141"/>
      <c r="AB9" s="141"/>
      <c r="AC9" s="141"/>
      <c r="AD9" s="141"/>
      <c r="AE9" s="141"/>
    </row>
    <row r="10" spans="1:31" x14ac:dyDescent="0.3">
      <c r="A10" s="127"/>
      <c r="B10" s="348" t="s">
        <v>108</v>
      </c>
      <c r="C10" s="346"/>
      <c r="D10" s="334"/>
      <c r="E10" s="346"/>
      <c r="F10" s="588"/>
      <c r="G10" s="489"/>
      <c r="H10" s="588"/>
      <c r="I10" s="346"/>
      <c r="J10" s="344"/>
      <c r="K10" s="500"/>
      <c r="L10" s="506"/>
      <c r="M10" s="500"/>
      <c r="N10" s="506"/>
      <c r="O10" s="500"/>
      <c r="P10" s="505"/>
      <c r="Q10" s="500"/>
      <c r="R10" s="502"/>
      <c r="S10" s="141"/>
      <c r="T10" s="141"/>
      <c r="U10" s="141"/>
      <c r="V10" s="283"/>
      <c r="W10" s="284"/>
      <c r="X10" s="284"/>
      <c r="Y10" s="127"/>
      <c r="Z10" s="141"/>
      <c r="AA10" s="141"/>
      <c r="AB10" s="141"/>
      <c r="AC10" s="141"/>
      <c r="AD10" s="141"/>
      <c r="AE10" s="141"/>
    </row>
    <row r="11" spans="1:31" x14ac:dyDescent="0.3">
      <c r="A11" s="127"/>
      <c r="B11" s="349" t="s">
        <v>203</v>
      </c>
      <c r="C11" s="346"/>
      <c r="D11" s="334"/>
      <c r="E11" s="346"/>
      <c r="F11" s="588"/>
      <c r="G11" s="489"/>
      <c r="H11" s="588"/>
      <c r="I11" s="346"/>
      <c r="J11" s="344"/>
      <c r="K11" s="500"/>
      <c r="L11" s="506"/>
      <c r="M11" s="346"/>
      <c r="N11" s="334"/>
      <c r="O11" s="500"/>
      <c r="P11" s="505"/>
      <c r="Q11" s="346"/>
      <c r="R11" s="491"/>
      <c r="S11" s="141"/>
      <c r="T11" s="141"/>
      <c r="U11" s="141"/>
      <c r="V11" s="285"/>
      <c r="W11" s="142"/>
      <c r="X11" s="142"/>
      <c r="Y11" s="137"/>
      <c r="Z11" s="141"/>
      <c r="AA11" s="141"/>
      <c r="AB11" s="141"/>
      <c r="AC11" s="141"/>
      <c r="AD11" s="141"/>
      <c r="AE11" s="141"/>
    </row>
    <row r="12" spans="1:31" x14ac:dyDescent="0.3">
      <c r="A12" s="127"/>
      <c r="B12" s="348" t="s">
        <v>110</v>
      </c>
      <c r="C12" s="346"/>
      <c r="D12" s="334"/>
      <c r="E12" s="346"/>
      <c r="F12" s="588"/>
      <c r="G12" s="489"/>
      <c r="H12" s="588"/>
      <c r="I12" s="346"/>
      <c r="J12" s="344"/>
      <c r="K12" s="500"/>
      <c r="L12" s="506"/>
      <c r="M12" s="500"/>
      <c r="N12" s="506"/>
      <c r="O12" s="500"/>
      <c r="P12" s="505"/>
      <c r="Q12" s="500"/>
      <c r="R12" s="502"/>
      <c r="S12" s="141"/>
      <c r="T12" s="141"/>
      <c r="U12" s="141"/>
      <c r="V12" s="285"/>
      <c r="W12" s="142"/>
      <c r="X12" s="142"/>
      <c r="Y12" s="128"/>
      <c r="Z12" s="141"/>
      <c r="AA12" s="141"/>
      <c r="AB12" s="141"/>
      <c r="AC12" s="141"/>
      <c r="AD12" s="141"/>
      <c r="AE12" s="141"/>
    </row>
    <row r="13" spans="1:31" x14ac:dyDescent="0.3">
      <c r="A13" s="127"/>
      <c r="B13" s="349" t="s">
        <v>111</v>
      </c>
      <c r="C13" s="346"/>
      <c r="D13" s="334"/>
      <c r="E13" s="346"/>
      <c r="F13" s="588"/>
      <c r="G13" s="489"/>
      <c r="H13" s="588"/>
      <c r="I13" s="346"/>
      <c r="J13" s="344"/>
      <c r="K13" s="500"/>
      <c r="L13" s="506"/>
      <c r="M13" s="500"/>
      <c r="N13" s="506"/>
      <c r="O13" s="500"/>
      <c r="P13" s="505"/>
      <c r="Q13" s="500"/>
      <c r="R13" s="502"/>
      <c r="S13" s="141"/>
      <c r="T13" s="141"/>
      <c r="U13" s="141"/>
      <c r="V13" s="285"/>
      <c r="W13" s="142"/>
      <c r="X13" s="142"/>
      <c r="Y13" s="128"/>
      <c r="Z13" s="143"/>
      <c r="AA13" s="143"/>
      <c r="AB13" s="143"/>
      <c r="AC13" s="143"/>
      <c r="AD13" s="143"/>
      <c r="AE13" s="143"/>
    </row>
    <row r="14" spans="1:31" x14ac:dyDescent="0.3">
      <c r="A14" s="127"/>
      <c r="B14" s="348" t="s">
        <v>112</v>
      </c>
      <c r="C14" s="346"/>
      <c r="D14" s="334"/>
      <c r="E14" s="346"/>
      <c r="F14" s="588"/>
      <c r="G14" s="489"/>
      <c r="H14" s="588"/>
      <c r="I14" s="346"/>
      <c r="J14" s="344"/>
      <c r="K14" s="500"/>
      <c r="L14" s="506"/>
      <c r="M14" s="500"/>
      <c r="N14" s="506"/>
      <c r="O14" s="500"/>
      <c r="P14" s="505"/>
      <c r="Q14" s="500"/>
      <c r="R14" s="502"/>
      <c r="Y14" s="128"/>
    </row>
    <row r="15" spans="1:31" x14ac:dyDescent="0.3">
      <c r="A15" s="127"/>
      <c r="B15" s="348" t="s">
        <v>204</v>
      </c>
      <c r="C15" s="346"/>
      <c r="D15" s="334"/>
      <c r="E15" s="346"/>
      <c r="F15" s="588"/>
      <c r="G15" s="489"/>
      <c r="H15" s="588"/>
      <c r="I15" s="346"/>
      <c r="J15" s="344"/>
      <c r="K15" s="500"/>
      <c r="L15" s="506"/>
      <c r="M15" s="500"/>
      <c r="N15" s="506"/>
      <c r="O15" s="500"/>
      <c r="P15" s="505"/>
      <c r="Q15" s="500"/>
      <c r="R15" s="502"/>
      <c r="S15" s="127"/>
      <c r="T15" s="127"/>
      <c r="U15" s="127"/>
      <c r="V15" s="136"/>
      <c r="W15" s="128"/>
      <c r="X15" s="128"/>
      <c r="Y15" s="128"/>
      <c r="Z15" s="128"/>
      <c r="AA15" s="128"/>
      <c r="AB15" s="128"/>
    </row>
    <row r="16" spans="1:31" x14ac:dyDescent="0.3">
      <c r="A16" s="127"/>
      <c r="B16" s="348" t="s">
        <v>205</v>
      </c>
      <c r="C16" s="346"/>
      <c r="D16" s="334"/>
      <c r="E16" s="346"/>
      <c r="F16" s="588"/>
      <c r="G16" s="489"/>
      <c r="H16" s="588"/>
      <c r="I16" s="346"/>
      <c r="J16" s="344"/>
      <c r="K16" s="500"/>
      <c r="L16" s="506"/>
      <c r="M16" s="500"/>
      <c r="N16" s="506"/>
      <c r="O16" s="500"/>
      <c r="P16" s="505"/>
      <c r="Q16" s="500"/>
      <c r="R16" s="502"/>
      <c r="S16" s="127"/>
      <c r="T16" s="127"/>
      <c r="U16" s="127"/>
      <c r="V16" s="136"/>
      <c r="W16" s="128"/>
      <c r="X16" s="128"/>
      <c r="Y16" s="128"/>
      <c r="Z16" s="128"/>
      <c r="AA16" s="128"/>
      <c r="AB16" s="128"/>
    </row>
    <row r="17" spans="1:28" x14ac:dyDescent="0.3">
      <c r="A17" s="127"/>
      <c r="B17" s="349" t="s">
        <v>115</v>
      </c>
      <c r="C17" s="346"/>
      <c r="D17" s="334"/>
      <c r="E17" s="346"/>
      <c r="F17" s="588"/>
      <c r="G17" s="489"/>
      <c r="H17" s="588"/>
      <c r="I17" s="346"/>
      <c r="J17" s="344"/>
      <c r="K17" s="500"/>
      <c r="L17" s="506"/>
      <c r="M17" s="500"/>
      <c r="N17" s="506"/>
      <c r="O17" s="500"/>
      <c r="P17" s="505"/>
      <c r="Q17" s="500"/>
      <c r="R17" s="502"/>
      <c r="S17" s="127"/>
      <c r="T17" s="127"/>
      <c r="U17" s="127"/>
      <c r="V17" s="136"/>
      <c r="W17" s="128"/>
      <c r="X17" s="128"/>
      <c r="Y17" s="128"/>
      <c r="Z17" s="128"/>
      <c r="AA17" s="128"/>
      <c r="AB17" s="128"/>
    </row>
    <row r="18" spans="1:28" x14ac:dyDescent="0.3">
      <c r="A18" s="127"/>
      <c r="B18" s="348" t="s">
        <v>206</v>
      </c>
      <c r="C18" s="346"/>
      <c r="D18" s="334"/>
      <c r="E18" s="346"/>
      <c r="F18" s="588"/>
      <c r="G18" s="489"/>
      <c r="H18" s="588"/>
      <c r="I18" s="346"/>
      <c r="J18" s="344"/>
      <c r="K18" s="500"/>
      <c r="L18" s="506"/>
      <c r="M18" s="500"/>
      <c r="N18" s="506"/>
      <c r="O18" s="500"/>
      <c r="P18" s="505"/>
      <c r="Q18" s="500"/>
      <c r="R18" s="502"/>
      <c r="S18" s="127"/>
      <c r="T18" s="127"/>
      <c r="U18" s="127"/>
      <c r="V18" s="136"/>
      <c r="W18" s="128"/>
      <c r="X18" s="128"/>
      <c r="Y18" s="128"/>
      <c r="Z18" s="128"/>
      <c r="AA18" s="128"/>
      <c r="AB18" s="128"/>
    </row>
    <row r="19" spans="1:28" x14ac:dyDescent="0.3">
      <c r="A19" s="127"/>
      <c r="B19" s="348" t="s">
        <v>207</v>
      </c>
      <c r="C19" s="346"/>
      <c r="D19" s="334"/>
      <c r="E19" s="346"/>
      <c r="F19" s="588"/>
      <c r="G19" s="489"/>
      <c r="H19" s="588"/>
      <c r="I19" s="346"/>
      <c r="J19" s="344"/>
      <c r="K19" s="500"/>
      <c r="L19" s="506"/>
      <c r="M19" s="500"/>
      <c r="N19" s="506"/>
      <c r="O19" s="500"/>
      <c r="P19" s="505"/>
      <c r="Q19" s="500"/>
      <c r="R19" s="502"/>
      <c r="S19" s="127"/>
      <c r="T19" s="127"/>
      <c r="U19" s="127"/>
      <c r="V19" s="136"/>
      <c r="W19" s="128"/>
      <c r="X19" s="128"/>
      <c r="Y19" s="128"/>
      <c r="Z19" s="128"/>
      <c r="AA19" s="128"/>
      <c r="AB19" s="128"/>
    </row>
    <row r="20" spans="1:28" ht="15" thickBot="1" x14ac:dyDescent="0.35">
      <c r="A20" s="127"/>
      <c r="B20" s="350" t="s">
        <v>208</v>
      </c>
      <c r="C20" s="500"/>
      <c r="D20" s="500"/>
      <c r="E20" s="500"/>
      <c r="F20" s="500"/>
      <c r="G20" s="500"/>
      <c r="H20" s="500"/>
      <c r="I20" s="500"/>
      <c r="J20" s="500"/>
      <c r="K20" s="347"/>
      <c r="L20" s="342"/>
      <c r="M20" s="562"/>
      <c r="N20" s="564"/>
      <c r="O20" s="347"/>
      <c r="P20" s="565"/>
      <c r="Q20" s="503"/>
      <c r="R20" s="504"/>
      <c r="S20" s="127"/>
      <c r="T20" s="127"/>
      <c r="U20" s="127"/>
      <c r="V20" s="136"/>
      <c r="W20" s="128"/>
      <c r="X20" s="128"/>
      <c r="Y20" s="128"/>
      <c r="Z20" s="128"/>
      <c r="AA20" s="128"/>
      <c r="AB20" s="128"/>
    </row>
    <row r="21" spans="1:28" x14ac:dyDescent="0.3">
      <c r="A21" s="127"/>
      <c r="B21" s="134"/>
      <c r="C21" s="276"/>
      <c r="D21" s="159"/>
      <c r="E21" s="159"/>
      <c r="F21" s="159"/>
      <c r="G21" s="159"/>
      <c r="H21" s="159"/>
      <c r="I21" s="159"/>
      <c r="J21" s="159"/>
      <c r="O21" s="278"/>
      <c r="P21" s="127"/>
      <c r="Q21" s="127"/>
      <c r="R21" s="136"/>
      <c r="S21" s="128"/>
      <c r="T21" s="128"/>
      <c r="U21" s="128"/>
      <c r="V21" s="128"/>
      <c r="W21" s="128"/>
      <c r="X21" s="128"/>
    </row>
    <row r="22" spans="1:28" ht="15" thickBot="1" x14ac:dyDescent="0.35">
      <c r="A22" s="127"/>
      <c r="B22" s="312" t="s">
        <v>209</v>
      </c>
      <c r="C22" s="135"/>
      <c r="D22" s="127"/>
      <c r="E22" s="127"/>
      <c r="F22" s="127"/>
      <c r="G22" s="127"/>
      <c r="H22" s="127"/>
      <c r="I22" s="140"/>
      <c r="J22" s="127"/>
      <c r="K22" s="127"/>
      <c r="L22" s="127"/>
      <c r="M22" s="127"/>
      <c r="O22" s="127"/>
      <c r="P22" s="127"/>
      <c r="R22" s="127"/>
      <c r="S22" s="127"/>
    </row>
    <row r="23" spans="1:28" s="14" customFormat="1" ht="26.7" customHeight="1" x14ac:dyDescent="0.3">
      <c r="A23" s="126"/>
      <c r="B23" s="948" t="s">
        <v>103</v>
      </c>
      <c r="C23" s="950" t="s">
        <v>210</v>
      </c>
      <c r="D23" s="951"/>
      <c r="E23" s="950" t="s">
        <v>211</v>
      </c>
      <c r="F23" s="951"/>
      <c r="G23" s="950" t="s">
        <v>212</v>
      </c>
      <c r="H23" s="951"/>
      <c r="I23" s="950" t="s">
        <v>165</v>
      </c>
      <c r="J23" s="951"/>
      <c r="K23" s="950" t="s">
        <v>213</v>
      </c>
      <c r="L23" s="951"/>
      <c r="M23" s="950" t="s">
        <v>197</v>
      </c>
      <c r="N23" s="953"/>
      <c r="O23" s="126"/>
      <c r="P23" s="339"/>
      <c r="Q23" s="340"/>
      <c r="R23" s="340"/>
      <c r="S23" s="340"/>
      <c r="T23" s="340"/>
      <c r="U23" s="340"/>
    </row>
    <row r="24" spans="1:28" s="14" customFormat="1" ht="18" customHeight="1" x14ac:dyDescent="0.3">
      <c r="A24" s="126"/>
      <c r="B24" s="949"/>
      <c r="C24" s="447" t="s">
        <v>198</v>
      </c>
      <c r="D24" s="447" t="s">
        <v>11</v>
      </c>
      <c r="E24" s="447" t="s">
        <v>198</v>
      </c>
      <c r="F24" s="447" t="s">
        <v>11</v>
      </c>
      <c r="G24" s="447" t="s">
        <v>198</v>
      </c>
      <c r="H24" s="447" t="s">
        <v>11</v>
      </c>
      <c r="I24" s="447" t="s">
        <v>198</v>
      </c>
      <c r="J24" s="447" t="s">
        <v>11</v>
      </c>
      <c r="K24" s="447" t="s">
        <v>198</v>
      </c>
      <c r="L24" s="447" t="s">
        <v>11</v>
      </c>
      <c r="M24" s="447" t="s">
        <v>198</v>
      </c>
      <c r="N24" s="490" t="s">
        <v>11</v>
      </c>
      <c r="O24" s="126"/>
      <c r="P24" s="339"/>
      <c r="Q24" s="340"/>
      <c r="R24" s="340"/>
      <c r="S24" s="340"/>
      <c r="T24" s="340"/>
      <c r="U24" s="340"/>
    </row>
    <row r="25" spans="1:28" x14ac:dyDescent="0.3">
      <c r="A25" s="127"/>
      <c r="B25" s="348" t="s">
        <v>107</v>
      </c>
      <c r="C25" s="345"/>
      <c r="D25" s="334"/>
      <c r="E25" s="346"/>
      <c r="F25" s="588"/>
      <c r="G25" s="346"/>
      <c r="H25" s="334"/>
      <c r="I25" s="500"/>
      <c r="J25" s="501"/>
      <c r="K25" s="500"/>
      <c r="L25" s="501"/>
      <c r="M25" s="500"/>
      <c r="N25" s="502"/>
      <c r="O25" s="127"/>
      <c r="P25" s="141"/>
      <c r="Q25" s="141"/>
      <c r="R25" s="141"/>
      <c r="S25" s="141"/>
      <c r="T25" s="141"/>
      <c r="U25" s="141"/>
    </row>
    <row r="26" spans="1:28" x14ac:dyDescent="0.3">
      <c r="A26" s="127"/>
      <c r="B26" s="348" t="s">
        <v>108</v>
      </c>
      <c r="C26" s="345"/>
      <c r="D26" s="334"/>
      <c r="E26" s="346"/>
      <c r="F26" s="588"/>
      <c r="G26" s="346"/>
      <c r="H26" s="334"/>
      <c r="I26" s="500"/>
      <c r="J26" s="501"/>
      <c r="K26" s="500"/>
      <c r="L26" s="501"/>
      <c r="M26" s="500"/>
      <c r="N26" s="502"/>
      <c r="O26" s="127"/>
      <c r="P26" s="141"/>
      <c r="Q26" s="141"/>
      <c r="R26" s="141"/>
      <c r="S26" s="141"/>
      <c r="T26" s="141"/>
      <c r="U26" s="141"/>
    </row>
    <row r="27" spans="1:28" x14ac:dyDescent="0.3">
      <c r="A27" s="127"/>
      <c r="B27" s="349" t="s">
        <v>203</v>
      </c>
      <c r="C27" s="345"/>
      <c r="D27" s="334"/>
      <c r="E27" s="751"/>
      <c r="F27" s="588"/>
      <c r="G27" s="751"/>
      <c r="H27" s="334"/>
      <c r="I27" s="500"/>
      <c r="J27" s="501"/>
      <c r="K27" s="346"/>
      <c r="L27" s="334"/>
      <c r="M27" s="346"/>
      <c r="N27" s="491"/>
      <c r="O27" s="137"/>
      <c r="P27" s="141"/>
      <c r="Q27" s="141"/>
      <c r="R27" s="141"/>
      <c r="S27" s="141"/>
      <c r="T27" s="141"/>
      <c r="U27" s="141"/>
    </row>
    <row r="28" spans="1:28" x14ac:dyDescent="0.3">
      <c r="A28" s="127"/>
      <c r="B28" s="348" t="s">
        <v>110</v>
      </c>
      <c r="C28" s="345"/>
      <c r="D28" s="334"/>
      <c r="E28" s="346"/>
      <c r="F28" s="588"/>
      <c r="G28" s="346"/>
      <c r="H28" s="334"/>
      <c r="I28" s="500"/>
      <c r="J28" s="501"/>
      <c r="K28" s="500"/>
      <c r="L28" s="501"/>
      <c r="M28" s="500"/>
      <c r="N28" s="502"/>
      <c r="O28" s="128"/>
      <c r="P28" s="141"/>
      <c r="Q28" s="141"/>
      <c r="R28" s="141"/>
      <c r="S28" s="141"/>
      <c r="T28" s="141"/>
      <c r="U28" s="141"/>
    </row>
    <row r="29" spans="1:28" x14ac:dyDescent="0.3">
      <c r="A29" s="127"/>
      <c r="B29" s="349" t="s">
        <v>111</v>
      </c>
      <c r="C29" s="345"/>
      <c r="D29" s="334"/>
      <c r="E29" s="346"/>
      <c r="F29" s="588"/>
      <c r="G29" s="346"/>
      <c r="H29" s="334"/>
      <c r="I29" s="500"/>
      <c r="J29" s="501"/>
      <c r="K29" s="500"/>
      <c r="L29" s="501"/>
      <c r="M29" s="500"/>
      <c r="N29" s="502"/>
      <c r="O29" s="128"/>
      <c r="P29" s="143"/>
      <c r="Q29" s="143"/>
      <c r="R29" s="143"/>
      <c r="S29" s="143"/>
      <c r="T29" s="143"/>
      <c r="U29" s="143"/>
    </row>
    <row r="30" spans="1:28" x14ac:dyDescent="0.3">
      <c r="A30" s="127"/>
      <c r="B30" s="348" t="s">
        <v>112</v>
      </c>
      <c r="C30" s="345"/>
      <c r="D30" s="334"/>
      <c r="E30" s="346"/>
      <c r="F30" s="588"/>
      <c r="G30" s="346"/>
      <c r="H30" s="334"/>
      <c r="I30" s="500"/>
      <c r="J30" s="501"/>
      <c r="K30" s="500"/>
      <c r="L30" s="501"/>
      <c r="M30" s="500"/>
      <c r="N30" s="502"/>
      <c r="O30" s="128"/>
    </row>
    <row r="31" spans="1:28" x14ac:dyDescent="0.3">
      <c r="A31" s="127"/>
      <c r="B31" s="348" t="s">
        <v>204</v>
      </c>
      <c r="C31" s="345"/>
      <c r="D31" s="334"/>
      <c r="E31" s="346"/>
      <c r="F31" s="588"/>
      <c r="G31" s="346"/>
      <c r="H31" s="334"/>
      <c r="I31" s="500"/>
      <c r="J31" s="501"/>
      <c r="K31" s="500"/>
      <c r="L31" s="501"/>
      <c r="M31" s="500"/>
      <c r="N31" s="502"/>
      <c r="O31" s="128"/>
      <c r="P31" s="128"/>
      <c r="Q31" s="128"/>
      <c r="R31" s="128"/>
    </row>
    <row r="32" spans="1:28" x14ac:dyDescent="0.3">
      <c r="A32" s="127"/>
      <c r="B32" s="348" t="s">
        <v>205</v>
      </c>
      <c r="C32" s="345"/>
      <c r="D32" s="334"/>
      <c r="E32" s="346"/>
      <c r="F32" s="588"/>
      <c r="G32" s="346"/>
      <c r="H32" s="334"/>
      <c r="I32" s="500"/>
      <c r="J32" s="501"/>
      <c r="K32" s="500"/>
      <c r="L32" s="501"/>
      <c r="M32" s="500"/>
      <c r="N32" s="502"/>
      <c r="O32" s="128"/>
      <c r="P32" s="128"/>
      <c r="Q32" s="128"/>
      <c r="R32" s="128"/>
    </row>
    <row r="33" spans="1:21" x14ac:dyDescent="0.3">
      <c r="A33" s="127"/>
      <c r="B33" s="349" t="s">
        <v>115</v>
      </c>
      <c r="C33" s="345"/>
      <c r="D33" s="334"/>
      <c r="E33" s="346"/>
      <c r="F33" s="588"/>
      <c r="G33" s="346"/>
      <c r="H33" s="334"/>
      <c r="I33" s="500"/>
      <c r="J33" s="501"/>
      <c r="K33" s="500"/>
      <c r="L33" s="501"/>
      <c r="M33" s="500"/>
      <c r="N33" s="502"/>
      <c r="O33" s="128"/>
      <c r="P33" s="128"/>
      <c r="Q33" s="128"/>
      <c r="R33" s="128"/>
    </row>
    <row r="34" spans="1:21" x14ac:dyDescent="0.3">
      <c r="A34" s="127"/>
      <c r="B34" s="348" t="s">
        <v>206</v>
      </c>
      <c r="C34" s="334"/>
      <c r="D34" s="334"/>
      <c r="E34" s="346"/>
      <c r="F34" s="588"/>
      <c r="G34" s="346"/>
      <c r="H34" s="334"/>
      <c r="I34" s="500"/>
      <c r="J34" s="501"/>
      <c r="K34" s="500"/>
      <c r="L34" s="501"/>
      <c r="M34" s="500"/>
      <c r="N34" s="502"/>
      <c r="O34" s="128"/>
      <c r="P34" s="128"/>
      <c r="Q34" s="128"/>
      <c r="R34" s="128"/>
    </row>
    <row r="35" spans="1:21" x14ac:dyDescent="0.3">
      <c r="A35" s="127"/>
      <c r="B35" s="348" t="s">
        <v>207</v>
      </c>
      <c r="C35" s="334"/>
      <c r="D35" s="334"/>
      <c r="E35" s="346"/>
      <c r="F35" s="588"/>
      <c r="G35" s="346"/>
      <c r="H35" s="334"/>
      <c r="I35" s="500"/>
      <c r="J35" s="501"/>
      <c r="K35" s="500"/>
      <c r="L35" s="501"/>
      <c r="M35" s="500"/>
      <c r="N35" s="502"/>
      <c r="O35" s="128"/>
      <c r="P35" s="128"/>
      <c r="Q35" s="128"/>
      <c r="R35" s="128"/>
    </row>
    <row r="36" spans="1:21" ht="15" thickBot="1" x14ac:dyDescent="0.35">
      <c r="A36" s="127"/>
      <c r="B36" s="350" t="s">
        <v>208</v>
      </c>
      <c r="C36" s="500"/>
      <c r="D36" s="500"/>
      <c r="E36" s="500"/>
      <c r="F36" s="500"/>
      <c r="G36" s="500"/>
      <c r="H36" s="500"/>
      <c r="I36" s="347"/>
      <c r="J36" s="342"/>
      <c r="K36" s="562"/>
      <c r="L36" s="564"/>
      <c r="M36" s="503"/>
      <c r="N36" s="504"/>
      <c r="O36" s="128"/>
      <c r="P36" s="128"/>
      <c r="Q36" s="128"/>
      <c r="R36" s="128"/>
    </row>
    <row r="37" spans="1:21" x14ac:dyDescent="0.3">
      <c r="A37" s="127"/>
      <c r="B37" s="134"/>
      <c r="C37" s="276"/>
      <c r="D37" s="159"/>
      <c r="E37" s="159"/>
      <c r="F37" s="159"/>
      <c r="G37" s="159"/>
      <c r="H37" s="159"/>
      <c r="I37" s="279"/>
      <c r="J37" s="128"/>
      <c r="K37" s="127"/>
      <c r="L37" s="127"/>
      <c r="M37" s="127"/>
      <c r="N37" s="128"/>
      <c r="O37" s="128"/>
      <c r="P37" s="128"/>
    </row>
    <row r="38" spans="1:21" ht="15" thickBot="1" x14ac:dyDescent="0.35">
      <c r="A38" s="127"/>
      <c r="B38" s="312" t="s">
        <v>214</v>
      </c>
      <c r="G38" s="127"/>
      <c r="H38" s="127"/>
      <c r="L38" s="127"/>
      <c r="M38" s="127"/>
      <c r="O38" s="127"/>
    </row>
    <row r="39" spans="1:21" s="14" customFormat="1" x14ac:dyDescent="0.3">
      <c r="A39" s="126"/>
      <c r="B39" s="446" t="s">
        <v>103</v>
      </c>
      <c r="C39" s="448" t="s">
        <v>104</v>
      </c>
      <c r="D39" s="482" t="s">
        <v>215</v>
      </c>
      <c r="F39" s="340"/>
      <c r="G39" s="339"/>
      <c r="H39" s="339"/>
      <c r="I39" s="338"/>
      <c r="J39" s="338"/>
      <c r="K39" s="338"/>
      <c r="L39" s="338"/>
      <c r="M39" s="126"/>
      <c r="N39" s="339"/>
      <c r="O39" s="340"/>
      <c r="P39" s="340"/>
    </row>
    <row r="40" spans="1:21" x14ac:dyDescent="0.3">
      <c r="A40" s="127"/>
      <c r="B40" s="348" t="s">
        <v>178</v>
      </c>
      <c r="C40" s="484" t="s">
        <v>216</v>
      </c>
      <c r="D40" s="582"/>
      <c r="F40" s="15"/>
      <c r="G40" s="343"/>
      <c r="H40" s="343"/>
      <c r="I40" s="141"/>
      <c r="J40" s="141"/>
      <c r="K40" s="141"/>
      <c r="L40" s="141"/>
      <c r="M40" s="127"/>
      <c r="N40" s="141"/>
      <c r="O40" s="141"/>
      <c r="P40" s="141"/>
    </row>
    <row r="41" spans="1:21" x14ac:dyDescent="0.3">
      <c r="A41" s="127"/>
      <c r="B41" s="348" t="s">
        <v>179</v>
      </c>
      <c r="C41" s="484" t="s">
        <v>217</v>
      </c>
      <c r="D41" s="582"/>
      <c r="F41" s="15"/>
      <c r="G41" s="356"/>
      <c r="H41" s="343"/>
      <c r="I41" s="141"/>
      <c r="J41" s="141"/>
      <c r="K41" s="284"/>
      <c r="L41" s="284"/>
      <c r="M41" s="127"/>
      <c r="N41" s="141"/>
      <c r="O41" s="141"/>
      <c r="P41" s="141"/>
    </row>
    <row r="42" spans="1:21" x14ac:dyDescent="0.3">
      <c r="A42" s="127"/>
      <c r="B42" s="348" t="s">
        <v>173</v>
      </c>
      <c r="C42" s="484" t="s">
        <v>218</v>
      </c>
      <c r="D42" s="582"/>
      <c r="F42" s="15"/>
      <c r="G42" s="343"/>
      <c r="H42" s="343"/>
      <c r="I42" s="141"/>
      <c r="J42" s="141"/>
      <c r="K42" s="142"/>
      <c r="L42" s="142"/>
      <c r="M42" s="128"/>
      <c r="N42" s="143"/>
      <c r="O42" s="143"/>
      <c r="P42" s="143"/>
    </row>
    <row r="43" spans="1:21" x14ac:dyDescent="0.3">
      <c r="A43" s="127"/>
      <c r="B43" s="348" t="s">
        <v>174</v>
      </c>
      <c r="C43" s="484" t="s">
        <v>219</v>
      </c>
      <c r="D43" s="582"/>
      <c r="F43" s="15"/>
      <c r="G43" s="343"/>
      <c r="H43" s="343"/>
      <c r="M43" s="128"/>
    </row>
    <row r="44" spans="1:21" x14ac:dyDescent="0.3">
      <c r="A44" s="127"/>
      <c r="B44" s="348" t="s">
        <v>220</v>
      </c>
      <c r="C44" s="484" t="s">
        <v>221</v>
      </c>
      <c r="D44" s="582"/>
      <c r="F44" s="15"/>
      <c r="G44" s="343"/>
      <c r="H44" s="343"/>
      <c r="I44" s="127"/>
      <c r="J44" s="127"/>
      <c r="K44" s="128"/>
      <c r="L44" s="128"/>
      <c r="M44" s="128"/>
      <c r="N44" s="128"/>
      <c r="O44" s="128"/>
      <c r="P44" s="128"/>
    </row>
    <row r="45" spans="1:21" x14ac:dyDescent="0.3">
      <c r="A45" s="127"/>
      <c r="B45" s="348" t="s">
        <v>222</v>
      </c>
      <c r="C45" s="484" t="s">
        <v>223</v>
      </c>
      <c r="D45" s="582"/>
      <c r="F45" s="15"/>
      <c r="G45" s="343"/>
      <c r="H45" s="343"/>
      <c r="I45" s="127"/>
      <c r="J45" s="127"/>
      <c r="K45" s="128"/>
      <c r="L45" s="128"/>
      <c r="M45" s="128"/>
      <c r="N45" s="128"/>
      <c r="O45" s="128"/>
      <c r="P45" s="128"/>
    </row>
    <row r="46" spans="1:21" x14ac:dyDescent="0.3">
      <c r="A46" s="127"/>
      <c r="B46" s="754" t="s">
        <v>177</v>
      </c>
      <c r="C46" s="755" t="s">
        <v>224</v>
      </c>
      <c r="D46" s="756"/>
      <c r="F46" s="15"/>
      <c r="G46" s="343"/>
      <c r="H46" s="343"/>
      <c r="I46" s="127"/>
      <c r="J46" s="127"/>
      <c r="K46" s="128"/>
      <c r="L46" s="128"/>
      <c r="M46" s="128"/>
      <c r="N46" s="128"/>
      <c r="O46" s="128"/>
      <c r="P46" s="128"/>
    </row>
    <row r="47" spans="1:21" x14ac:dyDescent="0.3">
      <c r="A47" s="127"/>
      <c r="B47" s="134"/>
      <c r="C47" s="277"/>
      <c r="D47" s="277"/>
      <c r="E47" s="278"/>
      <c r="F47" s="277"/>
      <c r="G47" s="128"/>
      <c r="H47" s="127"/>
      <c r="I47" s="136"/>
      <c r="J47" s="128"/>
      <c r="K47" s="128"/>
      <c r="L47" s="128"/>
      <c r="M47" s="128"/>
    </row>
    <row r="48" spans="1:21" ht="15" thickBot="1" x14ac:dyDescent="0.35">
      <c r="A48" s="127"/>
      <c r="B48" s="312" t="s">
        <v>225</v>
      </c>
      <c r="C48" s="276"/>
      <c r="D48" s="159"/>
      <c r="E48" s="159"/>
      <c r="F48" s="129"/>
      <c r="K48" s="277"/>
      <c r="L48" s="278"/>
      <c r="M48" s="277"/>
      <c r="N48" s="127"/>
      <c r="O48" s="136"/>
      <c r="P48" s="128"/>
      <c r="Q48" s="128"/>
      <c r="R48" s="128"/>
      <c r="S48" s="128"/>
      <c r="T48" s="128"/>
      <c r="U48" s="128"/>
    </row>
    <row r="49" spans="1:20" x14ac:dyDescent="0.3">
      <c r="A49" s="127"/>
      <c r="B49" s="294" t="s">
        <v>226</v>
      </c>
      <c r="C49" s="448" t="s">
        <v>104</v>
      </c>
      <c r="D49" s="482" t="s">
        <v>215</v>
      </c>
      <c r="E49" s="159"/>
      <c r="F49" s="450"/>
      <c r="G49" s="129"/>
      <c r="J49" s="277"/>
      <c r="K49" s="278"/>
      <c r="L49" s="277"/>
      <c r="M49" s="279"/>
      <c r="N49" s="128"/>
      <c r="O49" s="128"/>
      <c r="P49" s="128"/>
      <c r="Q49" s="128"/>
      <c r="R49" s="128"/>
      <c r="S49" s="128"/>
      <c r="T49" s="128"/>
    </row>
    <row r="50" spans="1:20" x14ac:dyDescent="0.3">
      <c r="A50" s="127"/>
      <c r="B50" s="348" t="s">
        <v>227</v>
      </c>
      <c r="C50" s="484" t="s">
        <v>228</v>
      </c>
      <c r="D50" s="488"/>
      <c r="E50" s="159"/>
      <c r="F50" s="159"/>
      <c r="G50" s="129"/>
      <c r="J50" s="277"/>
      <c r="K50" s="278"/>
      <c r="L50" s="277"/>
      <c r="M50" s="279"/>
      <c r="N50" s="128"/>
      <c r="O50" s="128"/>
      <c r="P50" s="128"/>
      <c r="Q50" s="128"/>
      <c r="R50" s="128"/>
      <c r="S50" s="128"/>
      <c r="T50" s="128"/>
    </row>
    <row r="51" spans="1:20" x14ac:dyDescent="0.3">
      <c r="A51" s="127"/>
      <c r="B51" s="348" t="s">
        <v>229</v>
      </c>
      <c r="C51" s="484" t="s">
        <v>230</v>
      </c>
      <c r="D51" s="488"/>
      <c r="E51" s="159"/>
      <c r="F51" s="159"/>
      <c r="G51" s="129"/>
      <c r="J51" s="277"/>
      <c r="K51" s="278"/>
      <c r="L51" s="277"/>
      <c r="M51" s="279"/>
      <c r="N51" s="128"/>
      <c r="O51" s="128"/>
      <c r="P51" s="128"/>
      <c r="Q51" s="128"/>
      <c r="R51" s="128"/>
      <c r="S51" s="128"/>
      <c r="T51" s="128"/>
    </row>
    <row r="52" spans="1:20" x14ac:dyDescent="0.3">
      <c r="A52" s="127"/>
      <c r="B52" s="349" t="s">
        <v>231</v>
      </c>
      <c r="C52" s="485" t="s">
        <v>232</v>
      </c>
      <c r="D52" s="488"/>
      <c r="E52" s="159"/>
      <c r="F52" s="159"/>
      <c r="G52" s="129"/>
      <c r="J52" s="277"/>
      <c r="K52" s="278"/>
      <c r="L52" s="277"/>
      <c r="M52" s="279"/>
      <c r="N52" s="128"/>
      <c r="O52" s="128"/>
      <c r="P52" s="128"/>
      <c r="Q52" s="128"/>
      <c r="R52" s="128"/>
      <c r="S52" s="128"/>
      <c r="T52" s="128"/>
    </row>
    <row r="53" spans="1:20" x14ac:dyDescent="0.3">
      <c r="A53" s="127"/>
      <c r="B53" s="348" t="s">
        <v>233</v>
      </c>
      <c r="C53" s="484" t="s">
        <v>234</v>
      </c>
      <c r="D53" s="488"/>
      <c r="E53" s="159"/>
      <c r="F53" s="277"/>
      <c r="G53" s="129"/>
      <c r="J53" s="277"/>
      <c r="K53" s="278"/>
      <c r="L53" s="277"/>
      <c r="M53" s="279"/>
      <c r="N53" s="128"/>
      <c r="O53" s="128"/>
      <c r="P53" s="128"/>
      <c r="Q53" s="128"/>
      <c r="R53" s="128"/>
      <c r="S53" s="128"/>
      <c r="T53" s="128"/>
    </row>
    <row r="54" spans="1:20" ht="15" thickBot="1" x14ac:dyDescent="0.35">
      <c r="A54" s="127"/>
      <c r="B54" s="486" t="s">
        <v>235</v>
      </c>
      <c r="C54" s="487" t="s">
        <v>236</v>
      </c>
      <c r="D54" s="596"/>
      <c r="E54" s="159"/>
      <c r="F54" s="277"/>
      <c r="G54" s="129"/>
      <c r="J54" s="277"/>
      <c r="K54" s="278"/>
      <c r="L54" s="277"/>
      <c r="M54" s="279"/>
      <c r="N54" s="128"/>
      <c r="O54" s="128"/>
      <c r="P54" s="128"/>
      <c r="Q54" s="128"/>
      <c r="R54" s="128"/>
      <c r="S54" s="128"/>
      <c r="T54" s="128"/>
    </row>
    <row r="55" spans="1:20" x14ac:dyDescent="0.3">
      <c r="A55" s="127"/>
      <c r="B55" s="134"/>
      <c r="C55" s="276"/>
      <c r="D55" s="159"/>
      <c r="E55" s="159"/>
      <c r="F55" s="129"/>
      <c r="I55" s="277"/>
      <c r="J55" s="278"/>
      <c r="K55" s="277"/>
      <c r="L55" s="279"/>
      <c r="M55" s="128"/>
      <c r="N55" s="128"/>
      <c r="O55" s="128"/>
      <c r="P55" s="128"/>
      <c r="Q55" s="128"/>
      <c r="R55" s="128"/>
      <c r="S55" s="128"/>
    </row>
    <row r="56" spans="1:20" x14ac:dyDescent="0.3">
      <c r="A56" s="127"/>
      <c r="B56" s="129"/>
      <c r="C56" s="138"/>
      <c r="D56" s="138"/>
      <c r="E56" s="138"/>
      <c r="F56" s="129"/>
      <c r="G56" s="128"/>
      <c r="H56" s="128"/>
      <c r="I56" s="127"/>
      <c r="J56" s="127"/>
      <c r="K56" s="136"/>
      <c r="L56" s="128"/>
      <c r="M56" s="128"/>
      <c r="N56" s="127"/>
      <c r="O56" s="127"/>
    </row>
    <row r="57" spans="1:20" x14ac:dyDescent="0.3">
      <c r="K57" s="31"/>
      <c r="L57" s="132"/>
      <c r="M57" s="132"/>
    </row>
    <row r="61" spans="1:20" ht="23.25" customHeight="1" x14ac:dyDescent="0.3"/>
  </sheetData>
  <sortState xmlns:xlrd2="http://schemas.microsoft.com/office/spreadsheetml/2017/richdata2" ref="B40:I50">
    <sortCondition ref="D40:D50"/>
  </sortState>
  <mergeCells count="16">
    <mergeCell ref="Q7:R7"/>
    <mergeCell ref="I23:J23"/>
    <mergeCell ref="K23:L23"/>
    <mergeCell ref="M23:N23"/>
    <mergeCell ref="G23:H23"/>
    <mergeCell ref="O7:P7"/>
    <mergeCell ref="K7:L7"/>
    <mergeCell ref="I7:J7"/>
    <mergeCell ref="M7:N7"/>
    <mergeCell ref="B7:B8"/>
    <mergeCell ref="B23:B24"/>
    <mergeCell ref="C23:D23"/>
    <mergeCell ref="E23:F23"/>
    <mergeCell ref="G7:H7"/>
    <mergeCell ref="C7:D7"/>
    <mergeCell ref="E7:F7"/>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K51" sqref="K51"/>
    </sheetView>
  </sheetViews>
  <sheetFormatPr defaultRowHeight="14.4" x14ac:dyDescent="0.3"/>
  <cols>
    <col min="2" max="2" width="33.6640625" customWidth="1"/>
    <col min="3" max="3" width="15.6640625" customWidth="1"/>
    <col min="4" max="19" width="14.5546875" customWidth="1"/>
    <col min="20" max="20" width="12.33203125" bestFit="1" customWidth="1"/>
  </cols>
  <sheetData>
    <row r="2" spans="2:24" ht="18" x14ac:dyDescent="0.35">
      <c r="B2" s="798" t="s">
        <v>422</v>
      </c>
    </row>
    <row r="4" spans="2:24" x14ac:dyDescent="0.3">
      <c r="B4" s="799" t="s">
        <v>100</v>
      </c>
      <c r="C4" s="800"/>
      <c r="D4" s="816"/>
      <c r="E4" s="816"/>
      <c r="F4" s="816"/>
      <c r="G4" s="816"/>
      <c r="H4" s="816"/>
      <c r="I4" s="816"/>
      <c r="J4" s="816"/>
      <c r="K4" s="816"/>
      <c r="L4" s="816"/>
      <c r="M4" s="816"/>
      <c r="N4" s="816"/>
      <c r="O4" s="816"/>
      <c r="P4" s="816"/>
      <c r="Q4" s="816"/>
      <c r="R4" s="816"/>
    </row>
    <row r="5" spans="2:24" x14ac:dyDescent="0.3">
      <c r="B5" s="801" t="s">
        <v>391</v>
      </c>
      <c r="C5" s="810" t="s">
        <v>392</v>
      </c>
      <c r="D5" s="802" t="s">
        <v>18</v>
      </c>
      <c r="E5" s="802" t="s">
        <v>19</v>
      </c>
      <c r="F5" s="802" t="s">
        <v>20</v>
      </c>
      <c r="G5" s="802" t="s">
        <v>21</v>
      </c>
      <c r="H5" s="802" t="s">
        <v>22</v>
      </c>
      <c r="I5" s="802" t="s">
        <v>23</v>
      </c>
      <c r="J5" s="802" t="s">
        <v>24</v>
      </c>
      <c r="K5" s="802" t="s">
        <v>25</v>
      </c>
      <c r="L5" s="802" t="s">
        <v>26</v>
      </c>
      <c r="M5" s="802" t="s">
        <v>27</v>
      </c>
      <c r="N5" s="802" t="s">
        <v>28</v>
      </c>
      <c r="O5" s="802" t="s">
        <v>29</v>
      </c>
      <c r="P5" s="802" t="s">
        <v>30</v>
      </c>
      <c r="Q5" s="802" t="s">
        <v>31</v>
      </c>
      <c r="R5" s="802" t="s">
        <v>32</v>
      </c>
      <c r="S5" s="802" t="s">
        <v>393</v>
      </c>
      <c r="T5" s="803"/>
      <c r="U5" s="803"/>
      <c r="V5" s="803"/>
      <c r="W5" s="803"/>
      <c r="X5" s="803"/>
    </row>
    <row r="6" spans="2:24" hidden="1" x14ac:dyDescent="0.3">
      <c r="B6" s="423" t="s">
        <v>162</v>
      </c>
      <c r="C6" s="806" t="s">
        <v>423</v>
      </c>
      <c r="D6" s="811"/>
      <c r="E6" s="807"/>
      <c r="F6" s="807"/>
      <c r="G6" s="807"/>
      <c r="H6" s="807"/>
      <c r="I6" s="807"/>
      <c r="J6" s="807"/>
      <c r="K6" s="807"/>
      <c r="L6" s="807"/>
      <c r="M6" s="807"/>
      <c r="N6" s="807"/>
      <c r="O6" s="807"/>
      <c r="P6" s="807"/>
      <c r="Q6" s="807"/>
      <c r="R6" s="807"/>
      <c r="S6" s="807">
        <f>SUM(D6:R6)</f>
        <v>0</v>
      </c>
      <c r="W6" s="804"/>
      <c r="X6" s="804"/>
    </row>
    <row r="7" spans="2:24" hidden="1" x14ac:dyDescent="0.3">
      <c r="B7" s="424" t="s">
        <v>424</v>
      </c>
      <c r="C7" s="808" t="s">
        <v>425</v>
      </c>
      <c r="D7" s="812"/>
      <c r="E7" s="807"/>
      <c r="F7" s="807"/>
      <c r="G7" s="807"/>
      <c r="H7" s="807"/>
      <c r="I7" s="807"/>
      <c r="J7" s="807"/>
      <c r="K7" s="807"/>
      <c r="L7" s="807"/>
      <c r="M7" s="807"/>
      <c r="N7" s="807"/>
      <c r="O7" s="807"/>
      <c r="P7" s="807"/>
      <c r="Q7" s="807"/>
      <c r="R7" s="807"/>
      <c r="S7" s="807">
        <f t="shared" ref="S7:S16" si="0">SUM(D7:R7)</f>
        <v>0</v>
      </c>
      <c r="W7" s="804"/>
      <c r="X7" s="804"/>
    </row>
    <row r="8" spans="2:24" hidden="1" x14ac:dyDescent="0.3">
      <c r="B8" s="424" t="s">
        <v>426</v>
      </c>
      <c r="C8" s="808" t="s">
        <v>427</v>
      </c>
      <c r="D8" s="812"/>
      <c r="E8" s="807"/>
      <c r="F8" s="807"/>
      <c r="G8" s="807"/>
      <c r="H8" s="807"/>
      <c r="I8" s="807"/>
      <c r="J8" s="807"/>
      <c r="K8" s="807"/>
      <c r="L8" s="807"/>
      <c r="M8" s="807"/>
      <c r="N8" s="807"/>
      <c r="O8" s="807"/>
      <c r="P8" s="807"/>
      <c r="Q8" s="807"/>
      <c r="R8" s="807"/>
      <c r="S8" s="807">
        <f t="shared" si="0"/>
        <v>0</v>
      </c>
      <c r="W8" s="804"/>
      <c r="X8" s="804"/>
    </row>
    <row r="9" spans="2:24" x14ac:dyDescent="0.3">
      <c r="B9" s="424" t="s">
        <v>428</v>
      </c>
      <c r="C9" s="808" t="s">
        <v>429</v>
      </c>
      <c r="D9" s="812">
        <f>ROUND(198.7*0.8,0)</f>
        <v>159</v>
      </c>
      <c r="E9" s="807"/>
      <c r="F9" s="807"/>
      <c r="G9" s="807"/>
      <c r="H9" s="807"/>
      <c r="I9" s="807"/>
      <c r="J9" s="807"/>
      <c r="K9" s="807"/>
      <c r="L9" s="807"/>
      <c r="M9" s="807"/>
      <c r="N9" s="807"/>
      <c r="O9" s="807"/>
      <c r="P9" s="807"/>
      <c r="Q9" s="807"/>
      <c r="R9" s="807"/>
      <c r="S9" s="807">
        <f t="shared" si="0"/>
        <v>159</v>
      </c>
      <c r="W9" s="804"/>
      <c r="X9" s="804"/>
    </row>
    <row r="10" spans="2:24" x14ac:dyDescent="0.3">
      <c r="B10" s="424" t="s">
        <v>430</v>
      </c>
      <c r="C10" s="808" t="s">
        <v>431</v>
      </c>
      <c r="D10" s="812">
        <f>ROUND(198.7*0.2,0)</f>
        <v>40</v>
      </c>
      <c r="E10" s="807"/>
      <c r="F10" s="807"/>
      <c r="G10" s="807"/>
      <c r="H10" s="807"/>
      <c r="I10" s="807"/>
      <c r="J10" s="807"/>
      <c r="K10" s="807"/>
      <c r="L10" s="807"/>
      <c r="M10" s="807"/>
      <c r="N10" s="807"/>
      <c r="O10" s="807"/>
      <c r="P10" s="807"/>
      <c r="Q10" s="807"/>
      <c r="R10" s="807"/>
      <c r="S10" s="807">
        <f t="shared" si="0"/>
        <v>40</v>
      </c>
      <c r="W10" s="804"/>
      <c r="X10" s="804"/>
    </row>
    <row r="11" spans="2:24" hidden="1" x14ac:dyDescent="0.3">
      <c r="B11" s="424" t="s">
        <v>432</v>
      </c>
      <c r="C11" s="808" t="s">
        <v>433</v>
      </c>
      <c r="D11" s="812"/>
      <c r="E11" s="807"/>
      <c r="F11" s="807"/>
      <c r="G11" s="807"/>
      <c r="H11" s="807"/>
      <c r="I11" s="807"/>
      <c r="J11" s="807"/>
      <c r="K11" s="807"/>
      <c r="L11" s="807"/>
      <c r="M11" s="807"/>
      <c r="N11" s="807"/>
      <c r="O11" s="807"/>
      <c r="P11" s="807"/>
      <c r="Q11" s="807"/>
      <c r="R11" s="807"/>
      <c r="S11" s="807">
        <f t="shared" si="0"/>
        <v>0</v>
      </c>
      <c r="W11" s="804"/>
      <c r="X11" s="804"/>
    </row>
    <row r="12" spans="2:24" hidden="1" x14ac:dyDescent="0.3">
      <c r="B12" s="424" t="s">
        <v>434</v>
      </c>
      <c r="C12" s="808" t="s">
        <v>435</v>
      </c>
      <c r="D12" s="812"/>
      <c r="E12" s="807"/>
      <c r="F12" s="807"/>
      <c r="G12" s="807"/>
      <c r="H12" s="807"/>
      <c r="I12" s="807"/>
      <c r="J12" s="807"/>
      <c r="K12" s="807"/>
      <c r="L12" s="807"/>
      <c r="M12" s="807"/>
      <c r="N12" s="807"/>
      <c r="O12" s="807"/>
      <c r="P12" s="807"/>
      <c r="Q12" s="807"/>
      <c r="R12" s="807"/>
      <c r="S12" s="807">
        <f t="shared" si="0"/>
        <v>0</v>
      </c>
      <c r="W12" s="804"/>
      <c r="X12" s="804"/>
    </row>
    <row r="13" spans="2:24" x14ac:dyDescent="0.3">
      <c r="B13" s="424" t="s">
        <v>436</v>
      </c>
      <c r="C13" s="808" t="s">
        <v>437</v>
      </c>
      <c r="D13" s="812">
        <f>ROUND(2780*0.4,0)</f>
        <v>1112</v>
      </c>
      <c r="E13" s="807"/>
      <c r="F13" s="807"/>
      <c r="G13" s="807"/>
      <c r="H13" s="807"/>
      <c r="I13" s="807"/>
      <c r="J13" s="807"/>
      <c r="K13" s="807"/>
      <c r="L13" s="807"/>
      <c r="M13" s="807"/>
      <c r="N13" s="807"/>
      <c r="O13" s="807"/>
      <c r="P13" s="807"/>
      <c r="Q13" s="807"/>
      <c r="R13" s="807"/>
      <c r="S13" s="807">
        <f t="shared" si="0"/>
        <v>1112</v>
      </c>
      <c r="W13" s="804"/>
      <c r="X13" s="804"/>
    </row>
    <row r="14" spans="2:24" x14ac:dyDescent="0.3">
      <c r="B14" s="424" t="s">
        <v>438</v>
      </c>
      <c r="C14" s="808" t="s">
        <v>439</v>
      </c>
      <c r="D14" s="812">
        <f>ROUND(2780*0.6,0)</f>
        <v>1668</v>
      </c>
      <c r="E14" s="807"/>
      <c r="F14" s="807"/>
      <c r="G14" s="807"/>
      <c r="H14" s="807"/>
      <c r="I14" s="807"/>
      <c r="J14" s="807"/>
      <c r="K14" s="807"/>
      <c r="L14" s="807"/>
      <c r="M14" s="807"/>
      <c r="N14" s="807"/>
      <c r="O14" s="807"/>
      <c r="P14" s="807"/>
      <c r="Q14" s="807"/>
      <c r="R14" s="807"/>
      <c r="S14" s="807">
        <f t="shared" si="0"/>
        <v>1668</v>
      </c>
      <c r="W14" s="804"/>
      <c r="X14" s="804"/>
    </row>
    <row r="15" spans="2:24" hidden="1" x14ac:dyDescent="0.3">
      <c r="B15" s="424" t="s">
        <v>440</v>
      </c>
      <c r="C15" s="808" t="s">
        <v>441</v>
      </c>
      <c r="D15" s="812"/>
      <c r="E15" s="807"/>
      <c r="F15" s="807"/>
      <c r="G15" s="807"/>
      <c r="H15" s="807"/>
      <c r="I15" s="807"/>
      <c r="J15" s="807"/>
      <c r="K15" s="807"/>
      <c r="L15" s="807"/>
      <c r="M15" s="807"/>
      <c r="N15" s="807"/>
      <c r="O15" s="807"/>
      <c r="P15" s="807"/>
      <c r="Q15" s="807"/>
      <c r="R15" s="807"/>
      <c r="S15" s="807">
        <f t="shared" si="0"/>
        <v>0</v>
      </c>
      <c r="W15" s="804"/>
      <c r="X15" s="804"/>
    </row>
    <row r="16" spans="2:24" hidden="1" x14ac:dyDescent="0.3">
      <c r="B16" s="425" t="s">
        <v>442</v>
      </c>
      <c r="C16" s="809" t="s">
        <v>443</v>
      </c>
      <c r="D16" s="814"/>
      <c r="E16" s="815"/>
      <c r="F16" s="815"/>
      <c r="G16" s="815"/>
      <c r="H16" s="815"/>
      <c r="I16" s="815"/>
      <c r="J16" s="815"/>
      <c r="K16" s="815"/>
      <c r="L16" s="815"/>
      <c r="M16" s="815"/>
      <c r="N16" s="815"/>
      <c r="O16" s="815"/>
      <c r="P16" s="815"/>
      <c r="Q16" s="815"/>
      <c r="R16" s="815"/>
      <c r="S16" s="815">
        <f t="shared" si="0"/>
        <v>0</v>
      </c>
      <c r="W16" s="804"/>
      <c r="X16" s="804"/>
    </row>
    <row r="17" spans="2:19" x14ac:dyDescent="0.3">
      <c r="B17" s="418" t="s">
        <v>421</v>
      </c>
      <c r="C17" s="579"/>
      <c r="D17" s="419">
        <f>SUM(D6:D16)</f>
        <v>2979</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2979</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D12" sqref="D12"/>
    </sheetView>
  </sheetViews>
  <sheetFormatPr defaultRowHeight="14.4" x14ac:dyDescent="0.3"/>
  <cols>
    <col min="2" max="2" width="30.6640625" bestFit="1" customWidth="1"/>
    <col min="3" max="3" width="19.5546875" customWidth="1"/>
    <col min="4" max="4" width="13.6640625" bestFit="1" customWidth="1"/>
    <col min="5" max="7" width="14.5546875" bestFit="1" customWidth="1"/>
    <col min="8" max="8" width="16.33203125" bestFit="1" customWidth="1"/>
    <col min="9" max="9" width="15.6640625" bestFit="1" customWidth="1"/>
    <col min="10" max="10" width="16.6640625" bestFit="1" customWidth="1"/>
    <col min="11" max="11" width="16" style="309" customWidth="1"/>
    <col min="12" max="12" width="14" style="309" bestFit="1" customWidth="1"/>
    <col min="13" max="13" width="15.6640625" bestFit="1" customWidth="1"/>
    <col min="14" max="14" width="13.33203125" bestFit="1" customWidth="1"/>
    <col min="15" max="15" width="16.33203125" bestFit="1" customWidth="1"/>
    <col min="16" max="16" width="17.44140625" bestFit="1" customWidth="1"/>
    <col min="17" max="17" width="17.33203125" customWidth="1"/>
    <col min="18" max="18" width="14.6640625" bestFit="1" customWidth="1"/>
    <col min="19" max="19" width="15.33203125" bestFit="1" customWidth="1"/>
  </cols>
  <sheetData>
    <row r="2" spans="2:19" ht="18" x14ac:dyDescent="0.35">
      <c r="B2" s="798" t="s">
        <v>390</v>
      </c>
      <c r="D2" s="860"/>
      <c r="E2" s="860"/>
      <c r="F2" s="860"/>
      <c r="G2" s="860"/>
      <c r="H2" s="860"/>
      <c r="I2" s="860"/>
      <c r="J2" s="860"/>
      <c r="K2" s="860"/>
      <c r="L2" s="860"/>
      <c r="M2" s="860"/>
      <c r="N2" s="860"/>
      <c r="O2" s="860"/>
      <c r="P2" s="860"/>
      <c r="Q2" s="860"/>
      <c r="R2" s="860"/>
    </row>
    <row r="3" spans="2:19" x14ac:dyDescent="0.3">
      <c r="C3" s="132"/>
      <c r="E3" s="932"/>
    </row>
    <row r="4" spans="2:19" x14ac:dyDescent="0.3">
      <c r="B4" s="132"/>
      <c r="C4" s="906"/>
      <c r="D4" s="479"/>
      <c r="E4" s="479"/>
      <c r="F4" s="479"/>
      <c r="G4" s="479"/>
      <c r="H4" s="479"/>
      <c r="I4" s="479"/>
      <c r="J4" s="479"/>
      <c r="K4" s="479"/>
      <c r="L4" s="479"/>
      <c r="M4" s="479"/>
      <c r="N4" s="479"/>
      <c r="O4" s="479"/>
      <c r="P4" s="479"/>
      <c r="Q4" s="479"/>
      <c r="R4" s="479"/>
      <c r="S4" s="15"/>
    </row>
    <row r="5" spans="2:19" x14ac:dyDescent="0.3">
      <c r="B5" s="132"/>
      <c r="C5" s="906"/>
      <c r="D5" s="479"/>
      <c r="E5" s="479"/>
      <c r="F5" s="479"/>
      <c r="G5" s="479"/>
      <c r="H5" s="479"/>
      <c r="I5" s="479"/>
      <c r="J5" s="479"/>
      <c r="K5" s="479"/>
      <c r="L5" s="479"/>
      <c r="M5" s="479"/>
      <c r="N5" s="479"/>
      <c r="O5" s="479"/>
      <c r="P5" s="479"/>
      <c r="Q5" s="479"/>
      <c r="R5" s="479"/>
      <c r="S5" s="15"/>
    </row>
    <row r="6" spans="2:19" x14ac:dyDescent="0.3">
      <c r="B6" s="799" t="s">
        <v>100</v>
      </c>
      <c r="C6" s="900"/>
      <c r="D6" s="816"/>
      <c r="E6" s="816"/>
      <c r="F6" s="816"/>
      <c r="G6" s="816"/>
      <c r="H6" s="816"/>
      <c r="I6" s="816"/>
      <c r="J6" s="816"/>
      <c r="K6" s="816"/>
      <c r="L6" s="816"/>
      <c r="M6" s="816"/>
      <c r="N6" s="816"/>
      <c r="O6" s="816"/>
      <c r="P6" s="816"/>
      <c r="Q6" s="816"/>
      <c r="R6" s="816"/>
    </row>
    <row r="7" spans="2:19" x14ac:dyDescent="0.3">
      <c r="B7" s="897" t="s">
        <v>391</v>
      </c>
      <c r="C7" s="898" t="s">
        <v>392</v>
      </c>
      <c r="D7" s="899" t="s">
        <v>18</v>
      </c>
      <c r="E7" s="899" t="s">
        <v>19</v>
      </c>
      <c r="F7" s="899" t="s">
        <v>20</v>
      </c>
      <c r="G7" s="899" t="s">
        <v>21</v>
      </c>
      <c r="H7" s="899" t="s">
        <v>22</v>
      </c>
      <c r="I7" s="899" t="s">
        <v>23</v>
      </c>
      <c r="J7" s="899" t="s">
        <v>24</v>
      </c>
      <c r="K7" s="899" t="s">
        <v>25</v>
      </c>
      <c r="L7" s="899" t="s">
        <v>26</v>
      </c>
      <c r="M7" s="899" t="s">
        <v>27</v>
      </c>
      <c r="N7" s="899" t="s">
        <v>28</v>
      </c>
      <c r="O7" s="899" t="s">
        <v>29</v>
      </c>
      <c r="P7" s="899" t="s">
        <v>30</v>
      </c>
      <c r="Q7" s="899" t="s">
        <v>31</v>
      </c>
      <c r="R7" s="899" t="s">
        <v>32</v>
      </c>
      <c r="S7" s="899" t="s">
        <v>393</v>
      </c>
    </row>
    <row r="8" spans="2:19" hidden="1" x14ac:dyDescent="0.3">
      <c r="B8" s="423" t="s">
        <v>170</v>
      </c>
      <c r="C8" s="806" t="s">
        <v>394</v>
      </c>
      <c r="D8" s="912"/>
      <c r="E8" s="930"/>
      <c r="F8" s="930"/>
      <c r="G8" s="930"/>
      <c r="H8" s="930"/>
      <c r="I8" s="930"/>
      <c r="J8" s="930"/>
      <c r="K8" s="930"/>
      <c r="L8" s="930"/>
      <c r="M8" s="930"/>
      <c r="N8" s="930"/>
      <c r="O8" s="930"/>
      <c r="P8" s="930"/>
      <c r="Q8" s="930"/>
      <c r="R8" s="930"/>
      <c r="S8" s="902">
        <f>SUM(D8:R8)</f>
        <v>0</v>
      </c>
    </row>
    <row r="9" spans="2:19" hidden="1" x14ac:dyDescent="0.3">
      <c r="B9" s="424" t="s">
        <v>395</v>
      </c>
      <c r="C9" s="808" t="s">
        <v>396</v>
      </c>
      <c r="D9" s="912"/>
      <c r="E9" s="930"/>
      <c r="F9" s="930"/>
      <c r="G9" s="930"/>
      <c r="H9" s="930"/>
      <c r="I9" s="930"/>
      <c r="J9" s="930"/>
      <c r="K9" s="930"/>
      <c r="L9" s="930"/>
      <c r="M9" s="930"/>
      <c r="N9" s="930"/>
      <c r="O9" s="930"/>
      <c r="P9" s="930"/>
      <c r="Q9" s="930"/>
      <c r="R9" s="930"/>
      <c r="S9" s="902">
        <f t="shared" ref="S9:S23" si="0">SUM(D9:R9)</f>
        <v>0</v>
      </c>
    </row>
    <row r="10" spans="2:19" hidden="1" x14ac:dyDescent="0.3">
      <c r="B10" s="424" t="s">
        <v>397</v>
      </c>
      <c r="C10" s="808" t="s">
        <v>398</v>
      </c>
      <c r="D10" s="912"/>
      <c r="E10" s="930"/>
      <c r="F10" s="930"/>
      <c r="G10" s="930"/>
      <c r="H10" s="930"/>
      <c r="I10" s="930"/>
      <c r="J10" s="930"/>
      <c r="K10" s="930"/>
      <c r="L10" s="930"/>
      <c r="M10" s="930"/>
      <c r="N10" s="930"/>
      <c r="O10" s="930"/>
      <c r="P10" s="930"/>
      <c r="Q10" s="930"/>
      <c r="R10" s="930"/>
      <c r="S10" s="902">
        <f t="shared" si="0"/>
        <v>0</v>
      </c>
    </row>
    <row r="11" spans="2:19" hidden="1" x14ac:dyDescent="0.3">
      <c r="B11" s="424" t="s">
        <v>399</v>
      </c>
      <c r="C11" s="808" t="s">
        <v>400</v>
      </c>
      <c r="D11" s="912"/>
      <c r="E11" s="930"/>
      <c r="F11" s="930"/>
      <c r="G11" s="930"/>
      <c r="H11" s="930"/>
      <c r="I11" s="930"/>
      <c r="J11" s="930"/>
      <c r="K11" s="930"/>
      <c r="L11" s="930"/>
      <c r="M11" s="930"/>
      <c r="N11" s="930"/>
      <c r="O11" s="930"/>
      <c r="P11" s="930"/>
      <c r="Q11" s="930"/>
      <c r="R11" s="930"/>
      <c r="S11" s="902">
        <f t="shared" si="0"/>
        <v>0</v>
      </c>
    </row>
    <row r="12" spans="2:19" x14ac:dyDescent="0.3">
      <c r="B12" s="424" t="s">
        <v>401</v>
      </c>
      <c r="C12" s="808" t="s">
        <v>402</v>
      </c>
      <c r="D12" s="806">
        <f>7990.2*0.6</f>
        <v>4794.12</v>
      </c>
      <c r="E12" s="930"/>
      <c r="F12" s="930"/>
      <c r="G12" s="930"/>
      <c r="H12" s="930"/>
      <c r="I12" s="930"/>
      <c r="J12" s="930"/>
      <c r="K12" s="930"/>
      <c r="L12" s="930"/>
      <c r="M12" s="930"/>
      <c r="N12" s="930"/>
      <c r="O12" s="930"/>
      <c r="P12" s="930"/>
      <c r="Q12" s="930"/>
      <c r="R12" s="930"/>
      <c r="S12" s="902">
        <f t="shared" si="0"/>
        <v>4794.12</v>
      </c>
    </row>
    <row r="13" spans="2:19" x14ac:dyDescent="0.3">
      <c r="B13" s="424" t="s">
        <v>403</v>
      </c>
      <c r="C13" s="808" t="s">
        <v>404</v>
      </c>
      <c r="D13" s="806">
        <f>7990.2*0.4</f>
        <v>3196.08</v>
      </c>
      <c r="E13" s="930"/>
      <c r="F13" s="930"/>
      <c r="G13" s="930"/>
      <c r="H13" s="930"/>
      <c r="I13" s="930"/>
      <c r="J13" s="930"/>
      <c r="K13" s="930"/>
      <c r="L13" s="930"/>
      <c r="M13" s="930"/>
      <c r="N13" s="930"/>
      <c r="O13" s="930"/>
      <c r="P13" s="930"/>
      <c r="Q13" s="930"/>
      <c r="R13" s="930"/>
      <c r="S13" s="902">
        <f t="shared" si="0"/>
        <v>3196.08</v>
      </c>
    </row>
    <row r="14" spans="2:19" hidden="1" x14ac:dyDescent="0.3">
      <c r="B14" s="424" t="s">
        <v>405</v>
      </c>
      <c r="C14" s="808" t="s">
        <v>406</v>
      </c>
      <c r="D14" s="806"/>
      <c r="E14" s="930"/>
      <c r="F14" s="930"/>
      <c r="G14" s="930"/>
      <c r="H14" s="930"/>
      <c r="I14" s="930"/>
      <c r="J14" s="930"/>
      <c r="K14" s="930"/>
      <c r="L14" s="930"/>
      <c r="M14" s="930"/>
      <c r="N14" s="930"/>
      <c r="O14" s="930"/>
      <c r="P14" s="930"/>
      <c r="Q14" s="930"/>
      <c r="R14" s="930"/>
      <c r="S14" s="902">
        <f t="shared" si="0"/>
        <v>0</v>
      </c>
    </row>
    <row r="15" spans="2:19" hidden="1" x14ac:dyDescent="0.3">
      <c r="B15" s="424" t="s">
        <v>407</v>
      </c>
      <c r="C15" s="808" t="s">
        <v>408</v>
      </c>
      <c r="D15" s="912"/>
      <c r="E15" s="930"/>
      <c r="F15" s="930"/>
      <c r="G15" s="930"/>
      <c r="H15" s="930"/>
      <c r="I15" s="930"/>
      <c r="J15" s="930"/>
      <c r="K15" s="930"/>
      <c r="L15" s="930"/>
      <c r="M15" s="930"/>
      <c r="N15" s="930"/>
      <c r="O15" s="930"/>
      <c r="P15" s="930"/>
      <c r="Q15" s="930"/>
      <c r="R15" s="930"/>
      <c r="S15" s="902">
        <f t="shared" si="0"/>
        <v>0</v>
      </c>
    </row>
    <row r="16" spans="2:19" hidden="1" x14ac:dyDescent="0.3">
      <c r="B16" s="424" t="s">
        <v>409</v>
      </c>
      <c r="C16" s="808" t="s">
        <v>410</v>
      </c>
      <c r="D16" s="806"/>
      <c r="E16" s="930"/>
      <c r="F16" s="930"/>
      <c r="G16" s="930"/>
      <c r="H16" s="930"/>
      <c r="I16" s="930"/>
      <c r="J16" s="930"/>
      <c r="K16" s="930"/>
      <c r="L16" s="930"/>
      <c r="M16" s="930"/>
      <c r="N16" s="930"/>
      <c r="O16" s="930"/>
      <c r="P16" s="930"/>
      <c r="Q16" s="930"/>
      <c r="R16" s="930"/>
      <c r="S16" s="902">
        <f t="shared" si="0"/>
        <v>0</v>
      </c>
    </row>
    <row r="17" spans="2:19" hidden="1" x14ac:dyDescent="0.3">
      <c r="B17" s="424" t="s">
        <v>411</v>
      </c>
      <c r="C17" s="808" t="s">
        <v>412</v>
      </c>
      <c r="D17" s="806"/>
      <c r="E17" s="930"/>
      <c r="F17" s="930"/>
      <c r="G17" s="930"/>
      <c r="H17" s="930"/>
      <c r="I17" s="930"/>
      <c r="J17" s="930"/>
      <c r="K17" s="930"/>
      <c r="L17" s="930"/>
      <c r="M17" s="930"/>
      <c r="N17" s="930"/>
      <c r="O17" s="930"/>
      <c r="P17" s="930"/>
      <c r="Q17" s="930"/>
      <c r="R17" s="930"/>
      <c r="S17" s="902">
        <f t="shared" si="0"/>
        <v>0</v>
      </c>
    </row>
    <row r="18" spans="2:19" hidden="1" x14ac:dyDescent="0.3">
      <c r="B18" s="424" t="s">
        <v>413</v>
      </c>
      <c r="C18" s="808" t="s">
        <v>76</v>
      </c>
      <c r="D18" s="806"/>
      <c r="E18" s="930"/>
      <c r="F18" s="930"/>
      <c r="G18" s="930"/>
      <c r="H18" s="930"/>
      <c r="I18" s="930"/>
      <c r="J18" s="930"/>
      <c r="K18" s="930"/>
      <c r="L18" s="930"/>
      <c r="M18" s="930"/>
      <c r="N18" s="930"/>
      <c r="O18" s="930"/>
      <c r="P18" s="930"/>
      <c r="Q18" s="930"/>
      <c r="R18" s="930"/>
      <c r="S18" s="902">
        <f t="shared" si="0"/>
        <v>0</v>
      </c>
    </row>
    <row r="19" spans="2:19" x14ac:dyDescent="0.3">
      <c r="B19" s="424" t="s">
        <v>125</v>
      </c>
      <c r="C19" s="808" t="s">
        <v>414</v>
      </c>
      <c r="D19" s="806">
        <f>ROUND(1920*0.7,0)</f>
        <v>1344</v>
      </c>
      <c r="E19" s="931"/>
      <c r="F19" s="931"/>
      <c r="G19" s="931"/>
      <c r="H19" s="931"/>
      <c r="I19" s="931"/>
      <c r="J19" s="931"/>
      <c r="K19" s="931"/>
      <c r="L19" s="931"/>
      <c r="M19" s="931"/>
      <c r="N19" s="931"/>
      <c r="O19" s="931"/>
      <c r="P19" s="931"/>
      <c r="Q19" s="931"/>
      <c r="R19" s="931"/>
      <c r="S19" s="902">
        <f t="shared" si="0"/>
        <v>1344</v>
      </c>
    </row>
    <row r="20" spans="2:19" x14ac:dyDescent="0.3">
      <c r="B20" s="424" t="s">
        <v>124</v>
      </c>
      <c r="C20" s="808" t="s">
        <v>415</v>
      </c>
      <c r="D20" s="806">
        <f>ROUND(1920*0.3,0)</f>
        <v>576</v>
      </c>
      <c r="E20" s="930"/>
      <c r="F20" s="930"/>
      <c r="G20" s="930"/>
      <c r="H20" s="930"/>
      <c r="I20" s="930"/>
      <c r="J20" s="930"/>
      <c r="K20" s="930"/>
      <c r="L20" s="930"/>
      <c r="M20" s="930"/>
      <c r="N20" s="930"/>
      <c r="O20" s="930"/>
      <c r="P20" s="931"/>
      <c r="Q20" s="930"/>
      <c r="R20" s="931"/>
      <c r="S20" s="902">
        <f>SUM(D20:R20)</f>
        <v>576</v>
      </c>
    </row>
    <row r="21" spans="2:19" hidden="1" x14ac:dyDescent="0.3">
      <c r="B21" s="424" t="s">
        <v>416</v>
      </c>
      <c r="C21" s="808" t="s">
        <v>417</v>
      </c>
      <c r="D21" s="912"/>
      <c r="E21" s="930"/>
      <c r="F21" s="931"/>
      <c r="G21" s="931"/>
      <c r="H21" s="931"/>
      <c r="I21" s="931"/>
      <c r="J21" s="931"/>
      <c r="K21" s="931"/>
      <c r="L21" s="931"/>
      <c r="M21" s="931"/>
      <c r="N21" s="931"/>
      <c r="O21" s="931"/>
      <c r="P21" s="931"/>
      <c r="Q21" s="930"/>
      <c r="R21" s="930"/>
      <c r="S21" s="902">
        <f t="shared" si="0"/>
        <v>0</v>
      </c>
    </row>
    <row r="22" spans="2:19" hidden="1" x14ac:dyDescent="0.3">
      <c r="B22" s="424" t="s">
        <v>418</v>
      </c>
      <c r="C22" s="808" t="s">
        <v>419</v>
      </c>
      <c r="D22" s="806"/>
      <c r="E22" s="902"/>
      <c r="F22" s="902"/>
      <c r="G22" s="902"/>
      <c r="H22" s="902"/>
      <c r="I22" s="902"/>
      <c r="J22" s="902"/>
      <c r="K22" s="902"/>
      <c r="L22" s="902"/>
      <c r="M22" s="902"/>
      <c r="N22" s="902"/>
      <c r="O22" s="902"/>
      <c r="P22" s="902"/>
      <c r="Q22" s="902"/>
      <c r="R22" s="902"/>
      <c r="S22" s="902">
        <f t="shared" si="0"/>
        <v>0</v>
      </c>
    </row>
    <row r="23" spans="2:19" hidden="1" x14ac:dyDescent="0.3">
      <c r="B23" s="443"/>
      <c r="C23" s="809" t="s">
        <v>420</v>
      </c>
      <c r="D23" s="809"/>
      <c r="E23" s="903"/>
      <c r="F23" s="903"/>
      <c r="G23" s="903"/>
      <c r="H23" s="903"/>
      <c r="I23" s="903"/>
      <c r="J23" s="903"/>
      <c r="K23" s="903"/>
      <c r="L23" s="903"/>
      <c r="M23" s="903"/>
      <c r="N23" s="903"/>
      <c r="O23" s="903"/>
      <c r="P23" s="903"/>
      <c r="Q23" s="903"/>
      <c r="R23" s="903"/>
      <c r="S23" s="903">
        <f t="shared" si="0"/>
        <v>0</v>
      </c>
    </row>
    <row r="24" spans="2:19" x14ac:dyDescent="0.3">
      <c r="B24" s="418" t="s">
        <v>421</v>
      </c>
      <c r="C24" s="579"/>
      <c r="D24" s="901">
        <f>SUM(D8:D23)</f>
        <v>9910.2000000000007</v>
      </c>
      <c r="E24" s="901">
        <f t="shared" ref="E24:S24" si="1">SUM(E8:E23)</f>
        <v>0</v>
      </c>
      <c r="F24" s="901">
        <f t="shared" si="1"/>
        <v>0</v>
      </c>
      <c r="G24" s="901">
        <f t="shared" si="1"/>
        <v>0</v>
      </c>
      <c r="H24" s="901">
        <f t="shared" si="1"/>
        <v>0</v>
      </c>
      <c r="I24" s="901">
        <f t="shared" si="1"/>
        <v>0</v>
      </c>
      <c r="J24" s="901">
        <f t="shared" si="1"/>
        <v>0</v>
      </c>
      <c r="K24" s="901">
        <f t="shared" si="1"/>
        <v>0</v>
      </c>
      <c r="L24" s="901">
        <f t="shared" si="1"/>
        <v>0</v>
      </c>
      <c r="M24" s="901">
        <f t="shared" si="1"/>
        <v>0</v>
      </c>
      <c r="N24" s="901">
        <f t="shared" si="1"/>
        <v>0</v>
      </c>
      <c r="O24" s="901">
        <f t="shared" si="1"/>
        <v>0</v>
      </c>
      <c r="P24" s="901">
        <f t="shared" si="1"/>
        <v>0</v>
      </c>
      <c r="Q24" s="901">
        <f t="shared" si="1"/>
        <v>0</v>
      </c>
      <c r="R24" s="901">
        <f t="shared" si="1"/>
        <v>0</v>
      </c>
      <c r="S24" s="901">
        <f t="shared" si="1"/>
        <v>9910.2000000000007</v>
      </c>
    </row>
    <row r="25" spans="2:19" x14ac:dyDescent="0.3">
      <c r="B25" s="3"/>
      <c r="C25" s="3"/>
      <c r="K25"/>
      <c r="L25"/>
    </row>
    <row r="26" spans="2:19" x14ac:dyDescent="0.3">
      <c r="B26" s="3"/>
      <c r="D26" s="909"/>
      <c r="E26" s="909"/>
      <c r="F26" s="910"/>
      <c r="G26" s="910"/>
      <c r="H26" s="910"/>
      <c r="I26" s="910"/>
      <c r="J26" s="910"/>
      <c r="K26" s="910"/>
      <c r="L26" s="910"/>
      <c r="M26" s="910"/>
      <c r="N26" s="910"/>
      <c r="O26" s="910"/>
      <c r="P26" s="910"/>
      <c r="Q26" s="910"/>
      <c r="R26" s="910"/>
      <c r="S26" s="911"/>
    </row>
    <row r="27" spans="2:19" x14ac:dyDescent="0.3">
      <c r="B27" s="3"/>
      <c r="D27" s="909"/>
      <c r="E27" s="909"/>
      <c r="F27" s="910"/>
      <c r="G27" s="910"/>
      <c r="H27" s="910"/>
      <c r="I27" s="910"/>
      <c r="J27" s="910"/>
      <c r="K27" s="910"/>
      <c r="L27" s="910"/>
      <c r="M27" s="910"/>
      <c r="N27" s="910"/>
      <c r="O27" s="910"/>
      <c r="P27" s="910"/>
      <c r="Q27" s="910"/>
      <c r="R27" s="910"/>
      <c r="S27" s="911"/>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G20"/>
  <sheetViews>
    <sheetView zoomScale="75" zoomScaleNormal="75" workbookViewId="0">
      <selection activeCell="B69" sqref="B69"/>
    </sheetView>
  </sheetViews>
  <sheetFormatPr defaultRowHeight="14.4" x14ac:dyDescent="0.3"/>
  <cols>
    <col min="2" max="2" width="59" customWidth="1"/>
    <col min="5" max="5" width="18" customWidth="1"/>
    <col min="7" max="7" width="56.6640625" bestFit="1" customWidth="1"/>
  </cols>
  <sheetData>
    <row r="2" spans="2:7" x14ac:dyDescent="0.3">
      <c r="B2" s="113" t="s">
        <v>444</v>
      </c>
    </row>
    <row r="3" spans="2:7" x14ac:dyDescent="0.3">
      <c r="B3" s="113" t="s">
        <v>189</v>
      </c>
    </row>
    <row r="4" spans="2:7" x14ac:dyDescent="0.3">
      <c r="B4" s="113"/>
    </row>
    <row r="5" spans="2:7" x14ac:dyDescent="0.3">
      <c r="B5" s="441" t="s">
        <v>445</v>
      </c>
      <c r="C5" s="264">
        <v>2019</v>
      </c>
      <c r="D5" s="264">
        <v>2020</v>
      </c>
      <c r="E5" s="264" t="s">
        <v>446</v>
      </c>
    </row>
    <row r="6" spans="2:7" x14ac:dyDescent="0.3">
      <c r="B6" s="441"/>
      <c r="C6" s="264" t="s">
        <v>447</v>
      </c>
      <c r="D6" s="264" t="s">
        <v>447</v>
      </c>
      <c r="E6" s="441"/>
    </row>
    <row r="7" spans="2:7" x14ac:dyDescent="0.3">
      <c r="B7" s="169" t="s">
        <v>448</v>
      </c>
      <c r="C7" s="449">
        <v>0.95</v>
      </c>
      <c r="D7" s="445">
        <f>C7</f>
        <v>0.95</v>
      </c>
      <c r="E7" s="917" t="s">
        <v>449</v>
      </c>
      <c r="G7" s="955" t="s">
        <v>1246</v>
      </c>
    </row>
    <row r="8" spans="2:7" x14ac:dyDescent="0.3">
      <c r="B8" s="169" t="s">
        <v>450</v>
      </c>
      <c r="C8" s="449">
        <v>5.8000000000000003E-2</v>
      </c>
      <c r="D8" s="445">
        <v>5.8000000000000003E-2</v>
      </c>
      <c r="E8" s="917" t="s">
        <v>449</v>
      </c>
      <c r="G8" s="955"/>
    </row>
    <row r="9" spans="2:7" x14ac:dyDescent="0.3">
      <c r="B9" s="169" t="s">
        <v>451</v>
      </c>
      <c r="C9" s="449">
        <v>0.17499999999999999</v>
      </c>
      <c r="D9" s="445">
        <f t="shared" ref="D9:D12" si="0">C9</f>
        <v>0.17499999999999999</v>
      </c>
      <c r="E9" s="917" t="s">
        <v>449</v>
      </c>
      <c r="G9" s="955"/>
    </row>
    <row r="10" spans="2:7" x14ac:dyDescent="0.3">
      <c r="B10" s="169" t="s">
        <v>452</v>
      </c>
      <c r="C10" s="449">
        <v>5.0999999999999997E-2</v>
      </c>
      <c r="D10" s="445">
        <f t="shared" si="0"/>
        <v>5.0999999999999997E-2</v>
      </c>
      <c r="E10" s="917" t="s">
        <v>449</v>
      </c>
      <c r="G10" s="955"/>
    </row>
    <row r="11" spans="2:7" x14ac:dyDescent="0.3">
      <c r="B11" s="169" t="s">
        <v>453</v>
      </c>
      <c r="C11" s="449">
        <v>0</v>
      </c>
      <c r="D11" s="445">
        <v>0</v>
      </c>
      <c r="E11" s="917" t="s">
        <v>449</v>
      </c>
      <c r="G11" s="955"/>
    </row>
    <row r="12" spans="2:7" x14ac:dyDescent="0.3">
      <c r="B12" s="169" t="s">
        <v>454</v>
      </c>
      <c r="C12" s="449">
        <v>0.82</v>
      </c>
      <c r="D12" s="445">
        <f t="shared" si="0"/>
        <v>0.82</v>
      </c>
      <c r="E12" s="917" t="s">
        <v>449</v>
      </c>
      <c r="G12" s="955"/>
    </row>
    <row r="13" spans="2:7" x14ac:dyDescent="0.3">
      <c r="B13" s="169" t="s">
        <v>455</v>
      </c>
      <c r="C13" s="449">
        <v>0.95</v>
      </c>
      <c r="D13" s="445">
        <v>0.95</v>
      </c>
      <c r="E13" s="917" t="s">
        <v>449</v>
      </c>
      <c r="G13" s="955"/>
    </row>
    <row r="14" spans="2:7" x14ac:dyDescent="0.3">
      <c r="B14" s="14"/>
      <c r="C14" s="442"/>
      <c r="E14" s="421"/>
    </row>
    <row r="15" spans="2:7" x14ac:dyDescent="0.3">
      <c r="B15" s="14"/>
      <c r="C15" s="442"/>
      <c r="E15" s="421"/>
    </row>
    <row r="16" spans="2:7" x14ac:dyDescent="0.3">
      <c r="B16" s="441" t="s">
        <v>456</v>
      </c>
      <c r="C16" s="264">
        <v>2019</v>
      </c>
      <c r="D16" s="264">
        <v>2020</v>
      </c>
      <c r="E16" s="264" t="s">
        <v>446</v>
      </c>
    </row>
    <row r="17" spans="2:5" x14ac:dyDescent="0.3">
      <c r="B17" s="441"/>
      <c r="C17" s="264" t="s">
        <v>447</v>
      </c>
      <c r="D17" s="264" t="s">
        <v>447</v>
      </c>
      <c r="E17" s="264"/>
    </row>
    <row r="18" spans="2:5" x14ac:dyDescent="0.3">
      <c r="B18" s="169" t="s">
        <v>457</v>
      </c>
      <c r="C18" s="449">
        <v>0.8</v>
      </c>
      <c r="D18" s="445">
        <f>C18</f>
        <v>0.8</v>
      </c>
      <c r="E18" s="954" t="s">
        <v>449</v>
      </c>
    </row>
    <row r="19" spans="2:5" x14ac:dyDescent="0.3">
      <c r="B19" s="169" t="s">
        <v>458</v>
      </c>
      <c r="C19" s="449">
        <v>0.75</v>
      </c>
      <c r="D19" s="445">
        <f t="shared" ref="D19:D20" si="1">C19</f>
        <v>0.75</v>
      </c>
      <c r="E19" s="954"/>
    </row>
    <row r="20" spans="2:5" x14ac:dyDescent="0.3">
      <c r="B20" s="169" t="s">
        <v>459</v>
      </c>
      <c r="C20" s="449">
        <v>0.8</v>
      </c>
      <c r="D20" s="445">
        <f t="shared" si="1"/>
        <v>0.8</v>
      </c>
      <c r="E20" s="954"/>
    </row>
  </sheetData>
  <mergeCells count="2">
    <mergeCell ref="E18:E20"/>
    <mergeCell ref="G7:G1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2"/>
  <sheetViews>
    <sheetView zoomScale="75" zoomScaleNormal="75" workbookViewId="0">
      <selection activeCell="P57" sqref="P57"/>
    </sheetView>
  </sheetViews>
  <sheetFormatPr defaultColWidth="9.33203125" defaultRowHeight="14.4" x14ac:dyDescent="0.3"/>
  <cols>
    <col min="1" max="1" width="9.33203125" style="2"/>
    <col min="2" max="3" width="15.33203125" style="2" customWidth="1"/>
    <col min="4" max="4" width="34.6640625" style="2" customWidth="1"/>
    <col min="5" max="18" width="10.6640625" style="2" customWidth="1"/>
    <col min="19" max="19" width="9.33203125" style="2"/>
    <col min="20" max="20" width="9.6640625" style="2" bestFit="1" customWidth="1"/>
    <col min="21" max="21" width="9.33203125" style="2"/>
    <col min="22" max="22" width="139" style="2" bestFit="1" customWidth="1"/>
    <col min="23" max="16384" width="9.33203125" style="2"/>
  </cols>
  <sheetData>
    <row r="2" spans="2:24" x14ac:dyDescent="0.3">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3"/>
    <row r="4" spans="2:24" customFormat="1" x14ac:dyDescent="0.3">
      <c r="B4" s="42" t="s">
        <v>461</v>
      </c>
      <c r="C4" s="42"/>
      <c r="D4" s="42"/>
    </row>
    <row r="5" spans="2:24" customFormat="1" ht="18" x14ac:dyDescent="0.35">
      <c r="B5" s="186" t="s">
        <v>462</v>
      </c>
      <c r="C5" s="186"/>
      <c r="D5" s="186"/>
      <c r="E5" s="320"/>
    </row>
    <row r="6" spans="2:24" customFormat="1" x14ac:dyDescent="0.3">
      <c r="E6" s="106"/>
      <c r="F6" s="106"/>
      <c r="U6" s="106" t="s">
        <v>190</v>
      </c>
    </row>
    <row r="7" spans="2:24" customFormat="1" x14ac:dyDescent="0.3">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hidden="1" x14ac:dyDescent="0.3">
      <c r="B8" s="186" t="s">
        <v>72</v>
      </c>
      <c r="C8" s="219" t="s">
        <v>394</v>
      </c>
      <c r="D8" s="186" t="s">
        <v>469</v>
      </c>
      <c r="E8" s="499">
        <f t="shared" ref="E8:E13" si="0">U8</f>
        <v>0</v>
      </c>
      <c r="F8" s="499"/>
      <c r="G8" s="499"/>
      <c r="H8" s="499"/>
      <c r="I8" s="499"/>
      <c r="J8" s="499"/>
      <c r="K8" s="499"/>
      <c r="L8" s="499"/>
      <c r="M8" s="499"/>
      <c r="N8" s="499"/>
      <c r="O8" s="499"/>
      <c r="P8" s="499"/>
      <c r="Q8" s="499"/>
      <c r="R8" s="499"/>
      <c r="S8" s="499"/>
      <c r="U8" s="467">
        <v>0</v>
      </c>
      <c r="V8" s="394"/>
      <c r="X8" s="631" t="str">
        <f>IF(U8=0, "0", "ok")</f>
        <v>0</v>
      </c>
    </row>
    <row r="9" spans="2:24" customFormat="1" hidden="1" x14ac:dyDescent="0.3">
      <c r="B9" s="186" t="s">
        <v>72</v>
      </c>
      <c r="C9" s="219" t="s">
        <v>470</v>
      </c>
      <c r="D9" s="186" t="s">
        <v>471</v>
      </c>
      <c r="E9" s="499">
        <f t="shared" si="0"/>
        <v>0</v>
      </c>
      <c r="F9" s="499"/>
      <c r="G9" s="499"/>
      <c r="H9" s="499"/>
      <c r="I9" s="499"/>
      <c r="J9" s="499"/>
      <c r="K9" s="499"/>
      <c r="L9" s="499"/>
      <c r="M9" s="499"/>
      <c r="N9" s="499"/>
      <c r="O9" s="499"/>
      <c r="P9" s="499"/>
      <c r="Q9" s="499"/>
      <c r="R9" s="499"/>
      <c r="S9" s="499"/>
      <c r="U9" s="467">
        <v>0</v>
      </c>
      <c r="V9" s="394"/>
      <c r="X9" s="631" t="str">
        <f t="shared" ref="X9:X46" si="1">IF(U9=0, "0", "ok")</f>
        <v>0</v>
      </c>
    </row>
    <row r="10" spans="2:24" customFormat="1" hidden="1" x14ac:dyDescent="0.3">
      <c r="B10" s="186" t="s">
        <v>72</v>
      </c>
      <c r="C10" s="219" t="s">
        <v>398</v>
      </c>
      <c r="D10" s="186" t="s">
        <v>472</v>
      </c>
      <c r="E10" s="499">
        <f t="shared" si="0"/>
        <v>0</v>
      </c>
      <c r="F10" s="499"/>
      <c r="G10" s="499"/>
      <c r="H10" s="499"/>
      <c r="I10" s="499"/>
      <c r="J10" s="499"/>
      <c r="K10" s="499"/>
      <c r="L10" s="499"/>
      <c r="M10" s="499"/>
      <c r="N10" s="499"/>
      <c r="O10" s="499"/>
      <c r="P10" s="499"/>
      <c r="Q10" s="499"/>
      <c r="R10" s="499"/>
      <c r="S10" s="499"/>
      <c r="U10" s="467">
        <v>0</v>
      </c>
      <c r="V10" s="394"/>
      <c r="X10" s="631" t="str">
        <f t="shared" si="1"/>
        <v>0</v>
      </c>
    </row>
    <row r="11" spans="2:24" customFormat="1" hidden="1" x14ac:dyDescent="0.3">
      <c r="B11" s="186" t="s">
        <v>72</v>
      </c>
      <c r="C11" s="219" t="s">
        <v>473</v>
      </c>
      <c r="D11" s="186" t="s">
        <v>474</v>
      </c>
      <c r="E11" s="499">
        <f t="shared" si="0"/>
        <v>0</v>
      </c>
      <c r="F11" s="499"/>
      <c r="G11" s="499"/>
      <c r="H11" s="499"/>
      <c r="I11" s="499"/>
      <c r="J11" s="499"/>
      <c r="K11" s="499"/>
      <c r="L11" s="499"/>
      <c r="M11" s="499"/>
      <c r="N11" s="499"/>
      <c r="O11" s="499"/>
      <c r="P11" s="499"/>
      <c r="Q11" s="499"/>
      <c r="R11" s="499"/>
      <c r="S11" s="499"/>
      <c r="U11" s="467">
        <v>0</v>
      </c>
      <c r="V11" s="394"/>
      <c r="X11" s="631" t="str">
        <f t="shared" si="1"/>
        <v>0</v>
      </c>
    </row>
    <row r="12" spans="2:24" customFormat="1" hidden="1" x14ac:dyDescent="0.3">
      <c r="B12" s="186" t="s">
        <v>72</v>
      </c>
      <c r="C12" s="219" t="s">
        <v>396</v>
      </c>
      <c r="D12" s="186" t="s">
        <v>475</v>
      </c>
      <c r="E12" s="499">
        <f t="shared" si="0"/>
        <v>0</v>
      </c>
      <c r="F12" s="499"/>
      <c r="G12" s="499"/>
      <c r="H12" s="499"/>
      <c r="I12" s="499"/>
      <c r="J12" s="499"/>
      <c r="K12" s="499"/>
      <c r="L12" s="499"/>
      <c r="M12" s="499"/>
      <c r="N12" s="499"/>
      <c r="O12" s="499"/>
      <c r="P12" s="499"/>
      <c r="Q12" s="499"/>
      <c r="R12" s="499"/>
      <c r="S12" s="499"/>
      <c r="U12" s="467">
        <v>0</v>
      </c>
      <c r="V12" s="394"/>
      <c r="X12" s="631" t="str">
        <f t="shared" si="1"/>
        <v>0</v>
      </c>
    </row>
    <row r="13" spans="2:24" customFormat="1" hidden="1" x14ac:dyDescent="0.3">
      <c r="B13" s="186" t="s">
        <v>72</v>
      </c>
      <c r="C13" s="219" t="s">
        <v>476</v>
      </c>
      <c r="D13" s="186" t="s">
        <v>477</v>
      </c>
      <c r="E13" s="499">
        <f t="shared" si="0"/>
        <v>0</v>
      </c>
      <c r="F13" s="499"/>
      <c r="G13" s="499"/>
      <c r="H13" s="499"/>
      <c r="I13" s="499"/>
      <c r="J13" s="499"/>
      <c r="K13" s="499"/>
      <c r="L13" s="499"/>
      <c r="M13" s="499"/>
      <c r="N13" s="499"/>
      <c r="O13" s="499"/>
      <c r="P13" s="499"/>
      <c r="Q13" s="499"/>
      <c r="R13" s="499"/>
      <c r="S13" s="499"/>
      <c r="U13" s="467">
        <v>0</v>
      </c>
      <c r="V13" s="394"/>
      <c r="X13" s="631" t="str">
        <f t="shared" si="1"/>
        <v>0</v>
      </c>
    </row>
    <row r="14" spans="2:24" customFormat="1" hidden="1" x14ac:dyDescent="0.3">
      <c r="B14" s="186" t="s">
        <v>72</v>
      </c>
      <c r="C14" s="219" t="s">
        <v>400</v>
      </c>
      <c r="D14" s="186" t="s">
        <v>478</v>
      </c>
      <c r="E14" s="499">
        <f t="shared" ref="E14:E15" si="2">U14</f>
        <v>0</v>
      </c>
      <c r="F14" s="499"/>
      <c r="G14" s="499"/>
      <c r="H14" s="499"/>
      <c r="I14" s="499"/>
      <c r="J14" s="499"/>
      <c r="K14" s="499"/>
      <c r="L14" s="499"/>
      <c r="M14" s="499"/>
      <c r="N14" s="499"/>
      <c r="O14" s="499"/>
      <c r="P14" s="499"/>
      <c r="Q14" s="499"/>
      <c r="R14" s="499"/>
      <c r="S14" s="499"/>
      <c r="U14" s="467">
        <v>0</v>
      </c>
      <c r="V14" s="394"/>
      <c r="X14" s="631" t="str">
        <f t="shared" si="1"/>
        <v>0</v>
      </c>
    </row>
    <row r="15" spans="2:24" customFormat="1" hidden="1" x14ac:dyDescent="0.3">
      <c r="B15" s="186" t="s">
        <v>72</v>
      </c>
      <c r="C15" s="219" t="s">
        <v>479</v>
      </c>
      <c r="D15" s="186" t="s">
        <v>480</v>
      </c>
      <c r="E15" s="499">
        <f t="shared" si="2"/>
        <v>0</v>
      </c>
      <c r="F15" s="499"/>
      <c r="G15" s="499"/>
      <c r="H15" s="499"/>
      <c r="I15" s="499"/>
      <c r="J15" s="499"/>
      <c r="K15" s="499"/>
      <c r="L15" s="499"/>
      <c r="M15" s="499"/>
      <c r="N15" s="499"/>
      <c r="O15" s="499"/>
      <c r="P15" s="499"/>
      <c r="Q15" s="499"/>
      <c r="R15" s="499"/>
      <c r="S15" s="499"/>
      <c r="U15" s="467">
        <v>0</v>
      </c>
      <c r="V15" s="394"/>
      <c r="X15" s="631" t="str">
        <f t="shared" si="1"/>
        <v>0</v>
      </c>
    </row>
    <row r="16" spans="2:24" customFormat="1" hidden="1" x14ac:dyDescent="0.3">
      <c r="B16" s="186" t="s">
        <v>420</v>
      </c>
      <c r="C16" s="219" t="s">
        <v>420</v>
      </c>
      <c r="D16" s="186" t="s">
        <v>481</v>
      </c>
      <c r="E16" s="499">
        <f t="shared" ref="E16:E17" si="3">U16</f>
        <v>999</v>
      </c>
      <c r="F16" s="499"/>
      <c r="G16" s="499"/>
      <c r="H16" s="499"/>
      <c r="I16" s="499"/>
      <c r="J16" s="499"/>
      <c r="K16" s="499"/>
      <c r="L16" s="499"/>
      <c r="M16" s="499"/>
      <c r="N16" s="499"/>
      <c r="O16" s="499"/>
      <c r="P16" s="499"/>
      <c r="Q16" s="499"/>
      <c r="R16" s="499"/>
      <c r="S16" s="499"/>
      <c r="U16" s="609">
        <v>999</v>
      </c>
      <c r="V16" s="468" t="s">
        <v>482</v>
      </c>
      <c r="X16" s="631" t="str">
        <f t="shared" si="1"/>
        <v>ok</v>
      </c>
    </row>
    <row r="17" spans="2:24" customFormat="1" hidden="1" x14ac:dyDescent="0.3">
      <c r="B17" s="186" t="s">
        <v>420</v>
      </c>
      <c r="C17" s="219" t="s">
        <v>483</v>
      </c>
      <c r="D17" s="186" t="s">
        <v>484</v>
      </c>
      <c r="E17" s="499">
        <f t="shared" si="3"/>
        <v>999</v>
      </c>
      <c r="F17" s="499"/>
      <c r="G17" s="499"/>
      <c r="H17" s="499"/>
      <c r="I17" s="499"/>
      <c r="J17" s="499"/>
      <c r="K17" s="499"/>
      <c r="L17" s="499"/>
      <c r="M17" s="499"/>
      <c r="N17" s="499"/>
      <c r="O17" s="499"/>
      <c r="P17" s="499"/>
      <c r="Q17" s="499"/>
      <c r="R17" s="499"/>
      <c r="S17" s="499"/>
      <c r="U17" s="609">
        <v>999</v>
      </c>
      <c r="V17" s="468" t="s">
        <v>482</v>
      </c>
      <c r="X17" s="631" t="str">
        <f t="shared" si="1"/>
        <v>ok</v>
      </c>
    </row>
    <row r="18" spans="2:24" customFormat="1" hidden="1" x14ac:dyDescent="0.3">
      <c r="B18" s="186" t="s">
        <v>75</v>
      </c>
      <c r="C18" s="186" t="s">
        <v>485</v>
      </c>
      <c r="D18" s="186" t="s">
        <v>486</v>
      </c>
      <c r="E18" s="499">
        <f>U18</f>
        <v>0</v>
      </c>
      <c r="F18" s="499"/>
      <c r="G18" s="499"/>
      <c r="H18" s="499"/>
      <c r="I18" s="499"/>
      <c r="J18" s="499"/>
      <c r="K18" s="499"/>
      <c r="L18" s="499"/>
      <c r="M18" s="499"/>
      <c r="N18" s="499"/>
      <c r="O18" s="499"/>
      <c r="P18" s="499"/>
      <c r="Q18" s="499"/>
      <c r="R18" s="499"/>
      <c r="S18" s="499"/>
      <c r="U18" s="451">
        <v>0</v>
      </c>
      <c r="V18" s="468"/>
      <c r="W18" s="123"/>
      <c r="X18" s="631" t="str">
        <f t="shared" si="1"/>
        <v>0</v>
      </c>
    </row>
    <row r="19" spans="2:24" customFormat="1" x14ac:dyDescent="0.3">
      <c r="B19" s="186" t="s">
        <v>74</v>
      </c>
      <c r="C19" s="186" t="s">
        <v>487</v>
      </c>
      <c r="D19" s="186" t="s">
        <v>488</v>
      </c>
      <c r="E19" s="499">
        <f>U19</f>
        <v>1.2</v>
      </c>
      <c r="F19" s="499"/>
      <c r="G19" s="499"/>
      <c r="H19" s="499"/>
      <c r="I19" s="499"/>
      <c r="J19" s="499"/>
      <c r="K19" s="499"/>
      <c r="L19" s="499"/>
      <c r="M19" s="499"/>
      <c r="N19" s="499"/>
      <c r="O19" s="499"/>
      <c r="P19" s="499"/>
      <c r="Q19" s="499"/>
      <c r="R19" s="499"/>
      <c r="S19" s="499"/>
      <c r="U19" s="518">
        <v>1.2</v>
      </c>
      <c r="V19" s="484" t="s">
        <v>489</v>
      </c>
      <c r="W19" s="123"/>
      <c r="X19" s="631" t="str">
        <f t="shared" si="1"/>
        <v>ok</v>
      </c>
    </row>
    <row r="20" spans="2:24" customFormat="1" hidden="1" x14ac:dyDescent="0.3">
      <c r="B20" s="186" t="s">
        <v>490</v>
      </c>
      <c r="C20" s="186" t="s">
        <v>491</v>
      </c>
      <c r="D20" s="186" t="s">
        <v>492</v>
      </c>
      <c r="E20" s="499">
        <f>U20</f>
        <v>0</v>
      </c>
      <c r="F20" s="499"/>
      <c r="G20" s="499"/>
      <c r="H20" s="499"/>
      <c r="I20" s="499"/>
      <c r="J20" s="499"/>
      <c r="K20" s="499"/>
      <c r="L20" s="499"/>
      <c r="M20" s="499"/>
      <c r="N20" s="499"/>
      <c r="O20" s="499"/>
      <c r="P20" s="499"/>
      <c r="Q20" s="499"/>
      <c r="R20" s="499"/>
      <c r="S20" s="499"/>
      <c r="U20" s="451">
        <v>0</v>
      </c>
      <c r="V20" s="468"/>
      <c r="W20" s="123"/>
      <c r="X20" s="631" t="str">
        <f t="shared" si="1"/>
        <v>0</v>
      </c>
    </row>
    <row r="21" spans="2:24" customFormat="1" hidden="1" x14ac:dyDescent="0.3">
      <c r="B21" s="186" t="s">
        <v>76</v>
      </c>
      <c r="C21" s="186" t="s">
        <v>76</v>
      </c>
      <c r="D21" s="186" t="s">
        <v>493</v>
      </c>
      <c r="E21" s="499">
        <f t="shared" ref="E21:E46" si="4">U21</f>
        <v>0</v>
      </c>
      <c r="F21" s="499"/>
      <c r="G21" s="499"/>
      <c r="H21" s="499"/>
      <c r="I21" s="499"/>
      <c r="J21" s="499"/>
      <c r="K21" s="499"/>
      <c r="L21" s="499"/>
      <c r="M21" s="499"/>
      <c r="N21" s="499"/>
      <c r="O21" s="499"/>
      <c r="P21" s="499"/>
      <c r="Q21" s="499"/>
      <c r="R21" s="499"/>
      <c r="S21" s="499"/>
      <c r="U21" s="451">
        <v>0</v>
      </c>
      <c r="V21" s="468"/>
      <c r="W21" s="123"/>
      <c r="X21" s="631" t="str">
        <f t="shared" si="1"/>
        <v>0</v>
      </c>
    </row>
    <row r="22" spans="2:24" customFormat="1" hidden="1" x14ac:dyDescent="0.3">
      <c r="B22" s="186" t="s">
        <v>76</v>
      </c>
      <c r="C22" s="186" t="s">
        <v>494</v>
      </c>
      <c r="D22" s="186" t="s">
        <v>495</v>
      </c>
      <c r="E22" s="499">
        <f t="shared" si="4"/>
        <v>0</v>
      </c>
      <c r="F22" s="499"/>
      <c r="G22" s="499"/>
      <c r="H22" s="499"/>
      <c r="I22" s="499"/>
      <c r="J22" s="499"/>
      <c r="K22" s="499"/>
      <c r="L22" s="499"/>
      <c r="M22" s="499"/>
      <c r="N22" s="499"/>
      <c r="O22" s="499"/>
      <c r="P22" s="499"/>
      <c r="Q22" s="499"/>
      <c r="R22" s="499"/>
      <c r="S22" s="499"/>
      <c r="U22" s="451">
        <v>0</v>
      </c>
      <c r="V22" s="468"/>
      <c r="W22" s="123"/>
      <c r="X22" s="631" t="str">
        <f t="shared" si="1"/>
        <v>0</v>
      </c>
    </row>
    <row r="23" spans="2:24" customFormat="1" x14ac:dyDescent="0.3">
      <c r="B23" s="186" t="s">
        <v>77</v>
      </c>
      <c r="C23" s="186" t="s">
        <v>415</v>
      </c>
      <c r="D23" s="186" t="s">
        <v>496</v>
      </c>
      <c r="E23" s="499">
        <f t="shared" si="4"/>
        <v>18</v>
      </c>
      <c r="F23" s="499"/>
      <c r="G23" s="499"/>
      <c r="H23" s="499"/>
      <c r="I23" s="499"/>
      <c r="J23" s="499"/>
      <c r="K23" s="499"/>
      <c r="L23" s="499"/>
      <c r="M23" s="499"/>
      <c r="N23" s="499"/>
      <c r="O23" s="499"/>
      <c r="P23" s="499"/>
      <c r="Q23" s="499"/>
      <c r="R23" s="499"/>
      <c r="S23" s="499"/>
      <c r="T23" s="692"/>
      <c r="U23" s="451">
        <v>18</v>
      </c>
      <c r="V23" s="484" t="s">
        <v>1241</v>
      </c>
      <c r="W23" s="123"/>
      <c r="X23" s="631" t="str">
        <f t="shared" si="1"/>
        <v>ok</v>
      </c>
    </row>
    <row r="24" spans="2:24" customFormat="1" x14ac:dyDescent="0.3">
      <c r="B24" s="186" t="s">
        <v>77</v>
      </c>
      <c r="C24" s="186" t="s">
        <v>414</v>
      </c>
      <c r="D24" s="186" t="s">
        <v>497</v>
      </c>
      <c r="E24" s="499">
        <f t="shared" si="4"/>
        <v>18</v>
      </c>
      <c r="F24" s="499"/>
      <c r="G24" s="499"/>
      <c r="H24" s="499"/>
      <c r="I24" s="499"/>
      <c r="J24" s="499"/>
      <c r="K24" s="499"/>
      <c r="L24" s="499"/>
      <c r="M24" s="499"/>
      <c r="N24" s="499"/>
      <c r="O24" s="499"/>
      <c r="P24" s="499"/>
      <c r="Q24" s="499"/>
      <c r="R24" s="499"/>
      <c r="S24" s="499"/>
      <c r="T24" s="692"/>
      <c r="U24" s="451">
        <v>18</v>
      </c>
      <c r="V24" s="484" t="s">
        <v>1241</v>
      </c>
      <c r="W24" s="123"/>
      <c r="X24" s="631" t="str">
        <f t="shared" si="1"/>
        <v>ok</v>
      </c>
    </row>
    <row r="25" spans="2:24" customFormat="1" hidden="1" x14ac:dyDescent="0.3">
      <c r="B25" s="191" t="s">
        <v>78</v>
      </c>
      <c r="C25" s="191" t="s">
        <v>498</v>
      </c>
      <c r="D25" s="191" t="s">
        <v>426</v>
      </c>
      <c r="E25" s="499">
        <f t="shared" si="4"/>
        <v>0</v>
      </c>
      <c r="F25" s="499"/>
      <c r="G25" s="499"/>
      <c r="H25" s="499"/>
      <c r="I25" s="499"/>
      <c r="J25" s="499"/>
      <c r="K25" s="499"/>
      <c r="L25" s="499"/>
      <c r="M25" s="499"/>
      <c r="N25" s="499"/>
      <c r="O25" s="499"/>
      <c r="P25" s="499"/>
      <c r="Q25" s="499"/>
      <c r="R25" s="499"/>
      <c r="S25" s="499"/>
      <c r="U25" s="451">
        <v>0</v>
      </c>
      <c r="V25" s="468">
        <v>0</v>
      </c>
      <c r="W25" s="123"/>
      <c r="X25" s="631" t="str">
        <f t="shared" si="1"/>
        <v>0</v>
      </c>
    </row>
    <row r="26" spans="2:24" customFormat="1" hidden="1" x14ac:dyDescent="0.3">
      <c r="B26" s="191" t="s">
        <v>78</v>
      </c>
      <c r="C26" s="191" t="s">
        <v>423</v>
      </c>
      <c r="D26" s="186" t="s">
        <v>162</v>
      </c>
      <c r="E26" s="499">
        <f t="shared" ref="E26:E27" si="5">U26</f>
        <v>0</v>
      </c>
      <c r="F26" s="499"/>
      <c r="G26" s="499"/>
      <c r="H26" s="499"/>
      <c r="I26" s="499"/>
      <c r="J26" s="499"/>
      <c r="K26" s="499"/>
      <c r="L26" s="499"/>
      <c r="M26" s="499"/>
      <c r="N26" s="499"/>
      <c r="O26" s="499"/>
      <c r="P26" s="499"/>
      <c r="Q26" s="499"/>
      <c r="R26" s="499"/>
      <c r="S26" s="499"/>
      <c r="U26" s="451">
        <v>0</v>
      </c>
      <c r="V26" s="468">
        <v>0</v>
      </c>
      <c r="W26" s="123"/>
      <c r="X26" s="631" t="str">
        <f t="shared" si="1"/>
        <v>0</v>
      </c>
    </row>
    <row r="27" spans="2:24" customFormat="1" hidden="1" x14ac:dyDescent="0.3">
      <c r="B27" s="191" t="s">
        <v>78</v>
      </c>
      <c r="C27" s="191" t="s">
        <v>425</v>
      </c>
      <c r="D27" s="186" t="s">
        <v>196</v>
      </c>
      <c r="E27" s="499">
        <f t="shared" si="5"/>
        <v>0</v>
      </c>
      <c r="F27" s="499"/>
      <c r="G27" s="499"/>
      <c r="H27" s="499"/>
      <c r="I27" s="499"/>
      <c r="J27" s="499"/>
      <c r="K27" s="499"/>
      <c r="L27" s="499"/>
      <c r="M27" s="499"/>
      <c r="N27" s="499"/>
      <c r="O27" s="499"/>
      <c r="P27" s="499"/>
      <c r="Q27" s="499"/>
      <c r="R27" s="499"/>
      <c r="S27" s="499"/>
      <c r="U27" s="451">
        <v>0</v>
      </c>
      <c r="V27" s="468">
        <v>0</v>
      </c>
      <c r="W27" s="123"/>
      <c r="X27" s="631" t="str">
        <f t="shared" si="1"/>
        <v>0</v>
      </c>
    </row>
    <row r="28" spans="2:24" customFormat="1" x14ac:dyDescent="0.3">
      <c r="B28" s="191" t="s">
        <v>78</v>
      </c>
      <c r="C28" s="191" t="s">
        <v>499</v>
      </c>
      <c r="D28" s="191" t="s">
        <v>500</v>
      </c>
      <c r="E28" s="499">
        <f t="shared" si="4"/>
        <v>0.10390000000000001</v>
      </c>
      <c r="F28" s="499"/>
      <c r="G28" s="499"/>
      <c r="H28" s="499"/>
      <c r="I28" s="499"/>
      <c r="J28" s="499"/>
      <c r="K28" s="499"/>
      <c r="L28" s="499"/>
      <c r="M28" s="499"/>
      <c r="N28" s="499"/>
      <c r="O28" s="499"/>
      <c r="P28" s="499"/>
      <c r="Q28" s="499"/>
      <c r="R28" s="499"/>
      <c r="S28" s="499"/>
      <c r="U28" s="518">
        <v>0.10390000000000001</v>
      </c>
      <c r="V28" s="484" t="s">
        <v>1242</v>
      </c>
      <c r="W28" s="123"/>
      <c r="X28" s="631" t="str">
        <f t="shared" si="1"/>
        <v>ok</v>
      </c>
    </row>
    <row r="29" spans="2:24" customFormat="1" x14ac:dyDescent="0.3">
      <c r="B29" s="191" t="s">
        <v>78</v>
      </c>
      <c r="C29" s="191" t="s">
        <v>504</v>
      </c>
      <c r="D29" s="191" t="s">
        <v>505</v>
      </c>
      <c r="E29" s="499">
        <f t="shared" si="4"/>
        <v>6.7</v>
      </c>
      <c r="F29" s="499"/>
      <c r="G29" s="499"/>
      <c r="H29" s="499"/>
      <c r="I29" s="499"/>
      <c r="J29" s="499"/>
      <c r="K29" s="499"/>
      <c r="L29" s="499"/>
      <c r="M29" s="499"/>
      <c r="N29" s="499"/>
      <c r="O29" s="499"/>
      <c r="P29" s="499"/>
      <c r="Q29" s="499"/>
      <c r="R29" s="499"/>
      <c r="S29" s="499"/>
      <c r="U29" s="451">
        <v>6.7</v>
      </c>
      <c r="V29" s="484" t="s">
        <v>501</v>
      </c>
      <c r="W29" s="123"/>
      <c r="X29" s="631" t="str">
        <f t="shared" si="1"/>
        <v>ok</v>
      </c>
    </row>
    <row r="30" spans="2:24" customFormat="1" hidden="1" x14ac:dyDescent="0.3">
      <c r="B30" s="191" t="s">
        <v>506</v>
      </c>
      <c r="C30" s="186" t="s">
        <v>507</v>
      </c>
      <c r="D30" s="186" t="s">
        <v>426</v>
      </c>
      <c r="E30" s="499">
        <f t="shared" si="4"/>
        <v>0</v>
      </c>
      <c r="F30" s="499"/>
      <c r="G30" s="499"/>
      <c r="H30" s="499"/>
      <c r="I30" s="499"/>
      <c r="J30" s="499"/>
      <c r="K30" s="499"/>
      <c r="L30" s="499"/>
      <c r="M30" s="499"/>
      <c r="N30" s="499"/>
      <c r="O30" s="499"/>
      <c r="P30" s="499"/>
      <c r="Q30" s="499"/>
      <c r="R30" s="499"/>
      <c r="S30" s="499"/>
      <c r="U30" s="451">
        <v>0</v>
      </c>
      <c r="V30" s="468"/>
      <c r="W30" s="123"/>
      <c r="X30" s="631" t="str">
        <f t="shared" si="1"/>
        <v>0</v>
      </c>
    </row>
    <row r="31" spans="2:24" customFormat="1" hidden="1" x14ac:dyDescent="0.3">
      <c r="B31" s="191" t="s">
        <v>506</v>
      </c>
      <c r="C31" s="186" t="s">
        <v>508</v>
      </c>
      <c r="D31" s="186" t="s">
        <v>162</v>
      </c>
      <c r="E31" s="499">
        <f t="shared" ref="E31:E32" si="6">U31</f>
        <v>0</v>
      </c>
      <c r="F31" s="499"/>
      <c r="G31" s="499"/>
      <c r="H31" s="499"/>
      <c r="I31" s="499"/>
      <c r="J31" s="499"/>
      <c r="K31" s="499"/>
      <c r="L31" s="499"/>
      <c r="M31" s="499"/>
      <c r="N31" s="499"/>
      <c r="O31" s="499"/>
      <c r="P31" s="499"/>
      <c r="Q31" s="499"/>
      <c r="R31" s="499"/>
      <c r="S31" s="499"/>
      <c r="U31" s="451">
        <v>0</v>
      </c>
      <c r="V31" s="468"/>
      <c r="W31" s="123"/>
      <c r="X31" s="631" t="str">
        <f t="shared" si="1"/>
        <v>0</v>
      </c>
    </row>
    <row r="32" spans="2:24" customFormat="1" hidden="1" x14ac:dyDescent="0.3">
      <c r="B32" s="191" t="s">
        <v>506</v>
      </c>
      <c r="C32" s="186" t="s">
        <v>509</v>
      </c>
      <c r="D32" s="186" t="s">
        <v>196</v>
      </c>
      <c r="E32" s="499">
        <f t="shared" si="6"/>
        <v>0</v>
      </c>
      <c r="F32" s="499"/>
      <c r="G32" s="499"/>
      <c r="H32" s="499"/>
      <c r="I32" s="499"/>
      <c r="J32" s="499"/>
      <c r="K32" s="499"/>
      <c r="L32" s="499"/>
      <c r="M32" s="499"/>
      <c r="N32" s="499"/>
      <c r="O32" s="499"/>
      <c r="P32" s="499"/>
      <c r="Q32" s="499"/>
      <c r="R32" s="499"/>
      <c r="S32" s="499"/>
      <c r="U32" s="451">
        <v>0</v>
      </c>
      <c r="V32" s="468"/>
      <c r="W32" s="123"/>
      <c r="X32" s="631" t="str">
        <f t="shared" si="1"/>
        <v>0</v>
      </c>
    </row>
    <row r="33" spans="2:24" customFormat="1" hidden="1" x14ac:dyDescent="0.3">
      <c r="B33" s="191" t="s">
        <v>506</v>
      </c>
      <c r="C33" s="191" t="s">
        <v>499</v>
      </c>
      <c r="D33" s="191" t="s">
        <v>500</v>
      </c>
      <c r="E33" s="499">
        <f t="shared" si="4"/>
        <v>0.10390000000000001</v>
      </c>
      <c r="F33" s="499"/>
      <c r="G33" s="499"/>
      <c r="H33" s="499"/>
      <c r="I33" s="499"/>
      <c r="J33" s="499"/>
      <c r="K33" s="499"/>
      <c r="L33" s="499"/>
      <c r="M33" s="499"/>
      <c r="N33" s="499"/>
      <c r="O33" s="499"/>
      <c r="P33" s="499"/>
      <c r="Q33" s="499"/>
      <c r="R33" s="499"/>
      <c r="S33" s="499"/>
      <c r="U33" s="451">
        <f>U28</f>
        <v>0.10390000000000001</v>
      </c>
      <c r="V33" s="468"/>
      <c r="W33" s="123"/>
      <c r="X33" s="631" t="str">
        <f t="shared" si="1"/>
        <v>ok</v>
      </c>
    </row>
    <row r="34" spans="2:24" customFormat="1" hidden="1" x14ac:dyDescent="0.3">
      <c r="B34" s="191" t="s">
        <v>506</v>
      </c>
      <c r="C34" s="191" t="s">
        <v>502</v>
      </c>
      <c r="D34" s="191" t="s">
        <v>503</v>
      </c>
      <c r="E34" s="499">
        <f t="shared" si="4"/>
        <v>0</v>
      </c>
      <c r="F34" s="499"/>
      <c r="G34" s="499"/>
      <c r="H34" s="499"/>
      <c r="I34" s="499"/>
      <c r="J34" s="499"/>
      <c r="K34" s="499"/>
      <c r="L34" s="499"/>
      <c r="M34" s="499"/>
      <c r="N34" s="499"/>
      <c r="O34" s="499"/>
      <c r="P34" s="499"/>
      <c r="Q34" s="499"/>
      <c r="R34" s="499"/>
      <c r="S34" s="499"/>
      <c r="U34" s="451">
        <v>0</v>
      </c>
      <c r="V34" s="468"/>
      <c r="W34" s="123"/>
      <c r="X34" s="631" t="str">
        <f t="shared" si="1"/>
        <v>0</v>
      </c>
    </row>
    <row r="35" spans="2:24" customFormat="1" hidden="1" x14ac:dyDescent="0.3">
      <c r="B35" s="191" t="s">
        <v>506</v>
      </c>
      <c r="C35" s="191" t="s">
        <v>504</v>
      </c>
      <c r="D35" s="191" t="s">
        <v>505</v>
      </c>
      <c r="E35" s="499">
        <f t="shared" si="4"/>
        <v>0</v>
      </c>
      <c r="F35" s="499"/>
      <c r="G35" s="499"/>
      <c r="H35" s="499"/>
      <c r="I35" s="499"/>
      <c r="J35" s="499"/>
      <c r="K35" s="499"/>
      <c r="L35" s="499"/>
      <c r="M35" s="499"/>
      <c r="N35" s="499"/>
      <c r="O35" s="499"/>
      <c r="P35" s="499"/>
      <c r="Q35" s="499"/>
      <c r="R35" s="499"/>
      <c r="S35" s="499"/>
      <c r="U35" s="451">
        <v>0</v>
      </c>
      <c r="V35" s="468"/>
      <c r="W35" s="123"/>
      <c r="X35" s="631" t="str">
        <f t="shared" si="1"/>
        <v>0</v>
      </c>
    </row>
    <row r="36" spans="2:24" customFormat="1" hidden="1" x14ac:dyDescent="0.3">
      <c r="B36" s="186" t="s">
        <v>80</v>
      </c>
      <c r="C36" s="186" t="s">
        <v>510</v>
      </c>
      <c r="D36" s="186" t="s">
        <v>511</v>
      </c>
      <c r="E36" s="499">
        <f t="shared" si="4"/>
        <v>0</v>
      </c>
      <c r="F36" s="499"/>
      <c r="G36" s="499"/>
      <c r="H36" s="499"/>
      <c r="I36" s="499"/>
      <c r="J36" s="499"/>
      <c r="K36" s="499"/>
      <c r="L36" s="499"/>
      <c r="M36" s="499"/>
      <c r="N36" s="499"/>
      <c r="O36" s="499"/>
      <c r="P36" s="499"/>
      <c r="Q36" s="499"/>
      <c r="R36" s="499"/>
      <c r="S36" s="499"/>
      <c r="U36" s="451">
        <v>0</v>
      </c>
      <c r="V36" s="468"/>
      <c r="W36" s="123"/>
      <c r="X36" s="631" t="str">
        <f t="shared" si="1"/>
        <v>0</v>
      </c>
    </row>
    <row r="37" spans="2:24" customFormat="1" hidden="1" x14ac:dyDescent="0.3">
      <c r="B37" s="186" t="s">
        <v>80</v>
      </c>
      <c r="C37" s="186" t="s">
        <v>512</v>
      </c>
      <c r="D37" s="186" t="s">
        <v>513</v>
      </c>
      <c r="E37" s="499">
        <f t="shared" si="4"/>
        <v>0</v>
      </c>
      <c r="F37" s="499"/>
      <c r="G37" s="499"/>
      <c r="H37" s="499"/>
      <c r="I37" s="499"/>
      <c r="J37" s="499"/>
      <c r="K37" s="499"/>
      <c r="L37" s="499"/>
      <c r="M37" s="499"/>
      <c r="N37" s="499"/>
      <c r="O37" s="499"/>
      <c r="P37" s="499"/>
      <c r="Q37" s="499"/>
      <c r="R37" s="499"/>
      <c r="S37" s="499"/>
      <c r="U37" s="451">
        <v>0</v>
      </c>
      <c r="V37" s="468"/>
      <c r="W37" s="123"/>
      <c r="X37" s="631" t="str">
        <f t="shared" si="1"/>
        <v>0</v>
      </c>
    </row>
    <row r="38" spans="2:24" customFormat="1" hidden="1" x14ac:dyDescent="0.3">
      <c r="B38" s="186" t="s">
        <v>80</v>
      </c>
      <c r="C38" s="186" t="s">
        <v>417</v>
      </c>
      <c r="D38" s="186" t="s">
        <v>514</v>
      </c>
      <c r="E38" s="499">
        <f t="shared" si="4"/>
        <v>0</v>
      </c>
      <c r="F38" s="499"/>
      <c r="G38" s="499"/>
      <c r="H38" s="499"/>
      <c r="I38" s="499"/>
      <c r="J38" s="499"/>
      <c r="K38" s="499"/>
      <c r="L38" s="499"/>
      <c r="M38" s="499"/>
      <c r="N38" s="499"/>
      <c r="O38" s="499"/>
      <c r="P38" s="499"/>
      <c r="Q38" s="499"/>
      <c r="R38" s="499"/>
      <c r="S38" s="499"/>
      <c r="U38" s="451">
        <v>0</v>
      </c>
      <c r="V38" s="468"/>
      <c r="W38" s="123"/>
      <c r="X38" s="631" t="str">
        <f t="shared" si="1"/>
        <v>0</v>
      </c>
    </row>
    <row r="39" spans="2:24" customFormat="1" hidden="1" x14ac:dyDescent="0.3">
      <c r="B39" s="186" t="s">
        <v>80</v>
      </c>
      <c r="C39" s="186" t="s">
        <v>417</v>
      </c>
      <c r="D39" s="186" t="s">
        <v>515</v>
      </c>
      <c r="E39" s="499">
        <f t="shared" ref="E39" si="7">U39</f>
        <v>0</v>
      </c>
      <c r="F39" s="499"/>
      <c r="G39" s="499"/>
      <c r="H39" s="499"/>
      <c r="I39" s="499"/>
      <c r="J39" s="499"/>
      <c r="K39" s="499"/>
      <c r="L39" s="499"/>
      <c r="M39" s="499"/>
      <c r="N39" s="499"/>
      <c r="O39" s="499"/>
      <c r="P39" s="499"/>
      <c r="Q39" s="499"/>
      <c r="R39" s="499"/>
      <c r="S39" s="499"/>
      <c r="U39" s="451">
        <v>0</v>
      </c>
      <c r="V39" s="468"/>
      <c r="W39" s="123"/>
      <c r="X39" s="631" t="str">
        <f t="shared" si="1"/>
        <v>0</v>
      </c>
    </row>
    <row r="40" spans="2:24" customFormat="1" hidden="1" x14ac:dyDescent="0.3">
      <c r="B40" s="186" t="s">
        <v>80</v>
      </c>
      <c r="C40" s="186" t="s">
        <v>419</v>
      </c>
      <c r="D40" s="186" t="s">
        <v>516</v>
      </c>
      <c r="E40" s="499">
        <f t="shared" si="4"/>
        <v>0</v>
      </c>
      <c r="F40" s="499"/>
      <c r="G40" s="499"/>
      <c r="H40" s="499"/>
      <c r="I40" s="499"/>
      <c r="J40" s="499"/>
      <c r="K40" s="499"/>
      <c r="L40" s="499"/>
      <c r="M40" s="499"/>
      <c r="N40" s="499"/>
      <c r="O40" s="499"/>
      <c r="P40" s="499"/>
      <c r="Q40" s="499"/>
      <c r="R40" s="499"/>
      <c r="S40" s="499"/>
      <c r="U40" s="451">
        <v>0</v>
      </c>
      <c r="V40" s="468"/>
      <c r="W40" s="123"/>
      <c r="X40" s="631" t="str">
        <f t="shared" si="1"/>
        <v>0</v>
      </c>
    </row>
    <row r="41" spans="2:24" customFormat="1" hidden="1" x14ac:dyDescent="0.3">
      <c r="B41" s="186" t="s">
        <v>80</v>
      </c>
      <c r="C41" s="186" t="s">
        <v>441</v>
      </c>
      <c r="D41" s="186" t="s">
        <v>517</v>
      </c>
      <c r="E41" s="499">
        <f t="shared" si="4"/>
        <v>0</v>
      </c>
      <c r="F41" s="499"/>
      <c r="G41" s="499"/>
      <c r="H41" s="499"/>
      <c r="I41" s="499"/>
      <c r="J41" s="499"/>
      <c r="K41" s="499"/>
      <c r="L41" s="499"/>
      <c r="M41" s="499"/>
      <c r="N41" s="499"/>
      <c r="O41" s="499"/>
      <c r="P41" s="499"/>
      <c r="Q41" s="499"/>
      <c r="R41" s="499"/>
      <c r="S41" s="499"/>
      <c r="U41" s="451">
        <v>0</v>
      </c>
      <c r="V41" s="468"/>
      <c r="W41" s="123"/>
      <c r="X41" s="631" t="str">
        <f t="shared" si="1"/>
        <v>0</v>
      </c>
    </row>
    <row r="42" spans="2:24" customFormat="1" hidden="1" x14ac:dyDescent="0.3">
      <c r="B42" s="191" t="s">
        <v>81</v>
      </c>
      <c r="C42" s="191" t="s">
        <v>81</v>
      </c>
      <c r="D42" s="191" t="s">
        <v>518</v>
      </c>
      <c r="E42" s="499">
        <f t="shared" si="4"/>
        <v>0</v>
      </c>
      <c r="F42" s="499"/>
      <c r="G42" s="499"/>
      <c r="H42" s="499"/>
      <c r="I42" s="499"/>
      <c r="J42" s="499"/>
      <c r="K42" s="499"/>
      <c r="L42" s="499"/>
      <c r="M42" s="499"/>
      <c r="N42" s="499"/>
      <c r="O42" s="499"/>
      <c r="P42" s="499"/>
      <c r="Q42" s="499"/>
      <c r="R42" s="499"/>
      <c r="S42" s="499"/>
      <c r="U42" s="451">
        <v>0</v>
      </c>
      <c r="V42" s="468"/>
      <c r="W42" s="123"/>
      <c r="X42" s="631" t="str">
        <f t="shared" si="1"/>
        <v>0</v>
      </c>
    </row>
    <row r="43" spans="2:24" customFormat="1" hidden="1" x14ac:dyDescent="0.3">
      <c r="B43" s="191" t="s">
        <v>81</v>
      </c>
      <c r="C43" s="191" t="s">
        <v>443</v>
      </c>
      <c r="D43" s="191" t="s">
        <v>519</v>
      </c>
      <c r="E43" s="499">
        <f t="shared" si="4"/>
        <v>0</v>
      </c>
      <c r="F43" s="499"/>
      <c r="G43" s="499"/>
      <c r="H43" s="499"/>
      <c r="I43" s="499"/>
      <c r="J43" s="499"/>
      <c r="K43" s="499"/>
      <c r="L43" s="499"/>
      <c r="M43" s="499"/>
      <c r="N43" s="499"/>
      <c r="O43" s="499"/>
      <c r="P43" s="499"/>
      <c r="Q43" s="499"/>
      <c r="R43" s="499"/>
      <c r="S43" s="499"/>
      <c r="U43" s="451">
        <v>0</v>
      </c>
      <c r="V43" s="468"/>
      <c r="W43" s="123"/>
      <c r="X43" s="631" t="str">
        <f t="shared" si="1"/>
        <v>0</v>
      </c>
    </row>
    <row r="44" spans="2:24" customFormat="1" hidden="1" x14ac:dyDescent="0.3">
      <c r="B44" s="191" t="s">
        <v>81</v>
      </c>
      <c r="C44" s="191" t="s">
        <v>520</v>
      </c>
      <c r="D44" s="191" t="s">
        <v>521</v>
      </c>
      <c r="E44" s="499">
        <f t="shared" si="4"/>
        <v>0</v>
      </c>
      <c r="F44" s="499"/>
      <c r="G44" s="499"/>
      <c r="H44" s="499"/>
      <c r="I44" s="499"/>
      <c r="J44" s="499"/>
      <c r="K44" s="499"/>
      <c r="L44" s="499"/>
      <c r="M44" s="499"/>
      <c r="N44" s="499"/>
      <c r="O44" s="499"/>
      <c r="P44" s="499"/>
      <c r="Q44" s="499"/>
      <c r="R44" s="499"/>
      <c r="S44" s="499"/>
      <c r="U44" s="451">
        <v>0</v>
      </c>
      <c r="V44" s="468"/>
      <c r="W44" s="123"/>
      <c r="X44" s="631" t="str">
        <f t="shared" si="1"/>
        <v>0</v>
      </c>
    </row>
    <row r="45" spans="2:24" customFormat="1" hidden="1" x14ac:dyDescent="0.3">
      <c r="B45" s="186" t="s">
        <v>82</v>
      </c>
      <c r="C45" s="186" t="s">
        <v>522</v>
      </c>
      <c r="D45" s="186" t="s">
        <v>523</v>
      </c>
      <c r="E45" s="499">
        <f t="shared" si="4"/>
        <v>0</v>
      </c>
      <c r="F45" s="499"/>
      <c r="G45" s="499"/>
      <c r="H45" s="499"/>
      <c r="I45" s="499"/>
      <c r="J45" s="499"/>
      <c r="K45" s="499"/>
      <c r="L45" s="499"/>
      <c r="M45" s="499"/>
      <c r="N45" s="499"/>
      <c r="O45" s="499"/>
      <c r="P45" s="499"/>
      <c r="Q45" s="499"/>
      <c r="R45" s="499"/>
      <c r="S45" s="499"/>
      <c r="U45" s="451">
        <v>0</v>
      </c>
      <c r="V45" s="468"/>
      <c r="X45" s="631" t="str">
        <f t="shared" si="1"/>
        <v>0</v>
      </c>
    </row>
    <row r="46" spans="2:24" customFormat="1" hidden="1" x14ac:dyDescent="0.3">
      <c r="B46" s="186" t="s">
        <v>82</v>
      </c>
      <c r="C46" s="186" t="s">
        <v>82</v>
      </c>
      <c r="D46" s="186" t="s">
        <v>524</v>
      </c>
      <c r="E46" s="499">
        <f t="shared" si="4"/>
        <v>0</v>
      </c>
      <c r="F46" s="499"/>
      <c r="G46" s="499"/>
      <c r="H46" s="499"/>
      <c r="I46" s="499"/>
      <c r="J46" s="499"/>
      <c r="K46" s="499"/>
      <c r="L46" s="499"/>
      <c r="M46" s="499"/>
      <c r="N46" s="499"/>
      <c r="O46" s="499"/>
      <c r="P46" s="499"/>
      <c r="Q46" s="499"/>
      <c r="R46" s="499"/>
      <c r="S46" s="499"/>
      <c r="U46" s="451">
        <v>0</v>
      </c>
      <c r="V46" s="468"/>
      <c r="X46" s="631" t="str">
        <f t="shared" si="1"/>
        <v>0</v>
      </c>
    </row>
    <row r="47" spans="2:24" customFormat="1" x14ac:dyDescent="0.3"/>
    <row r="48" spans="2:24"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sheetData>
  <sortState xmlns:xlrd2="http://schemas.microsoft.com/office/spreadsheetml/2017/richdata2" ref="B18:V41">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topLeftCell="A115" zoomScale="75" zoomScaleNormal="75" workbookViewId="0">
      <selection activeCell="H192" sqref="H192"/>
    </sheetView>
  </sheetViews>
  <sheetFormatPr defaultColWidth="9.33203125" defaultRowHeight="14.4" x14ac:dyDescent="0.3"/>
  <cols>
    <col min="1" max="1" width="11.6640625" style="14" customWidth="1"/>
    <col min="2" max="2" width="41.33203125" style="14" customWidth="1"/>
    <col min="3" max="3" width="15.5546875" style="14" customWidth="1"/>
    <col min="4" max="4" width="10.44140625" style="14" bestFit="1" customWidth="1"/>
    <col min="5" max="5" width="10.44140625" style="14" customWidth="1"/>
    <col min="6" max="11" width="10" style="14" bestFit="1" customWidth="1"/>
    <col min="12" max="12" width="10.44140625" style="14" bestFit="1" customWidth="1"/>
    <col min="13" max="18" width="10" style="14" bestFit="1" customWidth="1"/>
    <col min="19" max="19" width="10.5546875" style="14" customWidth="1"/>
    <col min="20" max="20" width="12.5546875" style="14" customWidth="1"/>
    <col min="21" max="21" width="12.33203125" style="14" customWidth="1"/>
    <col min="22" max="16384" width="9.33203125" style="14"/>
  </cols>
  <sheetData>
    <row r="1" spans="2:21" x14ac:dyDescent="0.3">
      <c r="T1" s="120"/>
    </row>
    <row r="2" spans="2:21" x14ac:dyDescent="0.3">
      <c r="B2" s="149"/>
      <c r="C2" s="149"/>
    </row>
    <row r="3" spans="2:21" x14ac:dyDescent="0.3">
      <c r="B3" s="441" t="s">
        <v>525</v>
      </c>
      <c r="C3" s="339"/>
    </row>
    <row r="4" spans="2:21" x14ac:dyDescent="0.3">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3">
      <c r="B5" s="169" t="s">
        <v>107</v>
      </c>
      <c r="C5" s="169" t="s">
        <v>1247</v>
      </c>
      <c r="D5" s="265">
        <v>16.350000000000001</v>
      </c>
      <c r="E5" s="265"/>
      <c r="F5" s="265"/>
      <c r="G5" s="265"/>
      <c r="H5" s="265"/>
      <c r="I5" s="265"/>
      <c r="J5" s="265"/>
      <c r="K5" s="265"/>
      <c r="L5" s="265"/>
      <c r="M5" s="265"/>
      <c r="N5" s="265"/>
      <c r="O5" s="265"/>
      <c r="P5" s="265"/>
      <c r="Q5" s="265"/>
      <c r="R5" s="265"/>
      <c r="T5" s="819"/>
      <c r="U5" s="16"/>
    </row>
    <row r="6" spans="2:21" x14ac:dyDescent="0.3">
      <c r="B6" s="169" t="s">
        <v>108</v>
      </c>
      <c r="C6" s="169" t="s">
        <v>302</v>
      </c>
      <c r="D6" s="265">
        <v>16.350000000000001</v>
      </c>
      <c r="E6" s="265"/>
      <c r="F6" s="265"/>
      <c r="G6" s="265"/>
      <c r="H6" s="265"/>
      <c r="I6" s="265"/>
      <c r="J6" s="265"/>
      <c r="K6" s="265"/>
      <c r="L6" s="265"/>
      <c r="M6" s="265"/>
      <c r="N6" s="265"/>
      <c r="O6" s="265"/>
      <c r="P6" s="265"/>
      <c r="Q6" s="265"/>
      <c r="R6" s="265"/>
      <c r="T6" s="819"/>
      <c r="U6" s="16"/>
    </row>
    <row r="7" spans="2:21" x14ac:dyDescent="0.3">
      <c r="B7" s="169" t="s">
        <v>203</v>
      </c>
      <c r="C7" s="169" t="s">
        <v>303</v>
      </c>
      <c r="D7" s="265">
        <v>10.75</v>
      </c>
      <c r="E7" s="265"/>
      <c r="F7" s="265"/>
      <c r="G7" s="265"/>
      <c r="H7" s="265"/>
      <c r="I7" s="265"/>
      <c r="J7" s="265"/>
      <c r="K7" s="265"/>
      <c r="L7" s="265"/>
      <c r="M7" s="265"/>
      <c r="N7" s="265"/>
      <c r="O7" s="265"/>
      <c r="P7" s="265"/>
      <c r="Q7" s="265"/>
      <c r="R7" s="265"/>
      <c r="T7" s="819"/>
      <c r="U7" s="16"/>
    </row>
    <row r="8" spans="2:21" x14ac:dyDescent="0.3">
      <c r="B8" s="169" t="s">
        <v>110</v>
      </c>
      <c r="C8" s="169" t="s">
        <v>304</v>
      </c>
      <c r="D8" s="265">
        <v>11.54</v>
      </c>
      <c r="E8" s="265"/>
      <c r="F8" s="265"/>
      <c r="G8" s="265"/>
      <c r="H8" s="265"/>
      <c r="I8" s="265"/>
      <c r="J8" s="265"/>
      <c r="K8" s="265"/>
      <c r="L8" s="265"/>
      <c r="M8" s="265"/>
      <c r="N8" s="265"/>
      <c r="O8" s="265"/>
      <c r="P8" s="265"/>
      <c r="Q8" s="265"/>
      <c r="R8" s="265"/>
      <c r="T8" s="819"/>
      <c r="U8" s="16"/>
    </row>
    <row r="9" spans="2:21" x14ac:dyDescent="0.3">
      <c r="B9" s="169" t="s">
        <v>111</v>
      </c>
      <c r="C9" s="169" t="s">
        <v>305</v>
      </c>
      <c r="D9" s="265">
        <v>17.59</v>
      </c>
      <c r="E9" s="265"/>
      <c r="F9" s="265"/>
      <c r="G9" s="265"/>
      <c r="H9" s="265"/>
      <c r="I9" s="265"/>
      <c r="J9" s="265"/>
      <c r="K9" s="265"/>
      <c r="L9" s="265"/>
      <c r="M9" s="265"/>
      <c r="N9" s="265"/>
      <c r="O9" s="265"/>
      <c r="P9" s="265"/>
      <c r="Q9" s="265"/>
      <c r="R9" s="265"/>
      <c r="T9" s="819"/>
      <c r="U9" s="16"/>
    </row>
    <row r="10" spans="2:21" x14ac:dyDescent="0.3">
      <c r="B10" s="169" t="s">
        <v>112</v>
      </c>
      <c r="C10" s="169" t="s">
        <v>306</v>
      </c>
      <c r="D10" s="265">
        <v>8.7799999999999994</v>
      </c>
      <c r="E10" s="265"/>
      <c r="F10" s="265"/>
      <c r="G10" s="265"/>
      <c r="H10" s="265"/>
      <c r="I10" s="265"/>
      <c r="J10" s="265"/>
      <c r="K10" s="265"/>
      <c r="L10" s="265"/>
      <c r="M10" s="265"/>
      <c r="N10" s="265"/>
      <c r="O10" s="265"/>
      <c r="P10" s="265"/>
      <c r="Q10" s="265"/>
      <c r="R10" s="265"/>
      <c r="T10" s="819"/>
      <c r="U10" s="16"/>
    </row>
    <row r="11" spans="2:21" x14ac:dyDescent="0.3">
      <c r="B11" s="169" t="s">
        <v>204</v>
      </c>
      <c r="C11" s="169" t="s">
        <v>307</v>
      </c>
      <c r="D11" s="265">
        <f>1280/2*0.01</f>
        <v>6.4</v>
      </c>
      <c r="E11" s="265"/>
      <c r="F11" s="265"/>
      <c r="G11" s="265"/>
      <c r="H11" s="265"/>
      <c r="I11" s="265"/>
      <c r="J11" s="265"/>
      <c r="K11" s="265"/>
      <c r="L11" s="265"/>
      <c r="M11" s="265"/>
      <c r="N11" s="265"/>
      <c r="O11" s="265"/>
      <c r="P11" s="265"/>
      <c r="Q11" s="265"/>
      <c r="R11" s="265"/>
      <c r="T11" s="819"/>
      <c r="U11" s="16"/>
    </row>
    <row r="12" spans="2:21" x14ac:dyDescent="0.3">
      <c r="B12" s="169" t="s">
        <v>205</v>
      </c>
      <c r="C12" s="169" t="s">
        <v>308</v>
      </c>
      <c r="D12" s="265">
        <f>1280/2*0.01</f>
        <v>6.4</v>
      </c>
      <c r="E12" s="265"/>
      <c r="F12" s="265"/>
      <c r="G12" s="265"/>
      <c r="H12" s="265"/>
      <c r="I12" s="265"/>
      <c r="J12" s="265"/>
      <c r="K12" s="265"/>
      <c r="L12" s="265"/>
      <c r="M12" s="265"/>
      <c r="N12" s="265"/>
      <c r="O12" s="265"/>
      <c r="P12" s="265"/>
      <c r="Q12" s="265"/>
      <c r="R12" s="265"/>
      <c r="T12" s="819"/>
      <c r="U12" s="16"/>
    </row>
    <row r="13" spans="2:21" x14ac:dyDescent="0.3">
      <c r="B13" s="169" t="s">
        <v>115</v>
      </c>
      <c r="C13" s="169" t="s">
        <v>309</v>
      </c>
      <c r="D13" s="265"/>
      <c r="E13" s="265"/>
      <c r="F13" s="265"/>
      <c r="G13" s="265"/>
      <c r="H13" s="265"/>
      <c r="I13" s="265"/>
      <c r="J13" s="265"/>
      <c r="K13" s="265"/>
      <c r="L13" s="265"/>
      <c r="M13" s="265"/>
      <c r="N13" s="265"/>
      <c r="O13" s="265"/>
      <c r="P13" s="265"/>
      <c r="Q13" s="265"/>
      <c r="R13" s="265"/>
      <c r="T13" s="819"/>
      <c r="U13" s="16"/>
    </row>
    <row r="14" spans="2:21" x14ac:dyDescent="0.3">
      <c r="B14" s="169" t="s">
        <v>206</v>
      </c>
      <c r="C14" s="169" t="s">
        <v>310</v>
      </c>
      <c r="D14" s="265">
        <f>658*0.01</f>
        <v>6.58</v>
      </c>
      <c r="E14" s="265"/>
      <c r="F14" s="265"/>
      <c r="G14" s="265"/>
      <c r="H14" s="265"/>
      <c r="I14" s="265"/>
      <c r="J14" s="265"/>
      <c r="K14" s="265"/>
      <c r="L14" s="265"/>
      <c r="M14" s="265"/>
      <c r="N14" s="265"/>
      <c r="O14" s="265"/>
      <c r="P14" s="265"/>
      <c r="Q14" s="265"/>
      <c r="R14" s="265"/>
      <c r="T14" s="819"/>
      <c r="U14" s="16"/>
    </row>
    <row r="15" spans="2:21" x14ac:dyDescent="0.3">
      <c r="B15" s="169" t="s">
        <v>207</v>
      </c>
      <c r="C15" s="169" t="s">
        <v>311</v>
      </c>
      <c r="D15" s="265">
        <f>657*0.01</f>
        <v>6.57</v>
      </c>
      <c r="E15" s="265"/>
      <c r="F15" s="265"/>
      <c r="G15" s="265"/>
      <c r="H15" s="265"/>
      <c r="I15" s="265"/>
      <c r="J15" s="265"/>
      <c r="K15" s="265"/>
      <c r="L15" s="265"/>
      <c r="M15" s="265"/>
      <c r="N15" s="265"/>
      <c r="O15" s="265"/>
      <c r="P15" s="265"/>
      <c r="Q15" s="265"/>
      <c r="R15" s="265"/>
      <c r="T15" s="819"/>
      <c r="U15" s="267"/>
    </row>
    <row r="16" spans="2:21" x14ac:dyDescent="0.3">
      <c r="B16" s="114"/>
      <c r="C16" s="114"/>
      <c r="D16" s="268"/>
      <c r="E16" s="268"/>
      <c r="F16" s="268"/>
      <c r="G16" s="268"/>
      <c r="H16" s="268"/>
      <c r="I16" s="268"/>
      <c r="J16" s="268"/>
      <c r="K16" s="268"/>
      <c r="L16" s="268"/>
      <c r="M16" s="268"/>
      <c r="N16" s="268"/>
      <c r="O16" s="268"/>
      <c r="P16" s="268"/>
      <c r="Q16" s="268"/>
      <c r="R16" s="268"/>
      <c r="T16" s="269"/>
      <c r="U16" s="269"/>
    </row>
    <row r="17" spans="2:21" x14ac:dyDescent="0.3">
      <c r="B17" s="149"/>
      <c r="C17" s="149"/>
      <c r="D17" s="268"/>
      <c r="E17" s="268"/>
      <c r="F17" s="268"/>
      <c r="G17" s="268"/>
      <c r="H17" s="268"/>
      <c r="I17" s="268"/>
      <c r="J17" s="268"/>
      <c r="K17" s="268"/>
      <c r="L17" s="268"/>
      <c r="M17" s="268"/>
      <c r="N17" s="268"/>
      <c r="O17" s="268"/>
      <c r="P17" s="268"/>
      <c r="Q17" s="268"/>
      <c r="R17" s="268"/>
      <c r="T17" s="269"/>
      <c r="U17" s="269"/>
    </row>
    <row r="18" spans="2:21" hidden="1" x14ac:dyDescent="0.3">
      <c r="B18" s="441" t="s">
        <v>527</v>
      </c>
      <c r="C18" s="339"/>
      <c r="U18" s="269"/>
    </row>
    <row r="19" spans="2:21" hidden="1" x14ac:dyDescent="0.3">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hidden="1" x14ac:dyDescent="0.3">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19"/>
      <c r="U20" s="269"/>
    </row>
    <row r="21" spans="2:21" hidden="1" x14ac:dyDescent="0.3">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19"/>
      <c r="U21" s="269"/>
    </row>
    <row r="22" spans="2:21" hidden="1" x14ac:dyDescent="0.3">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19"/>
      <c r="U22" s="269"/>
    </row>
    <row r="23" spans="2:21" hidden="1" x14ac:dyDescent="0.3">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19"/>
      <c r="U23" s="269"/>
    </row>
    <row r="24" spans="2:21" hidden="1" x14ac:dyDescent="0.3">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19"/>
      <c r="U24" s="269"/>
    </row>
    <row r="25" spans="2:21" hidden="1" x14ac:dyDescent="0.3">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19"/>
      <c r="U25" s="269"/>
    </row>
    <row r="26" spans="2:21" hidden="1" x14ac:dyDescent="0.3">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19"/>
      <c r="U26" s="269"/>
    </row>
    <row r="27" spans="2:21" hidden="1" x14ac:dyDescent="0.3">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19"/>
      <c r="U27" s="269"/>
    </row>
    <row r="28" spans="2:21" hidden="1" x14ac:dyDescent="0.3">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19"/>
      <c r="U28" s="269"/>
    </row>
    <row r="29" spans="2:21" hidden="1" x14ac:dyDescent="0.3">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19"/>
      <c r="U29" s="269"/>
    </row>
    <row r="30" spans="2:21" hidden="1" x14ac:dyDescent="0.3">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19"/>
      <c r="U30" s="269"/>
    </row>
    <row r="31" spans="2:21" hidden="1" x14ac:dyDescent="0.3">
      <c r="B31" s="114"/>
      <c r="C31" s="114"/>
      <c r="D31" s="268"/>
      <c r="E31" s="268"/>
      <c r="F31" s="268"/>
      <c r="G31" s="268"/>
      <c r="H31" s="268"/>
      <c r="I31" s="268"/>
      <c r="J31" s="268"/>
      <c r="K31" s="268"/>
      <c r="L31" s="268"/>
      <c r="M31" s="268"/>
      <c r="N31" s="268"/>
      <c r="O31" s="268"/>
      <c r="P31" s="268"/>
      <c r="Q31" s="268"/>
      <c r="R31" s="268"/>
      <c r="T31" s="269"/>
      <c r="U31" s="269"/>
    </row>
    <row r="32" spans="2:21" hidden="1" x14ac:dyDescent="0.3">
      <c r="B32" s="114"/>
      <c r="C32" s="114"/>
      <c r="D32" s="268"/>
      <c r="E32" s="268"/>
      <c r="F32" s="268"/>
      <c r="G32" s="268"/>
      <c r="H32" s="268"/>
      <c r="I32" s="268"/>
      <c r="J32" s="268"/>
      <c r="K32" s="268"/>
      <c r="L32" s="268"/>
      <c r="M32" s="268"/>
      <c r="N32" s="268"/>
      <c r="O32" s="268"/>
      <c r="P32" s="268"/>
      <c r="Q32" s="268"/>
      <c r="R32" s="268"/>
      <c r="T32" s="269"/>
      <c r="U32" s="269"/>
    </row>
    <row r="33" spans="2:21" hidden="1" x14ac:dyDescent="0.3">
      <c r="B33" s="441" t="s">
        <v>312</v>
      </c>
      <c r="C33" s="339"/>
    </row>
    <row r="34" spans="2:21" hidden="1" x14ac:dyDescent="0.3">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hidden="1" x14ac:dyDescent="0.3">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hidden="1" x14ac:dyDescent="0.3">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hidden="1" x14ac:dyDescent="0.3">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hidden="1" x14ac:dyDescent="0.3">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hidden="1" x14ac:dyDescent="0.3">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hidden="1" x14ac:dyDescent="0.3">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hidden="1" x14ac:dyDescent="0.3">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hidden="1" x14ac:dyDescent="0.3">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hidden="1" x14ac:dyDescent="0.3">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hidden="1" x14ac:dyDescent="0.3">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hidden="1" x14ac:dyDescent="0.3">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hidden="1" x14ac:dyDescent="0.3">
      <c r="B46" s="114"/>
      <c r="C46" s="114"/>
      <c r="D46" s="268"/>
      <c r="E46" s="268"/>
      <c r="F46" s="268"/>
      <c r="G46" s="268"/>
      <c r="H46" s="268"/>
      <c r="I46" s="268"/>
      <c r="J46" s="268"/>
      <c r="K46" s="268"/>
      <c r="L46" s="268"/>
      <c r="M46" s="268"/>
      <c r="N46" s="268"/>
      <c r="O46" s="268"/>
      <c r="P46" s="268"/>
      <c r="Q46" s="268"/>
      <c r="R46" s="268"/>
      <c r="T46" s="269"/>
      <c r="U46" s="269"/>
    </row>
    <row r="47" spans="2:21" hidden="1" x14ac:dyDescent="0.3">
      <c r="B47" s="114"/>
      <c r="C47" s="114"/>
      <c r="D47" s="268"/>
      <c r="E47" s="268"/>
      <c r="F47" s="268"/>
      <c r="G47" s="268"/>
      <c r="H47" s="268"/>
      <c r="I47" s="268"/>
      <c r="J47" s="268"/>
      <c r="K47" s="268"/>
      <c r="L47" s="268"/>
      <c r="M47" s="268"/>
      <c r="N47" s="268"/>
      <c r="O47" s="268"/>
      <c r="P47" s="268"/>
      <c r="Q47" s="268"/>
      <c r="R47" s="268"/>
      <c r="T47" s="269"/>
      <c r="U47" s="269"/>
    </row>
    <row r="48" spans="2:21" hidden="1" x14ac:dyDescent="0.3">
      <c r="B48" s="441" t="s">
        <v>538</v>
      </c>
      <c r="C48" s="339"/>
    </row>
    <row r="49" spans="2:21" hidden="1" x14ac:dyDescent="0.3">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hidden="1" x14ac:dyDescent="0.3">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hidden="1" x14ac:dyDescent="0.3">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hidden="1" x14ac:dyDescent="0.3">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hidden="1" x14ac:dyDescent="0.3">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hidden="1" x14ac:dyDescent="0.3">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hidden="1" x14ac:dyDescent="0.3">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hidden="1" x14ac:dyDescent="0.3">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hidden="1" x14ac:dyDescent="0.3">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hidden="1" x14ac:dyDescent="0.3">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hidden="1" x14ac:dyDescent="0.3">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hidden="1" x14ac:dyDescent="0.3">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hidden="1" x14ac:dyDescent="0.3">
      <c r="B61" s="114"/>
      <c r="C61" s="114"/>
      <c r="D61" s="268"/>
      <c r="E61" s="268"/>
      <c r="F61" s="268"/>
      <c r="G61" s="268"/>
      <c r="H61" s="268"/>
      <c r="I61" s="268"/>
      <c r="J61" s="268"/>
      <c r="K61" s="268"/>
      <c r="L61" s="268"/>
      <c r="M61" s="268"/>
      <c r="N61" s="268"/>
      <c r="O61" s="268"/>
      <c r="P61" s="268"/>
      <c r="Q61" s="268"/>
      <c r="R61" s="268"/>
      <c r="T61" s="269"/>
      <c r="U61" s="269"/>
    </row>
    <row r="62" spans="2:21" hidden="1" x14ac:dyDescent="0.3">
      <c r="B62" s="149"/>
      <c r="C62" s="149"/>
    </row>
    <row r="63" spans="2:21" hidden="1" x14ac:dyDescent="0.3">
      <c r="B63" s="441" t="s">
        <v>539</v>
      </c>
      <c r="C63" s="339"/>
      <c r="D63" s="114"/>
      <c r="E63" s="114"/>
      <c r="F63" s="114"/>
      <c r="G63" s="114"/>
      <c r="H63" s="114"/>
      <c r="I63" s="114"/>
      <c r="J63" s="114"/>
      <c r="K63" s="114"/>
      <c r="L63" s="114"/>
      <c r="M63" s="114"/>
      <c r="N63" s="114"/>
      <c r="O63" s="114"/>
      <c r="P63" s="114"/>
      <c r="Q63" s="114"/>
      <c r="R63" s="114"/>
    </row>
    <row r="64" spans="2:21" hidden="1" x14ac:dyDescent="0.3">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hidden="1" x14ac:dyDescent="0.3">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hidden="1" x14ac:dyDescent="0.3">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hidden="1" x14ac:dyDescent="0.3">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hidden="1" x14ac:dyDescent="0.3">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hidden="1" x14ac:dyDescent="0.3">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hidden="1" x14ac:dyDescent="0.3">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hidden="1" x14ac:dyDescent="0.3">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hidden="1" x14ac:dyDescent="0.3">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hidden="1" x14ac:dyDescent="0.3">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hidden="1" x14ac:dyDescent="0.3">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hidden="1" x14ac:dyDescent="0.3">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6" spans="2:21" hidden="1" x14ac:dyDescent="0.3"/>
    <row r="77" spans="2:21" hidden="1" x14ac:dyDescent="0.3">
      <c r="B77" s="149"/>
      <c r="C77" s="149"/>
    </row>
    <row r="78" spans="2:21" hidden="1" x14ac:dyDescent="0.3">
      <c r="B78" s="441" t="s">
        <v>540</v>
      </c>
      <c r="C78" s="339"/>
      <c r="D78" s="114"/>
      <c r="E78" s="114"/>
      <c r="F78" s="114"/>
      <c r="G78" s="114"/>
      <c r="H78" s="114"/>
      <c r="I78" s="114"/>
      <c r="J78" s="114"/>
      <c r="K78" s="114"/>
      <c r="L78" s="114"/>
      <c r="M78" s="114"/>
      <c r="N78" s="114"/>
      <c r="O78" s="114"/>
      <c r="P78" s="114"/>
      <c r="Q78" s="114"/>
      <c r="R78" s="114"/>
    </row>
    <row r="79" spans="2:21" hidden="1" x14ac:dyDescent="0.3">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hidden="1" x14ac:dyDescent="0.3">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hidden="1" x14ac:dyDescent="0.3">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hidden="1" x14ac:dyDescent="0.3">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hidden="1" x14ac:dyDescent="0.3">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hidden="1" x14ac:dyDescent="0.3">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hidden="1" x14ac:dyDescent="0.3">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hidden="1" x14ac:dyDescent="0.3">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hidden="1" x14ac:dyDescent="0.3">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hidden="1" x14ac:dyDescent="0.3">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hidden="1" x14ac:dyDescent="0.3">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hidden="1" x14ac:dyDescent="0.3">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1" spans="2:21" hidden="1" x14ac:dyDescent="0.3"/>
    <row r="92" spans="2:21" hidden="1" x14ac:dyDescent="0.3">
      <c r="B92" s="149"/>
      <c r="C92" s="149"/>
    </row>
    <row r="93" spans="2:21" x14ac:dyDescent="0.3">
      <c r="B93" s="441" t="s">
        <v>543</v>
      </c>
      <c r="C93" s="339"/>
    </row>
    <row r="94" spans="2:21" x14ac:dyDescent="0.3">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3">
      <c r="B95" s="169" t="s">
        <v>107</v>
      </c>
      <c r="C95" s="169" t="s">
        <v>325</v>
      </c>
      <c r="D95" s="265">
        <f>ROUND(54.96*0.4,0)</f>
        <v>22</v>
      </c>
      <c r="E95" s="265"/>
      <c r="F95" s="265"/>
      <c r="G95" s="265"/>
      <c r="H95" s="265"/>
      <c r="I95" s="265"/>
      <c r="J95" s="265"/>
      <c r="K95" s="265"/>
      <c r="L95" s="265"/>
      <c r="M95" s="265"/>
      <c r="N95" s="265"/>
      <c r="O95" s="265"/>
      <c r="P95" s="265"/>
      <c r="Q95" s="265"/>
      <c r="R95" s="265"/>
      <c r="T95" s="819"/>
      <c r="U95" s="16"/>
    </row>
    <row r="96" spans="2:21" x14ac:dyDescent="0.3">
      <c r="B96" s="169" t="s">
        <v>108</v>
      </c>
      <c r="C96" s="169" t="s">
        <v>326</v>
      </c>
      <c r="D96" s="265">
        <f>ROUND(54.96*0.4,0)</f>
        <v>22</v>
      </c>
      <c r="E96" s="265"/>
      <c r="F96" s="265"/>
      <c r="G96" s="265"/>
      <c r="H96" s="265"/>
      <c r="I96" s="265"/>
      <c r="J96" s="265"/>
      <c r="K96" s="265"/>
      <c r="L96" s="265"/>
      <c r="M96" s="265"/>
      <c r="N96" s="265"/>
      <c r="O96" s="265"/>
      <c r="P96" s="265"/>
      <c r="Q96" s="265"/>
      <c r="R96" s="265"/>
      <c r="T96" s="819"/>
      <c r="U96" s="16"/>
    </row>
    <row r="97" spans="2:21" x14ac:dyDescent="0.3">
      <c r="B97" s="169" t="s">
        <v>203</v>
      </c>
      <c r="C97" s="169" t="s">
        <v>327</v>
      </c>
      <c r="D97" s="265">
        <f>ROUND(32.75*0.4,0)</f>
        <v>13</v>
      </c>
      <c r="E97" s="265"/>
      <c r="F97" s="265"/>
      <c r="G97" s="265"/>
      <c r="H97" s="265"/>
      <c r="I97" s="265"/>
      <c r="J97" s="265"/>
      <c r="K97" s="265"/>
      <c r="L97" s="265"/>
      <c r="M97" s="265"/>
      <c r="N97" s="265"/>
      <c r="O97" s="265"/>
      <c r="P97" s="265"/>
      <c r="Q97" s="265"/>
      <c r="R97" s="265"/>
      <c r="T97" s="819"/>
      <c r="U97" s="16"/>
    </row>
    <row r="98" spans="2:21" x14ac:dyDescent="0.3">
      <c r="B98" s="169" t="s">
        <v>110</v>
      </c>
      <c r="C98" s="169" t="s">
        <v>328</v>
      </c>
      <c r="D98" s="265">
        <f>ROUND(44.82*0.4,0)</f>
        <v>18</v>
      </c>
      <c r="E98" s="265"/>
      <c r="F98" s="265"/>
      <c r="G98" s="265"/>
      <c r="H98" s="265"/>
      <c r="I98" s="265"/>
      <c r="J98" s="265"/>
      <c r="K98" s="265"/>
      <c r="L98" s="265"/>
      <c r="M98" s="265"/>
      <c r="N98" s="265"/>
      <c r="O98" s="265"/>
      <c r="P98" s="265"/>
      <c r="Q98" s="265"/>
      <c r="R98" s="265"/>
      <c r="T98" s="819"/>
      <c r="U98" s="16"/>
    </row>
    <row r="99" spans="2:21" x14ac:dyDescent="0.3">
      <c r="B99" s="169" t="s">
        <v>111</v>
      </c>
      <c r="C99" s="169" t="s">
        <v>329</v>
      </c>
      <c r="D99" s="265">
        <f>ROUND(65.71*0.4,0)</f>
        <v>26</v>
      </c>
      <c r="E99" s="265"/>
      <c r="F99" s="265"/>
      <c r="G99" s="265"/>
      <c r="H99" s="265"/>
      <c r="I99" s="265"/>
      <c r="J99" s="265"/>
      <c r="K99" s="265"/>
      <c r="L99" s="265"/>
      <c r="M99" s="265"/>
      <c r="N99" s="265"/>
      <c r="O99" s="265"/>
      <c r="P99" s="265"/>
      <c r="Q99" s="265"/>
      <c r="R99" s="265"/>
      <c r="T99" s="819"/>
      <c r="U99" s="16"/>
    </row>
    <row r="100" spans="2:21" x14ac:dyDescent="0.3">
      <c r="B100" s="169" t="s">
        <v>112</v>
      </c>
      <c r="C100" s="169" t="s">
        <v>330</v>
      </c>
      <c r="D100" s="265">
        <f>ROUND(13.71*0.4,0)</f>
        <v>5</v>
      </c>
      <c r="E100" s="265"/>
      <c r="F100" s="265"/>
      <c r="G100" s="265"/>
      <c r="H100" s="265"/>
      <c r="I100" s="265"/>
      <c r="J100" s="265"/>
      <c r="K100" s="265"/>
      <c r="L100" s="265"/>
      <c r="M100" s="265"/>
      <c r="N100" s="265"/>
      <c r="O100" s="265"/>
      <c r="P100" s="265"/>
      <c r="Q100" s="265"/>
      <c r="R100" s="265"/>
      <c r="T100" s="819"/>
      <c r="U100" s="16"/>
    </row>
    <row r="101" spans="2:21" x14ac:dyDescent="0.3">
      <c r="B101" s="169" t="s">
        <v>204</v>
      </c>
      <c r="C101" s="169" t="s">
        <v>331</v>
      </c>
      <c r="D101" s="265">
        <f>ROUND(5466/4*0.01*0.4,0)</f>
        <v>5</v>
      </c>
      <c r="E101" s="265"/>
      <c r="F101" s="265"/>
      <c r="G101" s="265"/>
      <c r="H101" s="265"/>
      <c r="I101" s="265"/>
      <c r="J101" s="265"/>
      <c r="K101" s="265"/>
      <c r="L101" s="265"/>
      <c r="M101" s="265"/>
      <c r="N101" s="265"/>
      <c r="O101" s="265"/>
      <c r="P101" s="265"/>
      <c r="Q101" s="265"/>
      <c r="R101" s="265"/>
      <c r="T101" s="819"/>
      <c r="U101" s="16"/>
    </row>
    <row r="102" spans="2:21" x14ac:dyDescent="0.3">
      <c r="B102" s="169" t="s">
        <v>205</v>
      </c>
      <c r="C102" s="169" t="s">
        <v>332</v>
      </c>
      <c r="D102" s="265">
        <f>ROUND(5466/4*0.01*0.4,0)</f>
        <v>5</v>
      </c>
      <c r="E102" s="265"/>
      <c r="F102" s="265"/>
      <c r="G102" s="265"/>
      <c r="H102" s="265"/>
      <c r="I102" s="265"/>
      <c r="J102" s="265"/>
      <c r="K102" s="265"/>
      <c r="L102" s="265"/>
      <c r="M102" s="265"/>
      <c r="N102" s="265"/>
      <c r="O102" s="265"/>
      <c r="P102" s="265"/>
      <c r="Q102" s="265"/>
      <c r="R102" s="265"/>
      <c r="T102" s="819"/>
      <c r="U102" s="16"/>
    </row>
    <row r="103" spans="2:21" x14ac:dyDescent="0.3">
      <c r="B103" s="169" t="s">
        <v>115</v>
      </c>
      <c r="C103" s="169" t="s">
        <v>333</v>
      </c>
      <c r="D103" s="265"/>
      <c r="E103" s="265"/>
      <c r="F103" s="265"/>
      <c r="G103" s="265"/>
      <c r="H103" s="265"/>
      <c r="I103" s="265"/>
      <c r="J103" s="265"/>
      <c r="K103" s="265"/>
      <c r="L103" s="265"/>
      <c r="M103" s="265"/>
      <c r="N103" s="265"/>
      <c r="O103" s="265"/>
      <c r="P103" s="265"/>
      <c r="Q103" s="265"/>
      <c r="R103" s="265"/>
      <c r="T103" s="819"/>
      <c r="U103" s="16"/>
    </row>
    <row r="104" spans="2:21" x14ac:dyDescent="0.3">
      <c r="B104" s="169" t="s">
        <v>206</v>
      </c>
      <c r="C104" s="169" t="s">
        <v>334</v>
      </c>
      <c r="D104" s="265">
        <f>ROUND(5466/4*0.01*0.4,0)</f>
        <v>5</v>
      </c>
      <c r="E104" s="265"/>
      <c r="F104" s="265"/>
      <c r="G104" s="265"/>
      <c r="H104" s="265"/>
      <c r="I104" s="265"/>
      <c r="J104" s="265"/>
      <c r="K104" s="265"/>
      <c r="L104" s="265"/>
      <c r="M104" s="265"/>
      <c r="N104" s="265"/>
      <c r="O104" s="265"/>
      <c r="P104" s="265"/>
      <c r="Q104" s="265"/>
      <c r="R104" s="265"/>
      <c r="T104" s="819"/>
      <c r="U104" s="16"/>
    </row>
    <row r="105" spans="2:21" x14ac:dyDescent="0.3">
      <c r="B105" s="169" t="s">
        <v>207</v>
      </c>
      <c r="C105" s="169" t="s">
        <v>335</v>
      </c>
      <c r="D105" s="265">
        <f>ROUND(5466/4*0.01*0.4,0)</f>
        <v>5</v>
      </c>
      <c r="E105" s="265"/>
      <c r="F105" s="265"/>
      <c r="G105" s="265"/>
      <c r="H105" s="265"/>
      <c r="I105" s="265"/>
      <c r="J105" s="265"/>
      <c r="K105" s="265"/>
      <c r="L105" s="265"/>
      <c r="M105" s="265"/>
      <c r="N105" s="265"/>
      <c r="O105" s="265"/>
      <c r="P105" s="265"/>
      <c r="Q105" s="265"/>
      <c r="R105" s="265"/>
      <c r="T105" s="819"/>
      <c r="U105" s="16"/>
    </row>
    <row r="106" spans="2:21" x14ac:dyDescent="0.3">
      <c r="D106" s="16"/>
      <c r="E106" s="16"/>
      <c r="F106" s="16"/>
      <c r="G106" s="16"/>
      <c r="H106" s="16"/>
      <c r="I106" s="16"/>
      <c r="J106" s="16"/>
      <c r="K106" s="16"/>
      <c r="L106" s="16"/>
      <c r="M106" s="16"/>
      <c r="N106" s="16"/>
      <c r="O106" s="16"/>
      <c r="P106" s="16"/>
      <c r="Q106" s="16"/>
      <c r="R106" s="16"/>
    </row>
    <row r="107" spans="2:21" x14ac:dyDescent="0.3">
      <c r="B107" s="149"/>
      <c r="C107" s="149"/>
      <c r="D107" s="16"/>
      <c r="E107" s="16"/>
      <c r="F107" s="16"/>
      <c r="G107" s="16"/>
      <c r="H107" s="16"/>
      <c r="I107" s="16"/>
      <c r="J107" s="16"/>
      <c r="K107" s="16"/>
      <c r="L107" s="16"/>
      <c r="M107" s="16"/>
      <c r="N107" s="16"/>
      <c r="O107" s="16"/>
      <c r="P107" s="16"/>
      <c r="Q107" s="16"/>
      <c r="R107" s="16"/>
    </row>
    <row r="108" spans="2:21" x14ac:dyDescent="0.3">
      <c r="B108" s="441" t="s">
        <v>544</v>
      </c>
      <c r="C108" s="339"/>
      <c r="D108" s="16"/>
      <c r="E108" s="16"/>
      <c r="F108" s="16"/>
      <c r="G108" s="16"/>
      <c r="H108" s="16"/>
      <c r="I108" s="16"/>
      <c r="J108" s="16"/>
      <c r="K108" s="16"/>
      <c r="L108" s="16"/>
      <c r="M108" s="16"/>
      <c r="N108" s="16"/>
      <c r="O108" s="16"/>
      <c r="P108" s="16"/>
      <c r="Q108" s="16"/>
      <c r="R108" s="16"/>
    </row>
    <row r="109" spans="2:21" x14ac:dyDescent="0.3">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3">
      <c r="B110" s="169" t="s">
        <v>107</v>
      </c>
      <c r="C110" s="169" t="s">
        <v>336</v>
      </c>
      <c r="D110" s="265">
        <f>ROUND(54.96*0.6,0)</f>
        <v>33</v>
      </c>
      <c r="E110" s="265"/>
      <c r="F110" s="265"/>
      <c r="G110" s="265"/>
      <c r="H110" s="265"/>
      <c r="I110" s="265"/>
      <c r="J110" s="265"/>
      <c r="K110" s="265"/>
      <c r="L110" s="265"/>
      <c r="M110" s="265"/>
      <c r="N110" s="265"/>
      <c r="O110" s="265"/>
      <c r="P110" s="265"/>
      <c r="Q110" s="265"/>
      <c r="R110" s="265"/>
      <c r="T110" s="819"/>
      <c r="U110" s="16"/>
    </row>
    <row r="111" spans="2:21" x14ac:dyDescent="0.3">
      <c r="B111" s="169" t="s">
        <v>108</v>
      </c>
      <c r="C111" s="169" t="s">
        <v>337</v>
      </c>
      <c r="D111" s="265">
        <f>ROUND(54.96*0.6,0)</f>
        <v>33</v>
      </c>
      <c r="E111" s="265"/>
      <c r="F111" s="265"/>
      <c r="G111" s="265"/>
      <c r="H111" s="265"/>
      <c r="I111" s="265"/>
      <c r="J111" s="265"/>
      <c r="K111" s="265"/>
      <c r="L111" s="265"/>
      <c r="M111" s="265"/>
      <c r="N111" s="265"/>
      <c r="O111" s="265"/>
      <c r="P111" s="265"/>
      <c r="Q111" s="265"/>
      <c r="R111" s="265"/>
      <c r="T111" s="819"/>
      <c r="U111" s="16"/>
    </row>
    <row r="112" spans="2:21" x14ac:dyDescent="0.3">
      <c r="B112" s="169" t="s">
        <v>203</v>
      </c>
      <c r="C112" s="169" t="s">
        <v>338</v>
      </c>
      <c r="D112" s="265">
        <f>ROUND(32.75*0.6,0)</f>
        <v>20</v>
      </c>
      <c r="E112" s="265"/>
      <c r="F112" s="265"/>
      <c r="G112" s="265"/>
      <c r="H112" s="265"/>
      <c r="I112" s="265"/>
      <c r="J112" s="265"/>
      <c r="K112" s="265"/>
      <c r="L112" s="265"/>
      <c r="M112" s="265"/>
      <c r="N112" s="265"/>
      <c r="O112" s="265"/>
      <c r="P112" s="265"/>
      <c r="Q112" s="265"/>
      <c r="R112" s="265"/>
      <c r="T112" s="819"/>
      <c r="U112" s="16"/>
    </row>
    <row r="113" spans="2:21" x14ac:dyDescent="0.3">
      <c r="B113" s="169" t="s">
        <v>110</v>
      </c>
      <c r="C113" s="169" t="s">
        <v>339</v>
      </c>
      <c r="D113" s="265">
        <f>ROUND(44.82*0.6,0)</f>
        <v>27</v>
      </c>
      <c r="E113" s="265"/>
      <c r="F113" s="265"/>
      <c r="G113" s="265"/>
      <c r="H113" s="265"/>
      <c r="I113" s="265"/>
      <c r="J113" s="265"/>
      <c r="K113" s="265"/>
      <c r="L113" s="265"/>
      <c r="M113" s="265"/>
      <c r="N113" s="265"/>
      <c r="O113" s="265"/>
      <c r="P113" s="265"/>
      <c r="Q113" s="265"/>
      <c r="R113" s="265"/>
      <c r="T113" s="819"/>
      <c r="U113" s="16"/>
    </row>
    <row r="114" spans="2:21" x14ac:dyDescent="0.3">
      <c r="B114" s="169" t="s">
        <v>111</v>
      </c>
      <c r="C114" s="169" t="s">
        <v>340</v>
      </c>
      <c r="D114" s="265">
        <f>ROUND(65.71*0.6,0)</f>
        <v>39</v>
      </c>
      <c r="E114" s="265"/>
      <c r="F114" s="265"/>
      <c r="G114" s="265"/>
      <c r="H114" s="265"/>
      <c r="I114" s="265"/>
      <c r="J114" s="265"/>
      <c r="K114" s="265"/>
      <c r="L114" s="265"/>
      <c r="M114" s="265"/>
      <c r="N114" s="265"/>
      <c r="O114" s="265"/>
      <c r="P114" s="265"/>
      <c r="Q114" s="265"/>
      <c r="R114" s="265"/>
      <c r="T114" s="819"/>
      <c r="U114" s="16"/>
    </row>
    <row r="115" spans="2:21" x14ac:dyDescent="0.3">
      <c r="B115" s="169" t="s">
        <v>112</v>
      </c>
      <c r="C115" s="169" t="s">
        <v>341</v>
      </c>
      <c r="D115" s="265">
        <f>ROUND(13.71*0.6,0)</f>
        <v>8</v>
      </c>
      <c r="E115" s="265"/>
      <c r="F115" s="265"/>
      <c r="G115" s="265"/>
      <c r="H115" s="265"/>
      <c r="I115" s="265"/>
      <c r="J115" s="265"/>
      <c r="K115" s="265"/>
      <c r="L115" s="265"/>
      <c r="M115" s="265"/>
      <c r="N115" s="265"/>
      <c r="O115" s="265"/>
      <c r="P115" s="265"/>
      <c r="Q115" s="265"/>
      <c r="R115" s="265"/>
      <c r="T115" s="819"/>
      <c r="U115" s="16"/>
    </row>
    <row r="116" spans="2:21" x14ac:dyDescent="0.3">
      <c r="B116" s="169" t="s">
        <v>204</v>
      </c>
      <c r="C116" s="169" t="s">
        <v>342</v>
      </c>
      <c r="D116" s="265">
        <f>ROUND(5466/4*0.01*0.6,0)</f>
        <v>8</v>
      </c>
      <c r="E116" s="265"/>
      <c r="F116" s="265"/>
      <c r="G116" s="265"/>
      <c r="H116" s="265"/>
      <c r="I116" s="265"/>
      <c r="J116" s="265"/>
      <c r="K116" s="265"/>
      <c r="L116" s="265"/>
      <c r="M116" s="265"/>
      <c r="N116" s="265"/>
      <c r="O116" s="265"/>
      <c r="P116" s="265"/>
      <c r="Q116" s="265"/>
      <c r="R116" s="265"/>
      <c r="T116" s="819"/>
      <c r="U116" s="16"/>
    </row>
    <row r="117" spans="2:21" x14ac:dyDescent="0.3">
      <c r="B117" s="169" t="s">
        <v>205</v>
      </c>
      <c r="C117" s="169" t="s">
        <v>343</v>
      </c>
      <c r="D117" s="265">
        <f>ROUND(5466/4*0.01*0.6,0)</f>
        <v>8</v>
      </c>
      <c r="E117" s="265"/>
      <c r="F117" s="265"/>
      <c r="G117" s="265"/>
      <c r="H117" s="265"/>
      <c r="I117" s="265"/>
      <c r="J117" s="265"/>
      <c r="K117" s="265"/>
      <c r="L117" s="265"/>
      <c r="M117" s="265"/>
      <c r="N117" s="265"/>
      <c r="O117" s="265"/>
      <c r="P117" s="265"/>
      <c r="Q117" s="265"/>
      <c r="R117" s="265"/>
      <c r="T117" s="819"/>
      <c r="U117" s="16"/>
    </row>
    <row r="118" spans="2:21" x14ac:dyDescent="0.3">
      <c r="B118" s="169" t="s">
        <v>115</v>
      </c>
      <c r="C118" s="169" t="s">
        <v>344</v>
      </c>
      <c r="D118" s="265"/>
      <c r="E118" s="265"/>
      <c r="F118" s="265"/>
      <c r="G118" s="265"/>
      <c r="H118" s="265"/>
      <c r="I118" s="265"/>
      <c r="J118" s="265"/>
      <c r="K118" s="265"/>
      <c r="L118" s="265"/>
      <c r="M118" s="265"/>
      <c r="N118" s="265"/>
      <c r="O118" s="265"/>
      <c r="P118" s="265"/>
      <c r="Q118" s="265"/>
      <c r="R118" s="265"/>
      <c r="T118" s="819"/>
      <c r="U118" s="16"/>
    </row>
    <row r="119" spans="2:21" x14ac:dyDescent="0.3">
      <c r="B119" s="169" t="s">
        <v>206</v>
      </c>
      <c r="C119" s="169" t="s">
        <v>345</v>
      </c>
      <c r="D119" s="265">
        <f>ROUND(5466/4*0.01*0.6,0)</f>
        <v>8</v>
      </c>
      <c r="E119" s="265"/>
      <c r="F119" s="265"/>
      <c r="G119" s="265"/>
      <c r="H119" s="265"/>
      <c r="I119" s="265"/>
      <c r="J119" s="265"/>
      <c r="K119" s="265"/>
      <c r="L119" s="265"/>
      <c r="M119" s="265"/>
      <c r="N119" s="265"/>
      <c r="O119" s="265"/>
      <c r="P119" s="265"/>
      <c r="Q119" s="265"/>
      <c r="R119" s="265"/>
      <c r="T119" s="819"/>
      <c r="U119" s="16"/>
    </row>
    <row r="120" spans="2:21" x14ac:dyDescent="0.3">
      <c r="B120" s="169" t="s">
        <v>207</v>
      </c>
      <c r="C120" s="169" t="s">
        <v>346</v>
      </c>
      <c r="D120" s="265">
        <f>ROUND(5466/4*0.01*0.6,0)</f>
        <v>8</v>
      </c>
      <c r="E120" s="265"/>
      <c r="F120" s="265"/>
      <c r="G120" s="265"/>
      <c r="H120" s="265"/>
      <c r="I120" s="265"/>
      <c r="J120" s="265"/>
      <c r="K120" s="265"/>
      <c r="L120" s="265"/>
      <c r="M120" s="265"/>
      <c r="N120" s="265"/>
      <c r="O120" s="265"/>
      <c r="P120" s="265"/>
      <c r="Q120" s="265"/>
      <c r="R120" s="265"/>
      <c r="T120" s="819"/>
      <c r="U120" s="16"/>
    </row>
    <row r="121" spans="2:21" x14ac:dyDescent="0.3">
      <c r="B121" s="114"/>
      <c r="C121" s="114"/>
      <c r="D121" s="268"/>
      <c r="E121" s="268"/>
      <c r="F121" s="268"/>
      <c r="G121" s="268"/>
      <c r="H121" s="268"/>
      <c r="I121" s="268"/>
      <c r="J121" s="268"/>
      <c r="K121" s="268"/>
      <c r="L121" s="268"/>
      <c r="M121" s="268"/>
      <c r="N121" s="268"/>
      <c r="O121" s="268"/>
      <c r="P121" s="268"/>
      <c r="Q121" s="268"/>
      <c r="R121" s="268"/>
      <c r="T121" s="269"/>
    </row>
    <row r="122" spans="2:21" x14ac:dyDescent="0.3">
      <c r="B122" s="149"/>
      <c r="C122" s="149"/>
      <c r="D122" s="268"/>
      <c r="E122" s="268"/>
      <c r="F122" s="268"/>
      <c r="G122" s="268"/>
      <c r="H122" s="268"/>
      <c r="I122" s="268"/>
      <c r="J122" s="268"/>
      <c r="K122" s="268"/>
      <c r="L122" s="268"/>
      <c r="M122" s="268"/>
      <c r="N122" s="268"/>
      <c r="O122" s="268"/>
      <c r="P122" s="268"/>
      <c r="Q122" s="268"/>
      <c r="R122" s="268"/>
      <c r="T122" s="269"/>
    </row>
    <row r="123" spans="2:21" x14ac:dyDescent="0.3">
      <c r="B123" s="441" t="s">
        <v>545</v>
      </c>
      <c r="C123" s="339"/>
    </row>
    <row r="124" spans="2:21" x14ac:dyDescent="0.3">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3">
      <c r="B125" s="169" t="s">
        <v>107</v>
      </c>
      <c r="C125" s="169" t="s">
        <v>347</v>
      </c>
      <c r="D125" s="265">
        <v>15</v>
      </c>
      <c r="E125" s="265"/>
      <c r="F125" s="265"/>
      <c r="G125" s="265"/>
      <c r="H125" s="265"/>
      <c r="I125" s="265"/>
      <c r="J125" s="265"/>
      <c r="K125" s="265"/>
      <c r="L125" s="265"/>
      <c r="M125" s="265"/>
      <c r="N125" s="265"/>
      <c r="O125" s="265"/>
      <c r="P125" s="265"/>
      <c r="Q125" s="265"/>
      <c r="R125" s="265"/>
      <c r="T125" s="819"/>
    </row>
    <row r="126" spans="2:21" x14ac:dyDescent="0.3">
      <c r="B126" s="169" t="s">
        <v>108</v>
      </c>
      <c r="C126" s="169" t="s">
        <v>348</v>
      </c>
      <c r="D126" s="265">
        <v>15</v>
      </c>
      <c r="E126" s="265"/>
      <c r="F126" s="265"/>
      <c r="G126" s="265"/>
      <c r="H126" s="265"/>
      <c r="I126" s="265"/>
      <c r="J126" s="265"/>
      <c r="K126" s="265"/>
      <c r="L126" s="265"/>
      <c r="M126" s="265"/>
      <c r="N126" s="265"/>
      <c r="O126" s="265"/>
      <c r="P126" s="265"/>
      <c r="Q126" s="265"/>
      <c r="R126" s="265"/>
      <c r="T126" s="819"/>
    </row>
    <row r="127" spans="2:21" x14ac:dyDescent="0.3">
      <c r="B127" s="169" t="s">
        <v>203</v>
      </c>
      <c r="C127" s="169" t="s">
        <v>349</v>
      </c>
      <c r="D127" s="265">
        <v>7</v>
      </c>
      <c r="E127" s="265"/>
      <c r="F127" s="265"/>
      <c r="G127" s="265"/>
      <c r="H127" s="265"/>
      <c r="I127" s="265"/>
      <c r="J127" s="265"/>
      <c r="K127" s="265"/>
      <c r="L127" s="265"/>
      <c r="M127" s="265"/>
      <c r="N127" s="265"/>
      <c r="O127" s="265"/>
      <c r="P127" s="265"/>
      <c r="Q127" s="265"/>
      <c r="R127" s="265"/>
      <c r="T127" s="819"/>
    </row>
    <row r="128" spans="2:21" x14ac:dyDescent="0.3">
      <c r="B128" s="169" t="s">
        <v>110</v>
      </c>
      <c r="C128" s="169" t="s">
        <v>350</v>
      </c>
      <c r="D128" s="265">
        <v>13</v>
      </c>
      <c r="E128" s="265"/>
      <c r="F128" s="265"/>
      <c r="G128" s="265"/>
      <c r="H128" s="265"/>
      <c r="I128" s="265"/>
      <c r="J128" s="265"/>
      <c r="K128" s="265"/>
      <c r="L128" s="265"/>
      <c r="M128" s="265"/>
      <c r="N128" s="265"/>
      <c r="O128" s="265"/>
      <c r="P128" s="265"/>
      <c r="Q128" s="265"/>
      <c r="R128" s="265"/>
      <c r="T128" s="819"/>
    </row>
    <row r="129" spans="2:20" x14ac:dyDescent="0.3">
      <c r="B129" s="169" t="s">
        <v>111</v>
      </c>
      <c r="C129" s="169" t="s">
        <v>351</v>
      </c>
      <c r="D129" s="265">
        <v>11</v>
      </c>
      <c r="E129" s="265"/>
      <c r="F129" s="265"/>
      <c r="G129" s="265"/>
      <c r="H129" s="265"/>
      <c r="I129" s="265"/>
      <c r="J129" s="265"/>
      <c r="K129" s="265"/>
      <c r="L129" s="265"/>
      <c r="M129" s="265"/>
      <c r="N129" s="265"/>
      <c r="O129" s="265"/>
      <c r="P129" s="265"/>
      <c r="Q129" s="265"/>
      <c r="R129" s="265"/>
      <c r="T129" s="819"/>
    </row>
    <row r="130" spans="2:20" x14ac:dyDescent="0.3">
      <c r="B130" s="169" t="s">
        <v>112</v>
      </c>
      <c r="C130" s="169" t="s">
        <v>352</v>
      </c>
      <c r="D130" s="265">
        <v>7</v>
      </c>
      <c r="E130" s="265"/>
      <c r="F130" s="265"/>
      <c r="G130" s="265"/>
      <c r="H130" s="265"/>
      <c r="I130" s="265"/>
      <c r="J130" s="265"/>
      <c r="K130" s="265"/>
      <c r="L130" s="265"/>
      <c r="M130" s="265"/>
      <c r="N130" s="265"/>
      <c r="O130" s="265"/>
      <c r="P130" s="265"/>
      <c r="Q130" s="265"/>
      <c r="R130" s="265"/>
      <c r="T130" s="819"/>
    </row>
    <row r="131" spans="2:20" x14ac:dyDescent="0.3">
      <c r="B131" s="169" t="s">
        <v>204</v>
      </c>
      <c r="C131" s="169" t="s">
        <v>353</v>
      </c>
      <c r="D131" s="265">
        <v>15</v>
      </c>
      <c r="E131" s="265"/>
      <c r="F131" s="265"/>
      <c r="G131" s="265"/>
      <c r="H131" s="265"/>
      <c r="I131" s="265"/>
      <c r="J131" s="265"/>
      <c r="K131" s="265"/>
      <c r="L131" s="265"/>
      <c r="M131" s="265"/>
      <c r="N131" s="265"/>
      <c r="O131" s="265"/>
      <c r="P131" s="265"/>
      <c r="Q131" s="265"/>
      <c r="R131" s="265"/>
      <c r="T131" s="819"/>
    </row>
    <row r="132" spans="2:20" x14ac:dyDescent="0.3">
      <c r="B132" s="169" t="s">
        <v>205</v>
      </c>
      <c r="C132" s="169" t="s">
        <v>354</v>
      </c>
      <c r="D132" s="265">
        <v>15</v>
      </c>
      <c r="E132" s="265"/>
      <c r="F132" s="265"/>
      <c r="G132" s="265"/>
      <c r="H132" s="265"/>
      <c r="I132" s="265"/>
      <c r="J132" s="265"/>
      <c r="K132" s="265"/>
      <c r="L132" s="265"/>
      <c r="M132" s="265"/>
      <c r="N132" s="265"/>
      <c r="O132" s="265"/>
      <c r="P132" s="265"/>
      <c r="Q132" s="265"/>
      <c r="R132" s="265"/>
      <c r="T132" s="819"/>
    </row>
    <row r="133" spans="2:20" x14ac:dyDescent="0.3">
      <c r="B133" s="169" t="s">
        <v>115</v>
      </c>
      <c r="C133" s="169" t="s">
        <v>355</v>
      </c>
      <c r="D133" s="265"/>
      <c r="E133" s="265"/>
      <c r="F133" s="265"/>
      <c r="G133" s="265"/>
      <c r="H133" s="265"/>
      <c r="I133" s="265"/>
      <c r="J133" s="265"/>
      <c r="K133" s="265"/>
      <c r="L133" s="265"/>
      <c r="M133" s="265"/>
      <c r="N133" s="265"/>
      <c r="O133" s="265"/>
      <c r="P133" s="265"/>
      <c r="Q133" s="265"/>
      <c r="R133" s="265"/>
      <c r="T133" s="819"/>
    </row>
    <row r="134" spans="2:20" x14ac:dyDescent="0.3">
      <c r="B134" s="169" t="s">
        <v>206</v>
      </c>
      <c r="C134" s="169" t="s">
        <v>356</v>
      </c>
      <c r="D134" s="265">
        <v>10</v>
      </c>
      <c r="E134" s="265"/>
      <c r="F134" s="265"/>
      <c r="G134" s="265"/>
      <c r="H134" s="265"/>
      <c r="I134" s="265"/>
      <c r="J134" s="265"/>
      <c r="K134" s="265"/>
      <c r="L134" s="265"/>
      <c r="M134" s="265"/>
      <c r="N134" s="265"/>
      <c r="O134" s="265"/>
      <c r="P134" s="265"/>
      <c r="Q134" s="265"/>
      <c r="R134" s="265"/>
      <c r="T134" s="819"/>
    </row>
    <row r="135" spans="2:20" x14ac:dyDescent="0.3">
      <c r="B135" s="169" t="s">
        <v>207</v>
      </c>
      <c r="C135" s="169" t="s">
        <v>357</v>
      </c>
      <c r="D135" s="265">
        <v>10</v>
      </c>
      <c r="E135" s="265"/>
      <c r="F135" s="265"/>
      <c r="G135" s="265"/>
      <c r="H135" s="265"/>
      <c r="I135" s="265"/>
      <c r="J135" s="265"/>
      <c r="K135" s="265"/>
      <c r="L135" s="265"/>
      <c r="M135" s="265"/>
      <c r="N135" s="265"/>
      <c r="O135" s="265"/>
      <c r="P135" s="265"/>
      <c r="Q135" s="265"/>
      <c r="R135" s="265"/>
      <c r="T135" s="819"/>
    </row>
    <row r="136" spans="2:20" x14ac:dyDescent="0.3">
      <c r="B136" s="114"/>
      <c r="C136" s="114"/>
      <c r="D136" s="268"/>
      <c r="E136" s="268"/>
      <c r="F136" s="268"/>
      <c r="G136" s="268"/>
      <c r="H136" s="268"/>
      <c r="I136" s="268"/>
      <c r="J136" s="268"/>
      <c r="K136" s="268"/>
      <c r="L136" s="268"/>
      <c r="M136" s="268"/>
      <c r="N136" s="268"/>
      <c r="O136" s="268"/>
      <c r="P136" s="268"/>
      <c r="Q136" s="268"/>
      <c r="R136" s="268"/>
      <c r="T136" s="269"/>
    </row>
    <row r="137" spans="2:20" x14ac:dyDescent="0.3">
      <c r="B137" s="149"/>
      <c r="C137" s="149"/>
      <c r="D137" s="268"/>
      <c r="E137" s="268"/>
      <c r="F137" s="268"/>
      <c r="G137" s="268"/>
      <c r="H137" s="268"/>
      <c r="I137" s="268"/>
      <c r="J137" s="268"/>
      <c r="K137" s="268"/>
      <c r="L137" s="268"/>
      <c r="M137" s="268"/>
      <c r="N137" s="268"/>
      <c r="O137" s="268"/>
      <c r="P137" s="268"/>
      <c r="Q137" s="268"/>
      <c r="R137" s="268"/>
      <c r="T137" s="269"/>
    </row>
    <row r="138" spans="2:20" hidden="1" x14ac:dyDescent="0.3">
      <c r="B138" s="441" t="s">
        <v>546</v>
      </c>
      <c r="C138" s="339"/>
    </row>
    <row r="139" spans="2:20" hidden="1" x14ac:dyDescent="0.3">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hidden="1" x14ac:dyDescent="0.3">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19"/>
    </row>
    <row r="141" spans="2:20" hidden="1" x14ac:dyDescent="0.3">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19"/>
    </row>
    <row r="142" spans="2:20" hidden="1" x14ac:dyDescent="0.3">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19"/>
    </row>
    <row r="143" spans="2:20" hidden="1" x14ac:dyDescent="0.3">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19"/>
    </row>
    <row r="144" spans="2:20" hidden="1" x14ac:dyDescent="0.3">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19"/>
    </row>
    <row r="145" spans="2:20" hidden="1" x14ac:dyDescent="0.3">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19"/>
    </row>
    <row r="146" spans="2:20" hidden="1" x14ac:dyDescent="0.3">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19"/>
    </row>
    <row r="147" spans="2:20" hidden="1" x14ac:dyDescent="0.3">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19"/>
    </row>
    <row r="148" spans="2:20" hidden="1" x14ac:dyDescent="0.3">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19"/>
    </row>
    <row r="149" spans="2:20" hidden="1" x14ac:dyDescent="0.3">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19"/>
    </row>
    <row r="150" spans="2:20" hidden="1" x14ac:dyDescent="0.3">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19"/>
    </row>
    <row r="151" spans="2:20" hidden="1" x14ac:dyDescent="0.3"/>
    <row r="152" spans="2:20" hidden="1" x14ac:dyDescent="0.3">
      <c r="B152" s="149"/>
      <c r="C152" s="149"/>
      <c r="D152" s="268"/>
      <c r="E152" s="268"/>
      <c r="F152" s="268"/>
      <c r="G152" s="268"/>
      <c r="H152" s="268"/>
      <c r="I152" s="268"/>
      <c r="J152" s="268"/>
      <c r="K152" s="268"/>
      <c r="L152" s="268"/>
      <c r="M152" s="268"/>
      <c r="N152" s="268"/>
      <c r="O152" s="268"/>
      <c r="P152" s="268"/>
      <c r="Q152" s="268"/>
      <c r="R152" s="268"/>
      <c r="T152" s="269"/>
    </row>
    <row r="153" spans="2:20" hidden="1" x14ac:dyDescent="0.3">
      <c r="B153" s="441" t="s">
        <v>547</v>
      </c>
      <c r="C153" s="339"/>
    </row>
    <row r="154" spans="2:20" hidden="1" x14ac:dyDescent="0.3">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hidden="1" x14ac:dyDescent="0.3">
      <c r="B155" s="169" t="s">
        <v>107</v>
      </c>
      <c r="C155" s="169" t="s">
        <v>358</v>
      </c>
      <c r="D155" s="265"/>
      <c r="E155" s="265"/>
      <c r="F155" s="265"/>
      <c r="G155" s="265"/>
      <c r="H155" s="265"/>
      <c r="I155" s="265"/>
      <c r="J155" s="265"/>
      <c r="K155" s="265"/>
      <c r="L155" s="265"/>
      <c r="M155" s="265"/>
      <c r="N155" s="265"/>
      <c r="O155" s="265"/>
      <c r="P155" s="265"/>
      <c r="Q155" s="265"/>
      <c r="R155" s="265"/>
      <c r="T155" s="819"/>
    </row>
    <row r="156" spans="2:20" hidden="1" x14ac:dyDescent="0.3">
      <c r="B156" s="169" t="s">
        <v>108</v>
      </c>
      <c r="C156" s="169" t="s">
        <v>359</v>
      </c>
      <c r="D156" s="265"/>
      <c r="E156" s="265"/>
      <c r="F156" s="265"/>
      <c r="G156" s="265"/>
      <c r="H156" s="265"/>
      <c r="I156" s="265"/>
      <c r="J156" s="265"/>
      <c r="K156" s="265"/>
      <c r="L156" s="265"/>
      <c r="M156" s="265"/>
      <c r="N156" s="265"/>
      <c r="O156" s="265"/>
      <c r="P156" s="265"/>
      <c r="Q156" s="265"/>
      <c r="R156" s="265"/>
      <c r="T156" s="819"/>
    </row>
    <row r="157" spans="2:20" hidden="1" x14ac:dyDescent="0.3">
      <c r="B157" s="169" t="s">
        <v>203</v>
      </c>
      <c r="C157" s="169" t="s">
        <v>360</v>
      </c>
      <c r="D157" s="265"/>
      <c r="E157" s="265"/>
      <c r="F157" s="265"/>
      <c r="G157" s="265"/>
      <c r="H157" s="265"/>
      <c r="I157" s="265"/>
      <c r="J157" s="265"/>
      <c r="K157" s="265"/>
      <c r="L157" s="265"/>
      <c r="M157" s="265"/>
      <c r="N157" s="265"/>
      <c r="O157" s="265"/>
      <c r="P157" s="265"/>
      <c r="Q157" s="265"/>
      <c r="R157" s="265"/>
      <c r="T157" s="819"/>
    </row>
    <row r="158" spans="2:20" hidden="1" x14ac:dyDescent="0.3">
      <c r="B158" s="169" t="s">
        <v>110</v>
      </c>
      <c r="C158" s="169" t="s">
        <v>361</v>
      </c>
      <c r="D158" s="265"/>
      <c r="E158" s="265"/>
      <c r="F158" s="265"/>
      <c r="G158" s="265"/>
      <c r="H158" s="265"/>
      <c r="I158" s="265"/>
      <c r="J158" s="265"/>
      <c r="K158" s="265"/>
      <c r="L158" s="265"/>
      <c r="M158" s="265"/>
      <c r="N158" s="265"/>
      <c r="O158" s="265"/>
      <c r="P158" s="265"/>
      <c r="Q158" s="265"/>
      <c r="R158" s="265"/>
      <c r="T158" s="819"/>
    </row>
    <row r="159" spans="2:20" hidden="1" x14ac:dyDescent="0.3">
      <c r="B159" s="169" t="s">
        <v>111</v>
      </c>
      <c r="C159" s="169" t="s">
        <v>362</v>
      </c>
      <c r="D159" s="265"/>
      <c r="E159" s="265"/>
      <c r="F159" s="265"/>
      <c r="G159" s="265"/>
      <c r="H159" s="265"/>
      <c r="I159" s="265"/>
      <c r="J159" s="265"/>
      <c r="K159" s="265"/>
      <c r="L159" s="265"/>
      <c r="M159" s="265"/>
      <c r="N159" s="265"/>
      <c r="O159" s="265"/>
      <c r="P159" s="265"/>
      <c r="Q159" s="265"/>
      <c r="R159" s="265"/>
      <c r="T159" s="819"/>
    </row>
    <row r="160" spans="2:20" hidden="1" x14ac:dyDescent="0.3">
      <c r="B160" s="169" t="s">
        <v>112</v>
      </c>
      <c r="C160" s="169" t="s">
        <v>363</v>
      </c>
      <c r="D160" s="265"/>
      <c r="E160" s="265"/>
      <c r="F160" s="265"/>
      <c r="G160" s="265"/>
      <c r="H160" s="265"/>
      <c r="I160" s="265"/>
      <c r="J160" s="265"/>
      <c r="K160" s="265"/>
      <c r="L160" s="265"/>
      <c r="M160" s="265"/>
      <c r="N160" s="265"/>
      <c r="O160" s="265"/>
      <c r="P160" s="265"/>
      <c r="Q160" s="265"/>
      <c r="R160" s="265"/>
      <c r="T160" s="819"/>
    </row>
    <row r="161" spans="2:20" hidden="1" x14ac:dyDescent="0.3">
      <c r="B161" s="169" t="s">
        <v>204</v>
      </c>
      <c r="C161" s="169" t="s">
        <v>364</v>
      </c>
      <c r="D161" s="265"/>
      <c r="E161" s="265"/>
      <c r="F161" s="265"/>
      <c r="G161" s="265"/>
      <c r="H161" s="265"/>
      <c r="I161" s="265"/>
      <c r="J161" s="265"/>
      <c r="K161" s="265"/>
      <c r="L161" s="265"/>
      <c r="M161" s="265"/>
      <c r="N161" s="265"/>
      <c r="O161" s="265"/>
      <c r="P161" s="265"/>
      <c r="Q161" s="265"/>
      <c r="R161" s="265"/>
      <c r="T161" s="819"/>
    </row>
    <row r="162" spans="2:20" hidden="1" x14ac:dyDescent="0.3">
      <c r="B162" s="169" t="s">
        <v>205</v>
      </c>
      <c r="C162" s="169" t="s">
        <v>365</v>
      </c>
      <c r="D162" s="265"/>
      <c r="E162" s="265"/>
      <c r="F162" s="265"/>
      <c r="G162" s="265"/>
      <c r="H162" s="265"/>
      <c r="I162" s="265"/>
      <c r="J162" s="265"/>
      <c r="K162" s="265"/>
      <c r="L162" s="265"/>
      <c r="M162" s="265"/>
      <c r="N162" s="265"/>
      <c r="O162" s="265"/>
      <c r="P162" s="265"/>
      <c r="Q162" s="265"/>
      <c r="R162" s="265"/>
      <c r="T162" s="819"/>
    </row>
    <row r="163" spans="2:20" hidden="1" x14ac:dyDescent="0.3">
      <c r="B163" s="169" t="s">
        <v>115</v>
      </c>
      <c r="C163" s="169" t="s">
        <v>366</v>
      </c>
      <c r="D163" s="265"/>
      <c r="E163" s="265"/>
      <c r="F163" s="265"/>
      <c r="G163" s="265"/>
      <c r="H163" s="265"/>
      <c r="I163" s="265"/>
      <c r="J163" s="265"/>
      <c r="K163" s="265"/>
      <c r="L163" s="265"/>
      <c r="M163" s="265"/>
      <c r="N163" s="265"/>
      <c r="O163" s="265"/>
      <c r="P163" s="265"/>
      <c r="Q163" s="265"/>
      <c r="R163" s="265"/>
      <c r="T163" s="819"/>
    </row>
    <row r="164" spans="2:20" hidden="1" x14ac:dyDescent="0.3">
      <c r="B164" s="169" t="s">
        <v>206</v>
      </c>
      <c r="C164" s="169" t="s">
        <v>367</v>
      </c>
      <c r="D164" s="265"/>
      <c r="E164" s="265"/>
      <c r="F164" s="265"/>
      <c r="G164" s="265"/>
      <c r="H164" s="265"/>
      <c r="I164" s="265"/>
      <c r="J164" s="265"/>
      <c r="K164" s="265"/>
      <c r="L164" s="265"/>
      <c r="M164" s="265"/>
      <c r="N164" s="265"/>
      <c r="O164" s="265"/>
      <c r="P164" s="265"/>
      <c r="Q164" s="265"/>
      <c r="R164" s="265"/>
      <c r="T164" s="819"/>
    </row>
    <row r="165" spans="2:20" hidden="1" x14ac:dyDescent="0.3">
      <c r="B165" s="169" t="s">
        <v>207</v>
      </c>
      <c r="C165" s="169" t="s">
        <v>368</v>
      </c>
      <c r="D165" s="265"/>
      <c r="E165" s="265"/>
      <c r="F165" s="265"/>
      <c r="G165" s="265"/>
      <c r="H165" s="265"/>
      <c r="I165" s="265"/>
      <c r="J165" s="265"/>
      <c r="K165" s="265"/>
      <c r="L165" s="265"/>
      <c r="M165" s="265"/>
      <c r="N165" s="265"/>
      <c r="O165" s="265"/>
      <c r="P165" s="265"/>
      <c r="Q165" s="265"/>
      <c r="R165" s="265"/>
      <c r="T165" s="819"/>
    </row>
    <row r="166" spans="2:20" hidden="1" x14ac:dyDescent="0.3">
      <c r="B166" s="114"/>
      <c r="C166" s="114"/>
      <c r="D166" s="268"/>
      <c r="E166" s="268"/>
      <c r="F166" s="268"/>
      <c r="G166" s="268"/>
      <c r="H166" s="268"/>
      <c r="I166" s="268"/>
      <c r="J166" s="268"/>
      <c r="K166" s="268"/>
      <c r="L166" s="268"/>
      <c r="M166" s="268"/>
      <c r="N166" s="268"/>
      <c r="O166" s="268"/>
      <c r="P166" s="268"/>
      <c r="Q166" s="268"/>
      <c r="R166" s="268"/>
      <c r="T166" s="269"/>
    </row>
    <row r="167" spans="2:20" hidden="1" x14ac:dyDescent="0.3">
      <c r="B167" s="149"/>
      <c r="C167" s="149"/>
      <c r="D167" s="268"/>
      <c r="E167" s="268"/>
      <c r="F167" s="268"/>
      <c r="G167" s="268"/>
      <c r="H167" s="268"/>
      <c r="I167" s="268"/>
      <c r="J167" s="268"/>
      <c r="K167" s="268"/>
      <c r="L167" s="268"/>
      <c r="M167" s="268"/>
      <c r="N167" s="268"/>
      <c r="O167" s="268"/>
      <c r="P167" s="268"/>
      <c r="Q167" s="268"/>
      <c r="R167" s="268"/>
      <c r="T167" s="269"/>
    </row>
    <row r="168" spans="2:20" hidden="1" x14ac:dyDescent="0.3">
      <c r="B168" s="441" t="s">
        <v>548</v>
      </c>
      <c r="C168" s="339"/>
    </row>
    <row r="169" spans="2:20" hidden="1" x14ac:dyDescent="0.3">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hidden="1" x14ac:dyDescent="0.3">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19"/>
    </row>
    <row r="171" spans="2:20" hidden="1" x14ac:dyDescent="0.3">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19"/>
    </row>
    <row r="172" spans="2:20" hidden="1" x14ac:dyDescent="0.3">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19"/>
    </row>
    <row r="173" spans="2:20" hidden="1" x14ac:dyDescent="0.3">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19"/>
    </row>
    <row r="174" spans="2:20" hidden="1" x14ac:dyDescent="0.3">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19"/>
    </row>
    <row r="175" spans="2:20" hidden="1" x14ac:dyDescent="0.3">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19"/>
    </row>
    <row r="176" spans="2:20" hidden="1" x14ac:dyDescent="0.3">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19"/>
    </row>
    <row r="177" spans="1:21" hidden="1" x14ac:dyDescent="0.3">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19"/>
    </row>
    <row r="178" spans="1:21" hidden="1" x14ac:dyDescent="0.3">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19"/>
    </row>
    <row r="179" spans="1:21" hidden="1" x14ac:dyDescent="0.3">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19"/>
    </row>
    <row r="180" spans="1:21" hidden="1" x14ac:dyDescent="0.3">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19"/>
    </row>
    <row r="181" spans="1:21" hidden="1" x14ac:dyDescent="0.3"/>
    <row r="182" spans="1:21" hidden="1" x14ac:dyDescent="0.3">
      <c r="B182" s="149"/>
      <c r="C182" s="149"/>
    </row>
    <row r="183" spans="1:21" x14ac:dyDescent="0.3">
      <c r="B183" s="441" t="s">
        <v>549</v>
      </c>
      <c r="C183" s="339"/>
    </row>
    <row r="184" spans="1:21" x14ac:dyDescent="0.3">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3">
      <c r="A185" s="292"/>
      <c r="B185" s="271" t="s">
        <v>107</v>
      </c>
      <c r="C185" s="271" t="s">
        <v>369</v>
      </c>
      <c r="D185" s="265">
        <v>41.912329796416664</v>
      </c>
      <c r="E185" s="265"/>
      <c r="F185" s="265"/>
      <c r="G185" s="265"/>
      <c r="H185" s="265"/>
      <c r="I185" s="265"/>
      <c r="J185" s="265"/>
      <c r="K185" s="265"/>
      <c r="L185" s="265"/>
      <c r="M185" s="265"/>
      <c r="N185" s="265"/>
      <c r="O185" s="265"/>
      <c r="P185" s="265"/>
      <c r="Q185" s="265"/>
      <c r="R185" s="265"/>
      <c r="T185" s="819"/>
      <c r="U185" s="16"/>
    </row>
    <row r="186" spans="1:21" x14ac:dyDescent="0.3">
      <c r="A186" s="292"/>
      <c r="B186" s="169" t="s">
        <v>108</v>
      </c>
      <c r="C186" s="271" t="s">
        <v>370</v>
      </c>
      <c r="D186" s="265">
        <v>41.912329796416664</v>
      </c>
      <c r="E186" s="265"/>
      <c r="F186" s="265"/>
      <c r="G186" s="265"/>
      <c r="H186" s="265"/>
      <c r="I186" s="265"/>
      <c r="J186" s="265"/>
      <c r="K186" s="265"/>
      <c r="L186" s="265"/>
      <c r="M186" s="265"/>
      <c r="N186" s="265"/>
      <c r="O186" s="265"/>
      <c r="P186" s="265"/>
      <c r="Q186" s="265"/>
      <c r="R186" s="265"/>
      <c r="T186" s="819"/>
    </row>
    <row r="187" spans="1:21" x14ac:dyDescent="0.3">
      <c r="A187" s="292"/>
      <c r="B187" s="169" t="s">
        <v>203</v>
      </c>
      <c r="C187" s="271" t="s">
        <v>371</v>
      </c>
      <c r="D187" s="265">
        <v>36</v>
      </c>
      <c r="E187" s="265"/>
      <c r="F187" s="265"/>
      <c r="G187" s="265"/>
      <c r="H187" s="265"/>
      <c r="I187" s="265"/>
      <c r="J187" s="265"/>
      <c r="K187" s="265"/>
      <c r="L187" s="265"/>
      <c r="M187" s="265"/>
      <c r="N187" s="265"/>
      <c r="O187" s="265"/>
      <c r="P187" s="265"/>
      <c r="Q187" s="265"/>
      <c r="R187" s="265"/>
      <c r="T187" s="819"/>
      <c r="U187" s="16"/>
    </row>
    <row r="188" spans="1:21" x14ac:dyDescent="0.3">
      <c r="A188" s="293"/>
      <c r="B188" s="169" t="s">
        <v>110</v>
      </c>
      <c r="C188" s="271" t="s">
        <v>372</v>
      </c>
      <c r="D188" s="265">
        <v>30.176615384615381</v>
      </c>
      <c r="E188" s="265"/>
      <c r="F188" s="265"/>
      <c r="G188" s="265"/>
      <c r="H188" s="265"/>
      <c r="I188" s="265"/>
      <c r="J188" s="265"/>
      <c r="K188" s="265"/>
      <c r="L188" s="265"/>
      <c r="M188" s="265"/>
      <c r="N188" s="265"/>
      <c r="O188" s="265"/>
      <c r="P188" s="265"/>
      <c r="Q188" s="265"/>
      <c r="R188" s="265"/>
      <c r="T188" s="819"/>
      <c r="U188" s="16"/>
    </row>
    <row r="189" spans="1:21" x14ac:dyDescent="0.3">
      <c r="A189" s="292"/>
      <c r="B189" s="169" t="s">
        <v>111</v>
      </c>
      <c r="C189" s="271" t="s">
        <v>373</v>
      </c>
      <c r="D189" s="265">
        <v>29.592641657334823</v>
      </c>
      <c r="E189" s="265"/>
      <c r="F189" s="265"/>
      <c r="G189" s="265"/>
      <c r="H189" s="265"/>
      <c r="I189" s="265"/>
      <c r="J189" s="265"/>
      <c r="K189" s="265"/>
      <c r="L189" s="265"/>
      <c r="M189" s="265"/>
      <c r="N189" s="265"/>
      <c r="O189" s="265"/>
      <c r="P189" s="265"/>
      <c r="Q189" s="265"/>
      <c r="R189" s="265"/>
      <c r="T189" s="819"/>
      <c r="U189" s="16"/>
    </row>
    <row r="190" spans="1:21" x14ac:dyDescent="0.3">
      <c r="A190" s="292"/>
      <c r="B190" s="169" t="s">
        <v>112</v>
      </c>
      <c r="C190" s="271" t="s">
        <v>374</v>
      </c>
      <c r="D190" s="265">
        <v>4.2720369833212475</v>
      </c>
      <c r="E190" s="265"/>
      <c r="F190" s="265"/>
      <c r="G190" s="265"/>
      <c r="H190" s="265"/>
      <c r="I190" s="265"/>
      <c r="J190" s="265"/>
      <c r="K190" s="265"/>
      <c r="L190" s="265"/>
      <c r="M190" s="265"/>
      <c r="N190" s="265"/>
      <c r="O190" s="265"/>
      <c r="P190" s="265"/>
      <c r="Q190" s="265"/>
      <c r="R190" s="265"/>
      <c r="T190" s="819"/>
      <c r="U190" s="16"/>
    </row>
    <row r="191" spans="1:21" x14ac:dyDescent="0.3">
      <c r="A191" s="292"/>
      <c r="B191" s="169" t="s">
        <v>204</v>
      </c>
      <c r="C191" s="271" t="s">
        <v>375</v>
      </c>
      <c r="D191" s="265">
        <v>36</v>
      </c>
      <c r="E191" s="265"/>
      <c r="F191" s="265"/>
      <c r="G191" s="265"/>
      <c r="H191" s="265"/>
      <c r="I191" s="265"/>
      <c r="J191" s="265"/>
      <c r="K191" s="265"/>
      <c r="L191" s="265"/>
      <c r="M191" s="265"/>
      <c r="N191" s="265"/>
      <c r="O191" s="265"/>
      <c r="P191" s="265"/>
      <c r="Q191" s="265"/>
      <c r="R191" s="265"/>
      <c r="T191" s="819"/>
      <c r="U191" s="16"/>
    </row>
    <row r="192" spans="1:21" x14ac:dyDescent="0.3">
      <c r="A192" s="292"/>
      <c r="B192" s="169" t="s">
        <v>205</v>
      </c>
      <c r="C192" s="271" t="s">
        <v>376</v>
      </c>
      <c r="D192" s="265">
        <v>36</v>
      </c>
      <c r="E192" s="265"/>
      <c r="F192" s="265"/>
      <c r="G192" s="265"/>
      <c r="H192" s="265"/>
      <c r="I192" s="265"/>
      <c r="J192" s="265"/>
      <c r="K192" s="265"/>
      <c r="L192" s="265"/>
      <c r="M192" s="265"/>
      <c r="N192" s="265"/>
      <c r="O192" s="265"/>
      <c r="P192" s="265"/>
      <c r="Q192" s="265"/>
      <c r="R192" s="265"/>
      <c r="T192" s="819"/>
      <c r="U192" s="16"/>
    </row>
    <row r="193" spans="1:21" x14ac:dyDescent="0.3">
      <c r="A193" s="293"/>
      <c r="B193" s="169" t="s">
        <v>115</v>
      </c>
      <c r="C193" s="271" t="s">
        <v>377</v>
      </c>
      <c r="D193" s="265"/>
      <c r="E193" s="265"/>
      <c r="F193" s="265"/>
      <c r="G193" s="265"/>
      <c r="H193" s="265"/>
      <c r="I193" s="265"/>
      <c r="J193" s="265"/>
      <c r="K193" s="265"/>
      <c r="L193" s="265"/>
      <c r="M193" s="265"/>
      <c r="N193" s="265"/>
      <c r="O193" s="265"/>
      <c r="P193" s="265"/>
      <c r="Q193" s="265"/>
      <c r="R193" s="265"/>
      <c r="T193" s="819"/>
      <c r="U193" s="16"/>
    </row>
    <row r="194" spans="1:21" x14ac:dyDescent="0.3">
      <c r="A194" s="293"/>
      <c r="B194" s="169" t="s">
        <v>206</v>
      </c>
      <c r="C194" s="271" t="s">
        <v>378</v>
      </c>
      <c r="D194" s="265">
        <v>36</v>
      </c>
      <c r="E194" s="265"/>
      <c r="F194" s="265"/>
      <c r="G194" s="265"/>
      <c r="H194" s="265"/>
      <c r="I194" s="265"/>
      <c r="J194" s="265"/>
      <c r="K194" s="265"/>
      <c r="L194" s="265"/>
      <c r="M194" s="265"/>
      <c r="N194" s="265"/>
      <c r="O194" s="265"/>
      <c r="P194" s="265"/>
      <c r="Q194" s="265"/>
      <c r="R194" s="265"/>
      <c r="T194" s="819"/>
      <c r="U194" s="16"/>
    </row>
    <row r="195" spans="1:21" x14ac:dyDescent="0.3">
      <c r="B195" s="169" t="s">
        <v>207</v>
      </c>
      <c r="C195" s="271" t="s">
        <v>379</v>
      </c>
      <c r="D195" s="265">
        <v>36</v>
      </c>
      <c r="E195" s="265"/>
      <c r="F195" s="265"/>
      <c r="G195" s="265"/>
      <c r="H195" s="265"/>
      <c r="I195" s="265"/>
      <c r="J195" s="265"/>
      <c r="K195" s="265"/>
      <c r="L195" s="265"/>
      <c r="M195" s="265"/>
      <c r="N195" s="265"/>
      <c r="O195" s="265"/>
      <c r="P195" s="265"/>
      <c r="Q195" s="265"/>
      <c r="R195" s="265"/>
      <c r="T195" s="819"/>
      <c r="U195" s="16"/>
    </row>
    <row r="196" spans="1:21" x14ac:dyDescent="0.3">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3">
      <c r="B197" s="149"/>
      <c r="C197" s="149"/>
      <c r="D197" s="268"/>
      <c r="E197" s="268"/>
      <c r="F197" s="268"/>
      <c r="G197" s="268"/>
      <c r="H197" s="268"/>
      <c r="I197" s="268"/>
      <c r="J197" s="268"/>
      <c r="K197" s="268"/>
      <c r="L197" s="268"/>
      <c r="M197" s="268"/>
      <c r="N197" s="268"/>
      <c r="O197" s="268"/>
      <c r="P197" s="268"/>
      <c r="Q197" s="268"/>
      <c r="R197" s="268"/>
      <c r="T197" s="269"/>
      <c r="U197" s="269"/>
    </row>
    <row r="198" spans="1:21" hidden="1" x14ac:dyDescent="0.3">
      <c r="B198" s="441" t="s">
        <v>550</v>
      </c>
      <c r="C198" s="339"/>
    </row>
    <row r="199" spans="1:21" hidden="1" x14ac:dyDescent="0.3">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hidden="1" x14ac:dyDescent="0.3">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19"/>
      <c r="U200" s="16"/>
    </row>
    <row r="201" spans="1:21" hidden="1" x14ac:dyDescent="0.3">
      <c r="B201" s="169" t="s">
        <v>108</v>
      </c>
      <c r="C201" s="271" t="s">
        <v>152</v>
      </c>
      <c r="D201" s="605">
        <f t="shared" ref="D201:D210" si="25">$T201</f>
        <v>0</v>
      </c>
      <c r="E201" s="605">
        <f t="shared" si="24"/>
        <v>0</v>
      </c>
      <c r="F201" s="605">
        <f t="shared" si="24"/>
        <v>0</v>
      </c>
      <c r="G201" s="605">
        <f t="shared" si="24"/>
        <v>0</v>
      </c>
      <c r="H201" s="605">
        <f t="shared" si="24"/>
        <v>0</v>
      </c>
      <c r="I201" s="605">
        <f t="shared" si="24"/>
        <v>0</v>
      </c>
      <c r="J201" s="605">
        <f t="shared" si="24"/>
        <v>0</v>
      </c>
      <c r="K201" s="605">
        <f t="shared" si="24"/>
        <v>0</v>
      </c>
      <c r="L201" s="605">
        <f t="shared" si="24"/>
        <v>0</v>
      </c>
      <c r="M201" s="605">
        <f t="shared" si="24"/>
        <v>0</v>
      </c>
      <c r="N201" s="605">
        <f t="shared" si="24"/>
        <v>0</v>
      </c>
      <c r="O201" s="605">
        <f t="shared" si="24"/>
        <v>0</v>
      </c>
      <c r="P201" s="605">
        <f t="shared" si="24"/>
        <v>0</v>
      </c>
      <c r="Q201" s="605">
        <f t="shared" si="24"/>
        <v>0</v>
      </c>
      <c r="R201" s="605">
        <f t="shared" si="24"/>
        <v>0</v>
      </c>
      <c r="T201" s="819"/>
      <c r="U201" s="16"/>
    </row>
    <row r="202" spans="1:21" hidden="1" x14ac:dyDescent="0.3">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19"/>
      <c r="U202" s="16"/>
    </row>
    <row r="203" spans="1:21" hidden="1" x14ac:dyDescent="0.3">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19"/>
      <c r="U203" s="16"/>
    </row>
    <row r="204" spans="1:21" hidden="1" x14ac:dyDescent="0.3">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19"/>
      <c r="U204" s="16"/>
    </row>
    <row r="205" spans="1:21" hidden="1" x14ac:dyDescent="0.3">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19"/>
      <c r="U205" s="16"/>
    </row>
    <row r="206" spans="1:21" hidden="1" x14ac:dyDescent="0.3">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19"/>
      <c r="U206" s="16"/>
    </row>
    <row r="207" spans="1:21" hidden="1" x14ac:dyDescent="0.3">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19"/>
      <c r="U207" s="16"/>
    </row>
    <row r="208" spans="1:21" hidden="1" x14ac:dyDescent="0.3">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19"/>
    </row>
    <row r="209" spans="2:21" hidden="1" x14ac:dyDescent="0.3">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19"/>
      <c r="U209" s="16"/>
    </row>
    <row r="210" spans="2:21" hidden="1" x14ac:dyDescent="0.3">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19"/>
      <c r="U210" s="16"/>
    </row>
    <row r="211" spans="2:21" hidden="1" x14ac:dyDescent="0.3"/>
    <row r="212" spans="2:21" hidden="1" x14ac:dyDescent="0.3">
      <c r="B212" s="149"/>
      <c r="C212" s="149"/>
    </row>
    <row r="213" spans="2:21" hidden="1" x14ac:dyDescent="0.3">
      <c r="B213" s="441" t="s">
        <v>551</v>
      </c>
      <c r="C213" s="339"/>
    </row>
    <row r="214" spans="2:21" hidden="1" x14ac:dyDescent="0.3">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hidden="1" x14ac:dyDescent="0.3">
      <c r="B215" s="271" t="s">
        <v>107</v>
      </c>
      <c r="C215" s="271"/>
      <c r="D215" s="510"/>
      <c r="E215" s="510"/>
      <c r="F215" s="510"/>
      <c r="G215" s="510"/>
      <c r="H215" s="510"/>
      <c r="I215" s="510"/>
      <c r="J215" s="510"/>
      <c r="K215" s="510"/>
      <c r="L215" s="510"/>
      <c r="M215" s="510"/>
      <c r="N215" s="510"/>
      <c r="O215" s="510"/>
      <c r="P215" s="510"/>
      <c r="Q215" s="510"/>
      <c r="R215" s="510"/>
      <c r="T215" s="509"/>
      <c r="U215" s="16"/>
    </row>
    <row r="216" spans="2:21" hidden="1" x14ac:dyDescent="0.3">
      <c r="B216" s="169" t="s">
        <v>108</v>
      </c>
      <c r="C216" s="169"/>
      <c r="D216" s="510"/>
      <c r="E216" s="510"/>
      <c r="F216" s="510"/>
      <c r="G216" s="510"/>
      <c r="H216" s="510"/>
      <c r="I216" s="510"/>
      <c r="J216" s="510"/>
      <c r="K216" s="510"/>
      <c r="L216" s="510"/>
      <c r="M216" s="510"/>
      <c r="N216" s="510"/>
      <c r="O216" s="510"/>
      <c r="P216" s="510"/>
      <c r="Q216" s="510"/>
      <c r="R216" s="510"/>
      <c r="T216" s="509"/>
      <c r="U216" s="16"/>
    </row>
    <row r="217" spans="2:21" hidden="1" x14ac:dyDescent="0.3">
      <c r="B217" s="169" t="s">
        <v>203</v>
      </c>
      <c r="C217" s="169" t="s">
        <v>552</v>
      </c>
      <c r="D217" s="605">
        <f>$T217</f>
        <v>0</v>
      </c>
      <c r="E217" s="605">
        <f t="shared" ref="E217:R217" si="27">$T217</f>
        <v>0</v>
      </c>
      <c r="F217" s="605">
        <f t="shared" si="27"/>
        <v>0</v>
      </c>
      <c r="G217" s="605">
        <f t="shared" si="27"/>
        <v>0</v>
      </c>
      <c r="H217" s="605">
        <f t="shared" si="27"/>
        <v>0</v>
      </c>
      <c r="I217" s="605">
        <f t="shared" si="27"/>
        <v>0</v>
      </c>
      <c r="J217" s="605">
        <f t="shared" si="27"/>
        <v>0</v>
      </c>
      <c r="K217" s="605">
        <f t="shared" si="27"/>
        <v>0</v>
      </c>
      <c r="L217" s="605">
        <f t="shared" si="27"/>
        <v>0</v>
      </c>
      <c r="M217" s="605">
        <f t="shared" si="27"/>
        <v>0</v>
      </c>
      <c r="N217" s="605">
        <f t="shared" si="27"/>
        <v>0</v>
      </c>
      <c r="O217" s="605">
        <f t="shared" si="27"/>
        <v>0</v>
      </c>
      <c r="P217" s="605">
        <f t="shared" si="27"/>
        <v>0</v>
      </c>
      <c r="Q217" s="605">
        <f t="shared" si="27"/>
        <v>0</v>
      </c>
      <c r="R217" s="605">
        <f t="shared" si="27"/>
        <v>0</v>
      </c>
      <c r="T217" s="291">
        <f>STAT_TRA_Mileage!Q11/1000</f>
        <v>0</v>
      </c>
      <c r="U217" s="16"/>
    </row>
    <row r="218" spans="2:21" hidden="1" x14ac:dyDescent="0.3">
      <c r="B218" s="169" t="s">
        <v>110</v>
      </c>
      <c r="C218" s="169"/>
      <c r="D218" s="510"/>
      <c r="E218" s="510"/>
      <c r="F218" s="510"/>
      <c r="G218" s="510"/>
      <c r="H218" s="510"/>
      <c r="I218" s="510"/>
      <c r="J218" s="510"/>
      <c r="K218" s="510"/>
      <c r="L218" s="510"/>
      <c r="M218" s="510"/>
      <c r="N218" s="510"/>
      <c r="O218" s="510"/>
      <c r="P218" s="510"/>
      <c r="Q218" s="510"/>
      <c r="R218" s="510"/>
      <c r="T218" s="509"/>
      <c r="U218" s="16"/>
    </row>
    <row r="219" spans="2:21" hidden="1" x14ac:dyDescent="0.3">
      <c r="B219" s="169" t="s">
        <v>111</v>
      </c>
      <c r="C219" s="169"/>
      <c r="D219" s="510"/>
      <c r="E219" s="510"/>
      <c r="F219" s="510"/>
      <c r="G219" s="510"/>
      <c r="H219" s="510"/>
      <c r="I219" s="510"/>
      <c r="J219" s="510"/>
      <c r="K219" s="510"/>
      <c r="L219" s="510"/>
      <c r="M219" s="510"/>
      <c r="N219" s="510"/>
      <c r="O219" s="510"/>
      <c r="P219" s="510"/>
      <c r="Q219" s="510"/>
      <c r="R219" s="510"/>
      <c r="T219" s="509"/>
      <c r="U219" s="16"/>
    </row>
    <row r="220" spans="2:21" hidden="1" x14ac:dyDescent="0.3">
      <c r="B220" s="169" t="s">
        <v>112</v>
      </c>
      <c r="C220" s="169"/>
      <c r="D220" s="510"/>
      <c r="E220" s="510"/>
      <c r="F220" s="510"/>
      <c r="G220" s="510"/>
      <c r="H220" s="510"/>
      <c r="I220" s="510"/>
      <c r="J220" s="510"/>
      <c r="K220" s="510"/>
      <c r="L220" s="510"/>
      <c r="M220" s="510"/>
      <c r="N220" s="510"/>
      <c r="O220" s="510"/>
      <c r="P220" s="510"/>
      <c r="Q220" s="510"/>
      <c r="R220" s="510"/>
      <c r="T220" s="509"/>
      <c r="U220" s="16"/>
    </row>
    <row r="221" spans="2:21" hidden="1" x14ac:dyDescent="0.3">
      <c r="B221" s="169" t="s">
        <v>204</v>
      </c>
      <c r="C221" s="169"/>
      <c r="D221" s="510"/>
      <c r="E221" s="510"/>
      <c r="F221" s="510"/>
      <c r="G221" s="510"/>
      <c r="H221" s="510"/>
      <c r="I221" s="510"/>
      <c r="J221" s="510"/>
      <c r="K221" s="510"/>
      <c r="L221" s="510"/>
      <c r="M221" s="510"/>
      <c r="N221" s="510"/>
      <c r="O221" s="510"/>
      <c r="P221" s="510"/>
      <c r="Q221" s="510"/>
      <c r="R221" s="510"/>
      <c r="T221" s="509"/>
      <c r="U221" s="16"/>
    </row>
    <row r="222" spans="2:21" hidden="1" x14ac:dyDescent="0.3">
      <c r="B222" s="169" t="s">
        <v>205</v>
      </c>
      <c r="C222" s="169"/>
      <c r="D222" s="510"/>
      <c r="E222" s="510"/>
      <c r="F222" s="510"/>
      <c r="G222" s="510"/>
      <c r="H222" s="510"/>
      <c r="I222" s="510"/>
      <c r="J222" s="510"/>
      <c r="K222" s="510"/>
      <c r="L222" s="510"/>
      <c r="M222" s="510"/>
      <c r="N222" s="510"/>
      <c r="O222" s="510"/>
      <c r="P222" s="510"/>
      <c r="Q222" s="510"/>
      <c r="R222" s="510"/>
      <c r="T222" s="509"/>
      <c r="U222" s="16"/>
    </row>
    <row r="223" spans="2:21" hidden="1" x14ac:dyDescent="0.3">
      <c r="B223" s="169" t="s">
        <v>115</v>
      </c>
      <c r="C223" s="169"/>
      <c r="D223" s="510"/>
      <c r="E223" s="510"/>
      <c r="F223" s="510"/>
      <c r="G223" s="510"/>
      <c r="H223" s="510"/>
      <c r="I223" s="510"/>
      <c r="J223" s="510"/>
      <c r="K223" s="510"/>
      <c r="L223" s="510"/>
      <c r="M223" s="510"/>
      <c r="N223" s="510"/>
      <c r="O223" s="510"/>
      <c r="P223" s="510"/>
      <c r="Q223" s="510"/>
      <c r="R223" s="510"/>
      <c r="T223" s="509"/>
      <c r="U223" s="16"/>
    </row>
    <row r="224" spans="2:21" hidden="1" x14ac:dyDescent="0.3">
      <c r="B224" s="169" t="s">
        <v>206</v>
      </c>
      <c r="C224" s="169"/>
      <c r="D224" s="510"/>
      <c r="E224" s="510"/>
      <c r="F224" s="510"/>
      <c r="G224" s="510"/>
      <c r="H224" s="510"/>
      <c r="I224" s="510"/>
      <c r="J224" s="510"/>
      <c r="K224" s="510"/>
      <c r="L224" s="510"/>
      <c r="M224" s="510"/>
      <c r="N224" s="510"/>
      <c r="O224" s="510"/>
      <c r="P224" s="510"/>
      <c r="Q224" s="510"/>
      <c r="R224" s="510"/>
      <c r="T224" s="509"/>
      <c r="U224" s="16"/>
    </row>
    <row r="225" spans="2:21" hidden="1" x14ac:dyDescent="0.3">
      <c r="B225" s="169" t="s">
        <v>207</v>
      </c>
      <c r="C225" s="169"/>
      <c r="D225" s="510"/>
      <c r="E225" s="510"/>
      <c r="F225" s="510"/>
      <c r="G225" s="510"/>
      <c r="H225" s="510"/>
      <c r="I225" s="510"/>
      <c r="J225" s="510"/>
      <c r="K225" s="510"/>
      <c r="L225" s="510"/>
      <c r="M225" s="510"/>
      <c r="N225" s="510"/>
      <c r="O225" s="510"/>
      <c r="P225" s="510"/>
      <c r="Q225" s="510"/>
      <c r="R225" s="510"/>
      <c r="T225" s="509"/>
      <c r="U225" s="16"/>
    </row>
    <row r="226" spans="2:21" hidden="1" x14ac:dyDescent="0.3">
      <c r="B226" s="169" t="s">
        <v>208</v>
      </c>
      <c r="C226" s="169"/>
      <c r="D226" s="510"/>
      <c r="E226" s="510"/>
      <c r="F226" s="510"/>
      <c r="G226" s="510"/>
      <c r="H226" s="510"/>
      <c r="I226" s="510"/>
      <c r="J226" s="510"/>
      <c r="K226" s="510"/>
      <c r="L226" s="510"/>
      <c r="M226" s="510"/>
      <c r="N226" s="510"/>
      <c r="O226" s="510"/>
      <c r="P226" s="510"/>
      <c r="Q226" s="510"/>
      <c r="R226" s="510"/>
      <c r="T226" s="509"/>
      <c r="U226" s="16"/>
    </row>
    <row r="227" spans="2:21" hidden="1" x14ac:dyDescent="0.3"/>
    <row r="228" spans="2:21" hidden="1" x14ac:dyDescent="0.3">
      <c r="B228" s="149"/>
      <c r="C228" s="149"/>
    </row>
    <row r="229" spans="2:21" hidden="1" x14ac:dyDescent="0.3">
      <c r="B229" s="441" t="s">
        <v>553</v>
      </c>
      <c r="C229" s="339"/>
    </row>
    <row r="230" spans="2:21" hidden="1" x14ac:dyDescent="0.3">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hidden="1" x14ac:dyDescent="0.3">
      <c r="B231" s="271" t="s">
        <v>107</v>
      </c>
      <c r="C231" s="271"/>
      <c r="D231" s="510"/>
      <c r="E231" s="510"/>
      <c r="F231" s="510"/>
      <c r="G231" s="510"/>
      <c r="H231" s="510"/>
      <c r="I231" s="510"/>
      <c r="J231" s="510"/>
      <c r="K231" s="510"/>
      <c r="L231" s="510"/>
      <c r="M231" s="510"/>
      <c r="N231" s="510"/>
      <c r="O231" s="510"/>
      <c r="P231" s="510"/>
      <c r="Q231" s="510"/>
      <c r="R231" s="510"/>
      <c r="T231" s="509"/>
      <c r="U231" s="16"/>
    </row>
    <row r="232" spans="2:21" hidden="1" x14ac:dyDescent="0.3">
      <c r="B232" s="169" t="s">
        <v>108</v>
      </c>
      <c r="C232" s="169"/>
      <c r="D232" s="510"/>
      <c r="E232" s="510"/>
      <c r="F232" s="510"/>
      <c r="G232" s="510"/>
      <c r="H232" s="510"/>
      <c r="I232" s="510"/>
      <c r="J232" s="510"/>
      <c r="K232" s="510"/>
      <c r="L232" s="510"/>
      <c r="M232" s="510"/>
      <c r="N232" s="510"/>
      <c r="O232" s="510"/>
      <c r="P232" s="510"/>
      <c r="Q232" s="510"/>
      <c r="R232" s="510"/>
      <c r="T232" s="509"/>
      <c r="U232" s="16"/>
    </row>
    <row r="233" spans="2:21" hidden="1" x14ac:dyDescent="0.3">
      <c r="B233" s="169" t="s">
        <v>203</v>
      </c>
      <c r="C233" s="169" t="s">
        <v>554</v>
      </c>
      <c r="D233" s="605">
        <f t="shared" ref="D233:R233" si="29">$T233</f>
        <v>0</v>
      </c>
      <c r="E233" s="605">
        <f t="shared" si="29"/>
        <v>0</v>
      </c>
      <c r="F233" s="605">
        <f t="shared" si="29"/>
        <v>0</v>
      </c>
      <c r="G233" s="605">
        <f t="shared" si="29"/>
        <v>0</v>
      </c>
      <c r="H233" s="605">
        <f t="shared" si="29"/>
        <v>0</v>
      </c>
      <c r="I233" s="605">
        <f t="shared" si="29"/>
        <v>0</v>
      </c>
      <c r="J233" s="605">
        <f t="shared" si="29"/>
        <v>0</v>
      </c>
      <c r="K233" s="605">
        <f t="shared" si="29"/>
        <v>0</v>
      </c>
      <c r="L233" s="605">
        <f t="shared" si="29"/>
        <v>0</v>
      </c>
      <c r="M233" s="605">
        <f t="shared" si="29"/>
        <v>0</v>
      </c>
      <c r="N233" s="605">
        <f t="shared" si="29"/>
        <v>0</v>
      </c>
      <c r="O233" s="605">
        <f t="shared" si="29"/>
        <v>0</v>
      </c>
      <c r="P233" s="605">
        <f t="shared" si="29"/>
        <v>0</v>
      </c>
      <c r="Q233" s="605">
        <f t="shared" si="29"/>
        <v>0</v>
      </c>
      <c r="R233" s="605">
        <f t="shared" si="29"/>
        <v>0</v>
      </c>
      <c r="T233" s="291">
        <f>STAT_TRA_Mileage!R11/1000</f>
        <v>0</v>
      </c>
      <c r="U233" s="16"/>
    </row>
    <row r="234" spans="2:21" hidden="1" x14ac:dyDescent="0.3">
      <c r="B234" s="169" t="s">
        <v>110</v>
      </c>
      <c r="C234" s="169"/>
      <c r="D234" s="510"/>
      <c r="E234" s="510"/>
      <c r="F234" s="510"/>
      <c r="G234" s="510"/>
      <c r="H234" s="510"/>
      <c r="I234" s="510"/>
      <c r="J234" s="510"/>
      <c r="K234" s="510"/>
      <c r="L234" s="510"/>
      <c r="M234" s="510"/>
      <c r="N234" s="510"/>
      <c r="O234" s="510"/>
      <c r="P234" s="510"/>
      <c r="Q234" s="510"/>
      <c r="R234" s="510"/>
      <c r="T234" s="509"/>
      <c r="U234" s="16"/>
    </row>
    <row r="235" spans="2:21" hidden="1" x14ac:dyDescent="0.3">
      <c r="B235" s="169" t="s">
        <v>111</v>
      </c>
      <c r="C235" s="169"/>
      <c r="D235" s="510"/>
      <c r="E235" s="510"/>
      <c r="F235" s="510"/>
      <c r="G235" s="510"/>
      <c r="H235" s="510"/>
      <c r="I235" s="510"/>
      <c r="J235" s="510"/>
      <c r="K235" s="510"/>
      <c r="L235" s="510"/>
      <c r="M235" s="510"/>
      <c r="N235" s="510"/>
      <c r="O235" s="510"/>
      <c r="P235" s="510"/>
      <c r="Q235" s="510"/>
      <c r="R235" s="510"/>
      <c r="T235" s="509"/>
      <c r="U235" s="16"/>
    </row>
    <row r="236" spans="2:21" hidden="1" x14ac:dyDescent="0.3">
      <c r="B236" s="169" t="s">
        <v>112</v>
      </c>
      <c r="C236" s="169"/>
      <c r="D236" s="510"/>
      <c r="E236" s="510"/>
      <c r="F236" s="510"/>
      <c r="G236" s="510"/>
      <c r="H236" s="510"/>
      <c r="I236" s="510"/>
      <c r="J236" s="510"/>
      <c r="K236" s="510"/>
      <c r="L236" s="510"/>
      <c r="M236" s="510"/>
      <c r="N236" s="510"/>
      <c r="O236" s="510"/>
      <c r="P236" s="510"/>
      <c r="Q236" s="510"/>
      <c r="R236" s="510"/>
      <c r="T236" s="509"/>
      <c r="U236" s="16"/>
    </row>
    <row r="237" spans="2:21" hidden="1" x14ac:dyDescent="0.3">
      <c r="B237" s="169" t="s">
        <v>204</v>
      </c>
      <c r="C237" s="169"/>
      <c r="D237" s="510"/>
      <c r="E237" s="510"/>
      <c r="F237" s="510"/>
      <c r="G237" s="510"/>
      <c r="H237" s="510"/>
      <c r="I237" s="510"/>
      <c r="J237" s="510"/>
      <c r="K237" s="510"/>
      <c r="L237" s="510"/>
      <c r="M237" s="510"/>
      <c r="N237" s="510"/>
      <c r="O237" s="510"/>
      <c r="P237" s="510"/>
      <c r="Q237" s="510"/>
      <c r="R237" s="510"/>
      <c r="T237" s="509"/>
      <c r="U237" s="16"/>
    </row>
    <row r="238" spans="2:21" hidden="1" x14ac:dyDescent="0.3">
      <c r="B238" s="169" t="s">
        <v>205</v>
      </c>
      <c r="C238" s="169"/>
      <c r="D238" s="510"/>
      <c r="E238" s="510"/>
      <c r="F238" s="510"/>
      <c r="G238" s="510"/>
      <c r="H238" s="510"/>
      <c r="I238" s="510"/>
      <c r="J238" s="510"/>
      <c r="K238" s="510"/>
      <c r="L238" s="510"/>
      <c r="M238" s="510"/>
      <c r="N238" s="510"/>
      <c r="O238" s="510"/>
      <c r="P238" s="510"/>
      <c r="Q238" s="510"/>
      <c r="R238" s="510"/>
      <c r="T238" s="509"/>
      <c r="U238" s="16"/>
    </row>
    <row r="239" spans="2:21" hidden="1" x14ac:dyDescent="0.3">
      <c r="B239" s="169" t="s">
        <v>115</v>
      </c>
      <c r="C239" s="169"/>
      <c r="D239" s="510"/>
      <c r="E239" s="510"/>
      <c r="F239" s="510"/>
      <c r="G239" s="510"/>
      <c r="H239" s="510"/>
      <c r="I239" s="510"/>
      <c r="J239" s="510"/>
      <c r="K239" s="510"/>
      <c r="L239" s="510"/>
      <c r="M239" s="510"/>
      <c r="N239" s="510"/>
      <c r="O239" s="510"/>
      <c r="P239" s="510"/>
      <c r="Q239" s="510"/>
      <c r="R239" s="510"/>
      <c r="T239" s="509"/>
      <c r="U239" s="16"/>
    </row>
    <row r="240" spans="2:21" hidden="1" x14ac:dyDescent="0.3">
      <c r="B240" s="169" t="s">
        <v>206</v>
      </c>
      <c r="C240" s="169"/>
      <c r="D240" s="510"/>
      <c r="E240" s="510"/>
      <c r="F240" s="510"/>
      <c r="G240" s="510"/>
      <c r="H240" s="510"/>
      <c r="I240" s="510"/>
      <c r="J240" s="510"/>
      <c r="K240" s="510"/>
      <c r="L240" s="510"/>
      <c r="M240" s="510"/>
      <c r="N240" s="510"/>
      <c r="O240" s="510"/>
      <c r="P240" s="510"/>
      <c r="Q240" s="510"/>
      <c r="R240" s="510"/>
      <c r="T240" s="509"/>
      <c r="U240" s="16"/>
    </row>
    <row r="241" spans="2:21" hidden="1" x14ac:dyDescent="0.3">
      <c r="B241" s="169" t="s">
        <v>207</v>
      </c>
      <c r="C241" s="169"/>
      <c r="D241" s="510"/>
      <c r="E241" s="510"/>
      <c r="F241" s="510"/>
      <c r="G241" s="510"/>
      <c r="H241" s="510"/>
      <c r="I241" s="510"/>
      <c r="J241" s="510"/>
      <c r="K241" s="510"/>
      <c r="L241" s="510"/>
      <c r="M241" s="510"/>
      <c r="N241" s="510"/>
      <c r="O241" s="510"/>
      <c r="P241" s="510"/>
      <c r="Q241" s="510"/>
      <c r="R241" s="510"/>
      <c r="T241" s="509"/>
      <c r="U241" s="16"/>
    </row>
    <row r="242" spans="2:21" hidden="1" x14ac:dyDescent="0.3">
      <c r="B242" s="169" t="s">
        <v>208</v>
      </c>
      <c r="C242" s="169"/>
      <c r="D242" s="510"/>
      <c r="E242" s="510"/>
      <c r="F242" s="510"/>
      <c r="G242" s="510"/>
      <c r="H242" s="510"/>
      <c r="I242" s="510"/>
      <c r="J242" s="510"/>
      <c r="K242" s="510"/>
      <c r="L242" s="510"/>
      <c r="M242" s="510"/>
      <c r="N242" s="510"/>
      <c r="O242" s="510"/>
      <c r="P242" s="510"/>
      <c r="Q242" s="510"/>
      <c r="R242" s="510"/>
      <c r="T242" s="509"/>
      <c r="U242" s="16"/>
    </row>
    <row r="243" spans="2:21" hidden="1" x14ac:dyDescent="0.3"/>
    <row r="244" spans="2:21" hidden="1" x14ac:dyDescent="0.3">
      <c r="B244" s="149"/>
      <c r="C244" s="149"/>
    </row>
    <row r="245" spans="2:21" hidden="1" x14ac:dyDescent="0.3">
      <c r="B245" s="441" t="s">
        <v>555</v>
      </c>
      <c r="C245" s="339"/>
    </row>
    <row r="246" spans="2:21" hidden="1" x14ac:dyDescent="0.3">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hidden="1" x14ac:dyDescent="0.3">
      <c r="B247" s="271" t="s">
        <v>107</v>
      </c>
      <c r="C247" s="271"/>
      <c r="D247" s="510"/>
      <c r="E247" s="510"/>
      <c r="F247" s="510"/>
      <c r="G247" s="510"/>
      <c r="H247" s="510"/>
      <c r="I247" s="510"/>
      <c r="J247" s="510"/>
      <c r="K247" s="510"/>
      <c r="L247" s="510"/>
      <c r="M247" s="510"/>
      <c r="N247" s="510"/>
      <c r="O247" s="510"/>
      <c r="P247" s="510"/>
      <c r="Q247" s="510"/>
      <c r="R247" s="510"/>
      <c r="T247" s="509"/>
      <c r="U247" s="16"/>
    </row>
    <row r="248" spans="2:21" hidden="1" x14ac:dyDescent="0.3">
      <c r="B248" s="169" t="s">
        <v>108</v>
      </c>
      <c r="C248" s="169"/>
      <c r="D248" s="510"/>
      <c r="E248" s="510"/>
      <c r="F248" s="510"/>
      <c r="G248" s="510"/>
      <c r="H248" s="510"/>
      <c r="I248" s="510"/>
      <c r="J248" s="510"/>
      <c r="K248" s="510"/>
      <c r="L248" s="510"/>
      <c r="M248" s="510"/>
      <c r="N248" s="510"/>
      <c r="O248" s="510"/>
      <c r="P248" s="510"/>
      <c r="Q248" s="510"/>
      <c r="R248" s="510"/>
      <c r="T248" s="509"/>
      <c r="U248" s="16"/>
    </row>
    <row r="249" spans="2:21" hidden="1" x14ac:dyDescent="0.3">
      <c r="B249" s="169" t="s">
        <v>203</v>
      </c>
      <c r="C249" s="169" t="s">
        <v>556</v>
      </c>
      <c r="D249" s="507">
        <f>$T249</f>
        <v>0</v>
      </c>
      <c r="E249" s="507">
        <f t="shared" ref="E249:R249" si="31">$T249</f>
        <v>0</v>
      </c>
      <c r="F249" s="507">
        <f t="shared" si="31"/>
        <v>0</v>
      </c>
      <c r="G249" s="507">
        <f t="shared" si="31"/>
        <v>0</v>
      </c>
      <c r="H249" s="507">
        <f t="shared" si="31"/>
        <v>0</v>
      </c>
      <c r="I249" s="507">
        <f t="shared" si="31"/>
        <v>0</v>
      </c>
      <c r="J249" s="507">
        <f t="shared" si="31"/>
        <v>0</v>
      </c>
      <c r="K249" s="507">
        <f t="shared" si="31"/>
        <v>0</v>
      </c>
      <c r="L249" s="507">
        <f t="shared" si="31"/>
        <v>0</v>
      </c>
      <c r="M249" s="507">
        <f t="shared" si="31"/>
        <v>0</v>
      </c>
      <c r="N249" s="507">
        <f t="shared" si="31"/>
        <v>0</v>
      </c>
      <c r="O249" s="507">
        <f t="shared" si="31"/>
        <v>0</v>
      </c>
      <c r="P249" s="507">
        <f t="shared" si="31"/>
        <v>0</v>
      </c>
      <c r="Q249" s="507">
        <f t="shared" si="31"/>
        <v>0</v>
      </c>
      <c r="R249" s="507">
        <f t="shared" si="31"/>
        <v>0</v>
      </c>
      <c r="T249" s="291">
        <f>STAT_TRA_Mileage!M27/1000</f>
        <v>0</v>
      </c>
      <c r="U249" s="16"/>
    </row>
    <row r="250" spans="2:21" hidden="1" x14ac:dyDescent="0.3">
      <c r="B250" s="169" t="s">
        <v>110</v>
      </c>
      <c r="C250" s="169"/>
      <c r="D250" s="510"/>
      <c r="E250" s="510"/>
      <c r="F250" s="510"/>
      <c r="G250" s="510"/>
      <c r="H250" s="510"/>
      <c r="I250" s="510"/>
      <c r="J250" s="510"/>
      <c r="K250" s="510"/>
      <c r="L250" s="510"/>
      <c r="M250" s="510"/>
      <c r="N250" s="510"/>
      <c r="O250" s="510"/>
      <c r="P250" s="510"/>
      <c r="Q250" s="510"/>
      <c r="R250" s="510"/>
      <c r="T250" s="509"/>
      <c r="U250" s="16"/>
    </row>
    <row r="251" spans="2:21" hidden="1" x14ac:dyDescent="0.3">
      <c r="B251" s="169" t="s">
        <v>111</v>
      </c>
      <c r="C251" s="169"/>
      <c r="D251" s="510"/>
      <c r="E251" s="510"/>
      <c r="F251" s="510"/>
      <c r="G251" s="510"/>
      <c r="H251" s="510"/>
      <c r="I251" s="510"/>
      <c r="J251" s="510"/>
      <c r="K251" s="510"/>
      <c r="L251" s="510"/>
      <c r="M251" s="510"/>
      <c r="N251" s="510"/>
      <c r="O251" s="510"/>
      <c r="P251" s="510"/>
      <c r="Q251" s="510"/>
      <c r="R251" s="510"/>
      <c r="T251" s="509"/>
      <c r="U251" s="16"/>
    </row>
    <row r="252" spans="2:21" hidden="1" x14ac:dyDescent="0.3">
      <c r="B252" s="169" t="s">
        <v>112</v>
      </c>
      <c r="C252" s="169"/>
      <c r="D252" s="510"/>
      <c r="E252" s="510"/>
      <c r="F252" s="510"/>
      <c r="G252" s="510"/>
      <c r="H252" s="510"/>
      <c r="I252" s="510"/>
      <c r="J252" s="510"/>
      <c r="K252" s="510"/>
      <c r="L252" s="510"/>
      <c r="M252" s="510"/>
      <c r="N252" s="510"/>
      <c r="O252" s="510"/>
      <c r="P252" s="510"/>
      <c r="Q252" s="510"/>
      <c r="R252" s="510"/>
      <c r="T252" s="509"/>
      <c r="U252" s="16"/>
    </row>
    <row r="253" spans="2:21" hidden="1" x14ac:dyDescent="0.3">
      <c r="B253" s="169" t="s">
        <v>204</v>
      </c>
      <c r="C253" s="169"/>
      <c r="D253" s="510"/>
      <c r="E253" s="510"/>
      <c r="F253" s="510"/>
      <c r="G253" s="510"/>
      <c r="H253" s="510"/>
      <c r="I253" s="510"/>
      <c r="J253" s="510"/>
      <c r="K253" s="510"/>
      <c r="L253" s="510"/>
      <c r="M253" s="510"/>
      <c r="N253" s="510"/>
      <c r="O253" s="510"/>
      <c r="P253" s="510"/>
      <c r="Q253" s="510"/>
      <c r="R253" s="510"/>
      <c r="T253" s="509"/>
      <c r="U253" s="16"/>
    </row>
    <row r="254" spans="2:21" hidden="1" x14ac:dyDescent="0.3">
      <c r="B254" s="169" t="s">
        <v>205</v>
      </c>
      <c r="C254" s="169"/>
      <c r="D254" s="510"/>
      <c r="E254" s="510"/>
      <c r="F254" s="510"/>
      <c r="G254" s="510"/>
      <c r="H254" s="510"/>
      <c r="I254" s="510"/>
      <c r="J254" s="510"/>
      <c r="K254" s="510"/>
      <c r="L254" s="510"/>
      <c r="M254" s="510"/>
      <c r="N254" s="510"/>
      <c r="O254" s="510"/>
      <c r="P254" s="510"/>
      <c r="Q254" s="510"/>
      <c r="R254" s="510"/>
      <c r="T254" s="509"/>
      <c r="U254" s="16"/>
    </row>
    <row r="255" spans="2:21" hidden="1" x14ac:dyDescent="0.3">
      <c r="B255" s="169" t="s">
        <v>115</v>
      </c>
      <c r="C255" s="169"/>
      <c r="D255" s="510"/>
      <c r="E255" s="510"/>
      <c r="F255" s="510"/>
      <c r="G255" s="510"/>
      <c r="H255" s="510"/>
      <c r="I255" s="510"/>
      <c r="J255" s="510"/>
      <c r="K255" s="510"/>
      <c r="L255" s="510"/>
      <c r="M255" s="510"/>
      <c r="N255" s="510"/>
      <c r="O255" s="510"/>
      <c r="P255" s="510"/>
      <c r="Q255" s="510"/>
      <c r="R255" s="510"/>
      <c r="T255" s="509"/>
      <c r="U255" s="16"/>
    </row>
    <row r="256" spans="2:21" hidden="1" x14ac:dyDescent="0.3">
      <c r="B256" s="169" t="s">
        <v>206</v>
      </c>
      <c r="C256" s="169"/>
      <c r="D256" s="510"/>
      <c r="E256" s="510"/>
      <c r="F256" s="510"/>
      <c r="G256" s="510"/>
      <c r="H256" s="510"/>
      <c r="I256" s="510"/>
      <c r="J256" s="510"/>
      <c r="K256" s="510"/>
      <c r="L256" s="510"/>
      <c r="M256" s="510"/>
      <c r="N256" s="510"/>
      <c r="O256" s="510"/>
      <c r="P256" s="510"/>
      <c r="Q256" s="510"/>
      <c r="R256" s="510"/>
      <c r="T256" s="509"/>
      <c r="U256" s="16"/>
    </row>
    <row r="257" spans="2:21" hidden="1" x14ac:dyDescent="0.3">
      <c r="B257" s="169" t="s">
        <v>207</v>
      </c>
      <c r="C257" s="169"/>
      <c r="D257" s="510"/>
      <c r="E257" s="510"/>
      <c r="F257" s="510"/>
      <c r="G257" s="510"/>
      <c r="H257" s="510"/>
      <c r="I257" s="510"/>
      <c r="J257" s="510"/>
      <c r="K257" s="510"/>
      <c r="L257" s="510"/>
      <c r="M257" s="510"/>
      <c r="N257" s="510"/>
      <c r="O257" s="510"/>
      <c r="P257" s="510"/>
      <c r="Q257" s="510"/>
      <c r="R257" s="510"/>
      <c r="T257" s="509"/>
      <c r="U257" s="16"/>
    </row>
    <row r="258" spans="2:21" hidden="1" x14ac:dyDescent="0.3">
      <c r="B258" s="169" t="s">
        <v>208</v>
      </c>
      <c r="C258" s="169"/>
      <c r="D258" s="510"/>
      <c r="E258" s="510"/>
      <c r="F258" s="510"/>
      <c r="G258" s="510"/>
      <c r="H258" s="510"/>
      <c r="I258" s="510"/>
      <c r="J258" s="510"/>
      <c r="K258" s="510"/>
      <c r="L258" s="510"/>
      <c r="M258" s="510"/>
      <c r="N258" s="510"/>
      <c r="O258" s="510"/>
      <c r="P258" s="510"/>
      <c r="Q258" s="510"/>
      <c r="R258" s="510"/>
      <c r="T258" s="509"/>
      <c r="U258" s="16"/>
    </row>
    <row r="259" spans="2:21" hidden="1" x14ac:dyDescent="0.3"/>
    <row r="260" spans="2:21" hidden="1" x14ac:dyDescent="0.3">
      <c r="B260" s="149"/>
      <c r="C260" s="149"/>
    </row>
    <row r="261" spans="2:21" hidden="1" x14ac:dyDescent="0.3">
      <c r="B261" s="441" t="s">
        <v>557</v>
      </c>
      <c r="C261" s="339"/>
    </row>
    <row r="262" spans="2:21" hidden="1" x14ac:dyDescent="0.3">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hidden="1" x14ac:dyDescent="0.3">
      <c r="B263" s="271" t="s">
        <v>107</v>
      </c>
      <c r="C263" s="271"/>
      <c r="D263" s="510"/>
      <c r="E263" s="510"/>
      <c r="F263" s="510"/>
      <c r="G263" s="510"/>
      <c r="H263" s="510"/>
      <c r="I263" s="510"/>
      <c r="J263" s="510"/>
      <c r="K263" s="510"/>
      <c r="L263" s="510"/>
      <c r="M263" s="510"/>
      <c r="N263" s="510"/>
      <c r="O263" s="510"/>
      <c r="P263" s="510"/>
      <c r="Q263" s="510"/>
      <c r="R263" s="510"/>
      <c r="T263" s="509"/>
      <c r="U263" s="16"/>
    </row>
    <row r="264" spans="2:21" hidden="1" x14ac:dyDescent="0.3">
      <c r="B264" s="169" t="s">
        <v>108</v>
      </c>
      <c r="C264" s="169"/>
      <c r="D264" s="510"/>
      <c r="E264" s="510"/>
      <c r="F264" s="510"/>
      <c r="G264" s="510"/>
      <c r="H264" s="510"/>
      <c r="I264" s="510"/>
      <c r="J264" s="510"/>
      <c r="K264" s="510"/>
      <c r="L264" s="510"/>
      <c r="M264" s="510"/>
      <c r="N264" s="510"/>
      <c r="O264" s="510"/>
      <c r="P264" s="510"/>
      <c r="Q264" s="510"/>
      <c r="R264" s="510"/>
      <c r="T264" s="509"/>
      <c r="U264" s="16"/>
    </row>
    <row r="265" spans="2:21" hidden="1" x14ac:dyDescent="0.3">
      <c r="B265" s="169" t="s">
        <v>203</v>
      </c>
      <c r="C265" s="169" t="s">
        <v>558</v>
      </c>
      <c r="D265" s="507">
        <f t="shared" ref="D265" si="33">$T265</f>
        <v>0</v>
      </c>
      <c r="E265" s="507">
        <f t="shared" ref="E265:R265" si="34">$T265</f>
        <v>0</v>
      </c>
      <c r="F265" s="507">
        <f t="shared" si="34"/>
        <v>0</v>
      </c>
      <c r="G265" s="507">
        <f t="shared" si="34"/>
        <v>0</v>
      </c>
      <c r="H265" s="507">
        <f t="shared" si="34"/>
        <v>0</v>
      </c>
      <c r="I265" s="507">
        <f t="shared" si="34"/>
        <v>0</v>
      </c>
      <c r="J265" s="507">
        <f t="shared" si="34"/>
        <v>0</v>
      </c>
      <c r="K265" s="507">
        <f t="shared" si="34"/>
        <v>0</v>
      </c>
      <c r="L265" s="507">
        <f t="shared" si="34"/>
        <v>0</v>
      </c>
      <c r="M265" s="507">
        <f t="shared" si="34"/>
        <v>0</v>
      </c>
      <c r="N265" s="507">
        <f t="shared" si="34"/>
        <v>0</v>
      </c>
      <c r="O265" s="507">
        <f t="shared" si="34"/>
        <v>0</v>
      </c>
      <c r="P265" s="507">
        <f t="shared" si="34"/>
        <v>0</v>
      </c>
      <c r="Q265" s="507">
        <f t="shared" si="34"/>
        <v>0</v>
      </c>
      <c r="R265" s="507">
        <f t="shared" si="34"/>
        <v>0</v>
      </c>
      <c r="T265" s="291">
        <f>STAT_TRA_Mileage!N27/1000</f>
        <v>0</v>
      </c>
      <c r="U265" s="16"/>
    </row>
    <row r="266" spans="2:21" hidden="1" x14ac:dyDescent="0.3">
      <c r="B266" s="169" t="s">
        <v>110</v>
      </c>
      <c r="C266" s="169"/>
      <c r="D266" s="510"/>
      <c r="E266" s="510"/>
      <c r="F266" s="510"/>
      <c r="G266" s="510"/>
      <c r="H266" s="510"/>
      <c r="I266" s="510"/>
      <c r="J266" s="510"/>
      <c r="K266" s="510"/>
      <c r="L266" s="510"/>
      <c r="M266" s="510"/>
      <c r="N266" s="510"/>
      <c r="O266" s="510"/>
      <c r="P266" s="510"/>
      <c r="Q266" s="510"/>
      <c r="R266" s="510"/>
      <c r="T266" s="509"/>
      <c r="U266" s="16"/>
    </row>
    <row r="267" spans="2:21" hidden="1" x14ac:dyDescent="0.3">
      <c r="B267" s="169" t="s">
        <v>111</v>
      </c>
      <c r="C267" s="169"/>
      <c r="D267" s="510"/>
      <c r="E267" s="510"/>
      <c r="F267" s="510"/>
      <c r="G267" s="510"/>
      <c r="H267" s="510"/>
      <c r="I267" s="510"/>
      <c r="J267" s="510"/>
      <c r="K267" s="510"/>
      <c r="L267" s="510"/>
      <c r="M267" s="510"/>
      <c r="N267" s="510"/>
      <c r="O267" s="510"/>
      <c r="P267" s="510"/>
      <c r="Q267" s="510"/>
      <c r="R267" s="510"/>
      <c r="T267" s="509"/>
      <c r="U267" s="16"/>
    </row>
    <row r="268" spans="2:21" hidden="1" x14ac:dyDescent="0.3">
      <c r="B268" s="169" t="s">
        <v>112</v>
      </c>
      <c r="C268" s="169"/>
      <c r="D268" s="510"/>
      <c r="E268" s="510"/>
      <c r="F268" s="510"/>
      <c r="G268" s="510"/>
      <c r="H268" s="510"/>
      <c r="I268" s="510"/>
      <c r="J268" s="510"/>
      <c r="K268" s="510"/>
      <c r="L268" s="510"/>
      <c r="M268" s="510"/>
      <c r="N268" s="510"/>
      <c r="O268" s="510"/>
      <c r="P268" s="510"/>
      <c r="Q268" s="510"/>
      <c r="R268" s="510"/>
      <c r="T268" s="509"/>
      <c r="U268" s="16"/>
    </row>
    <row r="269" spans="2:21" hidden="1" x14ac:dyDescent="0.3">
      <c r="B269" s="169" t="s">
        <v>204</v>
      </c>
      <c r="C269" s="169"/>
      <c r="D269" s="510"/>
      <c r="E269" s="510"/>
      <c r="F269" s="510"/>
      <c r="G269" s="510"/>
      <c r="H269" s="510"/>
      <c r="I269" s="510"/>
      <c r="J269" s="510"/>
      <c r="K269" s="510"/>
      <c r="L269" s="510"/>
      <c r="M269" s="510"/>
      <c r="N269" s="510"/>
      <c r="O269" s="510"/>
      <c r="P269" s="510"/>
      <c r="Q269" s="510"/>
      <c r="R269" s="510"/>
      <c r="T269" s="509"/>
      <c r="U269" s="16"/>
    </row>
    <row r="270" spans="2:21" hidden="1" x14ac:dyDescent="0.3">
      <c r="B270" s="169" t="s">
        <v>205</v>
      </c>
      <c r="C270" s="169"/>
      <c r="D270" s="510"/>
      <c r="E270" s="510"/>
      <c r="F270" s="510"/>
      <c r="G270" s="510"/>
      <c r="H270" s="510"/>
      <c r="I270" s="510"/>
      <c r="J270" s="510"/>
      <c r="K270" s="510"/>
      <c r="L270" s="510"/>
      <c r="M270" s="510"/>
      <c r="N270" s="510"/>
      <c r="O270" s="510"/>
      <c r="P270" s="510"/>
      <c r="Q270" s="510"/>
      <c r="R270" s="510"/>
      <c r="T270" s="509"/>
      <c r="U270" s="16"/>
    </row>
    <row r="271" spans="2:21" hidden="1" x14ac:dyDescent="0.3">
      <c r="B271" s="169" t="s">
        <v>115</v>
      </c>
      <c r="C271" s="169"/>
      <c r="D271" s="510"/>
      <c r="E271" s="510"/>
      <c r="F271" s="510"/>
      <c r="G271" s="510"/>
      <c r="H271" s="510"/>
      <c r="I271" s="510"/>
      <c r="J271" s="510"/>
      <c r="K271" s="510"/>
      <c r="L271" s="510"/>
      <c r="M271" s="510"/>
      <c r="N271" s="510"/>
      <c r="O271" s="510"/>
      <c r="P271" s="510"/>
      <c r="Q271" s="510"/>
      <c r="R271" s="510"/>
      <c r="T271" s="509"/>
      <c r="U271" s="16"/>
    </row>
    <row r="272" spans="2:21" hidden="1" x14ac:dyDescent="0.3">
      <c r="B272" s="169" t="s">
        <v>206</v>
      </c>
      <c r="C272" s="169"/>
      <c r="D272" s="510"/>
      <c r="E272" s="510"/>
      <c r="F272" s="510"/>
      <c r="G272" s="510"/>
      <c r="H272" s="510"/>
      <c r="I272" s="510"/>
      <c r="J272" s="510"/>
      <c r="K272" s="510"/>
      <c r="L272" s="510"/>
      <c r="M272" s="510"/>
      <c r="N272" s="510"/>
      <c r="O272" s="510"/>
      <c r="P272" s="510"/>
      <c r="Q272" s="510"/>
      <c r="R272" s="510"/>
      <c r="T272" s="509"/>
      <c r="U272" s="16"/>
    </row>
    <row r="273" spans="2:21" hidden="1" x14ac:dyDescent="0.3">
      <c r="B273" s="169" t="s">
        <v>207</v>
      </c>
      <c r="C273" s="169"/>
      <c r="D273" s="510"/>
      <c r="E273" s="510"/>
      <c r="F273" s="510"/>
      <c r="G273" s="510"/>
      <c r="H273" s="510"/>
      <c r="I273" s="510"/>
      <c r="J273" s="510"/>
      <c r="K273" s="510"/>
      <c r="L273" s="510"/>
      <c r="M273" s="510"/>
      <c r="N273" s="510"/>
      <c r="O273" s="510"/>
      <c r="P273" s="510"/>
      <c r="Q273" s="510"/>
      <c r="R273" s="510"/>
      <c r="T273" s="509"/>
      <c r="U273" s="16"/>
    </row>
    <row r="274" spans="2:21" hidden="1" x14ac:dyDescent="0.3">
      <c r="B274" s="169" t="s">
        <v>208</v>
      </c>
      <c r="C274" s="169"/>
      <c r="D274" s="510"/>
      <c r="E274" s="510"/>
      <c r="F274" s="510"/>
      <c r="G274" s="510"/>
      <c r="H274" s="510"/>
      <c r="I274" s="510"/>
      <c r="J274" s="510"/>
      <c r="K274" s="510"/>
      <c r="L274" s="510"/>
      <c r="M274" s="510"/>
      <c r="N274" s="510"/>
      <c r="O274" s="510"/>
      <c r="P274" s="510"/>
      <c r="Q274" s="510"/>
      <c r="R274" s="510"/>
      <c r="T274" s="509"/>
      <c r="U274" s="16"/>
    </row>
    <row r="275" spans="2:21" hidden="1" x14ac:dyDescent="0.3"/>
    <row r="276" spans="2:21" hidden="1" x14ac:dyDescent="0.3">
      <c r="B276" s="149"/>
      <c r="C276" s="149"/>
    </row>
    <row r="277" spans="2:21" hidden="1" x14ac:dyDescent="0.3">
      <c r="B277" s="441" t="s">
        <v>559</v>
      </c>
      <c r="C277" s="339"/>
    </row>
    <row r="278" spans="2:21" hidden="1" x14ac:dyDescent="0.3">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hidden="1" x14ac:dyDescent="0.3">
      <c r="B279" s="271" t="s">
        <v>107</v>
      </c>
      <c r="C279" s="271"/>
      <c r="D279" s="508"/>
      <c r="E279" s="508"/>
      <c r="F279" s="508"/>
      <c r="G279" s="508"/>
      <c r="H279" s="508"/>
      <c r="I279" s="508"/>
      <c r="J279" s="508"/>
      <c r="K279" s="508"/>
      <c r="L279" s="508"/>
      <c r="M279" s="508"/>
      <c r="N279" s="508"/>
      <c r="O279" s="508"/>
      <c r="P279" s="508"/>
      <c r="Q279" s="508"/>
      <c r="R279" s="508"/>
      <c r="T279" s="509"/>
      <c r="U279" s="16"/>
    </row>
    <row r="280" spans="2:21" hidden="1" x14ac:dyDescent="0.3">
      <c r="B280" s="169" t="s">
        <v>108</v>
      </c>
      <c r="C280" s="169"/>
      <c r="D280" s="508"/>
      <c r="E280" s="508"/>
      <c r="F280" s="508"/>
      <c r="G280" s="508"/>
      <c r="H280" s="508"/>
      <c r="I280" s="508"/>
      <c r="J280" s="508"/>
      <c r="K280" s="508"/>
      <c r="L280" s="508"/>
      <c r="M280" s="508"/>
      <c r="N280" s="508"/>
      <c r="O280" s="508"/>
      <c r="P280" s="508"/>
      <c r="Q280" s="508"/>
      <c r="R280" s="508"/>
      <c r="T280" s="509"/>
      <c r="U280" s="16"/>
    </row>
    <row r="281" spans="2:21" hidden="1" x14ac:dyDescent="0.3">
      <c r="B281" s="169" t="s">
        <v>203</v>
      </c>
      <c r="C281" s="169" t="s">
        <v>380</v>
      </c>
      <c r="D281" s="507">
        <f t="shared" ref="D281:D290" si="36">$T281</f>
        <v>0</v>
      </c>
      <c r="E281" s="507">
        <f t="shared" ref="E281:R290" si="37">$T281</f>
        <v>0</v>
      </c>
      <c r="F281" s="507">
        <f t="shared" si="37"/>
        <v>0</v>
      </c>
      <c r="G281" s="507">
        <f t="shared" si="37"/>
        <v>0</v>
      </c>
      <c r="H281" s="507">
        <f t="shared" si="37"/>
        <v>0</v>
      </c>
      <c r="I281" s="507">
        <f t="shared" si="37"/>
        <v>0</v>
      </c>
      <c r="J281" s="507">
        <f t="shared" si="37"/>
        <v>0</v>
      </c>
      <c r="K281" s="507">
        <f t="shared" si="37"/>
        <v>0</v>
      </c>
      <c r="L281" s="507">
        <f t="shared" si="37"/>
        <v>0</v>
      </c>
      <c r="M281" s="507">
        <f t="shared" si="37"/>
        <v>0</v>
      </c>
      <c r="N281" s="507">
        <f t="shared" si="37"/>
        <v>0</v>
      </c>
      <c r="O281" s="507">
        <f t="shared" si="37"/>
        <v>0</v>
      </c>
      <c r="P281" s="507">
        <f t="shared" si="37"/>
        <v>0</v>
      </c>
      <c r="Q281" s="507">
        <f t="shared" si="37"/>
        <v>0</v>
      </c>
      <c r="R281" s="507">
        <f t="shared" si="37"/>
        <v>0</v>
      </c>
      <c r="T281" s="291">
        <f>STAT_TRA_Mileage!M11/1000</f>
        <v>0</v>
      </c>
      <c r="U281" s="16"/>
    </row>
    <row r="282" spans="2:21" hidden="1" x14ac:dyDescent="0.3">
      <c r="B282" s="169" t="s">
        <v>110</v>
      </c>
      <c r="C282" s="169"/>
      <c r="D282" s="508"/>
      <c r="E282" s="508"/>
      <c r="F282" s="508"/>
      <c r="G282" s="508"/>
      <c r="H282" s="508"/>
      <c r="I282" s="508"/>
      <c r="J282" s="508"/>
      <c r="K282" s="508"/>
      <c r="L282" s="508"/>
      <c r="M282" s="508"/>
      <c r="N282" s="508"/>
      <c r="O282" s="508"/>
      <c r="P282" s="508"/>
      <c r="Q282" s="508"/>
      <c r="R282" s="508"/>
      <c r="T282" s="509"/>
      <c r="U282" s="16"/>
    </row>
    <row r="283" spans="2:21" hidden="1" x14ac:dyDescent="0.3">
      <c r="B283" s="169" t="s">
        <v>111</v>
      </c>
      <c r="C283" s="169"/>
      <c r="D283" s="508"/>
      <c r="E283" s="508"/>
      <c r="F283" s="508"/>
      <c r="G283" s="508"/>
      <c r="H283" s="508"/>
      <c r="I283" s="508"/>
      <c r="J283" s="508"/>
      <c r="K283" s="508"/>
      <c r="L283" s="508"/>
      <c r="M283" s="508"/>
      <c r="N283" s="508"/>
      <c r="O283" s="508"/>
      <c r="P283" s="508"/>
      <c r="Q283" s="508"/>
      <c r="R283" s="508"/>
      <c r="T283" s="509"/>
      <c r="U283" s="16"/>
    </row>
    <row r="284" spans="2:21" hidden="1" x14ac:dyDescent="0.3">
      <c r="B284" s="169" t="s">
        <v>112</v>
      </c>
      <c r="C284" s="169"/>
      <c r="D284" s="508"/>
      <c r="E284" s="508"/>
      <c r="F284" s="508"/>
      <c r="G284" s="508"/>
      <c r="H284" s="508"/>
      <c r="I284" s="508"/>
      <c r="J284" s="508"/>
      <c r="K284" s="508"/>
      <c r="L284" s="508"/>
      <c r="M284" s="508"/>
      <c r="N284" s="508"/>
      <c r="O284" s="508"/>
      <c r="P284" s="508"/>
      <c r="Q284" s="508"/>
      <c r="R284" s="508"/>
      <c r="T284" s="509"/>
      <c r="U284" s="16"/>
    </row>
    <row r="285" spans="2:21" hidden="1" x14ac:dyDescent="0.3">
      <c r="B285" s="169" t="s">
        <v>204</v>
      </c>
      <c r="C285" s="169"/>
      <c r="D285" s="508"/>
      <c r="E285" s="508"/>
      <c r="F285" s="508"/>
      <c r="G285" s="508"/>
      <c r="H285" s="508"/>
      <c r="I285" s="508"/>
      <c r="J285" s="508"/>
      <c r="K285" s="508"/>
      <c r="L285" s="508"/>
      <c r="M285" s="508"/>
      <c r="N285" s="508"/>
      <c r="O285" s="508"/>
      <c r="P285" s="508"/>
      <c r="Q285" s="508"/>
      <c r="R285" s="508"/>
      <c r="T285" s="509"/>
      <c r="U285" s="16"/>
    </row>
    <row r="286" spans="2:21" hidden="1" x14ac:dyDescent="0.3">
      <c r="B286" s="169" t="s">
        <v>205</v>
      </c>
      <c r="C286" s="169"/>
      <c r="D286" s="508"/>
      <c r="E286" s="508"/>
      <c r="F286" s="508"/>
      <c r="G286" s="508"/>
      <c r="H286" s="508"/>
      <c r="I286" s="508"/>
      <c r="J286" s="508"/>
      <c r="K286" s="508"/>
      <c r="L286" s="508"/>
      <c r="M286" s="508"/>
      <c r="N286" s="508"/>
      <c r="O286" s="508"/>
      <c r="P286" s="508"/>
      <c r="Q286" s="508"/>
      <c r="R286" s="508"/>
      <c r="T286" s="509"/>
      <c r="U286" s="16"/>
    </row>
    <row r="287" spans="2:21" hidden="1" x14ac:dyDescent="0.3">
      <c r="B287" s="169" t="s">
        <v>115</v>
      </c>
      <c r="C287" s="169"/>
      <c r="D287" s="508"/>
      <c r="E287" s="508"/>
      <c r="F287" s="508"/>
      <c r="G287" s="508"/>
      <c r="H287" s="508"/>
      <c r="I287" s="508"/>
      <c r="J287" s="508"/>
      <c r="K287" s="508"/>
      <c r="L287" s="508"/>
      <c r="M287" s="508"/>
      <c r="N287" s="508"/>
      <c r="O287" s="508"/>
      <c r="P287" s="508"/>
      <c r="Q287" s="508"/>
      <c r="R287" s="508"/>
      <c r="T287" s="509"/>
      <c r="U287" s="16"/>
    </row>
    <row r="288" spans="2:21" hidden="1" x14ac:dyDescent="0.3">
      <c r="B288" s="169" t="s">
        <v>206</v>
      </c>
      <c r="C288" s="169"/>
      <c r="D288" s="508"/>
      <c r="E288" s="508"/>
      <c r="F288" s="508"/>
      <c r="G288" s="508"/>
      <c r="H288" s="508"/>
      <c r="I288" s="508"/>
      <c r="J288" s="508"/>
      <c r="K288" s="508"/>
      <c r="L288" s="508"/>
      <c r="M288" s="508"/>
      <c r="N288" s="508"/>
      <c r="O288" s="508"/>
      <c r="P288" s="508"/>
      <c r="Q288" s="508"/>
      <c r="R288" s="508"/>
      <c r="T288" s="509"/>
      <c r="U288" s="16"/>
    </row>
    <row r="289" spans="2:21" hidden="1" x14ac:dyDescent="0.3">
      <c r="B289" s="169" t="s">
        <v>207</v>
      </c>
      <c r="C289" s="169"/>
      <c r="D289" s="508"/>
      <c r="E289" s="508"/>
      <c r="F289" s="508"/>
      <c r="G289" s="508"/>
      <c r="H289" s="508"/>
      <c r="I289" s="508"/>
      <c r="J289" s="508"/>
      <c r="K289" s="508"/>
      <c r="L289" s="508"/>
      <c r="M289" s="508"/>
      <c r="N289" s="508"/>
      <c r="O289" s="508"/>
      <c r="P289" s="508"/>
      <c r="Q289" s="508"/>
      <c r="R289" s="508"/>
      <c r="T289" s="509"/>
      <c r="U289" s="16"/>
    </row>
    <row r="290" spans="2:21" hidden="1" x14ac:dyDescent="0.3">
      <c r="B290" s="169" t="s">
        <v>208</v>
      </c>
      <c r="C290" s="169" t="s">
        <v>381</v>
      </c>
      <c r="D290" s="507">
        <f t="shared" si="36"/>
        <v>0</v>
      </c>
      <c r="E290" s="507">
        <f t="shared" si="37"/>
        <v>0</v>
      </c>
      <c r="F290" s="507">
        <f t="shared" si="37"/>
        <v>0</v>
      </c>
      <c r="G290" s="507">
        <f t="shared" si="37"/>
        <v>0</v>
      </c>
      <c r="H290" s="507">
        <f t="shared" si="37"/>
        <v>0</v>
      </c>
      <c r="I290" s="507">
        <f t="shared" si="37"/>
        <v>0</v>
      </c>
      <c r="J290" s="507">
        <f t="shared" si="37"/>
        <v>0</v>
      </c>
      <c r="K290" s="507">
        <f t="shared" si="37"/>
        <v>0</v>
      </c>
      <c r="L290" s="507">
        <f t="shared" si="37"/>
        <v>0</v>
      </c>
      <c r="M290" s="507">
        <f t="shared" si="37"/>
        <v>0</v>
      </c>
      <c r="N290" s="507">
        <f t="shared" si="37"/>
        <v>0</v>
      </c>
      <c r="O290" s="507">
        <f t="shared" si="37"/>
        <v>0</v>
      </c>
      <c r="P290" s="507">
        <f t="shared" si="37"/>
        <v>0</v>
      </c>
      <c r="Q290" s="507">
        <f t="shared" si="37"/>
        <v>0</v>
      </c>
      <c r="R290" s="507">
        <f t="shared" si="37"/>
        <v>0</v>
      </c>
      <c r="T290" s="291">
        <f>STAT_TRA_Mileage!M20/1000</f>
        <v>0</v>
      </c>
      <c r="U290" s="16"/>
    </row>
    <row r="291" spans="2:21" hidden="1" x14ac:dyDescent="0.3"/>
    <row r="292" spans="2:21" hidden="1" x14ac:dyDescent="0.3">
      <c r="B292" s="149"/>
      <c r="C292" s="149"/>
    </row>
    <row r="293" spans="2:21" hidden="1" x14ac:dyDescent="0.3">
      <c r="B293" s="441" t="s">
        <v>560</v>
      </c>
      <c r="C293" s="339"/>
    </row>
    <row r="294" spans="2:21" hidden="1" x14ac:dyDescent="0.3">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hidden="1" x14ac:dyDescent="0.3">
      <c r="B295" s="169" t="s">
        <v>107</v>
      </c>
      <c r="C295" s="169"/>
      <c r="D295" s="508"/>
      <c r="E295" s="508"/>
      <c r="F295" s="508"/>
      <c r="G295" s="508"/>
      <c r="H295" s="508"/>
      <c r="I295" s="508"/>
      <c r="J295" s="508"/>
      <c r="K295" s="508"/>
      <c r="L295" s="508"/>
      <c r="M295" s="508"/>
      <c r="N295" s="508"/>
      <c r="O295" s="508"/>
      <c r="P295" s="508"/>
      <c r="Q295" s="508"/>
      <c r="R295" s="508"/>
      <c r="T295" s="509"/>
    </row>
    <row r="296" spans="2:21" hidden="1" x14ac:dyDescent="0.3">
      <c r="B296" s="169" t="s">
        <v>108</v>
      </c>
      <c r="C296" s="169"/>
      <c r="D296" s="508"/>
      <c r="E296" s="508"/>
      <c r="F296" s="508"/>
      <c r="G296" s="508"/>
      <c r="H296" s="508"/>
      <c r="I296" s="508"/>
      <c r="J296" s="508"/>
      <c r="K296" s="508"/>
      <c r="L296" s="508"/>
      <c r="M296" s="508"/>
      <c r="N296" s="508"/>
      <c r="O296" s="508"/>
      <c r="P296" s="508"/>
      <c r="Q296" s="508"/>
      <c r="R296" s="508"/>
      <c r="T296" s="509"/>
    </row>
    <row r="297" spans="2:21" hidden="1" x14ac:dyDescent="0.3">
      <c r="B297" s="169" t="s">
        <v>203</v>
      </c>
      <c r="C297" s="169" t="s">
        <v>561</v>
      </c>
      <c r="D297" s="507">
        <f>$T297</f>
        <v>0</v>
      </c>
      <c r="E297" s="507">
        <f t="shared" ref="E297:R297" si="39">$T297</f>
        <v>0</v>
      </c>
      <c r="F297" s="507">
        <f t="shared" si="39"/>
        <v>0</v>
      </c>
      <c r="G297" s="507">
        <f t="shared" si="39"/>
        <v>0</v>
      </c>
      <c r="H297" s="507">
        <f t="shared" si="39"/>
        <v>0</v>
      </c>
      <c r="I297" s="507">
        <f t="shared" si="39"/>
        <v>0</v>
      </c>
      <c r="J297" s="507">
        <f t="shared" si="39"/>
        <v>0</v>
      </c>
      <c r="K297" s="507">
        <f t="shared" si="39"/>
        <v>0</v>
      </c>
      <c r="L297" s="507">
        <f t="shared" si="39"/>
        <v>0</v>
      </c>
      <c r="M297" s="507">
        <f t="shared" si="39"/>
        <v>0</v>
      </c>
      <c r="N297" s="507">
        <f t="shared" si="39"/>
        <v>0</v>
      </c>
      <c r="O297" s="507">
        <f t="shared" si="39"/>
        <v>0</v>
      </c>
      <c r="P297" s="507">
        <f t="shared" si="39"/>
        <v>0</v>
      </c>
      <c r="Q297" s="507">
        <f t="shared" si="39"/>
        <v>0</v>
      </c>
      <c r="R297" s="507">
        <f t="shared" si="39"/>
        <v>0</v>
      </c>
      <c r="S297" s="102"/>
      <c r="T297" s="291">
        <f>STAT_TRA_Mileage!K20/1000</f>
        <v>0</v>
      </c>
    </row>
    <row r="298" spans="2:21" hidden="1" x14ac:dyDescent="0.3">
      <c r="B298" s="169" t="s">
        <v>110</v>
      </c>
      <c r="C298" s="169"/>
      <c r="D298" s="510"/>
      <c r="E298" s="510"/>
      <c r="F298" s="510"/>
      <c r="G298" s="510"/>
      <c r="H298" s="510"/>
      <c r="I298" s="510"/>
      <c r="J298" s="510"/>
      <c r="K298" s="510"/>
      <c r="L298" s="510"/>
      <c r="M298" s="510"/>
      <c r="N298" s="510"/>
      <c r="O298" s="510"/>
      <c r="P298" s="510"/>
      <c r="Q298" s="510"/>
      <c r="R298" s="510"/>
      <c r="S298" s="102"/>
      <c r="T298" s="563"/>
    </row>
    <row r="299" spans="2:21" hidden="1" x14ac:dyDescent="0.3">
      <c r="B299" s="169" t="s">
        <v>111</v>
      </c>
      <c r="C299" s="169"/>
      <c r="D299" s="510"/>
      <c r="E299" s="510"/>
      <c r="F299" s="510"/>
      <c r="G299" s="510"/>
      <c r="H299" s="510"/>
      <c r="I299" s="510"/>
      <c r="J299" s="510"/>
      <c r="K299" s="510"/>
      <c r="L299" s="510"/>
      <c r="M299" s="510"/>
      <c r="N299" s="510"/>
      <c r="O299" s="510"/>
      <c r="P299" s="510"/>
      <c r="Q299" s="510"/>
      <c r="R299" s="510"/>
      <c r="S299" s="102"/>
      <c r="T299" s="563"/>
    </row>
    <row r="300" spans="2:21" hidden="1" x14ac:dyDescent="0.3">
      <c r="B300" s="169" t="s">
        <v>112</v>
      </c>
      <c r="C300" s="169"/>
      <c r="D300" s="510"/>
      <c r="E300" s="510"/>
      <c r="F300" s="510"/>
      <c r="G300" s="510"/>
      <c r="H300" s="510"/>
      <c r="I300" s="510"/>
      <c r="J300" s="510"/>
      <c r="K300" s="510"/>
      <c r="L300" s="510"/>
      <c r="M300" s="510"/>
      <c r="N300" s="510"/>
      <c r="O300" s="510"/>
      <c r="P300" s="510"/>
      <c r="Q300" s="510"/>
      <c r="R300" s="510"/>
      <c r="S300" s="102"/>
      <c r="T300" s="563"/>
    </row>
    <row r="301" spans="2:21" hidden="1" x14ac:dyDescent="0.3">
      <c r="B301" s="169" t="s">
        <v>204</v>
      </c>
      <c r="C301" s="169"/>
      <c r="D301" s="510"/>
      <c r="E301" s="510"/>
      <c r="F301" s="510"/>
      <c r="G301" s="510"/>
      <c r="H301" s="510"/>
      <c r="I301" s="510"/>
      <c r="J301" s="510"/>
      <c r="K301" s="510"/>
      <c r="L301" s="510"/>
      <c r="M301" s="510"/>
      <c r="N301" s="510"/>
      <c r="O301" s="510"/>
      <c r="P301" s="510"/>
      <c r="Q301" s="510"/>
      <c r="R301" s="510"/>
      <c r="S301" s="102"/>
      <c r="T301" s="563"/>
    </row>
    <row r="302" spans="2:21" hidden="1" x14ac:dyDescent="0.3">
      <c r="B302" s="169" t="s">
        <v>205</v>
      </c>
      <c r="C302" s="169"/>
      <c r="D302" s="510"/>
      <c r="E302" s="510"/>
      <c r="F302" s="510"/>
      <c r="G302" s="510"/>
      <c r="H302" s="510"/>
      <c r="I302" s="510"/>
      <c r="J302" s="510"/>
      <c r="K302" s="510"/>
      <c r="L302" s="510"/>
      <c r="M302" s="510"/>
      <c r="N302" s="510"/>
      <c r="O302" s="510"/>
      <c r="P302" s="510"/>
      <c r="Q302" s="510"/>
      <c r="R302" s="510"/>
      <c r="S302" s="102"/>
      <c r="T302" s="563"/>
    </row>
    <row r="303" spans="2:21" hidden="1" x14ac:dyDescent="0.3">
      <c r="B303" s="169" t="s">
        <v>115</v>
      </c>
      <c r="C303" s="169"/>
      <c r="D303" s="510"/>
      <c r="E303" s="510"/>
      <c r="F303" s="510"/>
      <c r="G303" s="510"/>
      <c r="H303" s="510"/>
      <c r="I303" s="510"/>
      <c r="J303" s="510"/>
      <c r="K303" s="510"/>
      <c r="L303" s="510"/>
      <c r="M303" s="510"/>
      <c r="N303" s="510"/>
      <c r="O303" s="510"/>
      <c r="P303" s="510"/>
      <c r="Q303" s="510"/>
      <c r="R303" s="510"/>
      <c r="S303" s="102"/>
      <c r="T303" s="563"/>
    </row>
    <row r="304" spans="2:21" hidden="1" x14ac:dyDescent="0.3">
      <c r="B304" s="169" t="s">
        <v>206</v>
      </c>
      <c r="C304" s="169"/>
      <c r="D304" s="510"/>
      <c r="E304" s="510"/>
      <c r="F304" s="510"/>
      <c r="G304" s="510"/>
      <c r="H304" s="510"/>
      <c r="I304" s="510"/>
      <c r="J304" s="510"/>
      <c r="K304" s="510"/>
      <c r="L304" s="510"/>
      <c r="M304" s="510"/>
      <c r="N304" s="510"/>
      <c r="O304" s="510"/>
      <c r="P304" s="510"/>
      <c r="Q304" s="510"/>
      <c r="R304" s="510"/>
      <c r="S304" s="102"/>
      <c r="T304" s="563"/>
    </row>
    <row r="305" spans="2:21" hidden="1" x14ac:dyDescent="0.3">
      <c r="B305" s="169" t="s">
        <v>207</v>
      </c>
      <c r="C305" s="169"/>
      <c r="D305" s="510"/>
      <c r="E305" s="510"/>
      <c r="F305" s="510"/>
      <c r="G305" s="510"/>
      <c r="H305" s="510"/>
      <c r="I305" s="510"/>
      <c r="J305" s="510"/>
      <c r="K305" s="510"/>
      <c r="L305" s="510"/>
      <c r="M305" s="510"/>
      <c r="N305" s="510"/>
      <c r="O305" s="510"/>
      <c r="P305" s="510"/>
      <c r="Q305" s="510"/>
      <c r="R305" s="510"/>
      <c r="S305" s="102"/>
      <c r="T305" s="563"/>
    </row>
    <row r="306" spans="2:21" hidden="1" x14ac:dyDescent="0.3">
      <c r="B306" s="169" t="s">
        <v>208</v>
      </c>
      <c r="C306" s="169" t="s">
        <v>562</v>
      </c>
      <c r="D306" s="507">
        <f>$T306</f>
        <v>0</v>
      </c>
      <c r="E306" s="507">
        <f t="shared" ref="E306:R306" si="40">$T306</f>
        <v>0</v>
      </c>
      <c r="F306" s="507">
        <f t="shared" si="40"/>
        <v>0</v>
      </c>
      <c r="G306" s="507">
        <f t="shared" si="40"/>
        <v>0</v>
      </c>
      <c r="H306" s="507">
        <f t="shared" si="40"/>
        <v>0</v>
      </c>
      <c r="I306" s="507">
        <f t="shared" si="40"/>
        <v>0</v>
      </c>
      <c r="J306" s="507">
        <f t="shared" si="40"/>
        <v>0</v>
      </c>
      <c r="K306" s="507">
        <f t="shared" si="40"/>
        <v>0</v>
      </c>
      <c r="L306" s="507">
        <f t="shared" si="40"/>
        <v>0</v>
      </c>
      <c r="M306" s="507">
        <f t="shared" si="40"/>
        <v>0</v>
      </c>
      <c r="N306" s="507">
        <f t="shared" si="40"/>
        <v>0</v>
      </c>
      <c r="O306" s="507">
        <f t="shared" si="40"/>
        <v>0</v>
      </c>
      <c r="P306" s="507">
        <f t="shared" si="40"/>
        <v>0</v>
      </c>
      <c r="Q306" s="507">
        <f t="shared" si="40"/>
        <v>0</v>
      </c>
      <c r="R306" s="507">
        <f t="shared" si="40"/>
        <v>0</v>
      </c>
      <c r="S306" s="102"/>
      <c r="T306" s="291">
        <f>STAT_TRA_Mileage!L20/1000</f>
        <v>0</v>
      </c>
    </row>
    <row r="307" spans="2:21" hidden="1" x14ac:dyDescent="0.3"/>
    <row r="308" spans="2:21" hidden="1" x14ac:dyDescent="0.3">
      <c r="B308" s="149"/>
      <c r="C308" s="149"/>
    </row>
    <row r="309" spans="2:21" hidden="1" x14ac:dyDescent="0.3">
      <c r="B309" s="441" t="s">
        <v>563</v>
      </c>
      <c r="C309" s="339"/>
    </row>
    <row r="310" spans="2:21" hidden="1" x14ac:dyDescent="0.3">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hidden="1" x14ac:dyDescent="0.3">
      <c r="B311" s="271" t="s">
        <v>107</v>
      </c>
      <c r="C311" s="271"/>
      <c r="D311" s="508"/>
      <c r="E311" s="508"/>
      <c r="F311" s="508"/>
      <c r="G311" s="508"/>
      <c r="H311" s="508"/>
      <c r="I311" s="508"/>
      <c r="J311" s="508"/>
      <c r="K311" s="508"/>
      <c r="L311" s="508"/>
      <c r="M311" s="508"/>
      <c r="N311" s="508"/>
      <c r="O311" s="508"/>
      <c r="P311" s="508"/>
      <c r="Q311" s="508"/>
      <c r="R311" s="508"/>
      <c r="T311" s="509"/>
      <c r="U311" s="16"/>
    </row>
    <row r="312" spans="2:21" hidden="1" x14ac:dyDescent="0.3">
      <c r="B312" s="169" t="s">
        <v>108</v>
      </c>
      <c r="C312" s="169"/>
      <c r="D312" s="508"/>
      <c r="E312" s="508"/>
      <c r="F312" s="508"/>
      <c r="G312" s="508"/>
      <c r="H312" s="508"/>
      <c r="I312" s="508"/>
      <c r="J312" s="508"/>
      <c r="K312" s="508"/>
      <c r="L312" s="508"/>
      <c r="M312" s="508"/>
      <c r="N312" s="508"/>
      <c r="O312" s="508"/>
      <c r="P312" s="508"/>
      <c r="Q312" s="508"/>
      <c r="R312" s="508"/>
      <c r="T312" s="509"/>
      <c r="U312" s="16"/>
    </row>
    <row r="313" spans="2:21" hidden="1" x14ac:dyDescent="0.3">
      <c r="B313" s="169" t="s">
        <v>203</v>
      </c>
      <c r="C313" s="169" t="s">
        <v>564</v>
      </c>
      <c r="D313" s="507">
        <f t="shared" ref="D313:D322" si="42">$T313</f>
        <v>0</v>
      </c>
      <c r="E313" s="507">
        <f t="shared" ref="E313:R322" si="43">$T313</f>
        <v>0</v>
      </c>
      <c r="F313" s="507">
        <f t="shared" si="43"/>
        <v>0</v>
      </c>
      <c r="G313" s="507">
        <f t="shared" si="43"/>
        <v>0</v>
      </c>
      <c r="H313" s="507">
        <f t="shared" si="43"/>
        <v>0</v>
      </c>
      <c r="I313" s="507">
        <f t="shared" si="43"/>
        <v>0</v>
      </c>
      <c r="J313" s="507">
        <f t="shared" si="43"/>
        <v>0</v>
      </c>
      <c r="K313" s="507">
        <f t="shared" si="43"/>
        <v>0</v>
      </c>
      <c r="L313" s="507">
        <f t="shared" si="43"/>
        <v>0</v>
      </c>
      <c r="M313" s="507">
        <f t="shared" si="43"/>
        <v>0</v>
      </c>
      <c r="N313" s="507">
        <f t="shared" si="43"/>
        <v>0</v>
      </c>
      <c r="O313" s="507">
        <f t="shared" si="43"/>
        <v>0</v>
      </c>
      <c r="P313" s="507">
        <f t="shared" si="43"/>
        <v>0</v>
      </c>
      <c r="Q313" s="507">
        <f t="shared" si="43"/>
        <v>0</v>
      </c>
      <c r="R313" s="507">
        <f t="shared" si="43"/>
        <v>0</v>
      </c>
      <c r="S313" s="102"/>
      <c r="T313" s="291">
        <f>STAT_TRA_Mileage!K27/1000</f>
        <v>0</v>
      </c>
      <c r="U313" s="16"/>
    </row>
    <row r="314" spans="2:21" hidden="1" x14ac:dyDescent="0.3">
      <c r="B314" s="169" t="s">
        <v>110</v>
      </c>
      <c r="C314" s="169"/>
      <c r="D314" s="510"/>
      <c r="E314" s="510"/>
      <c r="F314" s="510"/>
      <c r="G314" s="510"/>
      <c r="H314" s="510"/>
      <c r="I314" s="510"/>
      <c r="J314" s="510"/>
      <c r="K314" s="510"/>
      <c r="L314" s="510"/>
      <c r="M314" s="510"/>
      <c r="N314" s="510"/>
      <c r="O314" s="510"/>
      <c r="P314" s="510"/>
      <c r="Q314" s="510"/>
      <c r="R314" s="510"/>
      <c r="S314" s="102"/>
      <c r="T314" s="563"/>
      <c r="U314" s="16"/>
    </row>
    <row r="315" spans="2:21" hidden="1" x14ac:dyDescent="0.3">
      <c r="B315" s="169" t="s">
        <v>111</v>
      </c>
      <c r="C315" s="169"/>
      <c r="D315" s="510"/>
      <c r="E315" s="510"/>
      <c r="F315" s="510"/>
      <c r="G315" s="510"/>
      <c r="H315" s="510"/>
      <c r="I315" s="510"/>
      <c r="J315" s="510"/>
      <c r="K315" s="510"/>
      <c r="L315" s="510"/>
      <c r="M315" s="510"/>
      <c r="N315" s="510"/>
      <c r="O315" s="510"/>
      <c r="P315" s="510"/>
      <c r="Q315" s="510"/>
      <c r="R315" s="510"/>
      <c r="S315" s="102"/>
      <c r="T315" s="563"/>
      <c r="U315" s="16"/>
    </row>
    <row r="316" spans="2:21" hidden="1" x14ac:dyDescent="0.3">
      <c r="B316" s="169" t="s">
        <v>112</v>
      </c>
      <c r="C316" s="169"/>
      <c r="D316" s="510"/>
      <c r="E316" s="510"/>
      <c r="F316" s="510"/>
      <c r="G316" s="510"/>
      <c r="H316" s="510"/>
      <c r="I316" s="510"/>
      <c r="J316" s="510"/>
      <c r="K316" s="510"/>
      <c r="L316" s="510"/>
      <c r="M316" s="510"/>
      <c r="N316" s="510"/>
      <c r="O316" s="510"/>
      <c r="P316" s="510"/>
      <c r="Q316" s="510"/>
      <c r="R316" s="510"/>
      <c r="S316" s="102"/>
      <c r="T316" s="563"/>
      <c r="U316" s="16"/>
    </row>
    <row r="317" spans="2:21" hidden="1" x14ac:dyDescent="0.3">
      <c r="B317" s="169" t="s">
        <v>204</v>
      </c>
      <c r="C317" s="169"/>
      <c r="D317" s="510"/>
      <c r="E317" s="510"/>
      <c r="F317" s="510"/>
      <c r="G317" s="510"/>
      <c r="H317" s="510"/>
      <c r="I317" s="510"/>
      <c r="J317" s="510"/>
      <c r="K317" s="510"/>
      <c r="L317" s="510"/>
      <c r="M317" s="510"/>
      <c r="N317" s="510"/>
      <c r="O317" s="510"/>
      <c r="P317" s="510"/>
      <c r="Q317" s="510"/>
      <c r="R317" s="510"/>
      <c r="S317" s="102"/>
      <c r="T317" s="563"/>
      <c r="U317" s="16"/>
    </row>
    <row r="318" spans="2:21" hidden="1" x14ac:dyDescent="0.3">
      <c r="B318" s="169" t="s">
        <v>205</v>
      </c>
      <c r="C318" s="169"/>
      <c r="D318" s="510"/>
      <c r="E318" s="510"/>
      <c r="F318" s="510"/>
      <c r="G318" s="510"/>
      <c r="H318" s="510"/>
      <c r="I318" s="510"/>
      <c r="J318" s="510"/>
      <c r="K318" s="510"/>
      <c r="L318" s="510"/>
      <c r="M318" s="510"/>
      <c r="N318" s="510"/>
      <c r="O318" s="510"/>
      <c r="P318" s="510"/>
      <c r="Q318" s="510"/>
      <c r="R318" s="510"/>
      <c r="S318" s="102"/>
      <c r="T318" s="563"/>
      <c r="U318" s="16"/>
    </row>
    <row r="319" spans="2:21" hidden="1" x14ac:dyDescent="0.3">
      <c r="B319" s="169" t="s">
        <v>115</v>
      </c>
      <c r="C319" s="169"/>
      <c r="D319" s="510"/>
      <c r="E319" s="510"/>
      <c r="F319" s="510"/>
      <c r="G319" s="510"/>
      <c r="H319" s="510"/>
      <c r="I319" s="510"/>
      <c r="J319" s="510"/>
      <c r="K319" s="510"/>
      <c r="L319" s="510"/>
      <c r="M319" s="510"/>
      <c r="N319" s="510"/>
      <c r="O319" s="510"/>
      <c r="P319" s="510"/>
      <c r="Q319" s="510"/>
      <c r="R319" s="510"/>
      <c r="S319" s="102"/>
      <c r="T319" s="563"/>
      <c r="U319" s="16"/>
    </row>
    <row r="320" spans="2:21" hidden="1" x14ac:dyDescent="0.3">
      <c r="B320" s="169" t="s">
        <v>206</v>
      </c>
      <c r="C320" s="169"/>
      <c r="D320" s="510"/>
      <c r="E320" s="510"/>
      <c r="F320" s="510"/>
      <c r="G320" s="510"/>
      <c r="H320" s="510"/>
      <c r="I320" s="510"/>
      <c r="J320" s="510"/>
      <c r="K320" s="510"/>
      <c r="L320" s="510"/>
      <c r="M320" s="510"/>
      <c r="N320" s="510"/>
      <c r="O320" s="510"/>
      <c r="P320" s="510"/>
      <c r="Q320" s="510"/>
      <c r="R320" s="510"/>
      <c r="S320" s="102"/>
      <c r="T320" s="563"/>
      <c r="U320" s="16"/>
    </row>
    <row r="321" spans="2:21" hidden="1" x14ac:dyDescent="0.3">
      <c r="B321" s="169" t="s">
        <v>207</v>
      </c>
      <c r="C321" s="169"/>
      <c r="D321" s="510"/>
      <c r="E321" s="510"/>
      <c r="F321" s="510"/>
      <c r="G321" s="510"/>
      <c r="H321" s="510"/>
      <c r="I321" s="510"/>
      <c r="J321" s="510"/>
      <c r="K321" s="510"/>
      <c r="L321" s="510"/>
      <c r="M321" s="510"/>
      <c r="N321" s="510"/>
      <c r="O321" s="510"/>
      <c r="P321" s="510"/>
      <c r="Q321" s="510"/>
      <c r="R321" s="510"/>
      <c r="S321" s="102"/>
      <c r="T321" s="563"/>
      <c r="U321" s="16"/>
    </row>
    <row r="322" spans="2:21" hidden="1" x14ac:dyDescent="0.3">
      <c r="B322" s="169" t="s">
        <v>208</v>
      </c>
      <c r="C322" s="169" t="s">
        <v>565</v>
      </c>
      <c r="D322" s="507">
        <f t="shared" si="42"/>
        <v>0</v>
      </c>
      <c r="E322" s="507">
        <f t="shared" si="43"/>
        <v>0</v>
      </c>
      <c r="F322" s="507">
        <f t="shared" si="43"/>
        <v>0</v>
      </c>
      <c r="G322" s="507">
        <f t="shared" si="43"/>
        <v>0</v>
      </c>
      <c r="H322" s="507">
        <f t="shared" si="43"/>
        <v>0</v>
      </c>
      <c r="I322" s="507">
        <f t="shared" si="43"/>
        <v>0</v>
      </c>
      <c r="J322" s="507">
        <f t="shared" si="43"/>
        <v>0</v>
      </c>
      <c r="K322" s="507">
        <f t="shared" si="43"/>
        <v>0</v>
      </c>
      <c r="L322" s="507">
        <f t="shared" si="43"/>
        <v>0</v>
      </c>
      <c r="M322" s="507">
        <f t="shared" si="43"/>
        <v>0</v>
      </c>
      <c r="N322" s="507">
        <f t="shared" si="43"/>
        <v>0</v>
      </c>
      <c r="O322" s="507">
        <f t="shared" si="43"/>
        <v>0</v>
      </c>
      <c r="P322" s="507">
        <f t="shared" si="43"/>
        <v>0</v>
      </c>
      <c r="Q322" s="507">
        <f t="shared" si="43"/>
        <v>0</v>
      </c>
      <c r="R322" s="507">
        <f t="shared" si="43"/>
        <v>0</v>
      </c>
      <c r="S322" s="102"/>
      <c r="T322" s="291">
        <f>STAT_TRA_Mileage!K36/1000</f>
        <v>0</v>
      </c>
      <c r="U322" s="16"/>
    </row>
    <row r="323" spans="2:21" hidden="1" x14ac:dyDescent="0.3"/>
    <row r="324" spans="2:21" hidden="1" x14ac:dyDescent="0.3">
      <c r="B324" s="149"/>
      <c r="C324" s="149"/>
    </row>
    <row r="325" spans="2:21" hidden="1" x14ac:dyDescent="0.3">
      <c r="B325" s="441" t="s">
        <v>566</v>
      </c>
      <c r="C325" s="339"/>
    </row>
    <row r="326" spans="2:21" hidden="1" x14ac:dyDescent="0.3">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hidden="1" x14ac:dyDescent="0.3">
      <c r="B327" s="169" t="s">
        <v>107</v>
      </c>
      <c r="C327" s="169"/>
      <c r="D327" s="508"/>
      <c r="E327" s="508"/>
      <c r="F327" s="508"/>
      <c r="G327" s="508"/>
      <c r="H327" s="508"/>
      <c r="I327" s="508"/>
      <c r="J327" s="508"/>
      <c r="K327" s="508"/>
      <c r="L327" s="508"/>
      <c r="M327" s="508"/>
      <c r="N327" s="508"/>
      <c r="O327" s="508"/>
      <c r="P327" s="508"/>
      <c r="Q327" s="508"/>
      <c r="R327" s="508"/>
      <c r="T327" s="509"/>
    </row>
    <row r="328" spans="2:21" hidden="1" x14ac:dyDescent="0.3">
      <c r="B328" s="169" t="s">
        <v>108</v>
      </c>
      <c r="C328" s="169"/>
      <c r="D328" s="508"/>
      <c r="E328" s="508"/>
      <c r="F328" s="508"/>
      <c r="G328" s="508"/>
      <c r="H328" s="508"/>
      <c r="I328" s="508"/>
      <c r="J328" s="508"/>
      <c r="K328" s="508"/>
      <c r="L328" s="508"/>
      <c r="M328" s="508"/>
      <c r="N328" s="508"/>
      <c r="O328" s="508"/>
      <c r="P328" s="508"/>
      <c r="Q328" s="508"/>
      <c r="R328" s="508"/>
      <c r="T328" s="509"/>
    </row>
    <row r="329" spans="2:21" hidden="1" x14ac:dyDescent="0.3">
      <c r="B329" s="169" t="s">
        <v>203</v>
      </c>
      <c r="C329" s="169" t="s">
        <v>166</v>
      </c>
      <c r="D329" s="507">
        <f t="shared" ref="D329:Q329" si="45">$T329</f>
        <v>0</v>
      </c>
      <c r="E329" s="507">
        <f t="shared" si="45"/>
        <v>0</v>
      </c>
      <c r="F329" s="507">
        <f t="shared" si="45"/>
        <v>0</v>
      </c>
      <c r="G329" s="507">
        <f t="shared" si="45"/>
        <v>0</v>
      </c>
      <c r="H329" s="507">
        <f t="shared" si="45"/>
        <v>0</v>
      </c>
      <c r="I329" s="507">
        <f t="shared" si="45"/>
        <v>0</v>
      </c>
      <c r="J329" s="507">
        <f t="shared" si="45"/>
        <v>0</v>
      </c>
      <c r="K329" s="507">
        <f t="shared" si="45"/>
        <v>0</v>
      </c>
      <c r="L329" s="507">
        <f t="shared" si="45"/>
        <v>0</v>
      </c>
      <c r="M329" s="507">
        <f t="shared" si="45"/>
        <v>0</v>
      </c>
      <c r="N329" s="507">
        <f t="shared" si="45"/>
        <v>0</v>
      </c>
      <c r="O329" s="507">
        <f t="shared" si="45"/>
        <v>0</v>
      </c>
      <c r="P329" s="507">
        <f t="shared" si="45"/>
        <v>0</v>
      </c>
      <c r="Q329" s="507">
        <f t="shared" si="45"/>
        <v>0</v>
      </c>
      <c r="R329" s="507">
        <f>$T329</f>
        <v>0</v>
      </c>
      <c r="S329" s="102"/>
      <c r="T329" s="291">
        <f>STAT_TRA_Mileage!L27/1000</f>
        <v>0</v>
      </c>
    </row>
    <row r="330" spans="2:21" hidden="1" x14ac:dyDescent="0.3">
      <c r="B330" s="169" t="s">
        <v>110</v>
      </c>
      <c r="C330" s="169"/>
      <c r="D330" s="510"/>
      <c r="E330" s="510"/>
      <c r="F330" s="510"/>
      <c r="G330" s="510"/>
      <c r="H330" s="510"/>
      <c r="I330" s="510"/>
      <c r="J330" s="510"/>
      <c r="K330" s="510"/>
      <c r="L330" s="510"/>
      <c r="M330" s="510"/>
      <c r="N330" s="510"/>
      <c r="O330" s="510"/>
      <c r="P330" s="510"/>
      <c r="Q330" s="510"/>
      <c r="R330" s="510"/>
      <c r="S330" s="102"/>
      <c r="T330" s="563"/>
    </row>
    <row r="331" spans="2:21" hidden="1" x14ac:dyDescent="0.3">
      <c r="B331" s="169" t="s">
        <v>111</v>
      </c>
      <c r="C331" s="169"/>
      <c r="D331" s="510"/>
      <c r="E331" s="510"/>
      <c r="F331" s="510"/>
      <c r="G331" s="510"/>
      <c r="H331" s="510"/>
      <c r="I331" s="510"/>
      <c r="J331" s="510"/>
      <c r="K331" s="510"/>
      <c r="L331" s="510"/>
      <c r="M331" s="510"/>
      <c r="N331" s="510"/>
      <c r="O331" s="510"/>
      <c r="P331" s="510"/>
      <c r="Q331" s="510"/>
      <c r="R331" s="510"/>
      <c r="S331" s="102"/>
      <c r="T331" s="563"/>
    </row>
    <row r="332" spans="2:21" hidden="1" x14ac:dyDescent="0.3">
      <c r="B332" s="169" t="s">
        <v>112</v>
      </c>
      <c r="C332" s="169"/>
      <c r="D332" s="510"/>
      <c r="E332" s="510"/>
      <c r="F332" s="510"/>
      <c r="G332" s="510"/>
      <c r="H332" s="510"/>
      <c r="I332" s="510"/>
      <c r="J332" s="510"/>
      <c r="K332" s="510"/>
      <c r="L332" s="510"/>
      <c r="M332" s="510"/>
      <c r="N332" s="510"/>
      <c r="O332" s="510"/>
      <c r="P332" s="510"/>
      <c r="Q332" s="510"/>
      <c r="R332" s="510"/>
      <c r="S332" s="102"/>
      <c r="T332" s="563"/>
    </row>
    <row r="333" spans="2:21" hidden="1" x14ac:dyDescent="0.3">
      <c r="B333" s="169" t="s">
        <v>204</v>
      </c>
      <c r="C333" s="169"/>
      <c r="D333" s="510"/>
      <c r="E333" s="510"/>
      <c r="F333" s="510"/>
      <c r="G333" s="510"/>
      <c r="H333" s="510"/>
      <c r="I333" s="510"/>
      <c r="J333" s="510"/>
      <c r="K333" s="510"/>
      <c r="L333" s="510"/>
      <c r="M333" s="510"/>
      <c r="N333" s="510"/>
      <c r="O333" s="510"/>
      <c r="P333" s="510"/>
      <c r="Q333" s="510"/>
      <c r="R333" s="510"/>
      <c r="S333" s="102"/>
      <c r="T333" s="563"/>
    </row>
    <row r="334" spans="2:21" hidden="1" x14ac:dyDescent="0.3">
      <c r="B334" s="169" t="s">
        <v>205</v>
      </c>
      <c r="C334" s="169"/>
      <c r="D334" s="510"/>
      <c r="E334" s="510"/>
      <c r="F334" s="510"/>
      <c r="G334" s="510"/>
      <c r="H334" s="510"/>
      <c r="I334" s="510"/>
      <c r="J334" s="510"/>
      <c r="K334" s="510"/>
      <c r="L334" s="510"/>
      <c r="M334" s="510"/>
      <c r="N334" s="510"/>
      <c r="O334" s="510"/>
      <c r="P334" s="510"/>
      <c r="Q334" s="510"/>
      <c r="R334" s="510"/>
      <c r="S334" s="102"/>
      <c r="T334" s="563"/>
    </row>
    <row r="335" spans="2:21" hidden="1" x14ac:dyDescent="0.3">
      <c r="B335" s="169" t="s">
        <v>115</v>
      </c>
      <c r="C335" s="169"/>
      <c r="D335" s="510"/>
      <c r="E335" s="510"/>
      <c r="F335" s="510"/>
      <c r="G335" s="510"/>
      <c r="H335" s="510"/>
      <c r="I335" s="510"/>
      <c r="J335" s="510"/>
      <c r="K335" s="510"/>
      <c r="L335" s="510"/>
      <c r="M335" s="510"/>
      <c r="N335" s="510"/>
      <c r="O335" s="510"/>
      <c r="P335" s="510"/>
      <c r="Q335" s="510"/>
      <c r="R335" s="510"/>
      <c r="S335" s="102"/>
      <c r="T335" s="563"/>
    </row>
    <row r="336" spans="2:21" hidden="1" x14ac:dyDescent="0.3">
      <c r="B336" s="169" t="s">
        <v>206</v>
      </c>
      <c r="C336" s="169"/>
      <c r="D336" s="510"/>
      <c r="E336" s="510"/>
      <c r="F336" s="510"/>
      <c r="G336" s="510"/>
      <c r="H336" s="510"/>
      <c r="I336" s="510"/>
      <c r="J336" s="510"/>
      <c r="K336" s="510"/>
      <c r="L336" s="510"/>
      <c r="M336" s="510"/>
      <c r="N336" s="510"/>
      <c r="O336" s="510"/>
      <c r="P336" s="510"/>
      <c r="Q336" s="510"/>
      <c r="R336" s="510"/>
      <c r="S336" s="102"/>
      <c r="T336" s="563"/>
    </row>
    <row r="337" spans="1:21" hidden="1" x14ac:dyDescent="0.3">
      <c r="B337" s="169" t="s">
        <v>207</v>
      </c>
      <c r="C337" s="169"/>
      <c r="D337" s="510"/>
      <c r="E337" s="510"/>
      <c r="F337" s="510"/>
      <c r="G337" s="510"/>
      <c r="H337" s="510"/>
      <c r="I337" s="510"/>
      <c r="J337" s="510"/>
      <c r="K337" s="510"/>
      <c r="L337" s="510"/>
      <c r="M337" s="510"/>
      <c r="N337" s="510"/>
      <c r="O337" s="510"/>
      <c r="P337" s="510"/>
      <c r="Q337" s="510"/>
      <c r="R337" s="510"/>
      <c r="S337" s="102"/>
      <c r="T337" s="563"/>
    </row>
    <row r="338" spans="1:21" hidden="1" x14ac:dyDescent="0.3">
      <c r="B338" s="169" t="s">
        <v>208</v>
      </c>
      <c r="C338" s="169" t="s">
        <v>167</v>
      </c>
      <c r="D338" s="507">
        <f>$T338</f>
        <v>0</v>
      </c>
      <c r="E338" s="507">
        <f t="shared" ref="E338:R338" si="46">$T338</f>
        <v>0</v>
      </c>
      <c r="F338" s="507">
        <f t="shared" si="46"/>
        <v>0</v>
      </c>
      <c r="G338" s="507">
        <f t="shared" si="46"/>
        <v>0</v>
      </c>
      <c r="H338" s="507">
        <f t="shared" si="46"/>
        <v>0</v>
      </c>
      <c r="I338" s="507">
        <f t="shared" si="46"/>
        <v>0</v>
      </c>
      <c r="J338" s="507">
        <f t="shared" si="46"/>
        <v>0</v>
      </c>
      <c r="K338" s="507">
        <f t="shared" si="46"/>
        <v>0</v>
      </c>
      <c r="L338" s="507">
        <f t="shared" si="46"/>
        <v>0</v>
      </c>
      <c r="M338" s="507">
        <f t="shared" si="46"/>
        <v>0</v>
      </c>
      <c r="N338" s="507">
        <f t="shared" si="46"/>
        <v>0</v>
      </c>
      <c r="O338" s="507">
        <f t="shared" si="46"/>
        <v>0</v>
      </c>
      <c r="P338" s="507">
        <f t="shared" si="46"/>
        <v>0</v>
      </c>
      <c r="Q338" s="507">
        <f t="shared" si="46"/>
        <v>0</v>
      </c>
      <c r="R338" s="507">
        <f t="shared" si="46"/>
        <v>0</v>
      </c>
      <c r="S338" s="102"/>
      <c r="T338" s="291">
        <f>STAT_TRA_Mileage!L36/1000</f>
        <v>0</v>
      </c>
    </row>
    <row r="339" spans="1:21" hidden="1" x14ac:dyDescent="0.3"/>
    <row r="340" spans="1:21" hidden="1" x14ac:dyDescent="0.3">
      <c r="B340" s="149"/>
      <c r="C340" s="149"/>
    </row>
    <row r="341" spans="1:21" hidden="1" x14ac:dyDescent="0.3">
      <c r="B341" s="441" t="s">
        <v>170</v>
      </c>
      <c r="C341" s="339"/>
    </row>
    <row r="342" spans="1:21" hidden="1" x14ac:dyDescent="0.3">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hidden="1" x14ac:dyDescent="0.3">
      <c r="B343" s="271" t="s">
        <v>567</v>
      </c>
      <c r="C343" s="271" t="s">
        <v>382</v>
      </c>
      <c r="D343" s="677">
        <f>$T343</f>
        <v>0</v>
      </c>
      <c r="E343" s="677">
        <f t="shared" ref="E343:R344" si="48">$T343</f>
        <v>0</v>
      </c>
      <c r="F343" s="677">
        <f t="shared" si="48"/>
        <v>0</v>
      </c>
      <c r="G343" s="677">
        <f t="shared" si="48"/>
        <v>0</v>
      </c>
      <c r="H343" s="677">
        <f t="shared" si="48"/>
        <v>0</v>
      </c>
      <c r="I343" s="677">
        <f t="shared" si="48"/>
        <v>0</v>
      </c>
      <c r="J343" s="677">
        <f t="shared" si="48"/>
        <v>0</v>
      </c>
      <c r="K343" s="677">
        <f t="shared" si="48"/>
        <v>0</v>
      </c>
      <c r="L343" s="677">
        <f t="shared" si="48"/>
        <v>0</v>
      </c>
      <c r="M343" s="677">
        <f t="shared" si="48"/>
        <v>0</v>
      </c>
      <c r="N343" s="677">
        <f t="shared" si="48"/>
        <v>0</v>
      </c>
      <c r="O343" s="677">
        <f t="shared" si="48"/>
        <v>0</v>
      </c>
      <c r="P343" s="677">
        <f t="shared" si="48"/>
        <v>0</v>
      </c>
      <c r="Q343" s="677">
        <f t="shared" si="48"/>
        <v>0</v>
      </c>
      <c r="R343" s="677">
        <f t="shared" si="48"/>
        <v>0</v>
      </c>
      <c r="T343" s="678">
        <f>STAT_TRA_Mileage!O20/1000</f>
        <v>0</v>
      </c>
    </row>
    <row r="344" spans="1:21" hidden="1" x14ac:dyDescent="0.3">
      <c r="B344" s="271" t="s">
        <v>568</v>
      </c>
      <c r="C344" s="271" t="s">
        <v>171</v>
      </c>
      <c r="D344" s="677">
        <f>$T344</f>
        <v>0</v>
      </c>
      <c r="E344" s="677">
        <f t="shared" si="48"/>
        <v>0</v>
      </c>
      <c r="F344" s="677">
        <f t="shared" si="48"/>
        <v>0</v>
      </c>
      <c r="G344" s="677">
        <f t="shared" si="48"/>
        <v>0</v>
      </c>
      <c r="H344" s="677">
        <f t="shared" si="48"/>
        <v>0</v>
      </c>
      <c r="I344" s="677">
        <f t="shared" si="48"/>
        <v>0</v>
      </c>
      <c r="J344" s="677">
        <f t="shared" si="48"/>
        <v>0</v>
      </c>
      <c r="K344" s="677">
        <f t="shared" si="48"/>
        <v>0</v>
      </c>
      <c r="L344" s="677">
        <f t="shared" si="48"/>
        <v>0</v>
      </c>
      <c r="M344" s="677">
        <f t="shared" si="48"/>
        <v>0</v>
      </c>
      <c r="N344" s="677">
        <f t="shared" si="48"/>
        <v>0</v>
      </c>
      <c r="O344" s="677">
        <f t="shared" si="48"/>
        <v>0</v>
      </c>
      <c r="P344" s="677">
        <f t="shared" si="48"/>
        <v>0</v>
      </c>
      <c r="Q344" s="677">
        <f t="shared" si="48"/>
        <v>0</v>
      </c>
      <c r="R344" s="677">
        <f t="shared" si="48"/>
        <v>0</v>
      </c>
      <c r="T344" s="678">
        <f>STAT_TRA_Mileage!O20/1000</f>
        <v>0</v>
      </c>
    </row>
    <row r="345" spans="1:21" hidden="1" x14ac:dyDescent="0.3"/>
    <row r="346" spans="1:21" hidden="1" x14ac:dyDescent="0.3">
      <c r="B346" s="149"/>
      <c r="C346" s="149"/>
      <c r="D346" s="268"/>
      <c r="E346" s="268"/>
      <c r="F346" s="268"/>
      <c r="G346" s="268"/>
      <c r="H346" s="268"/>
      <c r="I346" s="268"/>
      <c r="J346" s="268"/>
      <c r="K346" s="268"/>
      <c r="L346" s="268"/>
      <c r="M346" s="268"/>
      <c r="N346" s="268"/>
      <c r="O346" s="268"/>
      <c r="P346" s="268"/>
      <c r="Q346" s="268"/>
      <c r="R346" s="268"/>
      <c r="T346" s="269"/>
    </row>
    <row r="347" spans="1:21" hidden="1" x14ac:dyDescent="0.3">
      <c r="B347" s="441" t="s">
        <v>569</v>
      </c>
      <c r="C347" s="339"/>
    </row>
    <row r="348" spans="1:21" hidden="1" x14ac:dyDescent="0.3">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hidden="1" x14ac:dyDescent="0.3">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hidden="1" x14ac:dyDescent="0.3">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hidden="1" x14ac:dyDescent="0.3">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hidden="1" x14ac:dyDescent="0.3">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hidden="1" x14ac:dyDescent="0.3">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hidden="1" x14ac:dyDescent="0.3">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hidden="1" x14ac:dyDescent="0.3">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6" spans="1:21" hidden="1" x14ac:dyDescent="0.3"/>
    <row r="357" spans="1:21" hidden="1" x14ac:dyDescent="0.3">
      <c r="B357" s="149"/>
      <c r="C357" s="149"/>
    </row>
    <row r="358" spans="1:21" hidden="1" x14ac:dyDescent="0.3">
      <c r="B358" s="441" t="s">
        <v>81</v>
      </c>
      <c r="C358" s="339"/>
    </row>
    <row r="359" spans="1:21" hidden="1" x14ac:dyDescent="0.3">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hidden="1" x14ac:dyDescent="0.3">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hidden="1" x14ac:dyDescent="0.3">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hidden="1" x14ac:dyDescent="0.3">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3" spans="1:21" hidden="1" x14ac:dyDescent="0.3"/>
    <row r="364" spans="1:21" hidden="1" x14ac:dyDescent="0.3">
      <c r="B364" s="149"/>
      <c r="C364" s="149"/>
    </row>
    <row r="365" spans="1:21" hidden="1" x14ac:dyDescent="0.3">
      <c r="B365" s="441" t="s">
        <v>82</v>
      </c>
      <c r="C365" s="339"/>
    </row>
    <row r="366" spans="1:21" hidden="1" x14ac:dyDescent="0.3">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hidden="1" x14ac:dyDescent="0.3">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hidden="1" x14ac:dyDescent="0.3">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topLeftCell="D1" zoomScale="75" zoomScaleNormal="75" workbookViewId="0">
      <selection activeCell="D60" sqref="D60"/>
    </sheetView>
  </sheetViews>
  <sheetFormatPr defaultColWidth="9.33203125" defaultRowHeight="14.4" x14ac:dyDescent="0.3"/>
  <cols>
    <col min="1" max="1" width="3.5546875" style="14" customWidth="1"/>
    <col min="2" max="2" width="2" style="14" customWidth="1"/>
    <col min="3" max="3" width="19.6640625" style="14" customWidth="1"/>
    <col min="4" max="4" width="56.44140625" style="14" bestFit="1" customWidth="1"/>
    <col min="5" max="5" width="13.6640625" style="14" customWidth="1"/>
    <col min="6" max="6" width="19.44140625" style="14" bestFit="1" customWidth="1"/>
    <col min="7" max="21" width="12.5546875" style="14" customWidth="1"/>
    <col min="22" max="22" width="7.5546875" style="115" customWidth="1"/>
    <col min="23" max="23" width="9.33203125" style="14"/>
    <col min="24" max="24" width="10.33203125" style="14" bestFit="1" customWidth="1"/>
    <col min="25" max="25" width="8.6640625" style="14" customWidth="1"/>
    <col min="26" max="16384" width="9.33203125" style="14"/>
  </cols>
  <sheetData>
    <row r="1" spans="2:25" x14ac:dyDescent="0.3">
      <c r="D1" s="297"/>
      <c r="G1" s="296"/>
      <c r="H1" s="296"/>
      <c r="I1" s="296"/>
      <c r="J1" s="296"/>
      <c r="K1" s="296"/>
      <c r="L1" s="296"/>
      <c r="M1" s="296"/>
      <c r="N1" s="296"/>
      <c r="O1" s="296"/>
      <c r="P1" s="296"/>
      <c r="Q1" s="296"/>
      <c r="R1" s="296"/>
      <c r="S1" s="296"/>
      <c r="T1" s="296"/>
      <c r="U1" s="296"/>
    </row>
    <row r="2" spans="2:25" x14ac:dyDescent="0.3">
      <c r="C2" s="113" t="s">
        <v>575</v>
      </c>
      <c r="D2" s="298"/>
    </row>
    <row r="3" spans="2:25" ht="14.7" customHeight="1" x14ac:dyDescent="0.3">
      <c r="G3" s="310"/>
      <c r="H3" s="310"/>
      <c r="I3" s="310"/>
      <c r="J3" s="310"/>
      <c r="K3" s="310"/>
      <c r="L3" s="310"/>
      <c r="M3" s="310"/>
      <c r="N3" s="310"/>
      <c r="O3" s="310"/>
      <c r="P3" s="310"/>
      <c r="Q3" s="310"/>
      <c r="R3" s="310"/>
      <c r="S3" s="310"/>
      <c r="T3" s="310"/>
      <c r="U3" s="310"/>
      <c r="V3" s="14"/>
    </row>
    <row r="4" spans="2:25" ht="14.7" customHeight="1" x14ac:dyDescent="0.3">
      <c r="B4" s="306" t="s">
        <v>576</v>
      </c>
      <c r="C4" s="17" t="s">
        <v>577</v>
      </c>
      <c r="D4" s="17"/>
      <c r="E4" s="17"/>
      <c r="F4" s="17"/>
      <c r="G4" s="121"/>
      <c r="H4" s="121"/>
      <c r="I4" s="121"/>
      <c r="J4" s="121"/>
      <c r="K4" s="121"/>
      <c r="L4" s="121"/>
      <c r="M4" s="121"/>
      <c r="N4" s="121"/>
      <c r="O4" s="121"/>
      <c r="P4" s="121"/>
      <c r="Q4" s="121"/>
      <c r="R4" s="121"/>
      <c r="S4" s="121"/>
      <c r="T4" s="121"/>
      <c r="U4" s="121"/>
    </row>
    <row r="5" spans="2:25" x14ac:dyDescent="0.3">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3">
      <c r="B6" s="18" t="str">
        <f>IF(COUNTIF(TRA_Comm!$C$29:$C$90,DEMAND_Pkm_Tkm!C6)=1,"X","De-Active")</f>
        <v>X</v>
      </c>
      <c r="C6" s="169" t="s">
        <v>522</v>
      </c>
      <c r="D6" s="169" t="s">
        <v>581</v>
      </c>
      <c r="E6" s="697">
        <f>SUM(G6:U6)</f>
        <v>0</v>
      </c>
      <c r="F6" s="169" t="s">
        <v>582</v>
      </c>
      <c r="G6" s="915">
        <f>SUMIF(STAT_TRA_Survey_Pkm!$C$8:$C$23, DEMAND_Pkm_Tkm!$C6, STAT_TRA_Survey_Pkm!D$8:D$23)</f>
        <v>0</v>
      </c>
      <c r="H6" s="915">
        <f>SUMIF(STAT_TRA_Survey_Pkm!$C$8:$C$23, DEMAND_Pkm_Tkm!$C6, STAT_TRA_Survey_Pkm!E$8:E$23)</f>
        <v>0</v>
      </c>
      <c r="I6" s="915">
        <f>SUMIF(STAT_TRA_Survey_Pkm!$C$8:$C$23, DEMAND_Pkm_Tkm!$C6, STAT_TRA_Survey_Pkm!F$8:F$23)</f>
        <v>0</v>
      </c>
      <c r="J6" s="915">
        <f>SUMIF(STAT_TRA_Survey_Pkm!$C$8:$C$23, DEMAND_Pkm_Tkm!$C6, STAT_TRA_Survey_Pkm!G$8:G$23)</f>
        <v>0</v>
      </c>
      <c r="K6" s="915">
        <f>SUMIF(STAT_TRA_Survey_Pkm!$C$8:$C$23, DEMAND_Pkm_Tkm!$C6, STAT_TRA_Survey_Pkm!H$8:H$23)</f>
        <v>0</v>
      </c>
      <c r="L6" s="915">
        <f>SUMIF(STAT_TRA_Survey_Pkm!$C$8:$C$23, DEMAND_Pkm_Tkm!$C6, STAT_TRA_Survey_Pkm!I$8:I$23)</f>
        <v>0</v>
      </c>
      <c r="M6" s="915">
        <f>SUMIF(STAT_TRA_Survey_Pkm!$C$8:$C$23, DEMAND_Pkm_Tkm!$C6, STAT_TRA_Survey_Pkm!J$8:J$23)</f>
        <v>0</v>
      </c>
      <c r="N6" s="915">
        <f>SUMIF(STAT_TRA_Survey_Pkm!$C$8:$C$23, DEMAND_Pkm_Tkm!$C6, STAT_TRA_Survey_Pkm!K$8:K$23)</f>
        <v>0</v>
      </c>
      <c r="O6" s="915">
        <f>SUMIF(STAT_TRA_Survey_Pkm!$C$8:$C$23, DEMAND_Pkm_Tkm!$C6, STAT_TRA_Survey_Pkm!L$8:L$23)</f>
        <v>0</v>
      </c>
      <c r="P6" s="915">
        <f>SUMIF(STAT_TRA_Survey_Pkm!$C$8:$C$23, DEMAND_Pkm_Tkm!$C6, STAT_TRA_Survey_Pkm!M$8:M$23)</f>
        <v>0</v>
      </c>
      <c r="Q6" s="915">
        <f>SUMIF(STAT_TRA_Survey_Pkm!$C$8:$C$23, DEMAND_Pkm_Tkm!$C6, STAT_TRA_Survey_Pkm!N$8:N$23)</f>
        <v>0</v>
      </c>
      <c r="R6" s="915">
        <f>SUMIF(STAT_TRA_Survey_Pkm!$C$8:$C$23, DEMAND_Pkm_Tkm!$C6, STAT_TRA_Survey_Pkm!O$8:O$23)</f>
        <v>0</v>
      </c>
      <c r="S6" s="915">
        <f>SUMIF(STAT_TRA_Survey_Pkm!$C$8:$C$23, DEMAND_Pkm_Tkm!$C6, STAT_TRA_Survey_Pkm!P$8:P$23)</f>
        <v>0</v>
      </c>
      <c r="T6" s="915">
        <f>SUMIF(STAT_TRA_Survey_Pkm!$C$8:$C$23, DEMAND_Pkm_Tkm!$C6, STAT_TRA_Survey_Pkm!Q$8:Q$23)</f>
        <v>0</v>
      </c>
      <c r="U6" s="915">
        <f>SUMIF(STAT_TRA_Survey_Pkm!$C$8:$C$23, DEMAND_Pkm_Tkm!$C6, STAT_TRA_Survey_Pkm!R$8:R$23)</f>
        <v>0</v>
      </c>
      <c r="V6" s="117" t="str">
        <f t="shared" ref="V6:V43" si="0">IF(E6=SUM(G6:U6),"ok","Too high/low")</f>
        <v>ok</v>
      </c>
    </row>
    <row r="7" spans="2:25" x14ac:dyDescent="0.3">
      <c r="B7" s="18" t="str">
        <f>IF(COUNTIF(TRA_Comm!$C$29:$C$90,DEMAND_Pkm_Tkm!C7)=1,"X","De-Active")</f>
        <v>X</v>
      </c>
      <c r="C7" s="169" t="s">
        <v>583</v>
      </c>
      <c r="D7" s="169" t="s">
        <v>584</v>
      </c>
      <c r="E7" s="697">
        <f t="shared" ref="E7:E43" si="1">SUM(G7:U7)</f>
        <v>0</v>
      </c>
      <c r="F7" s="169" t="s">
        <v>582</v>
      </c>
      <c r="G7" s="915">
        <f>SUMIF(STAT_TRA_Survey_Pkm!$C$8:$C$23, DEMAND_Pkm_Tkm!$C7, STAT_TRA_Survey_Pkm!D$8:D$23)</f>
        <v>0</v>
      </c>
      <c r="H7" s="915">
        <f>SUMIF(STAT_TRA_Survey_Pkm!$C$8:$C$23, DEMAND_Pkm_Tkm!$C7, STAT_TRA_Survey_Pkm!E$8:E$23)</f>
        <v>0</v>
      </c>
      <c r="I7" s="915">
        <f>SUMIF(STAT_TRA_Survey_Pkm!$C$8:$C$23, DEMAND_Pkm_Tkm!$C7, STAT_TRA_Survey_Pkm!F$8:F$23)</f>
        <v>0</v>
      </c>
      <c r="J7" s="915">
        <f>SUMIF(STAT_TRA_Survey_Pkm!$C$8:$C$23, DEMAND_Pkm_Tkm!$C7, STAT_TRA_Survey_Pkm!G$8:G$23)</f>
        <v>0</v>
      </c>
      <c r="K7" s="915">
        <f>SUMIF(STAT_TRA_Survey_Pkm!$C$8:$C$23, DEMAND_Pkm_Tkm!$C7, STAT_TRA_Survey_Pkm!H$8:H$23)</f>
        <v>0</v>
      </c>
      <c r="L7" s="915">
        <f>SUMIF(STAT_TRA_Survey_Pkm!$C$8:$C$23, DEMAND_Pkm_Tkm!$C7, STAT_TRA_Survey_Pkm!I$8:I$23)</f>
        <v>0</v>
      </c>
      <c r="M7" s="915">
        <f>SUMIF(STAT_TRA_Survey_Pkm!$C$8:$C$23, DEMAND_Pkm_Tkm!$C7, STAT_TRA_Survey_Pkm!J$8:J$23)</f>
        <v>0</v>
      </c>
      <c r="N7" s="915">
        <f>SUMIF(STAT_TRA_Survey_Pkm!$C$8:$C$23, DEMAND_Pkm_Tkm!$C7, STAT_TRA_Survey_Pkm!K$8:K$23)</f>
        <v>0</v>
      </c>
      <c r="O7" s="915">
        <f>SUMIF(STAT_TRA_Survey_Pkm!$C$8:$C$23, DEMAND_Pkm_Tkm!$C7, STAT_TRA_Survey_Pkm!L$8:L$23)</f>
        <v>0</v>
      </c>
      <c r="P7" s="915">
        <f>SUMIF(STAT_TRA_Survey_Pkm!$C$8:$C$23, DEMAND_Pkm_Tkm!$C7, STAT_TRA_Survey_Pkm!M$8:M$23)</f>
        <v>0</v>
      </c>
      <c r="Q7" s="915">
        <f>SUMIF(STAT_TRA_Survey_Pkm!$C$8:$C$23, DEMAND_Pkm_Tkm!$C7, STAT_TRA_Survey_Pkm!N$8:N$23)</f>
        <v>0</v>
      </c>
      <c r="R7" s="915">
        <f>SUMIF(STAT_TRA_Survey_Pkm!$C$8:$C$23, DEMAND_Pkm_Tkm!$C7, STAT_TRA_Survey_Pkm!O$8:O$23)</f>
        <v>0</v>
      </c>
      <c r="S7" s="915">
        <f>SUMIF(STAT_TRA_Survey_Pkm!$C$8:$C$23, DEMAND_Pkm_Tkm!$C7, STAT_TRA_Survey_Pkm!P$8:P$23)</f>
        <v>0</v>
      </c>
      <c r="T7" s="915">
        <f>SUMIF(STAT_TRA_Survey_Pkm!$C$8:$C$23, DEMAND_Pkm_Tkm!$C7, STAT_TRA_Survey_Pkm!Q$8:Q$23)</f>
        <v>0</v>
      </c>
      <c r="U7" s="915">
        <f>SUMIF(STAT_TRA_Survey_Pkm!$C$8:$C$23, DEMAND_Pkm_Tkm!$C7, STAT_TRA_Survey_Pkm!R$8:R$23)</f>
        <v>0</v>
      </c>
      <c r="V7" s="117" t="str">
        <f t="shared" si="0"/>
        <v>ok</v>
      </c>
    </row>
    <row r="8" spans="2:25" x14ac:dyDescent="0.3">
      <c r="B8" s="18" t="str">
        <f>IF(COUNTIF(TRA_Comm!$C$29:$C$90,DEMAND_Pkm_Tkm!C8)=1,"X","De-Active")</f>
        <v>X</v>
      </c>
      <c r="C8" s="169" t="s">
        <v>82</v>
      </c>
      <c r="D8" s="169" t="s">
        <v>585</v>
      </c>
      <c r="E8" s="697">
        <f t="shared" si="1"/>
        <v>0</v>
      </c>
      <c r="F8" s="169" t="s">
        <v>582</v>
      </c>
      <c r="G8" s="915">
        <f>SUMIF(STAT_TRA_Survey_Pkm!$C$8:$C$23, DEMAND_Pkm_Tkm!$C8, STAT_TRA_Survey_Pkm!D$8:D$23)</f>
        <v>0</v>
      </c>
      <c r="H8" s="915">
        <f>SUMIF(STAT_TRA_Survey_Pkm!$C$8:$C$23, DEMAND_Pkm_Tkm!$C8, STAT_TRA_Survey_Pkm!E$8:E$23)</f>
        <v>0</v>
      </c>
      <c r="I8" s="915">
        <f>SUMIF(STAT_TRA_Survey_Pkm!$C$8:$C$23, DEMAND_Pkm_Tkm!$C8, STAT_TRA_Survey_Pkm!F$8:F$23)</f>
        <v>0</v>
      </c>
      <c r="J8" s="915">
        <f>SUMIF(STAT_TRA_Survey_Pkm!$C$8:$C$23, DEMAND_Pkm_Tkm!$C8, STAT_TRA_Survey_Pkm!G$8:G$23)</f>
        <v>0</v>
      </c>
      <c r="K8" s="915">
        <f>SUMIF(STAT_TRA_Survey_Pkm!$C$8:$C$23, DEMAND_Pkm_Tkm!$C8, STAT_TRA_Survey_Pkm!H$8:H$23)</f>
        <v>0</v>
      </c>
      <c r="L8" s="915">
        <f>SUMIF(STAT_TRA_Survey_Pkm!$C$8:$C$23, DEMAND_Pkm_Tkm!$C8, STAT_TRA_Survey_Pkm!I$8:I$23)</f>
        <v>0</v>
      </c>
      <c r="M8" s="915">
        <f>SUMIF(STAT_TRA_Survey_Pkm!$C$8:$C$23, DEMAND_Pkm_Tkm!$C8, STAT_TRA_Survey_Pkm!J$8:J$23)</f>
        <v>0</v>
      </c>
      <c r="N8" s="915">
        <f>SUMIF(STAT_TRA_Survey_Pkm!$C$8:$C$23, DEMAND_Pkm_Tkm!$C8, STAT_TRA_Survey_Pkm!K$8:K$23)</f>
        <v>0</v>
      </c>
      <c r="O8" s="915">
        <f>SUMIF(STAT_TRA_Survey_Pkm!$C$8:$C$23, DEMAND_Pkm_Tkm!$C8, STAT_TRA_Survey_Pkm!L$8:L$23)</f>
        <v>0</v>
      </c>
      <c r="P8" s="915">
        <f>SUMIF(STAT_TRA_Survey_Pkm!$C$8:$C$23, DEMAND_Pkm_Tkm!$C8, STAT_TRA_Survey_Pkm!M$8:M$23)</f>
        <v>0</v>
      </c>
      <c r="Q8" s="915">
        <f>SUMIF(STAT_TRA_Survey_Pkm!$C$8:$C$23, DEMAND_Pkm_Tkm!$C8, STAT_TRA_Survey_Pkm!N$8:N$23)</f>
        <v>0</v>
      </c>
      <c r="R8" s="915">
        <f>SUMIF(STAT_TRA_Survey_Pkm!$C$8:$C$23, DEMAND_Pkm_Tkm!$C8, STAT_TRA_Survey_Pkm!O$8:O$23)</f>
        <v>0</v>
      </c>
      <c r="S8" s="915">
        <f>SUMIF(STAT_TRA_Survey_Pkm!$C$8:$C$23, DEMAND_Pkm_Tkm!$C8, STAT_TRA_Survey_Pkm!P$8:P$23)</f>
        <v>0</v>
      </c>
      <c r="T8" s="915">
        <f>SUMIF(STAT_TRA_Survey_Pkm!$C$8:$C$23, DEMAND_Pkm_Tkm!$C8, STAT_TRA_Survey_Pkm!Q$8:Q$23)</f>
        <v>0</v>
      </c>
      <c r="U8" s="915">
        <f>SUMIF(STAT_TRA_Survey_Pkm!$C$8:$C$23, DEMAND_Pkm_Tkm!$C8, STAT_TRA_Survey_Pkm!R$8:R$23)</f>
        <v>0</v>
      </c>
      <c r="V8" s="117" t="str">
        <f t="shared" si="0"/>
        <v>ok</v>
      </c>
    </row>
    <row r="9" spans="2:25" x14ac:dyDescent="0.3">
      <c r="B9" s="18" t="str">
        <f>IF(COUNTIF(TRA_Comm!$C$29:$C$90,DEMAND_Pkm_Tkm!C9)=1,"X","De-Active")</f>
        <v>X</v>
      </c>
      <c r="C9" s="169" t="s">
        <v>586</v>
      </c>
      <c r="D9" s="169" t="s">
        <v>587</v>
      </c>
      <c r="E9" s="697">
        <f t="shared" si="1"/>
        <v>0</v>
      </c>
      <c r="F9" s="169" t="s">
        <v>582</v>
      </c>
      <c r="G9" s="915">
        <f>SUMIF(STAT_TRA_Survey_Pkm!$C$8:$C$23, DEMAND_Pkm_Tkm!$C9, STAT_TRA_Survey_Pkm!D$8:D$23)</f>
        <v>0</v>
      </c>
      <c r="H9" s="915">
        <f>SUMIF(STAT_TRA_Survey_Pkm!$C$8:$C$23, DEMAND_Pkm_Tkm!$C9, STAT_TRA_Survey_Pkm!E$8:E$23)</f>
        <v>0</v>
      </c>
      <c r="I9" s="915">
        <f>SUMIF(STAT_TRA_Survey_Pkm!$C$8:$C$23, DEMAND_Pkm_Tkm!$C9, STAT_TRA_Survey_Pkm!F$8:F$23)</f>
        <v>0</v>
      </c>
      <c r="J9" s="915">
        <f>SUMIF(STAT_TRA_Survey_Pkm!$C$8:$C$23, DEMAND_Pkm_Tkm!$C9, STAT_TRA_Survey_Pkm!G$8:G$23)</f>
        <v>0</v>
      </c>
      <c r="K9" s="915">
        <f>SUMIF(STAT_TRA_Survey_Pkm!$C$8:$C$23, DEMAND_Pkm_Tkm!$C9, STAT_TRA_Survey_Pkm!H$8:H$23)</f>
        <v>0</v>
      </c>
      <c r="L9" s="915">
        <f>SUMIF(STAT_TRA_Survey_Pkm!$C$8:$C$23, DEMAND_Pkm_Tkm!$C9, STAT_TRA_Survey_Pkm!I$8:I$23)</f>
        <v>0</v>
      </c>
      <c r="M9" s="915">
        <f>SUMIF(STAT_TRA_Survey_Pkm!$C$8:$C$23, DEMAND_Pkm_Tkm!$C9, STAT_TRA_Survey_Pkm!J$8:J$23)</f>
        <v>0</v>
      </c>
      <c r="N9" s="915">
        <f>SUMIF(STAT_TRA_Survey_Pkm!$C$8:$C$23, DEMAND_Pkm_Tkm!$C9, STAT_TRA_Survey_Pkm!K$8:K$23)</f>
        <v>0</v>
      </c>
      <c r="O9" s="915">
        <f>SUMIF(STAT_TRA_Survey_Pkm!$C$8:$C$23, DEMAND_Pkm_Tkm!$C9, STAT_TRA_Survey_Pkm!L$8:L$23)</f>
        <v>0</v>
      </c>
      <c r="P9" s="915">
        <f>SUMIF(STAT_TRA_Survey_Pkm!$C$8:$C$23, DEMAND_Pkm_Tkm!$C9, STAT_TRA_Survey_Pkm!M$8:M$23)</f>
        <v>0</v>
      </c>
      <c r="Q9" s="915">
        <f>SUMIF(STAT_TRA_Survey_Pkm!$C$8:$C$23, DEMAND_Pkm_Tkm!$C9, STAT_TRA_Survey_Pkm!N$8:N$23)</f>
        <v>0</v>
      </c>
      <c r="R9" s="915">
        <f>SUMIF(STAT_TRA_Survey_Pkm!$C$8:$C$23, DEMAND_Pkm_Tkm!$C9, STAT_TRA_Survey_Pkm!O$8:O$23)</f>
        <v>0</v>
      </c>
      <c r="S9" s="915">
        <f>SUMIF(STAT_TRA_Survey_Pkm!$C$8:$C$23, DEMAND_Pkm_Tkm!$C9, STAT_TRA_Survey_Pkm!P$8:P$23)</f>
        <v>0</v>
      </c>
      <c r="T9" s="915">
        <f>SUMIF(STAT_TRA_Survey_Pkm!$C$8:$C$23, DEMAND_Pkm_Tkm!$C9, STAT_TRA_Survey_Pkm!Q$8:Q$23)</f>
        <v>0</v>
      </c>
      <c r="U9" s="915">
        <f>SUMIF(STAT_TRA_Survey_Pkm!$C$8:$C$23, DEMAND_Pkm_Tkm!$C9, STAT_TRA_Survey_Pkm!R$8:R$23)</f>
        <v>0</v>
      </c>
      <c r="V9" s="117" t="str">
        <f t="shared" si="0"/>
        <v>ok</v>
      </c>
    </row>
    <row r="10" spans="2:25" x14ac:dyDescent="0.3">
      <c r="B10" s="18" t="str">
        <f>IF(COUNTIF(TRA_Comm!$C$29:$C$90,DEMAND_Pkm_Tkm!C10)=1,"X","De-Active")</f>
        <v>X</v>
      </c>
      <c r="C10" s="169" t="s">
        <v>414</v>
      </c>
      <c r="D10" s="169" t="s">
        <v>588</v>
      </c>
      <c r="E10" s="697">
        <f t="shared" si="1"/>
        <v>1344</v>
      </c>
      <c r="F10" s="169" t="s">
        <v>582</v>
      </c>
      <c r="G10" s="915">
        <f>SUMIF(STAT_TRA_Survey_Pkm!$C$8:$C$23, DEMAND_Pkm_Tkm!$C10, STAT_TRA_Survey_Pkm!D$8:D$23)</f>
        <v>1344</v>
      </c>
      <c r="H10" s="915">
        <f>SUMIF(STAT_TRA_Survey_Pkm!$C$8:$C$23, DEMAND_Pkm_Tkm!$C10, STAT_TRA_Survey_Pkm!E$8:E$23)</f>
        <v>0</v>
      </c>
      <c r="I10" s="915">
        <f>SUMIF(STAT_TRA_Survey_Pkm!$C$8:$C$23, DEMAND_Pkm_Tkm!$C10, STAT_TRA_Survey_Pkm!F$8:F$23)</f>
        <v>0</v>
      </c>
      <c r="J10" s="915">
        <f>SUMIF(STAT_TRA_Survey_Pkm!$C$8:$C$23, DEMAND_Pkm_Tkm!$C10, STAT_TRA_Survey_Pkm!G$8:G$23)</f>
        <v>0</v>
      </c>
      <c r="K10" s="915">
        <f>SUMIF(STAT_TRA_Survey_Pkm!$C$8:$C$23, DEMAND_Pkm_Tkm!$C10, STAT_TRA_Survey_Pkm!H$8:H$23)</f>
        <v>0</v>
      </c>
      <c r="L10" s="915">
        <f>SUMIF(STAT_TRA_Survey_Pkm!$C$8:$C$23, DEMAND_Pkm_Tkm!$C10, STAT_TRA_Survey_Pkm!I$8:I$23)</f>
        <v>0</v>
      </c>
      <c r="M10" s="915">
        <f>SUMIF(STAT_TRA_Survey_Pkm!$C$8:$C$23, DEMAND_Pkm_Tkm!$C10, STAT_TRA_Survey_Pkm!J$8:J$23)</f>
        <v>0</v>
      </c>
      <c r="N10" s="915">
        <f>SUMIF(STAT_TRA_Survey_Pkm!$C$8:$C$23, DEMAND_Pkm_Tkm!$C10, STAT_TRA_Survey_Pkm!K$8:K$23)</f>
        <v>0</v>
      </c>
      <c r="O10" s="915">
        <f>SUMIF(STAT_TRA_Survey_Pkm!$C$8:$C$23, DEMAND_Pkm_Tkm!$C10, STAT_TRA_Survey_Pkm!L$8:L$23)</f>
        <v>0</v>
      </c>
      <c r="P10" s="915">
        <f>SUMIF(STAT_TRA_Survey_Pkm!$C$8:$C$23, DEMAND_Pkm_Tkm!$C10, STAT_TRA_Survey_Pkm!M$8:M$23)</f>
        <v>0</v>
      </c>
      <c r="Q10" s="915">
        <f>SUMIF(STAT_TRA_Survey_Pkm!$C$8:$C$23, DEMAND_Pkm_Tkm!$C10, STAT_TRA_Survey_Pkm!N$8:N$23)</f>
        <v>0</v>
      </c>
      <c r="R10" s="915">
        <f>SUMIF(STAT_TRA_Survey_Pkm!$C$8:$C$23, DEMAND_Pkm_Tkm!$C10, STAT_TRA_Survey_Pkm!O$8:O$23)</f>
        <v>0</v>
      </c>
      <c r="S10" s="915">
        <f>SUMIF(STAT_TRA_Survey_Pkm!$C$8:$C$23, DEMAND_Pkm_Tkm!$C10, STAT_TRA_Survey_Pkm!P$8:P$23)</f>
        <v>0</v>
      </c>
      <c r="T10" s="915">
        <f>SUMIF(STAT_TRA_Survey_Pkm!$C$8:$C$23, DEMAND_Pkm_Tkm!$C10, STAT_TRA_Survey_Pkm!Q$8:Q$23)</f>
        <v>0</v>
      </c>
      <c r="U10" s="915">
        <f>SUMIF(STAT_TRA_Survey_Pkm!$C$8:$C$23, DEMAND_Pkm_Tkm!$C10, STAT_TRA_Survey_Pkm!R$8:R$23)</f>
        <v>0</v>
      </c>
      <c r="V10" s="117" t="str">
        <f t="shared" si="0"/>
        <v>ok</v>
      </c>
    </row>
    <row r="11" spans="2:25" x14ac:dyDescent="0.3">
      <c r="B11" s="18" t="str">
        <f>IF(COUNTIF(TRA_Comm!$C$29:$C$90,DEMAND_Pkm_Tkm!C11)=1,"X","De-Active")</f>
        <v>X</v>
      </c>
      <c r="C11" s="169" t="s">
        <v>589</v>
      </c>
      <c r="D11" s="169" t="s">
        <v>590</v>
      </c>
      <c r="E11" s="697">
        <f t="shared" si="1"/>
        <v>0</v>
      </c>
      <c r="F11" s="169" t="s">
        <v>582</v>
      </c>
      <c r="G11" s="915">
        <f>SUMIF(STAT_TRA_Survey_Pkm!$C$8:$C$23, DEMAND_Pkm_Tkm!$C11, STAT_TRA_Survey_Pkm!D$8:D$23)</f>
        <v>0</v>
      </c>
      <c r="H11" s="915">
        <f>SUMIF(STAT_TRA_Survey_Pkm!$C$8:$C$23, DEMAND_Pkm_Tkm!$C11, STAT_TRA_Survey_Pkm!E$8:E$23)</f>
        <v>0</v>
      </c>
      <c r="I11" s="915">
        <f>SUMIF(STAT_TRA_Survey_Pkm!$C$8:$C$23, DEMAND_Pkm_Tkm!$C11, STAT_TRA_Survey_Pkm!F$8:F$23)</f>
        <v>0</v>
      </c>
      <c r="J11" s="915">
        <f>SUMIF(STAT_TRA_Survey_Pkm!$C$8:$C$23, DEMAND_Pkm_Tkm!$C11, STAT_TRA_Survey_Pkm!G$8:G$23)</f>
        <v>0</v>
      </c>
      <c r="K11" s="915">
        <f>SUMIF(STAT_TRA_Survey_Pkm!$C$8:$C$23, DEMAND_Pkm_Tkm!$C11, STAT_TRA_Survey_Pkm!H$8:H$23)</f>
        <v>0</v>
      </c>
      <c r="L11" s="915">
        <f>SUMIF(STAT_TRA_Survey_Pkm!$C$8:$C$23, DEMAND_Pkm_Tkm!$C11, STAT_TRA_Survey_Pkm!I$8:I$23)</f>
        <v>0</v>
      </c>
      <c r="M11" s="915">
        <f>SUMIF(STAT_TRA_Survey_Pkm!$C$8:$C$23, DEMAND_Pkm_Tkm!$C11, STAT_TRA_Survey_Pkm!J$8:J$23)</f>
        <v>0</v>
      </c>
      <c r="N11" s="915">
        <f>SUMIF(STAT_TRA_Survey_Pkm!$C$8:$C$23, DEMAND_Pkm_Tkm!$C11, STAT_TRA_Survey_Pkm!K$8:K$23)</f>
        <v>0</v>
      </c>
      <c r="O11" s="915">
        <f>SUMIF(STAT_TRA_Survey_Pkm!$C$8:$C$23, DEMAND_Pkm_Tkm!$C11, STAT_TRA_Survey_Pkm!L$8:L$23)</f>
        <v>0</v>
      </c>
      <c r="P11" s="915">
        <f>SUMIF(STAT_TRA_Survey_Pkm!$C$8:$C$23, DEMAND_Pkm_Tkm!$C11, STAT_TRA_Survey_Pkm!M$8:M$23)</f>
        <v>0</v>
      </c>
      <c r="Q11" s="915">
        <f>SUMIF(STAT_TRA_Survey_Pkm!$C$8:$C$23, DEMAND_Pkm_Tkm!$C11, STAT_TRA_Survey_Pkm!N$8:N$23)</f>
        <v>0</v>
      </c>
      <c r="R11" s="915">
        <f>SUMIF(STAT_TRA_Survey_Pkm!$C$8:$C$23, DEMAND_Pkm_Tkm!$C11, STAT_TRA_Survey_Pkm!O$8:O$23)</f>
        <v>0</v>
      </c>
      <c r="S11" s="915">
        <f>SUMIF(STAT_TRA_Survey_Pkm!$C$8:$C$23, DEMAND_Pkm_Tkm!$C11, STAT_TRA_Survey_Pkm!P$8:P$23)</f>
        <v>0</v>
      </c>
      <c r="T11" s="915">
        <f>SUMIF(STAT_TRA_Survey_Pkm!$C$8:$C$23, DEMAND_Pkm_Tkm!$C11, STAT_TRA_Survey_Pkm!Q$8:Q$23)</f>
        <v>0</v>
      </c>
      <c r="U11" s="915">
        <f>SUMIF(STAT_TRA_Survey_Pkm!$C$8:$C$23, DEMAND_Pkm_Tkm!$C11, STAT_TRA_Survey_Pkm!R$8:R$23)</f>
        <v>0</v>
      </c>
      <c r="V11" s="117" t="str">
        <f t="shared" si="0"/>
        <v>ok</v>
      </c>
    </row>
    <row r="12" spans="2:25" x14ac:dyDescent="0.3">
      <c r="B12" s="18" t="str">
        <f>IF(COUNTIF(TRA_Comm!$C$29:$C$90,DEMAND_Pkm_Tkm!C12)=1,"X","De-Active")</f>
        <v>X</v>
      </c>
      <c r="C12" s="169" t="s">
        <v>415</v>
      </c>
      <c r="D12" s="169" t="s">
        <v>591</v>
      </c>
      <c r="E12" s="697">
        <f t="shared" si="1"/>
        <v>576</v>
      </c>
      <c r="F12" s="169" t="s">
        <v>582</v>
      </c>
      <c r="G12" s="915">
        <f>SUMIF(STAT_TRA_Survey_Pkm!$C$8:$C$23, DEMAND_Pkm_Tkm!$C12, STAT_TRA_Survey_Pkm!D$8:D$23)</f>
        <v>576</v>
      </c>
      <c r="H12" s="915">
        <f>SUMIF(STAT_TRA_Survey_Pkm!$C$8:$C$23, DEMAND_Pkm_Tkm!$C12, STAT_TRA_Survey_Pkm!E$8:E$23)</f>
        <v>0</v>
      </c>
      <c r="I12" s="915">
        <f>SUMIF(STAT_TRA_Survey_Pkm!$C$8:$C$23, DEMAND_Pkm_Tkm!$C12, STAT_TRA_Survey_Pkm!F$8:F$23)</f>
        <v>0</v>
      </c>
      <c r="J12" s="915">
        <f>SUMIF(STAT_TRA_Survey_Pkm!$C$8:$C$23, DEMAND_Pkm_Tkm!$C12, STAT_TRA_Survey_Pkm!G$8:G$23)</f>
        <v>0</v>
      </c>
      <c r="K12" s="915">
        <f>SUMIF(STAT_TRA_Survey_Pkm!$C$8:$C$23, DEMAND_Pkm_Tkm!$C12, STAT_TRA_Survey_Pkm!H$8:H$23)</f>
        <v>0</v>
      </c>
      <c r="L12" s="915">
        <f>SUMIF(STAT_TRA_Survey_Pkm!$C$8:$C$23, DEMAND_Pkm_Tkm!$C12, STAT_TRA_Survey_Pkm!I$8:I$23)</f>
        <v>0</v>
      </c>
      <c r="M12" s="915">
        <f>SUMIF(STAT_TRA_Survey_Pkm!$C$8:$C$23, DEMAND_Pkm_Tkm!$C12, STAT_TRA_Survey_Pkm!J$8:J$23)</f>
        <v>0</v>
      </c>
      <c r="N12" s="915">
        <f>SUMIF(STAT_TRA_Survey_Pkm!$C$8:$C$23, DEMAND_Pkm_Tkm!$C12, STAT_TRA_Survey_Pkm!K$8:K$23)</f>
        <v>0</v>
      </c>
      <c r="O12" s="915">
        <f>SUMIF(STAT_TRA_Survey_Pkm!$C$8:$C$23, DEMAND_Pkm_Tkm!$C12, STAT_TRA_Survey_Pkm!L$8:L$23)</f>
        <v>0</v>
      </c>
      <c r="P12" s="915">
        <f>SUMIF(STAT_TRA_Survey_Pkm!$C$8:$C$23, DEMAND_Pkm_Tkm!$C12, STAT_TRA_Survey_Pkm!M$8:M$23)</f>
        <v>0</v>
      </c>
      <c r="Q12" s="915">
        <f>SUMIF(STAT_TRA_Survey_Pkm!$C$8:$C$23, DEMAND_Pkm_Tkm!$C12, STAT_TRA_Survey_Pkm!N$8:N$23)</f>
        <v>0</v>
      </c>
      <c r="R12" s="915">
        <f>SUMIF(STAT_TRA_Survey_Pkm!$C$8:$C$23, DEMAND_Pkm_Tkm!$C12, STAT_TRA_Survey_Pkm!O$8:O$23)</f>
        <v>0</v>
      </c>
      <c r="S12" s="915">
        <f>SUMIF(STAT_TRA_Survey_Pkm!$C$8:$C$23, DEMAND_Pkm_Tkm!$C12, STAT_TRA_Survey_Pkm!P$8:P$23)</f>
        <v>0</v>
      </c>
      <c r="T12" s="915">
        <f>SUMIF(STAT_TRA_Survey_Pkm!$C$8:$C$23, DEMAND_Pkm_Tkm!$C12, STAT_TRA_Survey_Pkm!Q$8:Q$23)</f>
        <v>0</v>
      </c>
      <c r="U12" s="915">
        <f>SUMIF(STAT_TRA_Survey_Pkm!$C$8:$C$23, DEMAND_Pkm_Tkm!$C12, STAT_TRA_Survey_Pkm!R$8:R$23)</f>
        <v>0</v>
      </c>
      <c r="V12" s="117" t="str">
        <f t="shared" si="0"/>
        <v>ok</v>
      </c>
    </row>
    <row r="13" spans="2:25" x14ac:dyDescent="0.3">
      <c r="B13" s="18" t="str">
        <f>IF(COUNTIF(TRA_Comm!$C$29:$C$90,DEMAND_Pkm_Tkm!C13)=1,"X","De-Active")</f>
        <v>X</v>
      </c>
      <c r="C13" s="169" t="s">
        <v>592</v>
      </c>
      <c r="D13" s="169" t="s">
        <v>593</v>
      </c>
      <c r="E13" s="697">
        <f t="shared" si="1"/>
        <v>0</v>
      </c>
      <c r="F13" s="169" t="s">
        <v>582</v>
      </c>
      <c r="G13" s="915">
        <f>SUMIF(STAT_TRA_Survey_Pkm!$C$8:$C$23, DEMAND_Pkm_Tkm!$C13, STAT_TRA_Survey_Pkm!D$8:D$23)</f>
        <v>0</v>
      </c>
      <c r="H13" s="915">
        <f>SUMIF(STAT_TRA_Survey_Pkm!$C$8:$C$23, DEMAND_Pkm_Tkm!$C13, STAT_TRA_Survey_Pkm!E$8:E$23)</f>
        <v>0</v>
      </c>
      <c r="I13" s="915">
        <f>SUMIF(STAT_TRA_Survey_Pkm!$C$8:$C$23, DEMAND_Pkm_Tkm!$C13, STAT_TRA_Survey_Pkm!F$8:F$23)</f>
        <v>0</v>
      </c>
      <c r="J13" s="915">
        <f>SUMIF(STAT_TRA_Survey_Pkm!$C$8:$C$23, DEMAND_Pkm_Tkm!$C13, STAT_TRA_Survey_Pkm!G$8:G$23)</f>
        <v>0</v>
      </c>
      <c r="K13" s="915">
        <f>SUMIF(STAT_TRA_Survey_Pkm!$C$8:$C$23, DEMAND_Pkm_Tkm!$C13, STAT_TRA_Survey_Pkm!H$8:H$23)</f>
        <v>0</v>
      </c>
      <c r="L13" s="915">
        <f>SUMIF(STAT_TRA_Survey_Pkm!$C$8:$C$23, DEMAND_Pkm_Tkm!$C13, STAT_TRA_Survey_Pkm!I$8:I$23)</f>
        <v>0</v>
      </c>
      <c r="M13" s="915">
        <f>SUMIF(STAT_TRA_Survey_Pkm!$C$8:$C$23, DEMAND_Pkm_Tkm!$C13, STAT_TRA_Survey_Pkm!J$8:J$23)</f>
        <v>0</v>
      </c>
      <c r="N13" s="915">
        <f>SUMIF(STAT_TRA_Survey_Pkm!$C$8:$C$23, DEMAND_Pkm_Tkm!$C13, STAT_TRA_Survey_Pkm!K$8:K$23)</f>
        <v>0</v>
      </c>
      <c r="O13" s="915">
        <f>SUMIF(STAT_TRA_Survey_Pkm!$C$8:$C$23, DEMAND_Pkm_Tkm!$C13, STAT_TRA_Survey_Pkm!L$8:L$23)</f>
        <v>0</v>
      </c>
      <c r="P13" s="915">
        <f>SUMIF(STAT_TRA_Survey_Pkm!$C$8:$C$23, DEMAND_Pkm_Tkm!$C13, STAT_TRA_Survey_Pkm!M$8:M$23)</f>
        <v>0</v>
      </c>
      <c r="Q13" s="915">
        <f>SUMIF(STAT_TRA_Survey_Pkm!$C$8:$C$23, DEMAND_Pkm_Tkm!$C13, STAT_TRA_Survey_Pkm!N$8:N$23)</f>
        <v>0</v>
      </c>
      <c r="R13" s="915">
        <f>SUMIF(STAT_TRA_Survey_Pkm!$C$8:$C$23, DEMAND_Pkm_Tkm!$C13, STAT_TRA_Survey_Pkm!O$8:O$23)</f>
        <v>0</v>
      </c>
      <c r="S13" s="915">
        <f>SUMIF(STAT_TRA_Survey_Pkm!$C$8:$C$23, DEMAND_Pkm_Tkm!$C13, STAT_TRA_Survey_Pkm!P$8:P$23)</f>
        <v>0</v>
      </c>
      <c r="T13" s="915">
        <f>SUMIF(STAT_TRA_Survey_Pkm!$C$8:$C$23, DEMAND_Pkm_Tkm!$C13, STAT_TRA_Survey_Pkm!Q$8:Q$23)</f>
        <v>0</v>
      </c>
      <c r="U13" s="915">
        <f>SUMIF(STAT_TRA_Survey_Pkm!$C$8:$C$23, DEMAND_Pkm_Tkm!$C13, STAT_TRA_Survey_Pkm!R$8:R$23)</f>
        <v>0</v>
      </c>
      <c r="V13" s="117" t="str">
        <f t="shared" si="0"/>
        <v>ok</v>
      </c>
    </row>
    <row r="14" spans="2:25" x14ac:dyDescent="0.3">
      <c r="B14" s="18" t="str">
        <f>IF(COUNTIF(TRA_Comm!$C$29:$C$90,DEMAND_Pkm_Tkm!C14)=1,"X","De-Active")</f>
        <v>X</v>
      </c>
      <c r="C14" s="169" t="s">
        <v>402</v>
      </c>
      <c r="D14" s="169" t="s">
        <v>594</v>
      </c>
      <c r="E14" s="697">
        <f t="shared" si="1"/>
        <v>4794.12</v>
      </c>
      <c r="F14" s="169" t="s">
        <v>582</v>
      </c>
      <c r="G14" s="915">
        <f>SUMIF(STAT_TRA_Survey_Pkm!$C$8:$C$23, DEMAND_Pkm_Tkm!$C14, STAT_TRA_Survey_Pkm!D$8:D$23)</f>
        <v>4794.12</v>
      </c>
      <c r="H14" s="915">
        <f>SUMIF(STAT_TRA_Survey_Pkm!$C$8:$C$23, DEMAND_Pkm_Tkm!$C14, STAT_TRA_Survey_Pkm!E$8:E$23)</f>
        <v>0</v>
      </c>
      <c r="I14" s="915">
        <f>SUMIF(STAT_TRA_Survey_Pkm!$C$8:$C$23, DEMAND_Pkm_Tkm!$C14, STAT_TRA_Survey_Pkm!F$8:F$23)</f>
        <v>0</v>
      </c>
      <c r="J14" s="915">
        <f>SUMIF(STAT_TRA_Survey_Pkm!$C$8:$C$23, DEMAND_Pkm_Tkm!$C14, STAT_TRA_Survey_Pkm!G$8:G$23)</f>
        <v>0</v>
      </c>
      <c r="K14" s="915">
        <f>SUMIF(STAT_TRA_Survey_Pkm!$C$8:$C$23, DEMAND_Pkm_Tkm!$C14, STAT_TRA_Survey_Pkm!H$8:H$23)</f>
        <v>0</v>
      </c>
      <c r="L14" s="915">
        <f>SUMIF(STAT_TRA_Survey_Pkm!$C$8:$C$23, DEMAND_Pkm_Tkm!$C14, STAT_TRA_Survey_Pkm!I$8:I$23)</f>
        <v>0</v>
      </c>
      <c r="M14" s="915">
        <f>SUMIF(STAT_TRA_Survey_Pkm!$C$8:$C$23, DEMAND_Pkm_Tkm!$C14, STAT_TRA_Survey_Pkm!J$8:J$23)</f>
        <v>0</v>
      </c>
      <c r="N14" s="915">
        <f>SUMIF(STAT_TRA_Survey_Pkm!$C$8:$C$23, DEMAND_Pkm_Tkm!$C14, STAT_TRA_Survey_Pkm!K$8:K$23)</f>
        <v>0</v>
      </c>
      <c r="O14" s="915">
        <f>SUMIF(STAT_TRA_Survey_Pkm!$C$8:$C$23, DEMAND_Pkm_Tkm!$C14, STAT_TRA_Survey_Pkm!L$8:L$23)</f>
        <v>0</v>
      </c>
      <c r="P14" s="915">
        <f>SUMIF(STAT_TRA_Survey_Pkm!$C$8:$C$23, DEMAND_Pkm_Tkm!$C14, STAT_TRA_Survey_Pkm!M$8:M$23)</f>
        <v>0</v>
      </c>
      <c r="Q14" s="915">
        <f>SUMIF(STAT_TRA_Survey_Pkm!$C$8:$C$23, DEMAND_Pkm_Tkm!$C14, STAT_TRA_Survey_Pkm!N$8:N$23)</f>
        <v>0</v>
      </c>
      <c r="R14" s="915">
        <f>SUMIF(STAT_TRA_Survey_Pkm!$C$8:$C$23, DEMAND_Pkm_Tkm!$C14, STAT_TRA_Survey_Pkm!O$8:O$23)</f>
        <v>0</v>
      </c>
      <c r="S14" s="915">
        <f>SUMIF(STAT_TRA_Survey_Pkm!$C$8:$C$23, DEMAND_Pkm_Tkm!$C14, STAT_TRA_Survey_Pkm!P$8:P$23)</f>
        <v>0</v>
      </c>
      <c r="T14" s="915">
        <f>SUMIF(STAT_TRA_Survey_Pkm!$C$8:$C$23, DEMAND_Pkm_Tkm!$C14, STAT_TRA_Survey_Pkm!Q$8:Q$23)</f>
        <v>0</v>
      </c>
      <c r="U14" s="915">
        <f>SUMIF(STAT_TRA_Survey_Pkm!$C$8:$C$23, DEMAND_Pkm_Tkm!$C14, STAT_TRA_Survey_Pkm!R$8:R$23)</f>
        <v>0</v>
      </c>
      <c r="V14" s="117" t="str">
        <f>IF(E14=SUM(G14:U14),"ok","Too high/low")</f>
        <v>ok</v>
      </c>
      <c r="X14" s="580"/>
      <c r="Y14" s="581"/>
    </row>
    <row r="15" spans="2:25" x14ac:dyDescent="0.3">
      <c r="B15" s="18" t="str">
        <f>IF(COUNTIF(TRA_Comm!$C$29:$C$90,DEMAND_Pkm_Tkm!C15)=1,"X","De-Active")</f>
        <v>X</v>
      </c>
      <c r="C15" s="169" t="s">
        <v>406</v>
      </c>
      <c r="D15" s="169" t="s">
        <v>595</v>
      </c>
      <c r="E15" s="697">
        <f t="shared" si="1"/>
        <v>0</v>
      </c>
      <c r="F15" s="169" t="s">
        <v>582</v>
      </c>
      <c r="G15" s="915">
        <f>SUMIF(STAT_TRA_Survey_Pkm!$C$8:$C$23, DEMAND_Pkm_Tkm!$C15, STAT_TRA_Survey_Pkm!D$8:D$23)</f>
        <v>0</v>
      </c>
      <c r="H15" s="915">
        <f>SUMIF(STAT_TRA_Survey_Pkm!$C$8:$C$23, DEMAND_Pkm_Tkm!$C15, STAT_TRA_Survey_Pkm!E$8:E$23)</f>
        <v>0</v>
      </c>
      <c r="I15" s="915">
        <f>SUMIF(STAT_TRA_Survey_Pkm!$C$8:$C$23, DEMAND_Pkm_Tkm!$C15, STAT_TRA_Survey_Pkm!F$8:F$23)</f>
        <v>0</v>
      </c>
      <c r="J15" s="915">
        <f>SUMIF(STAT_TRA_Survey_Pkm!$C$8:$C$23, DEMAND_Pkm_Tkm!$C15, STAT_TRA_Survey_Pkm!G$8:G$23)</f>
        <v>0</v>
      </c>
      <c r="K15" s="915">
        <f>SUMIF(STAT_TRA_Survey_Pkm!$C$8:$C$23, DEMAND_Pkm_Tkm!$C15, STAT_TRA_Survey_Pkm!H$8:H$23)</f>
        <v>0</v>
      </c>
      <c r="L15" s="915">
        <f>SUMIF(STAT_TRA_Survey_Pkm!$C$8:$C$23, DEMAND_Pkm_Tkm!$C15, STAT_TRA_Survey_Pkm!I$8:I$23)</f>
        <v>0</v>
      </c>
      <c r="M15" s="915">
        <f>SUMIF(STAT_TRA_Survey_Pkm!$C$8:$C$23, DEMAND_Pkm_Tkm!$C15, STAT_TRA_Survey_Pkm!J$8:J$23)</f>
        <v>0</v>
      </c>
      <c r="N15" s="915">
        <f>SUMIF(STAT_TRA_Survey_Pkm!$C$8:$C$23, DEMAND_Pkm_Tkm!$C15, STAT_TRA_Survey_Pkm!K$8:K$23)</f>
        <v>0</v>
      </c>
      <c r="O15" s="915">
        <f>SUMIF(STAT_TRA_Survey_Pkm!$C$8:$C$23, DEMAND_Pkm_Tkm!$C15, STAT_TRA_Survey_Pkm!L$8:L$23)</f>
        <v>0</v>
      </c>
      <c r="P15" s="915">
        <f>SUMIF(STAT_TRA_Survey_Pkm!$C$8:$C$23, DEMAND_Pkm_Tkm!$C15, STAT_TRA_Survey_Pkm!M$8:M$23)</f>
        <v>0</v>
      </c>
      <c r="Q15" s="915">
        <f>SUMIF(STAT_TRA_Survey_Pkm!$C$8:$C$23, DEMAND_Pkm_Tkm!$C15, STAT_TRA_Survey_Pkm!N$8:N$23)</f>
        <v>0</v>
      </c>
      <c r="R15" s="915">
        <f>SUMIF(STAT_TRA_Survey_Pkm!$C$8:$C$23, DEMAND_Pkm_Tkm!$C15, STAT_TRA_Survey_Pkm!O$8:O$23)</f>
        <v>0</v>
      </c>
      <c r="S15" s="915">
        <f>SUMIF(STAT_TRA_Survey_Pkm!$C$8:$C$23, DEMAND_Pkm_Tkm!$C15, STAT_TRA_Survey_Pkm!P$8:P$23)</f>
        <v>0</v>
      </c>
      <c r="T15" s="915">
        <f>SUMIF(STAT_TRA_Survey_Pkm!$C$8:$C$23, DEMAND_Pkm_Tkm!$C15, STAT_TRA_Survey_Pkm!Q$8:Q$23)</f>
        <v>0</v>
      </c>
      <c r="U15" s="915">
        <f>SUMIF(STAT_TRA_Survey_Pkm!$C$8:$C$23, DEMAND_Pkm_Tkm!$C15, STAT_TRA_Survey_Pkm!R$8:R$23)</f>
        <v>0</v>
      </c>
      <c r="V15" s="117" t="str">
        <f t="shared" si="0"/>
        <v>ok</v>
      </c>
    </row>
    <row r="16" spans="2:25" x14ac:dyDescent="0.3">
      <c r="B16" s="18" t="str">
        <f>IF(COUNTIF(TRA_Comm!$C$29:$C$90,DEMAND_Pkm_Tkm!C16)=1,"X","De-Active")</f>
        <v>X</v>
      </c>
      <c r="C16" s="169" t="s">
        <v>410</v>
      </c>
      <c r="D16" s="169" t="s">
        <v>596</v>
      </c>
      <c r="E16" s="697">
        <f t="shared" si="1"/>
        <v>0</v>
      </c>
      <c r="F16" s="169" t="s">
        <v>582</v>
      </c>
      <c r="G16" s="915">
        <f>SUMIF(STAT_TRA_Survey_Pkm!$C$8:$C$23, DEMAND_Pkm_Tkm!$C16, STAT_TRA_Survey_Pkm!D$8:D$23)</f>
        <v>0</v>
      </c>
      <c r="H16" s="915">
        <f>SUMIF(STAT_TRA_Survey_Pkm!$C$8:$C$23, DEMAND_Pkm_Tkm!$C16, STAT_TRA_Survey_Pkm!E$8:E$23)</f>
        <v>0</v>
      </c>
      <c r="I16" s="915">
        <f>SUMIF(STAT_TRA_Survey_Pkm!$C$8:$C$23, DEMAND_Pkm_Tkm!$C16, STAT_TRA_Survey_Pkm!F$8:F$23)</f>
        <v>0</v>
      </c>
      <c r="J16" s="915">
        <f>SUMIF(STAT_TRA_Survey_Pkm!$C$8:$C$23, DEMAND_Pkm_Tkm!$C16, STAT_TRA_Survey_Pkm!G$8:G$23)</f>
        <v>0</v>
      </c>
      <c r="K16" s="915">
        <f>SUMIF(STAT_TRA_Survey_Pkm!$C$8:$C$23, DEMAND_Pkm_Tkm!$C16, STAT_TRA_Survey_Pkm!H$8:H$23)</f>
        <v>0</v>
      </c>
      <c r="L16" s="915">
        <f>SUMIF(STAT_TRA_Survey_Pkm!$C$8:$C$23, DEMAND_Pkm_Tkm!$C16, STAT_TRA_Survey_Pkm!I$8:I$23)</f>
        <v>0</v>
      </c>
      <c r="M16" s="915">
        <f>SUMIF(STAT_TRA_Survey_Pkm!$C$8:$C$23, DEMAND_Pkm_Tkm!$C16, STAT_TRA_Survey_Pkm!J$8:J$23)</f>
        <v>0</v>
      </c>
      <c r="N16" s="915">
        <f>SUMIF(STAT_TRA_Survey_Pkm!$C$8:$C$23, DEMAND_Pkm_Tkm!$C16, STAT_TRA_Survey_Pkm!K$8:K$23)</f>
        <v>0</v>
      </c>
      <c r="O16" s="915">
        <f>SUMIF(STAT_TRA_Survey_Pkm!$C$8:$C$23, DEMAND_Pkm_Tkm!$C16, STAT_TRA_Survey_Pkm!L$8:L$23)</f>
        <v>0</v>
      </c>
      <c r="P16" s="915">
        <f>SUMIF(STAT_TRA_Survey_Pkm!$C$8:$C$23, DEMAND_Pkm_Tkm!$C16, STAT_TRA_Survey_Pkm!M$8:M$23)</f>
        <v>0</v>
      </c>
      <c r="Q16" s="915">
        <f>SUMIF(STAT_TRA_Survey_Pkm!$C$8:$C$23, DEMAND_Pkm_Tkm!$C16, STAT_TRA_Survey_Pkm!N$8:N$23)</f>
        <v>0</v>
      </c>
      <c r="R16" s="915">
        <f>SUMIF(STAT_TRA_Survey_Pkm!$C$8:$C$23, DEMAND_Pkm_Tkm!$C16, STAT_TRA_Survey_Pkm!O$8:O$23)</f>
        <v>0</v>
      </c>
      <c r="S16" s="915">
        <f>SUMIF(STAT_TRA_Survey_Pkm!$C$8:$C$23, DEMAND_Pkm_Tkm!$C16, STAT_TRA_Survey_Pkm!P$8:P$23)</f>
        <v>0</v>
      </c>
      <c r="T16" s="915">
        <f>SUMIF(STAT_TRA_Survey_Pkm!$C$8:$C$23, DEMAND_Pkm_Tkm!$C16, STAT_TRA_Survey_Pkm!Q$8:Q$23)</f>
        <v>0</v>
      </c>
      <c r="U16" s="915">
        <f>SUMIF(STAT_TRA_Survey_Pkm!$C$8:$C$23, DEMAND_Pkm_Tkm!$C16, STAT_TRA_Survey_Pkm!R$8:R$23)</f>
        <v>0</v>
      </c>
      <c r="V16" s="117" t="str">
        <f t="shared" si="0"/>
        <v>ok</v>
      </c>
    </row>
    <row r="17" spans="2:22" x14ac:dyDescent="0.3">
      <c r="B17" s="18" t="str">
        <f>IF(COUNTIF(TRA_Comm!$C$29:$C$90,DEMAND_Pkm_Tkm!C17)=1,"X","De-Active")</f>
        <v>X</v>
      </c>
      <c r="C17" s="169" t="s">
        <v>404</v>
      </c>
      <c r="D17" s="169" t="s">
        <v>597</v>
      </c>
      <c r="E17" s="697">
        <f t="shared" si="1"/>
        <v>3196.08</v>
      </c>
      <c r="F17" s="169" t="s">
        <v>582</v>
      </c>
      <c r="G17" s="915">
        <f>SUMIF(STAT_TRA_Survey_Pkm!$C$8:$C$23, DEMAND_Pkm_Tkm!$C17, STAT_TRA_Survey_Pkm!D$8:D$23)</f>
        <v>3196.08</v>
      </c>
      <c r="H17" s="915">
        <f>SUMIF(STAT_TRA_Survey_Pkm!$C$8:$C$23, DEMAND_Pkm_Tkm!$C17, STAT_TRA_Survey_Pkm!E$8:E$23)</f>
        <v>0</v>
      </c>
      <c r="I17" s="915">
        <f>SUMIF(STAT_TRA_Survey_Pkm!$C$8:$C$23, DEMAND_Pkm_Tkm!$C17, STAT_TRA_Survey_Pkm!F$8:F$23)</f>
        <v>0</v>
      </c>
      <c r="J17" s="915">
        <f>SUMIF(STAT_TRA_Survey_Pkm!$C$8:$C$23, DEMAND_Pkm_Tkm!$C17, STAT_TRA_Survey_Pkm!G$8:G$23)</f>
        <v>0</v>
      </c>
      <c r="K17" s="915">
        <f>SUMIF(STAT_TRA_Survey_Pkm!$C$8:$C$23, DEMAND_Pkm_Tkm!$C17, STAT_TRA_Survey_Pkm!H$8:H$23)</f>
        <v>0</v>
      </c>
      <c r="L17" s="915">
        <f>SUMIF(STAT_TRA_Survey_Pkm!$C$8:$C$23, DEMAND_Pkm_Tkm!$C17, STAT_TRA_Survey_Pkm!I$8:I$23)</f>
        <v>0</v>
      </c>
      <c r="M17" s="915">
        <f>SUMIF(STAT_TRA_Survey_Pkm!$C$8:$C$23, DEMAND_Pkm_Tkm!$C17, STAT_TRA_Survey_Pkm!J$8:J$23)</f>
        <v>0</v>
      </c>
      <c r="N17" s="915">
        <f>SUMIF(STAT_TRA_Survey_Pkm!$C$8:$C$23, DEMAND_Pkm_Tkm!$C17, STAT_TRA_Survey_Pkm!K$8:K$23)</f>
        <v>0</v>
      </c>
      <c r="O17" s="915">
        <f>SUMIF(STAT_TRA_Survey_Pkm!$C$8:$C$23, DEMAND_Pkm_Tkm!$C17, STAT_TRA_Survey_Pkm!L$8:L$23)</f>
        <v>0</v>
      </c>
      <c r="P17" s="915">
        <f>SUMIF(STAT_TRA_Survey_Pkm!$C$8:$C$23, DEMAND_Pkm_Tkm!$C17, STAT_TRA_Survey_Pkm!M$8:M$23)</f>
        <v>0</v>
      </c>
      <c r="Q17" s="915">
        <f>SUMIF(STAT_TRA_Survey_Pkm!$C$8:$C$23, DEMAND_Pkm_Tkm!$C17, STAT_TRA_Survey_Pkm!N$8:N$23)</f>
        <v>0</v>
      </c>
      <c r="R17" s="915">
        <f>SUMIF(STAT_TRA_Survey_Pkm!$C$8:$C$23, DEMAND_Pkm_Tkm!$C17, STAT_TRA_Survey_Pkm!O$8:O$23)</f>
        <v>0</v>
      </c>
      <c r="S17" s="915">
        <f>SUMIF(STAT_TRA_Survey_Pkm!$C$8:$C$23, DEMAND_Pkm_Tkm!$C17, STAT_TRA_Survey_Pkm!P$8:P$23)</f>
        <v>0</v>
      </c>
      <c r="T17" s="915">
        <f>SUMIF(STAT_TRA_Survey_Pkm!$C$8:$C$23, DEMAND_Pkm_Tkm!$C17, STAT_TRA_Survey_Pkm!Q$8:Q$23)</f>
        <v>0</v>
      </c>
      <c r="U17" s="915">
        <f>SUMIF(STAT_TRA_Survey_Pkm!$C$8:$C$23, DEMAND_Pkm_Tkm!$C17, STAT_TRA_Survey_Pkm!R$8:R$23)</f>
        <v>0</v>
      </c>
      <c r="V17" s="117" t="str">
        <f t="shared" si="0"/>
        <v>ok</v>
      </c>
    </row>
    <row r="18" spans="2:22" x14ac:dyDescent="0.3">
      <c r="B18" s="18" t="str">
        <f>IF(COUNTIF(TRA_Comm!$C$29:$C$90,DEMAND_Pkm_Tkm!C18)=1,"X","De-Active")</f>
        <v>X</v>
      </c>
      <c r="C18" s="169" t="s">
        <v>408</v>
      </c>
      <c r="D18" s="169" t="s">
        <v>598</v>
      </c>
      <c r="E18" s="697">
        <f>SUM(G18:U18)</f>
        <v>0</v>
      </c>
      <c r="F18" s="169" t="s">
        <v>582</v>
      </c>
      <c r="G18" s="915">
        <f>SUMIF(STAT_TRA_Survey_Pkm!$C$8:$C$23, DEMAND_Pkm_Tkm!$C18, STAT_TRA_Survey_Pkm!D$8:D$23)</f>
        <v>0</v>
      </c>
      <c r="H18" s="915">
        <f>SUMIF(STAT_TRA_Survey_Pkm!$C$8:$C$23, DEMAND_Pkm_Tkm!$C18, STAT_TRA_Survey_Pkm!E$8:E$23)</f>
        <v>0</v>
      </c>
      <c r="I18" s="915">
        <f>SUMIF(STAT_TRA_Survey_Pkm!$C$8:$C$23, DEMAND_Pkm_Tkm!$C18, STAT_TRA_Survey_Pkm!F$8:F$23)</f>
        <v>0</v>
      </c>
      <c r="J18" s="915">
        <f>SUMIF(STAT_TRA_Survey_Pkm!$C$8:$C$23, DEMAND_Pkm_Tkm!$C18, STAT_TRA_Survey_Pkm!G$8:G$23)</f>
        <v>0</v>
      </c>
      <c r="K18" s="915">
        <f>SUMIF(STAT_TRA_Survey_Pkm!$C$8:$C$23, DEMAND_Pkm_Tkm!$C18, STAT_TRA_Survey_Pkm!H$8:H$23)</f>
        <v>0</v>
      </c>
      <c r="L18" s="915">
        <f>SUMIF(STAT_TRA_Survey_Pkm!$C$8:$C$23, DEMAND_Pkm_Tkm!$C18, STAT_TRA_Survey_Pkm!I$8:I$23)</f>
        <v>0</v>
      </c>
      <c r="M18" s="915">
        <f>SUMIF(STAT_TRA_Survey_Pkm!$C$8:$C$23, DEMAND_Pkm_Tkm!$C18, STAT_TRA_Survey_Pkm!J$8:J$23)</f>
        <v>0</v>
      </c>
      <c r="N18" s="915">
        <f>SUMIF(STAT_TRA_Survey_Pkm!$C$8:$C$23, DEMAND_Pkm_Tkm!$C18, STAT_TRA_Survey_Pkm!K$8:K$23)</f>
        <v>0</v>
      </c>
      <c r="O18" s="915">
        <f>SUMIF(STAT_TRA_Survey_Pkm!$C$8:$C$23, DEMAND_Pkm_Tkm!$C18, STAT_TRA_Survey_Pkm!L$8:L$23)</f>
        <v>0</v>
      </c>
      <c r="P18" s="915">
        <f>SUMIF(STAT_TRA_Survey_Pkm!$C$8:$C$23, DEMAND_Pkm_Tkm!$C18, STAT_TRA_Survey_Pkm!M$8:M$23)</f>
        <v>0</v>
      </c>
      <c r="Q18" s="915">
        <f>SUMIF(STAT_TRA_Survey_Pkm!$C$8:$C$23, DEMAND_Pkm_Tkm!$C18, STAT_TRA_Survey_Pkm!N$8:N$23)</f>
        <v>0</v>
      </c>
      <c r="R18" s="915">
        <f>SUMIF(STAT_TRA_Survey_Pkm!$C$8:$C$23, DEMAND_Pkm_Tkm!$C18, STAT_TRA_Survey_Pkm!O$8:O$23)</f>
        <v>0</v>
      </c>
      <c r="S18" s="915">
        <f>SUMIF(STAT_TRA_Survey_Pkm!$C$8:$C$23, DEMAND_Pkm_Tkm!$C18, STAT_TRA_Survey_Pkm!P$8:P$23)</f>
        <v>0</v>
      </c>
      <c r="T18" s="915">
        <f>SUMIF(STAT_TRA_Survey_Pkm!$C$8:$C$23, DEMAND_Pkm_Tkm!$C18, STAT_TRA_Survey_Pkm!Q$8:Q$23)</f>
        <v>0</v>
      </c>
      <c r="U18" s="915">
        <f>SUMIF(STAT_TRA_Survey_Pkm!$C$8:$C$23, DEMAND_Pkm_Tkm!$C18, STAT_TRA_Survey_Pkm!R$8:R$23)</f>
        <v>0</v>
      </c>
      <c r="V18" s="117" t="str">
        <f t="shared" si="0"/>
        <v>ok</v>
      </c>
    </row>
    <row r="19" spans="2:22" x14ac:dyDescent="0.3">
      <c r="B19" s="18" t="str">
        <f>IF(COUNTIF(TRA_Comm!$C$29:$C$90,DEMAND_Pkm_Tkm!C19)=1,"X","De-Active")</f>
        <v>X</v>
      </c>
      <c r="C19" s="169" t="s">
        <v>412</v>
      </c>
      <c r="D19" s="169" t="s">
        <v>599</v>
      </c>
      <c r="E19" s="697">
        <f t="shared" si="1"/>
        <v>0</v>
      </c>
      <c r="F19" s="169" t="s">
        <v>582</v>
      </c>
      <c r="G19" s="915">
        <f>SUMIF(STAT_TRA_Survey_Pkm!$C$8:$C$23, DEMAND_Pkm_Tkm!$C19, STAT_TRA_Survey_Pkm!D$8:D$23)</f>
        <v>0</v>
      </c>
      <c r="H19" s="915">
        <f>SUMIF(STAT_TRA_Survey_Pkm!$C$8:$C$23, DEMAND_Pkm_Tkm!$C19, STAT_TRA_Survey_Pkm!E$8:E$23)</f>
        <v>0</v>
      </c>
      <c r="I19" s="915">
        <f>SUMIF(STAT_TRA_Survey_Pkm!$C$8:$C$23, DEMAND_Pkm_Tkm!$C19, STAT_TRA_Survey_Pkm!F$8:F$23)</f>
        <v>0</v>
      </c>
      <c r="J19" s="915">
        <f>SUMIF(STAT_TRA_Survey_Pkm!$C$8:$C$23, DEMAND_Pkm_Tkm!$C19, STAT_TRA_Survey_Pkm!G$8:G$23)</f>
        <v>0</v>
      </c>
      <c r="K19" s="915">
        <f>SUMIF(STAT_TRA_Survey_Pkm!$C$8:$C$23, DEMAND_Pkm_Tkm!$C19, STAT_TRA_Survey_Pkm!H$8:H$23)</f>
        <v>0</v>
      </c>
      <c r="L19" s="915">
        <f>SUMIF(STAT_TRA_Survey_Pkm!$C$8:$C$23, DEMAND_Pkm_Tkm!$C19, STAT_TRA_Survey_Pkm!I$8:I$23)</f>
        <v>0</v>
      </c>
      <c r="M19" s="915">
        <f>SUMIF(STAT_TRA_Survey_Pkm!$C$8:$C$23, DEMAND_Pkm_Tkm!$C19, STAT_TRA_Survey_Pkm!J$8:J$23)</f>
        <v>0</v>
      </c>
      <c r="N19" s="915">
        <f>SUMIF(STAT_TRA_Survey_Pkm!$C$8:$C$23, DEMAND_Pkm_Tkm!$C19, STAT_TRA_Survey_Pkm!K$8:K$23)</f>
        <v>0</v>
      </c>
      <c r="O19" s="915">
        <f>SUMIF(STAT_TRA_Survey_Pkm!$C$8:$C$23, DEMAND_Pkm_Tkm!$C19, STAT_TRA_Survey_Pkm!L$8:L$23)</f>
        <v>0</v>
      </c>
      <c r="P19" s="915">
        <f>SUMIF(STAT_TRA_Survey_Pkm!$C$8:$C$23, DEMAND_Pkm_Tkm!$C19, STAT_TRA_Survey_Pkm!M$8:M$23)</f>
        <v>0</v>
      </c>
      <c r="Q19" s="915">
        <f>SUMIF(STAT_TRA_Survey_Pkm!$C$8:$C$23, DEMAND_Pkm_Tkm!$C19, STAT_TRA_Survey_Pkm!N$8:N$23)</f>
        <v>0</v>
      </c>
      <c r="R19" s="915">
        <f>SUMIF(STAT_TRA_Survey_Pkm!$C$8:$C$23, DEMAND_Pkm_Tkm!$C19, STAT_TRA_Survey_Pkm!O$8:O$23)</f>
        <v>0</v>
      </c>
      <c r="S19" s="915">
        <f>SUMIF(STAT_TRA_Survey_Pkm!$C$8:$C$23, DEMAND_Pkm_Tkm!$C19, STAT_TRA_Survey_Pkm!P$8:P$23)</f>
        <v>0</v>
      </c>
      <c r="T19" s="915">
        <f>SUMIF(STAT_TRA_Survey_Pkm!$C$8:$C$23, DEMAND_Pkm_Tkm!$C19, STAT_TRA_Survey_Pkm!Q$8:Q$23)</f>
        <v>0</v>
      </c>
      <c r="U19" s="915">
        <f>SUMIF(STAT_TRA_Survey_Pkm!$C$8:$C$23, DEMAND_Pkm_Tkm!$C19, STAT_TRA_Survey_Pkm!R$8:R$23)</f>
        <v>0</v>
      </c>
      <c r="V19" s="117" t="str">
        <f t="shared" si="0"/>
        <v>ok</v>
      </c>
    </row>
    <row r="20" spans="2:22" x14ac:dyDescent="0.3">
      <c r="B20" s="18" t="str">
        <f>IF(COUNTIF(TRA_Comm!$C$29:$C$90,DEMAND_Pkm_Tkm!C20)=1,"X","De-Active")</f>
        <v>X</v>
      </c>
      <c r="C20" s="169" t="s">
        <v>400</v>
      </c>
      <c r="D20" s="169" t="s">
        <v>600</v>
      </c>
      <c r="E20" s="697">
        <f t="shared" si="1"/>
        <v>0</v>
      </c>
      <c r="F20" s="169" t="s">
        <v>582</v>
      </c>
      <c r="G20" s="915">
        <f>SUMIF(STAT_TRA_Survey_Pkm!$C$8:$C$23, DEMAND_Pkm_Tkm!$C20, STAT_TRA_Survey_Pkm!D$8:D$23)</f>
        <v>0</v>
      </c>
      <c r="H20" s="915">
        <f>SUMIF(STAT_TRA_Survey_Pkm!$C$8:$C$23, DEMAND_Pkm_Tkm!$C20, STAT_TRA_Survey_Pkm!E$8:E$23)</f>
        <v>0</v>
      </c>
      <c r="I20" s="915">
        <f>SUMIF(STAT_TRA_Survey_Pkm!$C$8:$C$23, DEMAND_Pkm_Tkm!$C20, STAT_TRA_Survey_Pkm!F$8:F$23)</f>
        <v>0</v>
      </c>
      <c r="J20" s="915">
        <f>SUMIF(STAT_TRA_Survey_Pkm!$C$8:$C$23, DEMAND_Pkm_Tkm!$C20, STAT_TRA_Survey_Pkm!G$8:G$23)</f>
        <v>0</v>
      </c>
      <c r="K20" s="915">
        <f>SUMIF(STAT_TRA_Survey_Pkm!$C$8:$C$23, DEMAND_Pkm_Tkm!$C20, STAT_TRA_Survey_Pkm!H$8:H$23)</f>
        <v>0</v>
      </c>
      <c r="L20" s="915">
        <f>SUMIF(STAT_TRA_Survey_Pkm!$C$8:$C$23, DEMAND_Pkm_Tkm!$C20, STAT_TRA_Survey_Pkm!I$8:I$23)</f>
        <v>0</v>
      </c>
      <c r="M20" s="915">
        <f>SUMIF(STAT_TRA_Survey_Pkm!$C$8:$C$23, DEMAND_Pkm_Tkm!$C20, STAT_TRA_Survey_Pkm!J$8:J$23)</f>
        <v>0</v>
      </c>
      <c r="N20" s="915">
        <f>SUMIF(STAT_TRA_Survey_Pkm!$C$8:$C$23, DEMAND_Pkm_Tkm!$C20, STAT_TRA_Survey_Pkm!K$8:K$23)</f>
        <v>0</v>
      </c>
      <c r="O20" s="915">
        <f>SUMIF(STAT_TRA_Survey_Pkm!$C$8:$C$23, DEMAND_Pkm_Tkm!$C20, STAT_TRA_Survey_Pkm!L$8:L$23)</f>
        <v>0</v>
      </c>
      <c r="P20" s="915">
        <f>SUMIF(STAT_TRA_Survey_Pkm!$C$8:$C$23, DEMAND_Pkm_Tkm!$C20, STAT_TRA_Survey_Pkm!M$8:M$23)</f>
        <v>0</v>
      </c>
      <c r="Q20" s="915">
        <f>SUMIF(STAT_TRA_Survey_Pkm!$C$8:$C$23, DEMAND_Pkm_Tkm!$C20, STAT_TRA_Survey_Pkm!N$8:N$23)</f>
        <v>0</v>
      </c>
      <c r="R20" s="915">
        <f>SUMIF(STAT_TRA_Survey_Pkm!$C$8:$C$23, DEMAND_Pkm_Tkm!$C20, STAT_TRA_Survey_Pkm!O$8:O$23)</f>
        <v>0</v>
      </c>
      <c r="S20" s="915">
        <f>SUMIF(STAT_TRA_Survey_Pkm!$C$8:$C$23, DEMAND_Pkm_Tkm!$C20, STAT_TRA_Survey_Pkm!P$8:P$23)</f>
        <v>0</v>
      </c>
      <c r="T20" s="915">
        <f>SUMIF(STAT_TRA_Survey_Pkm!$C$8:$C$23, DEMAND_Pkm_Tkm!$C20, STAT_TRA_Survey_Pkm!Q$8:Q$23)</f>
        <v>0</v>
      </c>
      <c r="U20" s="915">
        <f>SUMIF(STAT_TRA_Survey_Pkm!$C$8:$C$23, DEMAND_Pkm_Tkm!$C20, STAT_TRA_Survey_Pkm!R$8:R$23)</f>
        <v>0</v>
      </c>
      <c r="V20" s="117" t="str">
        <f t="shared" si="0"/>
        <v>ok</v>
      </c>
    </row>
    <row r="21" spans="2:22" x14ac:dyDescent="0.3">
      <c r="B21" s="18" t="str">
        <f>IF(COUNTIF(TRA_Comm!$C$29:$C$90,DEMAND_Pkm_Tkm!C21)=1,"X","De-Active")</f>
        <v>X</v>
      </c>
      <c r="C21" s="169" t="s">
        <v>479</v>
      </c>
      <c r="D21" s="169" t="s">
        <v>601</v>
      </c>
      <c r="E21" s="697">
        <f t="shared" si="1"/>
        <v>0</v>
      </c>
      <c r="F21" s="169" t="s">
        <v>582</v>
      </c>
      <c r="G21" s="915">
        <f>SUMIF(STAT_TRA_Survey_Pkm!$C$8:$C$23, DEMAND_Pkm_Tkm!$C21, STAT_TRA_Survey_Pkm!D$8:D$23)</f>
        <v>0</v>
      </c>
      <c r="H21" s="915">
        <f>SUMIF(STAT_TRA_Survey_Pkm!$C$8:$C$23, DEMAND_Pkm_Tkm!$C21, STAT_TRA_Survey_Pkm!E$8:E$23)</f>
        <v>0</v>
      </c>
      <c r="I21" s="915">
        <f>SUMIF(STAT_TRA_Survey_Pkm!$C$8:$C$23, DEMAND_Pkm_Tkm!$C21, STAT_TRA_Survey_Pkm!F$8:F$23)</f>
        <v>0</v>
      </c>
      <c r="J21" s="915">
        <f>SUMIF(STAT_TRA_Survey_Pkm!$C$8:$C$23, DEMAND_Pkm_Tkm!$C21, STAT_TRA_Survey_Pkm!G$8:G$23)</f>
        <v>0</v>
      </c>
      <c r="K21" s="915">
        <f>SUMIF(STAT_TRA_Survey_Pkm!$C$8:$C$23, DEMAND_Pkm_Tkm!$C21, STAT_TRA_Survey_Pkm!H$8:H$23)</f>
        <v>0</v>
      </c>
      <c r="L21" s="915">
        <f>SUMIF(STAT_TRA_Survey_Pkm!$C$8:$C$23, DEMAND_Pkm_Tkm!$C21, STAT_TRA_Survey_Pkm!I$8:I$23)</f>
        <v>0</v>
      </c>
      <c r="M21" s="915">
        <f>SUMIF(STAT_TRA_Survey_Pkm!$C$8:$C$23, DEMAND_Pkm_Tkm!$C21, STAT_TRA_Survey_Pkm!J$8:J$23)</f>
        <v>0</v>
      </c>
      <c r="N21" s="915">
        <f>SUMIF(STAT_TRA_Survey_Pkm!$C$8:$C$23, DEMAND_Pkm_Tkm!$C21, STAT_TRA_Survey_Pkm!K$8:K$23)</f>
        <v>0</v>
      </c>
      <c r="O21" s="915">
        <f>SUMIF(STAT_TRA_Survey_Pkm!$C$8:$C$23, DEMAND_Pkm_Tkm!$C21, STAT_TRA_Survey_Pkm!L$8:L$23)</f>
        <v>0</v>
      </c>
      <c r="P21" s="915">
        <f>SUMIF(STAT_TRA_Survey_Pkm!$C$8:$C$23, DEMAND_Pkm_Tkm!$C21, STAT_TRA_Survey_Pkm!M$8:M$23)</f>
        <v>0</v>
      </c>
      <c r="Q21" s="915">
        <f>SUMIF(STAT_TRA_Survey_Pkm!$C$8:$C$23, DEMAND_Pkm_Tkm!$C21, STAT_TRA_Survey_Pkm!N$8:N$23)</f>
        <v>0</v>
      </c>
      <c r="R21" s="915">
        <f>SUMIF(STAT_TRA_Survey_Pkm!$C$8:$C$23, DEMAND_Pkm_Tkm!$C21, STAT_TRA_Survey_Pkm!O$8:O$23)</f>
        <v>0</v>
      </c>
      <c r="S21" s="915">
        <f>SUMIF(STAT_TRA_Survey_Pkm!$C$8:$C$23, DEMAND_Pkm_Tkm!$C21, STAT_TRA_Survey_Pkm!P$8:P$23)</f>
        <v>0</v>
      </c>
      <c r="T21" s="915">
        <f>SUMIF(STAT_TRA_Survey_Pkm!$C$8:$C$23, DEMAND_Pkm_Tkm!$C21, STAT_TRA_Survey_Pkm!Q$8:Q$23)</f>
        <v>0</v>
      </c>
      <c r="U21" s="915">
        <f>SUMIF(STAT_TRA_Survey_Pkm!$C$8:$C$23, DEMAND_Pkm_Tkm!$C21, STAT_TRA_Survey_Pkm!R$8:R$23)</f>
        <v>0</v>
      </c>
      <c r="V21" s="117" t="str">
        <f t="shared" si="0"/>
        <v>ok</v>
      </c>
    </row>
    <row r="22" spans="2:22" x14ac:dyDescent="0.3">
      <c r="B22" s="18" t="str">
        <f>IF(COUNTIF(TRA_Comm!$C$29:$C$90,DEMAND_Pkm_Tkm!C22)=1,"X","De-Active")</f>
        <v>X</v>
      </c>
      <c r="C22" s="169" t="s">
        <v>76</v>
      </c>
      <c r="D22" s="169" t="s">
        <v>602</v>
      </c>
      <c r="E22" s="697">
        <f t="shared" si="1"/>
        <v>0</v>
      </c>
      <c r="F22" s="169" t="s">
        <v>582</v>
      </c>
      <c r="G22" s="915">
        <f>SUMIF(STAT_TRA_Survey_Pkm!$C$8:$C$23, DEMAND_Pkm_Tkm!$C22, STAT_TRA_Survey_Pkm!D$8:D$23)</f>
        <v>0</v>
      </c>
      <c r="H22" s="915">
        <f>SUMIF(STAT_TRA_Survey_Pkm!$C$8:$C$23, DEMAND_Pkm_Tkm!$C22, STAT_TRA_Survey_Pkm!E$8:E$23)</f>
        <v>0</v>
      </c>
      <c r="I22" s="915">
        <f>SUMIF(STAT_TRA_Survey_Pkm!$C$8:$C$23, DEMAND_Pkm_Tkm!$C22, STAT_TRA_Survey_Pkm!F$8:F$23)</f>
        <v>0</v>
      </c>
      <c r="J22" s="915">
        <f>SUMIF(STAT_TRA_Survey_Pkm!$C$8:$C$23, DEMAND_Pkm_Tkm!$C22, STAT_TRA_Survey_Pkm!G$8:G$23)</f>
        <v>0</v>
      </c>
      <c r="K22" s="915">
        <f>SUMIF(STAT_TRA_Survey_Pkm!$C$8:$C$23, DEMAND_Pkm_Tkm!$C22, STAT_TRA_Survey_Pkm!H$8:H$23)</f>
        <v>0</v>
      </c>
      <c r="L22" s="915">
        <f>SUMIF(STAT_TRA_Survey_Pkm!$C$8:$C$23, DEMAND_Pkm_Tkm!$C22, STAT_TRA_Survey_Pkm!I$8:I$23)</f>
        <v>0</v>
      </c>
      <c r="M22" s="915">
        <f>SUMIF(STAT_TRA_Survey_Pkm!$C$8:$C$23, DEMAND_Pkm_Tkm!$C22, STAT_TRA_Survey_Pkm!J$8:J$23)</f>
        <v>0</v>
      </c>
      <c r="N22" s="915">
        <f>SUMIF(STAT_TRA_Survey_Pkm!$C$8:$C$23, DEMAND_Pkm_Tkm!$C22, STAT_TRA_Survey_Pkm!K$8:K$23)</f>
        <v>0</v>
      </c>
      <c r="O22" s="915">
        <f>SUMIF(STAT_TRA_Survey_Pkm!$C$8:$C$23, DEMAND_Pkm_Tkm!$C22, STAT_TRA_Survey_Pkm!L$8:L$23)</f>
        <v>0</v>
      </c>
      <c r="P22" s="915">
        <f>SUMIF(STAT_TRA_Survey_Pkm!$C$8:$C$23, DEMAND_Pkm_Tkm!$C22, STAT_TRA_Survey_Pkm!M$8:M$23)</f>
        <v>0</v>
      </c>
      <c r="Q22" s="915">
        <f>SUMIF(STAT_TRA_Survey_Pkm!$C$8:$C$23, DEMAND_Pkm_Tkm!$C22, STAT_TRA_Survey_Pkm!N$8:N$23)</f>
        <v>0</v>
      </c>
      <c r="R22" s="915">
        <f>SUMIF(STAT_TRA_Survey_Pkm!$C$8:$C$23, DEMAND_Pkm_Tkm!$C22, STAT_TRA_Survey_Pkm!O$8:O$23)</f>
        <v>0</v>
      </c>
      <c r="S22" s="915">
        <f>SUMIF(STAT_TRA_Survey_Pkm!$C$8:$C$23, DEMAND_Pkm_Tkm!$C22, STAT_TRA_Survey_Pkm!P$8:P$23)</f>
        <v>0</v>
      </c>
      <c r="T22" s="915">
        <f>SUMIF(STAT_TRA_Survey_Pkm!$C$8:$C$23, DEMAND_Pkm_Tkm!$C22, STAT_TRA_Survey_Pkm!Q$8:Q$23)</f>
        <v>0</v>
      </c>
      <c r="U22" s="915">
        <f>SUMIF(STAT_TRA_Survey_Pkm!$C$8:$C$23, DEMAND_Pkm_Tkm!$C22, STAT_TRA_Survey_Pkm!R$8:R$23)</f>
        <v>0</v>
      </c>
      <c r="V22" s="117" t="str">
        <f t="shared" si="0"/>
        <v>ok</v>
      </c>
    </row>
    <row r="23" spans="2:22" x14ac:dyDescent="0.3">
      <c r="B23" s="18" t="str">
        <f>IF(COUNTIF(TRA_Comm!$C$29:$C$90,DEMAND_Pkm_Tkm!C23)=1,"X","De-Active")</f>
        <v>X</v>
      </c>
      <c r="C23" s="169" t="s">
        <v>494</v>
      </c>
      <c r="D23" s="169" t="s">
        <v>603</v>
      </c>
      <c r="E23" s="697">
        <f t="shared" si="1"/>
        <v>0</v>
      </c>
      <c r="F23" s="169" t="s">
        <v>582</v>
      </c>
      <c r="G23" s="915">
        <f>SUMIF(STAT_TRA_Survey_Pkm!$C$8:$C$23, DEMAND_Pkm_Tkm!$C23, STAT_TRA_Survey_Pkm!D$8:D$23)</f>
        <v>0</v>
      </c>
      <c r="H23" s="915">
        <f>SUMIF(STAT_TRA_Survey_Pkm!$C$8:$C$23, DEMAND_Pkm_Tkm!$C23, STAT_TRA_Survey_Pkm!E$8:E$23)</f>
        <v>0</v>
      </c>
      <c r="I23" s="915">
        <f>SUMIF(STAT_TRA_Survey_Pkm!$C$8:$C$23, DEMAND_Pkm_Tkm!$C23, STAT_TRA_Survey_Pkm!F$8:F$23)</f>
        <v>0</v>
      </c>
      <c r="J23" s="915">
        <f>SUMIF(STAT_TRA_Survey_Pkm!$C$8:$C$23, DEMAND_Pkm_Tkm!$C23, STAT_TRA_Survey_Pkm!G$8:G$23)</f>
        <v>0</v>
      </c>
      <c r="K23" s="915">
        <f>SUMIF(STAT_TRA_Survey_Pkm!$C$8:$C$23, DEMAND_Pkm_Tkm!$C23, STAT_TRA_Survey_Pkm!H$8:H$23)</f>
        <v>0</v>
      </c>
      <c r="L23" s="915">
        <f>SUMIF(STAT_TRA_Survey_Pkm!$C$8:$C$23, DEMAND_Pkm_Tkm!$C23, STAT_TRA_Survey_Pkm!I$8:I$23)</f>
        <v>0</v>
      </c>
      <c r="M23" s="915">
        <f>SUMIF(STAT_TRA_Survey_Pkm!$C$8:$C$23, DEMAND_Pkm_Tkm!$C23, STAT_TRA_Survey_Pkm!J$8:J$23)</f>
        <v>0</v>
      </c>
      <c r="N23" s="915">
        <f>SUMIF(STAT_TRA_Survey_Pkm!$C$8:$C$23, DEMAND_Pkm_Tkm!$C23, STAT_TRA_Survey_Pkm!K$8:K$23)</f>
        <v>0</v>
      </c>
      <c r="O23" s="915">
        <f>SUMIF(STAT_TRA_Survey_Pkm!$C$8:$C$23, DEMAND_Pkm_Tkm!$C23, STAT_TRA_Survey_Pkm!L$8:L$23)</f>
        <v>0</v>
      </c>
      <c r="P23" s="915">
        <f>SUMIF(STAT_TRA_Survey_Pkm!$C$8:$C$23, DEMAND_Pkm_Tkm!$C23, STAT_TRA_Survey_Pkm!M$8:M$23)</f>
        <v>0</v>
      </c>
      <c r="Q23" s="915">
        <f>SUMIF(STAT_TRA_Survey_Pkm!$C$8:$C$23, DEMAND_Pkm_Tkm!$C23, STAT_TRA_Survey_Pkm!N$8:N$23)</f>
        <v>0</v>
      </c>
      <c r="R23" s="915">
        <f>SUMIF(STAT_TRA_Survey_Pkm!$C$8:$C$23, DEMAND_Pkm_Tkm!$C23, STAT_TRA_Survey_Pkm!O$8:O$23)</f>
        <v>0</v>
      </c>
      <c r="S23" s="915">
        <f>SUMIF(STAT_TRA_Survey_Pkm!$C$8:$C$23, DEMAND_Pkm_Tkm!$C23, STAT_TRA_Survey_Pkm!P$8:P$23)</f>
        <v>0</v>
      </c>
      <c r="T23" s="915">
        <f>SUMIF(STAT_TRA_Survey_Pkm!$C$8:$C$23, DEMAND_Pkm_Tkm!$C23, STAT_TRA_Survey_Pkm!Q$8:Q$23)</f>
        <v>0</v>
      </c>
      <c r="U23" s="915">
        <f>SUMIF(STAT_TRA_Survey_Pkm!$C$8:$C$23, DEMAND_Pkm_Tkm!$C23, STAT_TRA_Survey_Pkm!R$8:R$23)</f>
        <v>0</v>
      </c>
      <c r="V23" s="117" t="str">
        <f t="shared" si="0"/>
        <v>ok</v>
      </c>
    </row>
    <row r="24" spans="2:22" x14ac:dyDescent="0.3">
      <c r="B24" s="18" t="str">
        <f>IF(COUNTIF(TRA_Comm!$C$29:$C$90,DEMAND_Pkm_Tkm!C24)=1,"X","De-Active")</f>
        <v>X</v>
      </c>
      <c r="C24" s="169" t="s">
        <v>81</v>
      </c>
      <c r="D24" s="169" t="s">
        <v>604</v>
      </c>
      <c r="E24" s="697">
        <f t="shared" si="1"/>
        <v>0</v>
      </c>
      <c r="F24" s="169" t="s">
        <v>582</v>
      </c>
      <c r="G24" s="915">
        <f>SUMIF(STAT_TRA_Survey_Pkm!$C$8:$C$23, DEMAND_Pkm_Tkm!$C24, STAT_TRA_Survey_Pkm!D$8:D$23)</f>
        <v>0</v>
      </c>
      <c r="H24" s="915">
        <f>SUMIF(STAT_TRA_Survey_Pkm!$C$8:$C$23, DEMAND_Pkm_Tkm!$C24, STAT_TRA_Survey_Pkm!E$8:E$23)</f>
        <v>0</v>
      </c>
      <c r="I24" s="915">
        <f>SUMIF(STAT_TRA_Survey_Pkm!$C$8:$C$23, DEMAND_Pkm_Tkm!$C24, STAT_TRA_Survey_Pkm!F$8:F$23)</f>
        <v>0</v>
      </c>
      <c r="J24" s="915">
        <f>SUMIF(STAT_TRA_Survey_Pkm!$C$8:$C$23, DEMAND_Pkm_Tkm!$C24, STAT_TRA_Survey_Pkm!G$8:G$23)</f>
        <v>0</v>
      </c>
      <c r="K24" s="915">
        <f>SUMIF(STAT_TRA_Survey_Pkm!$C$8:$C$23, DEMAND_Pkm_Tkm!$C24, STAT_TRA_Survey_Pkm!H$8:H$23)</f>
        <v>0</v>
      </c>
      <c r="L24" s="915">
        <f>SUMIF(STAT_TRA_Survey_Pkm!$C$8:$C$23, DEMAND_Pkm_Tkm!$C24, STAT_TRA_Survey_Pkm!I$8:I$23)</f>
        <v>0</v>
      </c>
      <c r="M24" s="915">
        <f>SUMIF(STAT_TRA_Survey_Pkm!$C$8:$C$23, DEMAND_Pkm_Tkm!$C24, STAT_TRA_Survey_Pkm!J$8:J$23)</f>
        <v>0</v>
      </c>
      <c r="N24" s="915">
        <f>SUMIF(STAT_TRA_Survey_Pkm!$C$8:$C$23, DEMAND_Pkm_Tkm!$C24, STAT_TRA_Survey_Pkm!K$8:K$23)</f>
        <v>0</v>
      </c>
      <c r="O24" s="915">
        <f>SUMIF(STAT_TRA_Survey_Pkm!$C$8:$C$23, DEMAND_Pkm_Tkm!$C24, STAT_TRA_Survey_Pkm!L$8:L$23)</f>
        <v>0</v>
      </c>
      <c r="P24" s="915">
        <f>SUMIF(STAT_TRA_Survey_Pkm!$C$8:$C$23, DEMAND_Pkm_Tkm!$C24, STAT_TRA_Survey_Pkm!M$8:M$23)</f>
        <v>0</v>
      </c>
      <c r="Q24" s="915">
        <f>SUMIF(STAT_TRA_Survey_Pkm!$C$8:$C$23, DEMAND_Pkm_Tkm!$C24, STAT_TRA_Survey_Pkm!N$8:N$23)</f>
        <v>0</v>
      </c>
      <c r="R24" s="915">
        <f>SUMIF(STAT_TRA_Survey_Pkm!$C$8:$C$23, DEMAND_Pkm_Tkm!$C24, STAT_TRA_Survey_Pkm!O$8:O$23)</f>
        <v>0</v>
      </c>
      <c r="S24" s="915">
        <f>SUMIF(STAT_TRA_Survey_Pkm!$C$8:$C$23, DEMAND_Pkm_Tkm!$C24, STAT_TRA_Survey_Pkm!P$8:P$23)</f>
        <v>0</v>
      </c>
      <c r="T24" s="915">
        <f>SUMIF(STAT_TRA_Survey_Pkm!$C$8:$C$23, DEMAND_Pkm_Tkm!$C24, STAT_TRA_Survey_Pkm!Q$8:Q$23)</f>
        <v>0</v>
      </c>
      <c r="U24" s="915">
        <f>SUMIF(STAT_TRA_Survey_Pkm!$C$8:$C$23, DEMAND_Pkm_Tkm!$C24, STAT_TRA_Survey_Pkm!R$8:R$23)</f>
        <v>0</v>
      </c>
      <c r="V24" s="117" t="str">
        <f t="shared" si="0"/>
        <v>ok</v>
      </c>
    </row>
    <row r="25" spans="2:22" x14ac:dyDescent="0.3">
      <c r="B25" s="18" t="str">
        <f>IF(COUNTIF(TRA_Comm!$C$29:$C$90,DEMAND_Pkm_Tkm!C25)=1,"X","De-Active")</f>
        <v>X</v>
      </c>
      <c r="C25" s="169" t="s">
        <v>605</v>
      </c>
      <c r="D25" s="169" t="s">
        <v>606</v>
      </c>
      <c r="E25" s="697">
        <f t="shared" si="1"/>
        <v>0</v>
      </c>
      <c r="F25" s="169" t="s">
        <v>582</v>
      </c>
      <c r="G25" s="915">
        <f>SUMIF(STAT_TRA_Survey_Pkm!$C$8:$C$23, DEMAND_Pkm_Tkm!$C25, STAT_TRA_Survey_Pkm!D$8:D$23)</f>
        <v>0</v>
      </c>
      <c r="H25" s="915">
        <f>SUMIF(STAT_TRA_Survey_Pkm!$C$8:$C$23, DEMAND_Pkm_Tkm!$C25, STAT_TRA_Survey_Pkm!E$8:E$23)</f>
        <v>0</v>
      </c>
      <c r="I25" s="915">
        <f>SUMIF(STAT_TRA_Survey_Pkm!$C$8:$C$23, DEMAND_Pkm_Tkm!$C25, STAT_TRA_Survey_Pkm!F$8:F$23)</f>
        <v>0</v>
      </c>
      <c r="J25" s="915">
        <f>SUMIF(STAT_TRA_Survey_Pkm!$C$8:$C$23, DEMAND_Pkm_Tkm!$C25, STAT_TRA_Survey_Pkm!G$8:G$23)</f>
        <v>0</v>
      </c>
      <c r="K25" s="915">
        <f>SUMIF(STAT_TRA_Survey_Pkm!$C$8:$C$23, DEMAND_Pkm_Tkm!$C25, STAT_TRA_Survey_Pkm!H$8:H$23)</f>
        <v>0</v>
      </c>
      <c r="L25" s="915">
        <f>SUMIF(STAT_TRA_Survey_Pkm!$C$8:$C$23, DEMAND_Pkm_Tkm!$C25, STAT_TRA_Survey_Pkm!I$8:I$23)</f>
        <v>0</v>
      </c>
      <c r="M25" s="915">
        <f>SUMIF(STAT_TRA_Survey_Pkm!$C$8:$C$23, DEMAND_Pkm_Tkm!$C25, STAT_TRA_Survey_Pkm!J$8:J$23)</f>
        <v>0</v>
      </c>
      <c r="N25" s="915">
        <f>SUMIF(STAT_TRA_Survey_Pkm!$C$8:$C$23, DEMAND_Pkm_Tkm!$C25, STAT_TRA_Survey_Pkm!K$8:K$23)</f>
        <v>0</v>
      </c>
      <c r="O25" s="915">
        <f>SUMIF(STAT_TRA_Survey_Pkm!$C$8:$C$23, DEMAND_Pkm_Tkm!$C25, STAT_TRA_Survey_Pkm!L$8:L$23)</f>
        <v>0</v>
      </c>
      <c r="P25" s="915">
        <f>SUMIF(STAT_TRA_Survey_Pkm!$C$8:$C$23, DEMAND_Pkm_Tkm!$C25, STAT_TRA_Survey_Pkm!M$8:M$23)</f>
        <v>0</v>
      </c>
      <c r="Q25" s="915">
        <f>SUMIF(STAT_TRA_Survey_Pkm!$C$8:$C$23, DEMAND_Pkm_Tkm!$C25, STAT_TRA_Survey_Pkm!N$8:N$23)</f>
        <v>0</v>
      </c>
      <c r="R25" s="915">
        <f>SUMIF(STAT_TRA_Survey_Pkm!$C$8:$C$23, DEMAND_Pkm_Tkm!$C25, STAT_TRA_Survey_Pkm!O$8:O$23)</f>
        <v>0</v>
      </c>
      <c r="S25" s="915">
        <f>SUMIF(STAT_TRA_Survey_Pkm!$C$8:$C$23, DEMAND_Pkm_Tkm!$C25, STAT_TRA_Survey_Pkm!P$8:P$23)</f>
        <v>0</v>
      </c>
      <c r="T25" s="915">
        <f>SUMIF(STAT_TRA_Survey_Pkm!$C$8:$C$23, DEMAND_Pkm_Tkm!$C25, STAT_TRA_Survey_Pkm!Q$8:Q$23)</f>
        <v>0</v>
      </c>
      <c r="U25" s="915">
        <f>SUMIF(STAT_TRA_Survey_Pkm!$C$8:$C$23, DEMAND_Pkm_Tkm!$C25, STAT_TRA_Survey_Pkm!R$8:R$23)</f>
        <v>0</v>
      </c>
      <c r="V25" s="117" t="str">
        <f t="shared" si="0"/>
        <v>ok</v>
      </c>
    </row>
    <row r="26" spans="2:22" x14ac:dyDescent="0.3">
      <c r="B26" s="18" t="str">
        <f>IF(COUNTIF(TRA_Comm!$C$29:$C$90,DEMAND_Pkm_Tkm!C26)=1,"X","De-Active")</f>
        <v>X</v>
      </c>
      <c r="C26" s="169" t="s">
        <v>520</v>
      </c>
      <c r="D26" s="169" t="s">
        <v>607</v>
      </c>
      <c r="E26" s="697">
        <f t="shared" si="1"/>
        <v>0</v>
      </c>
      <c r="F26" s="169" t="s">
        <v>582</v>
      </c>
      <c r="G26" s="915">
        <f>SUMIF(STAT_TRA_Survey_Pkm!$C$8:$C$23, DEMAND_Pkm_Tkm!$C26, STAT_TRA_Survey_Pkm!D$8:D$23)</f>
        <v>0</v>
      </c>
      <c r="H26" s="915">
        <f>SUMIF(STAT_TRA_Survey_Pkm!$C$8:$C$23, DEMAND_Pkm_Tkm!$C26, STAT_TRA_Survey_Pkm!E$8:E$23)</f>
        <v>0</v>
      </c>
      <c r="I26" s="915">
        <f>SUMIF(STAT_TRA_Survey_Pkm!$C$8:$C$23, DEMAND_Pkm_Tkm!$C26, STAT_TRA_Survey_Pkm!F$8:F$23)</f>
        <v>0</v>
      </c>
      <c r="J26" s="915">
        <f>SUMIF(STAT_TRA_Survey_Pkm!$C$8:$C$23, DEMAND_Pkm_Tkm!$C26, STAT_TRA_Survey_Pkm!G$8:G$23)</f>
        <v>0</v>
      </c>
      <c r="K26" s="915">
        <f>SUMIF(STAT_TRA_Survey_Pkm!$C$8:$C$23, DEMAND_Pkm_Tkm!$C26, STAT_TRA_Survey_Pkm!H$8:H$23)</f>
        <v>0</v>
      </c>
      <c r="L26" s="915">
        <f>SUMIF(STAT_TRA_Survey_Pkm!$C$8:$C$23, DEMAND_Pkm_Tkm!$C26, STAT_TRA_Survey_Pkm!I$8:I$23)</f>
        <v>0</v>
      </c>
      <c r="M26" s="915">
        <f>SUMIF(STAT_TRA_Survey_Pkm!$C$8:$C$23, DEMAND_Pkm_Tkm!$C26, STAT_TRA_Survey_Pkm!J$8:J$23)</f>
        <v>0</v>
      </c>
      <c r="N26" s="915">
        <f>SUMIF(STAT_TRA_Survey_Pkm!$C$8:$C$23, DEMAND_Pkm_Tkm!$C26, STAT_TRA_Survey_Pkm!K$8:K$23)</f>
        <v>0</v>
      </c>
      <c r="O26" s="915">
        <f>SUMIF(STAT_TRA_Survey_Pkm!$C$8:$C$23, DEMAND_Pkm_Tkm!$C26, STAT_TRA_Survey_Pkm!L$8:L$23)</f>
        <v>0</v>
      </c>
      <c r="P26" s="915">
        <f>SUMIF(STAT_TRA_Survey_Pkm!$C$8:$C$23, DEMAND_Pkm_Tkm!$C26, STAT_TRA_Survey_Pkm!M$8:M$23)</f>
        <v>0</v>
      </c>
      <c r="Q26" s="915">
        <f>SUMIF(STAT_TRA_Survey_Pkm!$C$8:$C$23, DEMAND_Pkm_Tkm!$C26, STAT_TRA_Survey_Pkm!N$8:N$23)</f>
        <v>0</v>
      </c>
      <c r="R26" s="915">
        <f>SUMIF(STAT_TRA_Survey_Pkm!$C$8:$C$23, DEMAND_Pkm_Tkm!$C26, STAT_TRA_Survey_Pkm!O$8:O$23)</f>
        <v>0</v>
      </c>
      <c r="S26" s="915">
        <f>SUMIF(STAT_TRA_Survey_Pkm!$C$8:$C$23, DEMAND_Pkm_Tkm!$C26, STAT_TRA_Survey_Pkm!P$8:P$23)</f>
        <v>0</v>
      </c>
      <c r="T26" s="915">
        <f>SUMIF(STAT_TRA_Survey_Pkm!$C$8:$C$23, DEMAND_Pkm_Tkm!$C26, STAT_TRA_Survey_Pkm!Q$8:Q$23)</f>
        <v>0</v>
      </c>
      <c r="U26" s="915">
        <f>SUMIF(STAT_TRA_Survey_Pkm!$C$8:$C$23, DEMAND_Pkm_Tkm!$C26, STAT_TRA_Survey_Pkm!R$8:R$23)</f>
        <v>0</v>
      </c>
      <c r="V26" s="117" t="str">
        <f t="shared" si="0"/>
        <v>ok</v>
      </c>
    </row>
    <row r="27" spans="2:22" x14ac:dyDescent="0.3">
      <c r="B27" s="18" t="str">
        <f>IF(COUNTIF(TRA_Comm!$C$29:$C$90,DEMAND_Pkm_Tkm!C27)=1,"X","De-Active")</f>
        <v>X</v>
      </c>
      <c r="C27" s="169" t="s">
        <v>608</v>
      </c>
      <c r="D27" s="169" t="s">
        <v>609</v>
      </c>
      <c r="E27" s="697">
        <f t="shared" si="1"/>
        <v>0</v>
      </c>
      <c r="F27" s="169" t="s">
        <v>582</v>
      </c>
      <c r="G27" s="915">
        <f>SUMIF(STAT_TRA_Survey_Pkm!$C$8:$C$23, DEMAND_Pkm_Tkm!$C27, STAT_TRA_Survey_Pkm!D$8:D$23)</f>
        <v>0</v>
      </c>
      <c r="H27" s="915">
        <f>SUMIF(STAT_TRA_Survey_Pkm!$C$8:$C$23, DEMAND_Pkm_Tkm!$C27, STAT_TRA_Survey_Pkm!E$8:E$23)</f>
        <v>0</v>
      </c>
      <c r="I27" s="915">
        <f>SUMIF(STAT_TRA_Survey_Pkm!$C$8:$C$23, DEMAND_Pkm_Tkm!$C27, STAT_TRA_Survey_Pkm!F$8:F$23)</f>
        <v>0</v>
      </c>
      <c r="J27" s="915">
        <f>SUMIF(STAT_TRA_Survey_Pkm!$C$8:$C$23, DEMAND_Pkm_Tkm!$C27, STAT_TRA_Survey_Pkm!G$8:G$23)</f>
        <v>0</v>
      </c>
      <c r="K27" s="915">
        <f>SUMIF(STAT_TRA_Survey_Pkm!$C$8:$C$23, DEMAND_Pkm_Tkm!$C27, STAT_TRA_Survey_Pkm!H$8:H$23)</f>
        <v>0</v>
      </c>
      <c r="L27" s="915">
        <f>SUMIF(STAT_TRA_Survey_Pkm!$C$8:$C$23, DEMAND_Pkm_Tkm!$C27, STAT_TRA_Survey_Pkm!I$8:I$23)</f>
        <v>0</v>
      </c>
      <c r="M27" s="915">
        <f>SUMIF(STAT_TRA_Survey_Pkm!$C$8:$C$23, DEMAND_Pkm_Tkm!$C27, STAT_TRA_Survey_Pkm!J$8:J$23)</f>
        <v>0</v>
      </c>
      <c r="N27" s="915">
        <f>SUMIF(STAT_TRA_Survey_Pkm!$C$8:$C$23, DEMAND_Pkm_Tkm!$C27, STAT_TRA_Survey_Pkm!K$8:K$23)</f>
        <v>0</v>
      </c>
      <c r="O27" s="915">
        <f>SUMIF(STAT_TRA_Survey_Pkm!$C$8:$C$23, DEMAND_Pkm_Tkm!$C27, STAT_TRA_Survey_Pkm!L$8:L$23)</f>
        <v>0</v>
      </c>
      <c r="P27" s="915">
        <f>SUMIF(STAT_TRA_Survey_Pkm!$C$8:$C$23, DEMAND_Pkm_Tkm!$C27, STAT_TRA_Survey_Pkm!M$8:M$23)</f>
        <v>0</v>
      </c>
      <c r="Q27" s="915">
        <f>SUMIF(STAT_TRA_Survey_Pkm!$C$8:$C$23, DEMAND_Pkm_Tkm!$C27, STAT_TRA_Survey_Pkm!N$8:N$23)</f>
        <v>0</v>
      </c>
      <c r="R27" s="915">
        <f>SUMIF(STAT_TRA_Survey_Pkm!$C$8:$C$23, DEMAND_Pkm_Tkm!$C27, STAT_TRA_Survey_Pkm!O$8:O$23)</f>
        <v>0</v>
      </c>
      <c r="S27" s="915">
        <f>SUMIF(STAT_TRA_Survey_Pkm!$C$8:$C$23, DEMAND_Pkm_Tkm!$C27, STAT_TRA_Survey_Pkm!P$8:P$23)</f>
        <v>0</v>
      </c>
      <c r="T27" s="915">
        <f>SUMIF(STAT_TRA_Survey_Pkm!$C$8:$C$23, DEMAND_Pkm_Tkm!$C27, STAT_TRA_Survey_Pkm!Q$8:Q$23)</f>
        <v>0</v>
      </c>
      <c r="U27" s="915">
        <f>SUMIF(STAT_TRA_Survey_Pkm!$C$8:$C$23, DEMAND_Pkm_Tkm!$C27, STAT_TRA_Survey_Pkm!R$8:R$23)</f>
        <v>0</v>
      </c>
      <c r="V27" s="117" t="str">
        <f t="shared" si="0"/>
        <v>ok</v>
      </c>
    </row>
    <row r="28" spans="2:22" x14ac:dyDescent="0.3">
      <c r="B28" s="18" t="str">
        <f>IF(COUNTIF(TRA_Comm!$C$29:$C$90,DEMAND_Pkm_Tkm!C28)=1,"X","De-Active")</f>
        <v>X</v>
      </c>
      <c r="C28" s="169" t="s">
        <v>420</v>
      </c>
      <c r="D28" s="169" t="s">
        <v>610</v>
      </c>
      <c r="E28" s="697">
        <f t="shared" si="1"/>
        <v>0</v>
      </c>
      <c r="F28" s="169" t="s">
        <v>85</v>
      </c>
      <c r="G28" s="915">
        <f>SUMIF(STAT_TRA_Survey_Pkm!$C$8:$C$23, DEMAND_Pkm_Tkm!$C28, STAT_TRA_Survey_Pkm!D$8:D$23)</f>
        <v>0</v>
      </c>
      <c r="H28" s="915">
        <f>SUMIF(STAT_TRA_Survey_Pkm!$C$8:$C$23, DEMAND_Pkm_Tkm!$C28, STAT_TRA_Survey_Pkm!E$8:E$23)</f>
        <v>0</v>
      </c>
      <c r="I28" s="915">
        <f>SUMIF(STAT_TRA_Survey_Pkm!$C$8:$C$23, DEMAND_Pkm_Tkm!$C28, STAT_TRA_Survey_Pkm!F$8:F$23)</f>
        <v>0</v>
      </c>
      <c r="J28" s="915">
        <f>SUMIF(STAT_TRA_Survey_Pkm!$C$8:$C$23, DEMAND_Pkm_Tkm!$C28, STAT_TRA_Survey_Pkm!G$8:G$23)</f>
        <v>0</v>
      </c>
      <c r="K28" s="915">
        <f>SUMIF(STAT_TRA_Survey_Pkm!$C$8:$C$23, DEMAND_Pkm_Tkm!$C28, STAT_TRA_Survey_Pkm!H$8:H$23)</f>
        <v>0</v>
      </c>
      <c r="L28" s="915">
        <f>SUMIF(STAT_TRA_Survey_Pkm!$C$8:$C$23, DEMAND_Pkm_Tkm!$C28, STAT_TRA_Survey_Pkm!I$8:I$23)</f>
        <v>0</v>
      </c>
      <c r="M28" s="915">
        <f>SUMIF(STAT_TRA_Survey_Pkm!$C$8:$C$23, DEMAND_Pkm_Tkm!$C28, STAT_TRA_Survey_Pkm!J$8:J$23)</f>
        <v>0</v>
      </c>
      <c r="N28" s="915">
        <f>SUMIF(STAT_TRA_Survey_Pkm!$C$8:$C$23, DEMAND_Pkm_Tkm!$C28, STAT_TRA_Survey_Pkm!K$8:K$23)</f>
        <v>0</v>
      </c>
      <c r="O28" s="915">
        <f>SUMIF(STAT_TRA_Survey_Pkm!$C$8:$C$23, DEMAND_Pkm_Tkm!$C28, STAT_TRA_Survey_Pkm!L$8:L$23)</f>
        <v>0</v>
      </c>
      <c r="P28" s="915">
        <f>SUMIF(STAT_TRA_Survey_Pkm!$C$8:$C$23, DEMAND_Pkm_Tkm!$C28, STAT_TRA_Survey_Pkm!M$8:M$23)</f>
        <v>0</v>
      </c>
      <c r="Q28" s="915">
        <f>SUMIF(STAT_TRA_Survey_Pkm!$C$8:$C$23, DEMAND_Pkm_Tkm!$C28, STAT_TRA_Survey_Pkm!N$8:N$23)</f>
        <v>0</v>
      </c>
      <c r="R28" s="915">
        <f>SUMIF(STAT_TRA_Survey_Pkm!$C$8:$C$23, DEMAND_Pkm_Tkm!$C28, STAT_TRA_Survey_Pkm!O$8:O$23)</f>
        <v>0</v>
      </c>
      <c r="S28" s="915">
        <f>SUMIF(STAT_TRA_Survey_Pkm!$C$8:$C$23, DEMAND_Pkm_Tkm!$C28, STAT_TRA_Survey_Pkm!P$8:P$23)</f>
        <v>0</v>
      </c>
      <c r="T28" s="915">
        <f>SUMIF(STAT_TRA_Survey_Pkm!$C$8:$C$23, DEMAND_Pkm_Tkm!$C28, STAT_TRA_Survey_Pkm!Q$8:Q$23)</f>
        <v>0</v>
      </c>
      <c r="U28" s="915">
        <f>SUMIF(STAT_TRA_Survey_Pkm!$C$8:$C$23, DEMAND_Pkm_Tkm!$C28, STAT_TRA_Survey_Pkm!R$8:R$23)</f>
        <v>0</v>
      </c>
      <c r="V28" s="117" t="str">
        <f>IF(E28=SUM(G28:U28),"ok","Too high/low")</f>
        <v>ok</v>
      </c>
    </row>
    <row r="29" spans="2:22" x14ac:dyDescent="0.3">
      <c r="B29" s="18" t="str">
        <f>IF(COUNTIF(TRA_Comm!$C$29:$C$90,DEMAND_Pkm_Tkm!C29)=1,"X","De-Active")</f>
        <v>X</v>
      </c>
      <c r="C29" s="169" t="s">
        <v>483</v>
      </c>
      <c r="D29" s="169" t="s">
        <v>611</v>
      </c>
      <c r="E29" s="697">
        <f t="shared" si="1"/>
        <v>0</v>
      </c>
      <c r="F29" s="169" t="s">
        <v>85</v>
      </c>
      <c r="G29" s="915">
        <f>SUMIF(STAT_TRA_Survey_Pkm!$C$8:$C$23, DEMAND_Pkm_Tkm!$C29, STAT_TRA_Survey_Pkm!D$8:D$23)</f>
        <v>0</v>
      </c>
      <c r="H29" s="915">
        <f>SUMIF(STAT_TRA_Survey_Pkm!$C$8:$C$23, DEMAND_Pkm_Tkm!$C29, STAT_TRA_Survey_Pkm!E$8:E$23)</f>
        <v>0</v>
      </c>
      <c r="I29" s="915">
        <f>SUMIF(STAT_TRA_Survey_Pkm!$C$8:$C$23, DEMAND_Pkm_Tkm!$C29, STAT_TRA_Survey_Pkm!F$8:F$23)</f>
        <v>0</v>
      </c>
      <c r="J29" s="915">
        <f>SUMIF(STAT_TRA_Survey_Pkm!$C$8:$C$23, DEMAND_Pkm_Tkm!$C29, STAT_TRA_Survey_Pkm!G$8:G$23)</f>
        <v>0</v>
      </c>
      <c r="K29" s="915">
        <f>SUMIF(STAT_TRA_Survey_Pkm!$C$8:$C$23, DEMAND_Pkm_Tkm!$C29, STAT_TRA_Survey_Pkm!H$8:H$23)</f>
        <v>0</v>
      </c>
      <c r="L29" s="915">
        <f>SUMIF(STAT_TRA_Survey_Pkm!$C$8:$C$23, DEMAND_Pkm_Tkm!$C29, STAT_TRA_Survey_Pkm!I$8:I$23)</f>
        <v>0</v>
      </c>
      <c r="M29" s="915">
        <f>SUMIF(STAT_TRA_Survey_Pkm!$C$8:$C$23, DEMAND_Pkm_Tkm!$C29, STAT_TRA_Survey_Pkm!J$8:J$23)</f>
        <v>0</v>
      </c>
      <c r="N29" s="915">
        <f>SUMIF(STAT_TRA_Survey_Pkm!$C$8:$C$23, DEMAND_Pkm_Tkm!$C29, STAT_TRA_Survey_Pkm!K$8:K$23)</f>
        <v>0</v>
      </c>
      <c r="O29" s="915">
        <f>SUMIF(STAT_TRA_Survey_Pkm!$C$8:$C$23, DEMAND_Pkm_Tkm!$C29, STAT_TRA_Survey_Pkm!L$8:L$23)</f>
        <v>0</v>
      </c>
      <c r="P29" s="915">
        <f>SUMIF(STAT_TRA_Survey_Pkm!$C$8:$C$23, DEMAND_Pkm_Tkm!$C29, STAT_TRA_Survey_Pkm!M$8:M$23)</f>
        <v>0</v>
      </c>
      <c r="Q29" s="915">
        <f>SUMIF(STAT_TRA_Survey_Pkm!$C$8:$C$23, DEMAND_Pkm_Tkm!$C29, STAT_TRA_Survey_Pkm!N$8:N$23)</f>
        <v>0</v>
      </c>
      <c r="R29" s="915">
        <f>SUMIF(STAT_TRA_Survey_Pkm!$C$8:$C$23, DEMAND_Pkm_Tkm!$C29, STAT_TRA_Survey_Pkm!O$8:O$23)</f>
        <v>0</v>
      </c>
      <c r="S29" s="915">
        <f>SUMIF(STAT_TRA_Survey_Pkm!$C$8:$C$23, DEMAND_Pkm_Tkm!$C29, STAT_TRA_Survey_Pkm!P$8:P$23)</f>
        <v>0</v>
      </c>
      <c r="T29" s="915">
        <f>SUMIF(STAT_TRA_Survey_Pkm!$C$8:$C$23, DEMAND_Pkm_Tkm!$C29, STAT_TRA_Survey_Pkm!Q$8:Q$23)</f>
        <v>0</v>
      </c>
      <c r="U29" s="915">
        <f>SUMIF(STAT_TRA_Survey_Pkm!$C$8:$C$23, DEMAND_Pkm_Tkm!$C29, STAT_TRA_Survey_Pkm!R$8:R$23)</f>
        <v>0</v>
      </c>
      <c r="V29" s="117" t="str">
        <f t="shared" si="0"/>
        <v>ok</v>
      </c>
    </row>
    <row r="30" spans="2:22" x14ac:dyDescent="0.3">
      <c r="B30" s="18" t="str">
        <f>IF(COUNTIF(TRA_Comm!$C$29:$C$90,DEMAND_Pkm_Tkm!C30)=1,"X","De-Active")</f>
        <v>X</v>
      </c>
      <c r="C30" s="169" t="s">
        <v>419</v>
      </c>
      <c r="D30" s="169" t="s">
        <v>612</v>
      </c>
      <c r="E30" s="697">
        <f t="shared" si="1"/>
        <v>0</v>
      </c>
      <c r="F30" s="169" t="s">
        <v>582</v>
      </c>
      <c r="G30" s="915">
        <f>SUMIF(STAT_TRA_Survey_Pkm!$C$8:$C$23, DEMAND_Pkm_Tkm!$C30, STAT_TRA_Survey_Pkm!D$8:D$23)</f>
        <v>0</v>
      </c>
      <c r="H30" s="915">
        <f>SUMIF(STAT_TRA_Survey_Pkm!$C$8:$C$23, DEMAND_Pkm_Tkm!$C30, STAT_TRA_Survey_Pkm!E$8:E$23)</f>
        <v>0</v>
      </c>
      <c r="I30" s="915">
        <f>SUMIF(STAT_TRA_Survey_Pkm!$C$8:$C$23, DEMAND_Pkm_Tkm!$C30, STAT_TRA_Survey_Pkm!F$8:F$23)</f>
        <v>0</v>
      </c>
      <c r="J30" s="915">
        <f>SUMIF(STAT_TRA_Survey_Pkm!$C$8:$C$23, DEMAND_Pkm_Tkm!$C30, STAT_TRA_Survey_Pkm!G$8:G$23)</f>
        <v>0</v>
      </c>
      <c r="K30" s="915">
        <f>SUMIF(STAT_TRA_Survey_Pkm!$C$8:$C$23, DEMAND_Pkm_Tkm!$C30, STAT_TRA_Survey_Pkm!H$8:H$23)</f>
        <v>0</v>
      </c>
      <c r="L30" s="915">
        <f>SUMIF(STAT_TRA_Survey_Pkm!$C$8:$C$23, DEMAND_Pkm_Tkm!$C30, STAT_TRA_Survey_Pkm!I$8:I$23)</f>
        <v>0</v>
      </c>
      <c r="M30" s="915">
        <f>SUMIF(STAT_TRA_Survey_Pkm!$C$8:$C$23, DEMAND_Pkm_Tkm!$C30, STAT_TRA_Survey_Pkm!J$8:J$23)</f>
        <v>0</v>
      </c>
      <c r="N30" s="915">
        <f>SUMIF(STAT_TRA_Survey_Pkm!$C$8:$C$23, DEMAND_Pkm_Tkm!$C30, STAT_TRA_Survey_Pkm!K$8:K$23)</f>
        <v>0</v>
      </c>
      <c r="O30" s="915">
        <f>SUMIF(STAT_TRA_Survey_Pkm!$C$8:$C$23, DEMAND_Pkm_Tkm!$C30, STAT_TRA_Survey_Pkm!L$8:L$23)</f>
        <v>0</v>
      </c>
      <c r="P30" s="915">
        <f>SUMIF(STAT_TRA_Survey_Pkm!$C$8:$C$23, DEMAND_Pkm_Tkm!$C30, STAT_TRA_Survey_Pkm!M$8:M$23)</f>
        <v>0</v>
      </c>
      <c r="Q30" s="915">
        <f>SUMIF(STAT_TRA_Survey_Pkm!$C$8:$C$23, DEMAND_Pkm_Tkm!$C30, STAT_TRA_Survey_Pkm!N$8:N$23)</f>
        <v>0</v>
      </c>
      <c r="R30" s="915">
        <f>SUMIF(STAT_TRA_Survey_Pkm!$C$8:$C$23, DEMAND_Pkm_Tkm!$C30, STAT_TRA_Survey_Pkm!O$8:O$23)</f>
        <v>0</v>
      </c>
      <c r="S30" s="915">
        <f>SUMIF(STAT_TRA_Survey_Pkm!$C$8:$C$23, DEMAND_Pkm_Tkm!$C30, STAT_TRA_Survey_Pkm!P$8:P$23)</f>
        <v>0</v>
      </c>
      <c r="T30" s="915">
        <f>SUMIF(STAT_TRA_Survey_Pkm!$C$8:$C$23, DEMAND_Pkm_Tkm!$C30, STAT_TRA_Survey_Pkm!Q$8:Q$23)</f>
        <v>0</v>
      </c>
      <c r="U30" s="915">
        <f>SUMIF(STAT_TRA_Survey_Pkm!$C$8:$C$23, DEMAND_Pkm_Tkm!$C30, STAT_TRA_Survey_Pkm!R$8:R$23)</f>
        <v>0</v>
      </c>
      <c r="V30" s="117" t="str">
        <f t="shared" si="0"/>
        <v>ok</v>
      </c>
    </row>
    <row r="31" spans="2:22" x14ac:dyDescent="0.3">
      <c r="B31" s="18" t="str">
        <f>IF(COUNTIF(TRA_Comm!$C$29:$C$90,DEMAND_Pkm_Tkm!C31)=1,"X","De-Active")</f>
        <v>X</v>
      </c>
      <c r="C31" s="169" t="s">
        <v>613</v>
      </c>
      <c r="D31" s="169" t="s">
        <v>614</v>
      </c>
      <c r="E31" s="697">
        <f t="shared" si="1"/>
        <v>0</v>
      </c>
      <c r="F31" s="169" t="s">
        <v>582</v>
      </c>
      <c r="G31" s="915">
        <f>SUMIF(STAT_TRA_Survey_Pkm!$C$8:$C$23, DEMAND_Pkm_Tkm!$C31, STAT_TRA_Survey_Pkm!D$8:D$23)</f>
        <v>0</v>
      </c>
      <c r="H31" s="915">
        <f>SUMIF(STAT_TRA_Survey_Pkm!$C$8:$C$23, DEMAND_Pkm_Tkm!$C31, STAT_TRA_Survey_Pkm!E$8:E$23)</f>
        <v>0</v>
      </c>
      <c r="I31" s="915">
        <f>SUMIF(STAT_TRA_Survey_Pkm!$C$8:$C$23, DEMAND_Pkm_Tkm!$C31, STAT_TRA_Survey_Pkm!F$8:F$23)</f>
        <v>0</v>
      </c>
      <c r="J31" s="915">
        <f>SUMIF(STAT_TRA_Survey_Pkm!$C$8:$C$23, DEMAND_Pkm_Tkm!$C31, STAT_TRA_Survey_Pkm!G$8:G$23)</f>
        <v>0</v>
      </c>
      <c r="K31" s="915">
        <f>SUMIF(STAT_TRA_Survey_Pkm!$C$8:$C$23, DEMAND_Pkm_Tkm!$C31, STAT_TRA_Survey_Pkm!H$8:H$23)</f>
        <v>0</v>
      </c>
      <c r="L31" s="915">
        <f>SUMIF(STAT_TRA_Survey_Pkm!$C$8:$C$23, DEMAND_Pkm_Tkm!$C31, STAT_TRA_Survey_Pkm!I$8:I$23)</f>
        <v>0</v>
      </c>
      <c r="M31" s="915">
        <f>SUMIF(STAT_TRA_Survey_Pkm!$C$8:$C$23, DEMAND_Pkm_Tkm!$C31, STAT_TRA_Survey_Pkm!J$8:J$23)</f>
        <v>0</v>
      </c>
      <c r="N31" s="915">
        <f>SUMIF(STAT_TRA_Survey_Pkm!$C$8:$C$23, DEMAND_Pkm_Tkm!$C31, STAT_TRA_Survey_Pkm!K$8:K$23)</f>
        <v>0</v>
      </c>
      <c r="O31" s="915">
        <f>SUMIF(STAT_TRA_Survey_Pkm!$C$8:$C$23, DEMAND_Pkm_Tkm!$C31, STAT_TRA_Survey_Pkm!L$8:L$23)</f>
        <v>0</v>
      </c>
      <c r="P31" s="915">
        <f>SUMIF(STAT_TRA_Survey_Pkm!$C$8:$C$23, DEMAND_Pkm_Tkm!$C31, STAT_TRA_Survey_Pkm!M$8:M$23)</f>
        <v>0</v>
      </c>
      <c r="Q31" s="915">
        <f>SUMIF(STAT_TRA_Survey_Pkm!$C$8:$C$23, DEMAND_Pkm_Tkm!$C31, STAT_TRA_Survey_Pkm!N$8:N$23)</f>
        <v>0</v>
      </c>
      <c r="R31" s="915">
        <f>SUMIF(STAT_TRA_Survey_Pkm!$C$8:$C$23, DEMAND_Pkm_Tkm!$C31, STAT_TRA_Survey_Pkm!O$8:O$23)</f>
        <v>0</v>
      </c>
      <c r="S31" s="915">
        <f>SUMIF(STAT_TRA_Survey_Pkm!$C$8:$C$23, DEMAND_Pkm_Tkm!$C31, STAT_TRA_Survey_Pkm!P$8:P$23)</f>
        <v>0</v>
      </c>
      <c r="T31" s="915">
        <f>SUMIF(STAT_TRA_Survey_Pkm!$C$8:$C$23, DEMAND_Pkm_Tkm!$C31, STAT_TRA_Survey_Pkm!Q$8:Q$23)</f>
        <v>0</v>
      </c>
      <c r="U31" s="915">
        <f>SUMIF(STAT_TRA_Survey_Pkm!$C$8:$C$23, DEMAND_Pkm_Tkm!$C31, STAT_TRA_Survey_Pkm!R$8:R$23)</f>
        <v>0</v>
      </c>
      <c r="V31" s="117" t="str">
        <f t="shared" si="0"/>
        <v>ok</v>
      </c>
    </row>
    <row r="32" spans="2:22" x14ac:dyDescent="0.3">
      <c r="B32" s="18" t="str">
        <f>IF(COUNTIF(TRA_Comm!$C$29:$C$90,DEMAND_Pkm_Tkm!C32)=1,"X","De-Active")</f>
        <v>X</v>
      </c>
      <c r="C32" s="169" t="s">
        <v>510</v>
      </c>
      <c r="D32" s="169" t="s">
        <v>615</v>
      </c>
      <c r="E32" s="697">
        <f t="shared" si="1"/>
        <v>0</v>
      </c>
      <c r="F32" s="169" t="s">
        <v>582</v>
      </c>
      <c r="G32" s="915">
        <f>SUMIF(STAT_TRA_Survey_Pkm!$C$8:$C$23, DEMAND_Pkm_Tkm!$C32, STAT_TRA_Survey_Pkm!D$8:D$23)</f>
        <v>0</v>
      </c>
      <c r="H32" s="915">
        <f>SUMIF(STAT_TRA_Survey_Pkm!$C$8:$C$23, DEMAND_Pkm_Tkm!$C32, STAT_TRA_Survey_Pkm!E$8:E$23)</f>
        <v>0</v>
      </c>
      <c r="I32" s="915">
        <f>SUMIF(STAT_TRA_Survey_Pkm!$C$8:$C$23, DEMAND_Pkm_Tkm!$C32, STAT_TRA_Survey_Pkm!F$8:F$23)</f>
        <v>0</v>
      </c>
      <c r="J32" s="915">
        <f>SUMIF(STAT_TRA_Survey_Pkm!$C$8:$C$23, DEMAND_Pkm_Tkm!$C32, STAT_TRA_Survey_Pkm!G$8:G$23)</f>
        <v>0</v>
      </c>
      <c r="K32" s="915">
        <f>SUMIF(STAT_TRA_Survey_Pkm!$C$8:$C$23, DEMAND_Pkm_Tkm!$C32, STAT_TRA_Survey_Pkm!H$8:H$23)</f>
        <v>0</v>
      </c>
      <c r="L32" s="915">
        <f>SUMIF(STAT_TRA_Survey_Pkm!$C$8:$C$23, DEMAND_Pkm_Tkm!$C32, STAT_TRA_Survey_Pkm!I$8:I$23)</f>
        <v>0</v>
      </c>
      <c r="M32" s="915">
        <f>SUMIF(STAT_TRA_Survey_Pkm!$C$8:$C$23, DEMAND_Pkm_Tkm!$C32, STAT_TRA_Survey_Pkm!J$8:J$23)</f>
        <v>0</v>
      </c>
      <c r="N32" s="915">
        <f>SUMIF(STAT_TRA_Survey_Pkm!$C$8:$C$23, DEMAND_Pkm_Tkm!$C32, STAT_TRA_Survey_Pkm!K$8:K$23)</f>
        <v>0</v>
      </c>
      <c r="O32" s="915">
        <f>SUMIF(STAT_TRA_Survey_Pkm!$C$8:$C$23, DEMAND_Pkm_Tkm!$C32, STAT_TRA_Survey_Pkm!L$8:L$23)</f>
        <v>0</v>
      </c>
      <c r="P32" s="915">
        <f>SUMIF(STAT_TRA_Survey_Pkm!$C$8:$C$23, DEMAND_Pkm_Tkm!$C32, STAT_TRA_Survey_Pkm!M$8:M$23)</f>
        <v>0</v>
      </c>
      <c r="Q32" s="915">
        <f>SUMIF(STAT_TRA_Survey_Pkm!$C$8:$C$23, DEMAND_Pkm_Tkm!$C32, STAT_TRA_Survey_Pkm!N$8:N$23)</f>
        <v>0</v>
      </c>
      <c r="R32" s="915">
        <f>SUMIF(STAT_TRA_Survey_Pkm!$C$8:$C$23, DEMAND_Pkm_Tkm!$C32, STAT_TRA_Survey_Pkm!O$8:O$23)</f>
        <v>0</v>
      </c>
      <c r="S32" s="915">
        <f>SUMIF(STAT_TRA_Survey_Pkm!$C$8:$C$23, DEMAND_Pkm_Tkm!$C32, STAT_TRA_Survey_Pkm!P$8:P$23)</f>
        <v>0</v>
      </c>
      <c r="T32" s="915">
        <f>SUMIF(STAT_TRA_Survey_Pkm!$C$8:$C$23, DEMAND_Pkm_Tkm!$C32, STAT_TRA_Survey_Pkm!Q$8:Q$23)</f>
        <v>0</v>
      </c>
      <c r="U32" s="915">
        <f>SUMIF(STAT_TRA_Survey_Pkm!$C$8:$C$23, DEMAND_Pkm_Tkm!$C32, STAT_TRA_Survey_Pkm!R$8:R$23)</f>
        <v>0</v>
      </c>
      <c r="V32" s="117" t="str">
        <f t="shared" si="0"/>
        <v>ok</v>
      </c>
    </row>
    <row r="33" spans="2:22" x14ac:dyDescent="0.3">
      <c r="B33" s="18" t="str">
        <f>IF(COUNTIF(TRA_Comm!$C$29:$C$90,DEMAND_Pkm_Tkm!C33)=1,"X","De-Active")</f>
        <v>X</v>
      </c>
      <c r="C33" s="169" t="s">
        <v>616</v>
      </c>
      <c r="D33" s="169" t="s">
        <v>617</v>
      </c>
      <c r="E33" s="697">
        <f t="shared" si="1"/>
        <v>0</v>
      </c>
      <c r="F33" s="169" t="s">
        <v>582</v>
      </c>
      <c r="G33" s="915">
        <f>SUMIF(STAT_TRA_Survey_Pkm!$C$8:$C$23, DEMAND_Pkm_Tkm!$C33, STAT_TRA_Survey_Pkm!D$8:D$23)</f>
        <v>0</v>
      </c>
      <c r="H33" s="915">
        <f>SUMIF(STAT_TRA_Survey_Pkm!$C$8:$C$23, DEMAND_Pkm_Tkm!$C33, STAT_TRA_Survey_Pkm!E$8:E$23)</f>
        <v>0</v>
      </c>
      <c r="I33" s="915">
        <f>SUMIF(STAT_TRA_Survey_Pkm!$C$8:$C$23, DEMAND_Pkm_Tkm!$C33, STAT_TRA_Survey_Pkm!F$8:F$23)</f>
        <v>0</v>
      </c>
      <c r="J33" s="915">
        <f>SUMIF(STAT_TRA_Survey_Pkm!$C$8:$C$23, DEMAND_Pkm_Tkm!$C33, STAT_TRA_Survey_Pkm!G$8:G$23)</f>
        <v>0</v>
      </c>
      <c r="K33" s="915">
        <f>SUMIF(STAT_TRA_Survey_Pkm!$C$8:$C$23, DEMAND_Pkm_Tkm!$C33, STAT_TRA_Survey_Pkm!H$8:H$23)</f>
        <v>0</v>
      </c>
      <c r="L33" s="915">
        <f>SUMIF(STAT_TRA_Survey_Pkm!$C$8:$C$23, DEMAND_Pkm_Tkm!$C33, STAT_TRA_Survey_Pkm!I$8:I$23)</f>
        <v>0</v>
      </c>
      <c r="M33" s="915">
        <f>SUMIF(STAT_TRA_Survey_Pkm!$C$8:$C$23, DEMAND_Pkm_Tkm!$C33, STAT_TRA_Survey_Pkm!J$8:J$23)</f>
        <v>0</v>
      </c>
      <c r="N33" s="915">
        <f>SUMIF(STAT_TRA_Survey_Pkm!$C$8:$C$23, DEMAND_Pkm_Tkm!$C33, STAT_TRA_Survey_Pkm!K$8:K$23)</f>
        <v>0</v>
      </c>
      <c r="O33" s="915">
        <f>SUMIF(STAT_TRA_Survey_Pkm!$C$8:$C$23, DEMAND_Pkm_Tkm!$C33, STAT_TRA_Survey_Pkm!L$8:L$23)</f>
        <v>0</v>
      </c>
      <c r="P33" s="915">
        <f>SUMIF(STAT_TRA_Survey_Pkm!$C$8:$C$23, DEMAND_Pkm_Tkm!$C33, STAT_TRA_Survey_Pkm!M$8:M$23)</f>
        <v>0</v>
      </c>
      <c r="Q33" s="915">
        <f>SUMIF(STAT_TRA_Survey_Pkm!$C$8:$C$23, DEMAND_Pkm_Tkm!$C33, STAT_TRA_Survey_Pkm!N$8:N$23)</f>
        <v>0</v>
      </c>
      <c r="R33" s="915">
        <f>SUMIF(STAT_TRA_Survey_Pkm!$C$8:$C$23, DEMAND_Pkm_Tkm!$C33, STAT_TRA_Survey_Pkm!O$8:O$23)</f>
        <v>0</v>
      </c>
      <c r="S33" s="915">
        <f>SUMIF(STAT_TRA_Survey_Pkm!$C$8:$C$23, DEMAND_Pkm_Tkm!$C33, STAT_TRA_Survey_Pkm!P$8:P$23)</f>
        <v>0</v>
      </c>
      <c r="T33" s="915">
        <f>SUMIF(STAT_TRA_Survey_Pkm!$C$8:$C$23, DEMAND_Pkm_Tkm!$C33, STAT_TRA_Survey_Pkm!Q$8:Q$23)</f>
        <v>0</v>
      </c>
      <c r="U33" s="915">
        <f>SUMIF(STAT_TRA_Survey_Pkm!$C$8:$C$23, DEMAND_Pkm_Tkm!$C33, STAT_TRA_Survey_Pkm!R$8:R$23)</f>
        <v>0</v>
      </c>
      <c r="V33" s="117" t="str">
        <f t="shared" si="0"/>
        <v>ok</v>
      </c>
    </row>
    <row r="34" spans="2:22" x14ac:dyDescent="0.3">
      <c r="B34" s="18" t="str">
        <f>IF(COUNTIF(TRA_Comm!$C$29:$C$90,DEMAND_Pkm_Tkm!C34)=1,"X","De-Active")</f>
        <v>X</v>
      </c>
      <c r="C34" s="169" t="s">
        <v>512</v>
      </c>
      <c r="D34" s="169" t="s">
        <v>618</v>
      </c>
      <c r="E34" s="697">
        <f t="shared" si="1"/>
        <v>0</v>
      </c>
      <c r="F34" s="169" t="s">
        <v>582</v>
      </c>
      <c r="G34" s="915">
        <f>SUMIF(STAT_TRA_Survey_Pkm!$C$8:$C$23, DEMAND_Pkm_Tkm!$C34, STAT_TRA_Survey_Pkm!D$8:D$23)</f>
        <v>0</v>
      </c>
      <c r="H34" s="915">
        <f>SUMIF(STAT_TRA_Survey_Pkm!$C$8:$C$23, DEMAND_Pkm_Tkm!$C34, STAT_TRA_Survey_Pkm!E$8:E$23)</f>
        <v>0</v>
      </c>
      <c r="I34" s="915">
        <f>SUMIF(STAT_TRA_Survey_Pkm!$C$8:$C$23, DEMAND_Pkm_Tkm!$C34, STAT_TRA_Survey_Pkm!F$8:F$23)</f>
        <v>0</v>
      </c>
      <c r="J34" s="915">
        <f>SUMIF(STAT_TRA_Survey_Pkm!$C$8:$C$23, DEMAND_Pkm_Tkm!$C34, STAT_TRA_Survey_Pkm!G$8:G$23)</f>
        <v>0</v>
      </c>
      <c r="K34" s="915">
        <f>SUMIF(STAT_TRA_Survey_Pkm!$C$8:$C$23, DEMAND_Pkm_Tkm!$C34, STAT_TRA_Survey_Pkm!H$8:H$23)</f>
        <v>0</v>
      </c>
      <c r="L34" s="915">
        <f>SUMIF(STAT_TRA_Survey_Pkm!$C$8:$C$23, DEMAND_Pkm_Tkm!$C34, STAT_TRA_Survey_Pkm!I$8:I$23)</f>
        <v>0</v>
      </c>
      <c r="M34" s="915">
        <f>SUMIF(STAT_TRA_Survey_Pkm!$C$8:$C$23, DEMAND_Pkm_Tkm!$C34, STAT_TRA_Survey_Pkm!J$8:J$23)</f>
        <v>0</v>
      </c>
      <c r="N34" s="915">
        <f>SUMIF(STAT_TRA_Survey_Pkm!$C$8:$C$23, DEMAND_Pkm_Tkm!$C34, STAT_TRA_Survey_Pkm!K$8:K$23)</f>
        <v>0</v>
      </c>
      <c r="O34" s="915">
        <f>SUMIF(STAT_TRA_Survey_Pkm!$C$8:$C$23, DEMAND_Pkm_Tkm!$C34, STAT_TRA_Survey_Pkm!L$8:L$23)</f>
        <v>0</v>
      </c>
      <c r="P34" s="915">
        <f>SUMIF(STAT_TRA_Survey_Pkm!$C$8:$C$23, DEMAND_Pkm_Tkm!$C34, STAT_TRA_Survey_Pkm!M$8:M$23)</f>
        <v>0</v>
      </c>
      <c r="Q34" s="915">
        <f>SUMIF(STAT_TRA_Survey_Pkm!$C$8:$C$23, DEMAND_Pkm_Tkm!$C34, STAT_TRA_Survey_Pkm!N$8:N$23)</f>
        <v>0</v>
      </c>
      <c r="R34" s="915">
        <f>SUMIF(STAT_TRA_Survey_Pkm!$C$8:$C$23, DEMAND_Pkm_Tkm!$C34, STAT_TRA_Survey_Pkm!O$8:O$23)</f>
        <v>0</v>
      </c>
      <c r="S34" s="915">
        <f>SUMIF(STAT_TRA_Survey_Pkm!$C$8:$C$23, DEMAND_Pkm_Tkm!$C34, STAT_TRA_Survey_Pkm!P$8:P$23)</f>
        <v>0</v>
      </c>
      <c r="T34" s="915">
        <f>SUMIF(STAT_TRA_Survey_Pkm!$C$8:$C$23, DEMAND_Pkm_Tkm!$C34, STAT_TRA_Survey_Pkm!Q$8:Q$23)</f>
        <v>0</v>
      </c>
      <c r="U34" s="915">
        <f>SUMIF(STAT_TRA_Survey_Pkm!$C$8:$C$23, DEMAND_Pkm_Tkm!$C34, STAT_TRA_Survey_Pkm!R$8:R$23)</f>
        <v>0</v>
      </c>
      <c r="V34" s="117" t="str">
        <f t="shared" si="0"/>
        <v>ok</v>
      </c>
    </row>
    <row r="35" spans="2:22" x14ac:dyDescent="0.3">
      <c r="B35" s="18" t="str">
        <f>IF(COUNTIF(TRA_Comm!$C$29:$C$90,DEMAND_Pkm_Tkm!C35)=1,"X","De-Active")</f>
        <v>X</v>
      </c>
      <c r="C35" s="169" t="s">
        <v>619</v>
      </c>
      <c r="D35" s="169" t="s">
        <v>620</v>
      </c>
      <c r="E35" s="697">
        <f t="shared" si="1"/>
        <v>0</v>
      </c>
      <c r="F35" s="169" t="s">
        <v>582</v>
      </c>
      <c r="G35" s="915">
        <f>SUMIF(STAT_TRA_Survey_Pkm!$C$8:$C$23, DEMAND_Pkm_Tkm!$C35, STAT_TRA_Survey_Pkm!D$8:D$23)</f>
        <v>0</v>
      </c>
      <c r="H35" s="915">
        <f>SUMIF(STAT_TRA_Survey_Pkm!$C$8:$C$23, DEMAND_Pkm_Tkm!$C35, STAT_TRA_Survey_Pkm!E$8:E$23)</f>
        <v>0</v>
      </c>
      <c r="I35" s="915">
        <f>SUMIF(STAT_TRA_Survey_Pkm!$C$8:$C$23, DEMAND_Pkm_Tkm!$C35, STAT_TRA_Survey_Pkm!F$8:F$23)</f>
        <v>0</v>
      </c>
      <c r="J35" s="915">
        <f>SUMIF(STAT_TRA_Survey_Pkm!$C$8:$C$23, DEMAND_Pkm_Tkm!$C35, STAT_TRA_Survey_Pkm!G$8:G$23)</f>
        <v>0</v>
      </c>
      <c r="K35" s="915">
        <f>SUMIF(STAT_TRA_Survey_Pkm!$C$8:$C$23, DEMAND_Pkm_Tkm!$C35, STAT_TRA_Survey_Pkm!H$8:H$23)</f>
        <v>0</v>
      </c>
      <c r="L35" s="915">
        <f>SUMIF(STAT_TRA_Survey_Pkm!$C$8:$C$23, DEMAND_Pkm_Tkm!$C35, STAT_TRA_Survey_Pkm!I$8:I$23)</f>
        <v>0</v>
      </c>
      <c r="M35" s="915">
        <f>SUMIF(STAT_TRA_Survey_Pkm!$C$8:$C$23, DEMAND_Pkm_Tkm!$C35, STAT_TRA_Survey_Pkm!J$8:J$23)</f>
        <v>0</v>
      </c>
      <c r="N35" s="915">
        <f>SUMIF(STAT_TRA_Survey_Pkm!$C$8:$C$23, DEMAND_Pkm_Tkm!$C35, STAT_TRA_Survey_Pkm!K$8:K$23)</f>
        <v>0</v>
      </c>
      <c r="O35" s="915">
        <f>SUMIF(STAT_TRA_Survey_Pkm!$C$8:$C$23, DEMAND_Pkm_Tkm!$C35, STAT_TRA_Survey_Pkm!L$8:L$23)</f>
        <v>0</v>
      </c>
      <c r="P35" s="915">
        <f>SUMIF(STAT_TRA_Survey_Pkm!$C$8:$C$23, DEMAND_Pkm_Tkm!$C35, STAT_TRA_Survey_Pkm!M$8:M$23)</f>
        <v>0</v>
      </c>
      <c r="Q35" s="915">
        <f>SUMIF(STAT_TRA_Survey_Pkm!$C$8:$C$23, DEMAND_Pkm_Tkm!$C35, STAT_TRA_Survey_Pkm!N$8:N$23)</f>
        <v>0</v>
      </c>
      <c r="R35" s="915">
        <f>SUMIF(STAT_TRA_Survey_Pkm!$C$8:$C$23, DEMAND_Pkm_Tkm!$C35, STAT_TRA_Survey_Pkm!O$8:O$23)</f>
        <v>0</v>
      </c>
      <c r="S35" s="915">
        <f>SUMIF(STAT_TRA_Survey_Pkm!$C$8:$C$23, DEMAND_Pkm_Tkm!$C35, STAT_TRA_Survey_Pkm!P$8:P$23)</f>
        <v>0</v>
      </c>
      <c r="T35" s="915">
        <f>SUMIF(STAT_TRA_Survey_Pkm!$C$8:$C$23, DEMAND_Pkm_Tkm!$C35, STAT_TRA_Survey_Pkm!Q$8:Q$23)</f>
        <v>0</v>
      </c>
      <c r="U35" s="915">
        <f>SUMIF(STAT_TRA_Survey_Pkm!$C$8:$C$23, DEMAND_Pkm_Tkm!$C35, STAT_TRA_Survey_Pkm!R$8:R$23)</f>
        <v>0</v>
      </c>
      <c r="V35" s="117" t="str">
        <f t="shared" si="0"/>
        <v>ok</v>
      </c>
    </row>
    <row r="36" spans="2:22" x14ac:dyDescent="0.3">
      <c r="B36" s="18" t="str">
        <f>IF(COUNTIF(TRA_Comm!$C$29:$C$90,DEMAND_Pkm_Tkm!C36)=1,"X","De-Active")</f>
        <v>X</v>
      </c>
      <c r="C36" s="169" t="s">
        <v>417</v>
      </c>
      <c r="D36" s="169" t="s">
        <v>621</v>
      </c>
      <c r="E36" s="697">
        <f t="shared" si="1"/>
        <v>0</v>
      </c>
      <c r="F36" s="169" t="s">
        <v>582</v>
      </c>
      <c r="G36" s="915">
        <f>SUMIF(STAT_TRA_Survey_Pkm!$C$8:$C$23, DEMAND_Pkm_Tkm!$C36, STAT_TRA_Survey_Pkm!D$8:D$23)</f>
        <v>0</v>
      </c>
      <c r="H36" s="915">
        <f>SUMIF(STAT_TRA_Survey_Pkm!$C$8:$C$23, DEMAND_Pkm_Tkm!$C36, STAT_TRA_Survey_Pkm!E$8:E$23)</f>
        <v>0</v>
      </c>
      <c r="I36" s="915">
        <f>SUMIF(STAT_TRA_Survey_Pkm!$C$8:$C$23, DEMAND_Pkm_Tkm!$C36, STAT_TRA_Survey_Pkm!F$8:F$23)</f>
        <v>0</v>
      </c>
      <c r="J36" s="915">
        <f>SUMIF(STAT_TRA_Survey_Pkm!$C$8:$C$23, DEMAND_Pkm_Tkm!$C36, STAT_TRA_Survey_Pkm!G$8:G$23)</f>
        <v>0</v>
      </c>
      <c r="K36" s="915">
        <f>SUMIF(STAT_TRA_Survey_Pkm!$C$8:$C$23, DEMAND_Pkm_Tkm!$C36, STAT_TRA_Survey_Pkm!H$8:H$23)</f>
        <v>0</v>
      </c>
      <c r="L36" s="915">
        <f>SUMIF(STAT_TRA_Survey_Pkm!$C$8:$C$23, DEMAND_Pkm_Tkm!$C36, STAT_TRA_Survey_Pkm!I$8:I$23)</f>
        <v>0</v>
      </c>
      <c r="M36" s="915">
        <f>SUMIF(STAT_TRA_Survey_Pkm!$C$8:$C$23, DEMAND_Pkm_Tkm!$C36, STAT_TRA_Survey_Pkm!J$8:J$23)</f>
        <v>0</v>
      </c>
      <c r="N36" s="915">
        <f>SUMIF(STAT_TRA_Survey_Pkm!$C$8:$C$23, DEMAND_Pkm_Tkm!$C36, STAT_TRA_Survey_Pkm!K$8:K$23)</f>
        <v>0</v>
      </c>
      <c r="O36" s="915">
        <f>SUMIF(STAT_TRA_Survey_Pkm!$C$8:$C$23, DEMAND_Pkm_Tkm!$C36, STAT_TRA_Survey_Pkm!L$8:L$23)</f>
        <v>0</v>
      </c>
      <c r="P36" s="915">
        <f>SUMIF(STAT_TRA_Survey_Pkm!$C$8:$C$23, DEMAND_Pkm_Tkm!$C36, STAT_TRA_Survey_Pkm!M$8:M$23)</f>
        <v>0</v>
      </c>
      <c r="Q36" s="915">
        <f>SUMIF(STAT_TRA_Survey_Pkm!$C$8:$C$23, DEMAND_Pkm_Tkm!$C36, STAT_TRA_Survey_Pkm!N$8:N$23)</f>
        <v>0</v>
      </c>
      <c r="R36" s="915">
        <f>SUMIF(STAT_TRA_Survey_Pkm!$C$8:$C$23, DEMAND_Pkm_Tkm!$C36, STAT_TRA_Survey_Pkm!O$8:O$23)</f>
        <v>0</v>
      </c>
      <c r="S36" s="915">
        <f>SUMIF(STAT_TRA_Survey_Pkm!$C$8:$C$23, DEMAND_Pkm_Tkm!$C36, STAT_TRA_Survey_Pkm!P$8:P$23)</f>
        <v>0</v>
      </c>
      <c r="T36" s="915">
        <f>SUMIF(STAT_TRA_Survey_Pkm!$C$8:$C$23, DEMAND_Pkm_Tkm!$C36, STAT_TRA_Survey_Pkm!Q$8:Q$23)</f>
        <v>0</v>
      </c>
      <c r="U36" s="915">
        <f>SUMIF(STAT_TRA_Survey_Pkm!$C$8:$C$23, DEMAND_Pkm_Tkm!$C36, STAT_TRA_Survey_Pkm!R$8:R$23)</f>
        <v>0</v>
      </c>
      <c r="V36" s="117" t="str">
        <f t="shared" si="0"/>
        <v>ok</v>
      </c>
    </row>
    <row r="37" spans="2:22" x14ac:dyDescent="0.3">
      <c r="B37" s="18" t="str">
        <f>IF(COUNTIF(TRA_Comm!$C$29:$C$90,DEMAND_Pkm_Tkm!C37)=1,"X","De-Active")</f>
        <v>X</v>
      </c>
      <c r="C37" s="169" t="s">
        <v>622</v>
      </c>
      <c r="D37" s="169" t="s">
        <v>623</v>
      </c>
      <c r="E37" s="697">
        <f t="shared" si="1"/>
        <v>0</v>
      </c>
      <c r="F37" s="169" t="s">
        <v>582</v>
      </c>
      <c r="G37" s="915">
        <f>SUMIF(STAT_TRA_Survey_Pkm!$C$8:$C$23, DEMAND_Pkm_Tkm!$C37, STAT_TRA_Survey_Pkm!D$8:D$23)</f>
        <v>0</v>
      </c>
      <c r="H37" s="915">
        <f>SUMIF(STAT_TRA_Survey_Pkm!$C$8:$C$23, DEMAND_Pkm_Tkm!$C37, STAT_TRA_Survey_Pkm!E$8:E$23)</f>
        <v>0</v>
      </c>
      <c r="I37" s="915">
        <f>SUMIF(STAT_TRA_Survey_Pkm!$C$8:$C$23, DEMAND_Pkm_Tkm!$C37, STAT_TRA_Survey_Pkm!F$8:F$23)</f>
        <v>0</v>
      </c>
      <c r="J37" s="915">
        <f>SUMIF(STAT_TRA_Survey_Pkm!$C$8:$C$23, DEMAND_Pkm_Tkm!$C37, STAT_TRA_Survey_Pkm!G$8:G$23)</f>
        <v>0</v>
      </c>
      <c r="K37" s="915">
        <f>SUMIF(STAT_TRA_Survey_Pkm!$C$8:$C$23, DEMAND_Pkm_Tkm!$C37, STAT_TRA_Survey_Pkm!H$8:H$23)</f>
        <v>0</v>
      </c>
      <c r="L37" s="915">
        <f>SUMIF(STAT_TRA_Survey_Pkm!$C$8:$C$23, DEMAND_Pkm_Tkm!$C37, STAT_TRA_Survey_Pkm!I$8:I$23)</f>
        <v>0</v>
      </c>
      <c r="M37" s="915">
        <f>SUMIF(STAT_TRA_Survey_Pkm!$C$8:$C$23, DEMAND_Pkm_Tkm!$C37, STAT_TRA_Survey_Pkm!J$8:J$23)</f>
        <v>0</v>
      </c>
      <c r="N37" s="915">
        <f>SUMIF(STAT_TRA_Survey_Pkm!$C$8:$C$23, DEMAND_Pkm_Tkm!$C37, STAT_TRA_Survey_Pkm!K$8:K$23)</f>
        <v>0</v>
      </c>
      <c r="O37" s="915">
        <f>SUMIF(STAT_TRA_Survey_Pkm!$C$8:$C$23, DEMAND_Pkm_Tkm!$C37, STAT_TRA_Survey_Pkm!L$8:L$23)</f>
        <v>0</v>
      </c>
      <c r="P37" s="915">
        <f>SUMIF(STAT_TRA_Survey_Pkm!$C$8:$C$23, DEMAND_Pkm_Tkm!$C37, STAT_TRA_Survey_Pkm!M$8:M$23)</f>
        <v>0</v>
      </c>
      <c r="Q37" s="915">
        <f>SUMIF(STAT_TRA_Survey_Pkm!$C$8:$C$23, DEMAND_Pkm_Tkm!$C37, STAT_TRA_Survey_Pkm!N$8:N$23)</f>
        <v>0</v>
      </c>
      <c r="R37" s="915">
        <f>SUMIF(STAT_TRA_Survey_Pkm!$C$8:$C$23, DEMAND_Pkm_Tkm!$C37, STAT_TRA_Survey_Pkm!O$8:O$23)</f>
        <v>0</v>
      </c>
      <c r="S37" s="915">
        <f>SUMIF(STAT_TRA_Survey_Pkm!$C$8:$C$23, DEMAND_Pkm_Tkm!$C37, STAT_TRA_Survey_Pkm!P$8:P$23)</f>
        <v>0</v>
      </c>
      <c r="T37" s="915">
        <f>SUMIF(STAT_TRA_Survey_Pkm!$C$8:$C$23, DEMAND_Pkm_Tkm!$C37, STAT_TRA_Survey_Pkm!Q$8:Q$23)</f>
        <v>0</v>
      </c>
      <c r="U37" s="915">
        <f>SUMIF(STAT_TRA_Survey_Pkm!$C$8:$C$23, DEMAND_Pkm_Tkm!$C37, STAT_TRA_Survey_Pkm!R$8:R$23)</f>
        <v>0</v>
      </c>
      <c r="V37" s="117" t="str">
        <f t="shared" si="0"/>
        <v>ok</v>
      </c>
    </row>
    <row r="38" spans="2:22" x14ac:dyDescent="0.3">
      <c r="B38" s="18" t="str">
        <f>IF(COUNTIF(TRA_Comm!$C$29:$C$90,DEMAND_Pkm_Tkm!C38)=1,"X","De-Active")</f>
        <v>X</v>
      </c>
      <c r="C38" s="169" t="s">
        <v>394</v>
      </c>
      <c r="D38" s="169" t="s">
        <v>624</v>
      </c>
      <c r="E38" s="697">
        <f t="shared" si="1"/>
        <v>0</v>
      </c>
      <c r="F38" s="169" t="s">
        <v>582</v>
      </c>
      <c r="G38" s="915">
        <f>SUMIF(STAT_TRA_Survey_Pkm!$C$8:$C$23, DEMAND_Pkm_Tkm!$C38, STAT_TRA_Survey_Pkm!D$8:D$23)</f>
        <v>0</v>
      </c>
      <c r="H38" s="915">
        <f>SUMIF(STAT_TRA_Survey_Pkm!$C$8:$C$23, DEMAND_Pkm_Tkm!$C38, STAT_TRA_Survey_Pkm!E$8:E$23)</f>
        <v>0</v>
      </c>
      <c r="I38" s="915">
        <f>SUMIF(STAT_TRA_Survey_Pkm!$C$8:$C$23, DEMAND_Pkm_Tkm!$C38, STAT_TRA_Survey_Pkm!F$8:F$23)</f>
        <v>0</v>
      </c>
      <c r="J38" s="915">
        <f>SUMIF(STAT_TRA_Survey_Pkm!$C$8:$C$23, DEMAND_Pkm_Tkm!$C38, STAT_TRA_Survey_Pkm!G$8:G$23)</f>
        <v>0</v>
      </c>
      <c r="K38" s="915">
        <f>SUMIF(STAT_TRA_Survey_Pkm!$C$8:$C$23, DEMAND_Pkm_Tkm!$C38, STAT_TRA_Survey_Pkm!H$8:H$23)</f>
        <v>0</v>
      </c>
      <c r="L38" s="915">
        <f>SUMIF(STAT_TRA_Survey_Pkm!$C$8:$C$23, DEMAND_Pkm_Tkm!$C38, STAT_TRA_Survey_Pkm!I$8:I$23)</f>
        <v>0</v>
      </c>
      <c r="M38" s="915">
        <f>SUMIF(STAT_TRA_Survey_Pkm!$C$8:$C$23, DEMAND_Pkm_Tkm!$C38, STAT_TRA_Survey_Pkm!J$8:J$23)</f>
        <v>0</v>
      </c>
      <c r="N38" s="915">
        <f>SUMIF(STAT_TRA_Survey_Pkm!$C$8:$C$23, DEMAND_Pkm_Tkm!$C38, STAT_TRA_Survey_Pkm!K$8:K$23)</f>
        <v>0</v>
      </c>
      <c r="O38" s="915">
        <f>SUMIF(STAT_TRA_Survey_Pkm!$C$8:$C$23, DEMAND_Pkm_Tkm!$C38, STAT_TRA_Survey_Pkm!L$8:L$23)</f>
        <v>0</v>
      </c>
      <c r="P38" s="915">
        <f>SUMIF(STAT_TRA_Survey_Pkm!$C$8:$C$23, DEMAND_Pkm_Tkm!$C38, STAT_TRA_Survey_Pkm!M$8:M$23)</f>
        <v>0</v>
      </c>
      <c r="Q38" s="915">
        <f>SUMIF(STAT_TRA_Survey_Pkm!$C$8:$C$23, DEMAND_Pkm_Tkm!$C38, STAT_TRA_Survey_Pkm!N$8:N$23)</f>
        <v>0</v>
      </c>
      <c r="R38" s="915">
        <f>SUMIF(STAT_TRA_Survey_Pkm!$C$8:$C$23, DEMAND_Pkm_Tkm!$C38, STAT_TRA_Survey_Pkm!O$8:O$23)</f>
        <v>0</v>
      </c>
      <c r="S38" s="915">
        <f>SUMIF(STAT_TRA_Survey_Pkm!$C$8:$C$23, DEMAND_Pkm_Tkm!$C38, STAT_TRA_Survey_Pkm!P$8:P$23)</f>
        <v>0</v>
      </c>
      <c r="T38" s="915">
        <f>SUMIF(STAT_TRA_Survey_Pkm!$C$8:$C$23, DEMAND_Pkm_Tkm!$C38, STAT_TRA_Survey_Pkm!Q$8:Q$23)</f>
        <v>0</v>
      </c>
      <c r="U38" s="915">
        <f>SUMIF(STAT_TRA_Survey_Pkm!$C$8:$C$23, DEMAND_Pkm_Tkm!$C38, STAT_TRA_Survey_Pkm!R$8:R$23)</f>
        <v>0</v>
      </c>
      <c r="V38" s="117" t="str">
        <f t="shared" si="0"/>
        <v>ok</v>
      </c>
    </row>
    <row r="39" spans="2:22" x14ac:dyDescent="0.3">
      <c r="B39" s="18" t="str">
        <f>IF(COUNTIF(TRA_Comm!$C$29:$C$90,DEMAND_Pkm_Tkm!C39)=1,"X","De-Active")</f>
        <v>X</v>
      </c>
      <c r="C39" s="169" t="s">
        <v>470</v>
      </c>
      <c r="D39" s="169" t="s">
        <v>625</v>
      </c>
      <c r="E39" s="697">
        <f t="shared" si="1"/>
        <v>0</v>
      </c>
      <c r="F39" s="169" t="s">
        <v>582</v>
      </c>
      <c r="G39" s="915">
        <f>SUMIF(STAT_TRA_Survey_Pkm!$C$8:$C$23, DEMAND_Pkm_Tkm!$C39, STAT_TRA_Survey_Pkm!D$8:D$23)</f>
        <v>0</v>
      </c>
      <c r="H39" s="915">
        <f>SUMIF(STAT_TRA_Survey_Pkm!$C$8:$C$23, DEMAND_Pkm_Tkm!$C39, STAT_TRA_Survey_Pkm!E$8:E$23)</f>
        <v>0</v>
      </c>
      <c r="I39" s="915">
        <f>SUMIF(STAT_TRA_Survey_Pkm!$C$8:$C$23, DEMAND_Pkm_Tkm!$C39, STAT_TRA_Survey_Pkm!F$8:F$23)</f>
        <v>0</v>
      </c>
      <c r="J39" s="915">
        <f>SUMIF(STAT_TRA_Survey_Pkm!$C$8:$C$23, DEMAND_Pkm_Tkm!$C39, STAT_TRA_Survey_Pkm!G$8:G$23)</f>
        <v>0</v>
      </c>
      <c r="K39" s="915">
        <f>SUMIF(STAT_TRA_Survey_Pkm!$C$8:$C$23, DEMAND_Pkm_Tkm!$C39, STAT_TRA_Survey_Pkm!H$8:H$23)</f>
        <v>0</v>
      </c>
      <c r="L39" s="915">
        <f>SUMIF(STAT_TRA_Survey_Pkm!$C$8:$C$23, DEMAND_Pkm_Tkm!$C39, STAT_TRA_Survey_Pkm!I$8:I$23)</f>
        <v>0</v>
      </c>
      <c r="M39" s="915">
        <f>SUMIF(STAT_TRA_Survey_Pkm!$C$8:$C$23, DEMAND_Pkm_Tkm!$C39, STAT_TRA_Survey_Pkm!J$8:J$23)</f>
        <v>0</v>
      </c>
      <c r="N39" s="915">
        <f>SUMIF(STAT_TRA_Survey_Pkm!$C$8:$C$23, DEMAND_Pkm_Tkm!$C39, STAT_TRA_Survey_Pkm!K$8:K$23)</f>
        <v>0</v>
      </c>
      <c r="O39" s="915">
        <f>SUMIF(STAT_TRA_Survey_Pkm!$C$8:$C$23, DEMAND_Pkm_Tkm!$C39, STAT_TRA_Survey_Pkm!L$8:L$23)</f>
        <v>0</v>
      </c>
      <c r="P39" s="915">
        <f>SUMIF(STAT_TRA_Survey_Pkm!$C$8:$C$23, DEMAND_Pkm_Tkm!$C39, STAT_TRA_Survey_Pkm!M$8:M$23)</f>
        <v>0</v>
      </c>
      <c r="Q39" s="915">
        <f>SUMIF(STAT_TRA_Survey_Pkm!$C$8:$C$23, DEMAND_Pkm_Tkm!$C39, STAT_TRA_Survey_Pkm!N$8:N$23)</f>
        <v>0</v>
      </c>
      <c r="R39" s="915">
        <f>SUMIF(STAT_TRA_Survey_Pkm!$C$8:$C$23, DEMAND_Pkm_Tkm!$C39, STAT_TRA_Survey_Pkm!O$8:O$23)</f>
        <v>0</v>
      </c>
      <c r="S39" s="915">
        <f>SUMIF(STAT_TRA_Survey_Pkm!$C$8:$C$23, DEMAND_Pkm_Tkm!$C39, STAT_TRA_Survey_Pkm!P$8:P$23)</f>
        <v>0</v>
      </c>
      <c r="T39" s="915">
        <f>SUMIF(STAT_TRA_Survey_Pkm!$C$8:$C$23, DEMAND_Pkm_Tkm!$C39, STAT_TRA_Survey_Pkm!Q$8:Q$23)</f>
        <v>0</v>
      </c>
      <c r="U39" s="915">
        <f>SUMIF(STAT_TRA_Survey_Pkm!$C$8:$C$23, DEMAND_Pkm_Tkm!$C39, STAT_TRA_Survey_Pkm!R$8:R$23)</f>
        <v>0</v>
      </c>
      <c r="V39" s="117" t="str">
        <f t="shared" si="0"/>
        <v>ok</v>
      </c>
    </row>
    <row r="40" spans="2:22" x14ac:dyDescent="0.3">
      <c r="B40" s="18" t="str">
        <f>IF(COUNTIF(TRA_Comm!$C$29:$C$90,DEMAND_Pkm_Tkm!C40)=1,"X","De-Active")</f>
        <v>X</v>
      </c>
      <c r="C40" s="169" t="s">
        <v>398</v>
      </c>
      <c r="D40" s="169" t="s">
        <v>626</v>
      </c>
      <c r="E40" s="697">
        <f t="shared" si="1"/>
        <v>0</v>
      </c>
      <c r="F40" s="169" t="s">
        <v>582</v>
      </c>
      <c r="G40" s="915">
        <f>SUMIF(STAT_TRA_Survey_Pkm!$C$8:$C$23, DEMAND_Pkm_Tkm!$C40, STAT_TRA_Survey_Pkm!D$8:D$23)</f>
        <v>0</v>
      </c>
      <c r="H40" s="915">
        <f>SUMIF(STAT_TRA_Survey_Pkm!$C$8:$C$23, DEMAND_Pkm_Tkm!$C40, STAT_TRA_Survey_Pkm!E$8:E$23)</f>
        <v>0</v>
      </c>
      <c r="I40" s="915">
        <f>SUMIF(STAT_TRA_Survey_Pkm!$C$8:$C$23, DEMAND_Pkm_Tkm!$C40, STAT_TRA_Survey_Pkm!F$8:F$23)</f>
        <v>0</v>
      </c>
      <c r="J40" s="915">
        <f>SUMIF(STAT_TRA_Survey_Pkm!$C$8:$C$23, DEMAND_Pkm_Tkm!$C40, STAT_TRA_Survey_Pkm!G$8:G$23)</f>
        <v>0</v>
      </c>
      <c r="K40" s="915">
        <f>SUMIF(STAT_TRA_Survey_Pkm!$C$8:$C$23, DEMAND_Pkm_Tkm!$C40, STAT_TRA_Survey_Pkm!H$8:H$23)</f>
        <v>0</v>
      </c>
      <c r="L40" s="915">
        <f>SUMIF(STAT_TRA_Survey_Pkm!$C$8:$C$23, DEMAND_Pkm_Tkm!$C40, STAT_TRA_Survey_Pkm!I$8:I$23)</f>
        <v>0</v>
      </c>
      <c r="M40" s="915">
        <f>SUMIF(STAT_TRA_Survey_Pkm!$C$8:$C$23, DEMAND_Pkm_Tkm!$C40, STAT_TRA_Survey_Pkm!J$8:J$23)</f>
        <v>0</v>
      </c>
      <c r="N40" s="915">
        <f>SUMIF(STAT_TRA_Survey_Pkm!$C$8:$C$23, DEMAND_Pkm_Tkm!$C40, STAT_TRA_Survey_Pkm!K$8:K$23)</f>
        <v>0</v>
      </c>
      <c r="O40" s="915">
        <f>SUMIF(STAT_TRA_Survey_Pkm!$C$8:$C$23, DEMAND_Pkm_Tkm!$C40, STAT_TRA_Survey_Pkm!L$8:L$23)</f>
        <v>0</v>
      </c>
      <c r="P40" s="915">
        <f>SUMIF(STAT_TRA_Survey_Pkm!$C$8:$C$23, DEMAND_Pkm_Tkm!$C40, STAT_TRA_Survey_Pkm!M$8:M$23)</f>
        <v>0</v>
      </c>
      <c r="Q40" s="915">
        <f>SUMIF(STAT_TRA_Survey_Pkm!$C$8:$C$23, DEMAND_Pkm_Tkm!$C40, STAT_TRA_Survey_Pkm!N$8:N$23)</f>
        <v>0</v>
      </c>
      <c r="R40" s="915">
        <f>SUMIF(STAT_TRA_Survey_Pkm!$C$8:$C$23, DEMAND_Pkm_Tkm!$C40, STAT_TRA_Survey_Pkm!O$8:O$23)</f>
        <v>0</v>
      </c>
      <c r="S40" s="915">
        <f>SUMIF(STAT_TRA_Survey_Pkm!$C$8:$C$23, DEMAND_Pkm_Tkm!$C40, STAT_TRA_Survey_Pkm!P$8:P$23)</f>
        <v>0</v>
      </c>
      <c r="T40" s="915">
        <f>SUMIF(STAT_TRA_Survey_Pkm!$C$8:$C$23, DEMAND_Pkm_Tkm!$C40, STAT_TRA_Survey_Pkm!Q$8:Q$23)</f>
        <v>0</v>
      </c>
      <c r="U40" s="915">
        <f>SUMIF(STAT_TRA_Survey_Pkm!$C$8:$C$23, DEMAND_Pkm_Tkm!$C40, STAT_TRA_Survey_Pkm!R$8:R$23)</f>
        <v>0</v>
      </c>
      <c r="V40" s="117" t="str">
        <f t="shared" si="0"/>
        <v>ok</v>
      </c>
    </row>
    <row r="41" spans="2:22" x14ac:dyDescent="0.3">
      <c r="B41" s="18" t="str">
        <f>IF(COUNTIF(TRA_Comm!$C$29:$C$90,DEMAND_Pkm_Tkm!C41)=1,"X","De-Active")</f>
        <v>X</v>
      </c>
      <c r="C41" s="169" t="s">
        <v>473</v>
      </c>
      <c r="D41" s="169" t="s">
        <v>627</v>
      </c>
      <c r="E41" s="697">
        <f t="shared" si="1"/>
        <v>0</v>
      </c>
      <c r="F41" s="169" t="s">
        <v>582</v>
      </c>
      <c r="G41" s="915">
        <f>SUMIF(STAT_TRA_Survey_Pkm!$C$8:$C$23, DEMAND_Pkm_Tkm!$C41, STAT_TRA_Survey_Pkm!D$8:D$23)</f>
        <v>0</v>
      </c>
      <c r="H41" s="915">
        <f>SUMIF(STAT_TRA_Survey_Pkm!$C$8:$C$23, DEMAND_Pkm_Tkm!$C41, STAT_TRA_Survey_Pkm!E$8:E$23)</f>
        <v>0</v>
      </c>
      <c r="I41" s="915">
        <f>SUMIF(STAT_TRA_Survey_Pkm!$C$8:$C$23, DEMAND_Pkm_Tkm!$C41, STAT_TRA_Survey_Pkm!F$8:F$23)</f>
        <v>0</v>
      </c>
      <c r="J41" s="915">
        <f>SUMIF(STAT_TRA_Survey_Pkm!$C$8:$C$23, DEMAND_Pkm_Tkm!$C41, STAT_TRA_Survey_Pkm!G$8:G$23)</f>
        <v>0</v>
      </c>
      <c r="K41" s="915">
        <f>SUMIF(STAT_TRA_Survey_Pkm!$C$8:$C$23, DEMAND_Pkm_Tkm!$C41, STAT_TRA_Survey_Pkm!H$8:H$23)</f>
        <v>0</v>
      </c>
      <c r="L41" s="915">
        <f>SUMIF(STAT_TRA_Survey_Pkm!$C$8:$C$23, DEMAND_Pkm_Tkm!$C41, STAT_TRA_Survey_Pkm!I$8:I$23)</f>
        <v>0</v>
      </c>
      <c r="M41" s="915">
        <f>SUMIF(STAT_TRA_Survey_Pkm!$C$8:$C$23, DEMAND_Pkm_Tkm!$C41, STAT_TRA_Survey_Pkm!J$8:J$23)</f>
        <v>0</v>
      </c>
      <c r="N41" s="915">
        <f>SUMIF(STAT_TRA_Survey_Pkm!$C$8:$C$23, DEMAND_Pkm_Tkm!$C41, STAT_TRA_Survey_Pkm!K$8:K$23)</f>
        <v>0</v>
      </c>
      <c r="O41" s="915">
        <f>SUMIF(STAT_TRA_Survey_Pkm!$C$8:$C$23, DEMAND_Pkm_Tkm!$C41, STAT_TRA_Survey_Pkm!L$8:L$23)</f>
        <v>0</v>
      </c>
      <c r="P41" s="915">
        <f>SUMIF(STAT_TRA_Survey_Pkm!$C$8:$C$23, DEMAND_Pkm_Tkm!$C41, STAT_TRA_Survey_Pkm!M$8:M$23)</f>
        <v>0</v>
      </c>
      <c r="Q41" s="915">
        <f>SUMIF(STAT_TRA_Survey_Pkm!$C$8:$C$23, DEMAND_Pkm_Tkm!$C41, STAT_TRA_Survey_Pkm!N$8:N$23)</f>
        <v>0</v>
      </c>
      <c r="R41" s="915">
        <f>SUMIF(STAT_TRA_Survey_Pkm!$C$8:$C$23, DEMAND_Pkm_Tkm!$C41, STAT_TRA_Survey_Pkm!O$8:O$23)</f>
        <v>0</v>
      </c>
      <c r="S41" s="915">
        <f>SUMIF(STAT_TRA_Survey_Pkm!$C$8:$C$23, DEMAND_Pkm_Tkm!$C41, STAT_TRA_Survey_Pkm!P$8:P$23)</f>
        <v>0</v>
      </c>
      <c r="T41" s="915">
        <f>SUMIF(STAT_TRA_Survey_Pkm!$C$8:$C$23, DEMAND_Pkm_Tkm!$C41, STAT_TRA_Survey_Pkm!Q$8:Q$23)</f>
        <v>0</v>
      </c>
      <c r="U41" s="915">
        <f>SUMIF(STAT_TRA_Survey_Pkm!$C$8:$C$23, DEMAND_Pkm_Tkm!$C41, STAT_TRA_Survey_Pkm!R$8:R$23)</f>
        <v>0</v>
      </c>
      <c r="V41" s="117" t="str">
        <f t="shared" si="0"/>
        <v>ok</v>
      </c>
    </row>
    <row r="42" spans="2:22" x14ac:dyDescent="0.3">
      <c r="B42" s="18" t="str">
        <f>IF(COUNTIF(TRA_Comm!$C$29:$C$90,DEMAND_Pkm_Tkm!C42)=1,"X","De-Active")</f>
        <v>X</v>
      </c>
      <c r="C42" s="169" t="s">
        <v>396</v>
      </c>
      <c r="D42" s="169" t="s">
        <v>628</v>
      </c>
      <c r="E42" s="697">
        <f t="shared" si="1"/>
        <v>0</v>
      </c>
      <c r="F42" s="169" t="s">
        <v>582</v>
      </c>
      <c r="G42" s="915">
        <f>SUMIF(STAT_TRA_Survey_Pkm!$C$8:$C$23, DEMAND_Pkm_Tkm!$C42, STAT_TRA_Survey_Pkm!D$8:D$23)</f>
        <v>0</v>
      </c>
      <c r="H42" s="915">
        <f>SUMIF(STAT_TRA_Survey_Pkm!$C$8:$C$23, DEMAND_Pkm_Tkm!$C42, STAT_TRA_Survey_Pkm!E$8:E$23)</f>
        <v>0</v>
      </c>
      <c r="I42" s="915">
        <f>SUMIF(STAT_TRA_Survey_Pkm!$C$8:$C$23, DEMAND_Pkm_Tkm!$C42, STAT_TRA_Survey_Pkm!F$8:F$23)</f>
        <v>0</v>
      </c>
      <c r="J42" s="915">
        <f>SUMIF(STAT_TRA_Survey_Pkm!$C$8:$C$23, DEMAND_Pkm_Tkm!$C42, STAT_TRA_Survey_Pkm!G$8:G$23)</f>
        <v>0</v>
      </c>
      <c r="K42" s="915">
        <f>SUMIF(STAT_TRA_Survey_Pkm!$C$8:$C$23, DEMAND_Pkm_Tkm!$C42, STAT_TRA_Survey_Pkm!H$8:H$23)</f>
        <v>0</v>
      </c>
      <c r="L42" s="915">
        <f>SUMIF(STAT_TRA_Survey_Pkm!$C$8:$C$23, DEMAND_Pkm_Tkm!$C42, STAT_TRA_Survey_Pkm!I$8:I$23)</f>
        <v>0</v>
      </c>
      <c r="M42" s="915">
        <f>SUMIF(STAT_TRA_Survey_Pkm!$C$8:$C$23, DEMAND_Pkm_Tkm!$C42, STAT_TRA_Survey_Pkm!J$8:J$23)</f>
        <v>0</v>
      </c>
      <c r="N42" s="915">
        <f>SUMIF(STAT_TRA_Survey_Pkm!$C$8:$C$23, DEMAND_Pkm_Tkm!$C42, STAT_TRA_Survey_Pkm!K$8:K$23)</f>
        <v>0</v>
      </c>
      <c r="O42" s="915">
        <f>SUMIF(STAT_TRA_Survey_Pkm!$C$8:$C$23, DEMAND_Pkm_Tkm!$C42, STAT_TRA_Survey_Pkm!L$8:L$23)</f>
        <v>0</v>
      </c>
      <c r="P42" s="915">
        <f>SUMIF(STAT_TRA_Survey_Pkm!$C$8:$C$23, DEMAND_Pkm_Tkm!$C42, STAT_TRA_Survey_Pkm!M$8:M$23)</f>
        <v>0</v>
      </c>
      <c r="Q42" s="915">
        <f>SUMIF(STAT_TRA_Survey_Pkm!$C$8:$C$23, DEMAND_Pkm_Tkm!$C42, STAT_TRA_Survey_Pkm!N$8:N$23)</f>
        <v>0</v>
      </c>
      <c r="R42" s="915">
        <f>SUMIF(STAT_TRA_Survey_Pkm!$C$8:$C$23, DEMAND_Pkm_Tkm!$C42, STAT_TRA_Survey_Pkm!O$8:O$23)</f>
        <v>0</v>
      </c>
      <c r="S42" s="915">
        <f>SUMIF(STAT_TRA_Survey_Pkm!$C$8:$C$23, DEMAND_Pkm_Tkm!$C42, STAT_TRA_Survey_Pkm!P$8:P$23)</f>
        <v>0</v>
      </c>
      <c r="T42" s="915">
        <f>SUMIF(STAT_TRA_Survey_Pkm!$C$8:$C$23, DEMAND_Pkm_Tkm!$C42, STAT_TRA_Survey_Pkm!Q$8:Q$23)</f>
        <v>0</v>
      </c>
      <c r="U42" s="915">
        <f>SUMIF(STAT_TRA_Survey_Pkm!$C$8:$C$23, DEMAND_Pkm_Tkm!$C42, STAT_TRA_Survey_Pkm!R$8:R$23)</f>
        <v>0</v>
      </c>
      <c r="V42" s="117" t="str">
        <f t="shared" si="0"/>
        <v>ok</v>
      </c>
    </row>
    <row r="43" spans="2:22" x14ac:dyDescent="0.3">
      <c r="B43" s="18" t="str">
        <f>IF(COUNTIF(TRA_Comm!$C$29:$C$90,DEMAND_Pkm_Tkm!C43)=1,"X","De-Active")</f>
        <v>X</v>
      </c>
      <c r="C43" s="169" t="s">
        <v>476</v>
      </c>
      <c r="D43" s="169" t="s">
        <v>629</v>
      </c>
      <c r="E43" s="697">
        <f t="shared" si="1"/>
        <v>0</v>
      </c>
      <c r="F43" s="169" t="s">
        <v>582</v>
      </c>
      <c r="G43" s="915">
        <f>SUMIF(STAT_TRA_Survey_Pkm!$C$8:$C$23, DEMAND_Pkm_Tkm!$C43, STAT_TRA_Survey_Pkm!D$8:D$23)</f>
        <v>0</v>
      </c>
      <c r="H43" s="915">
        <f>SUMIF(STAT_TRA_Survey_Pkm!$C$8:$C$23, DEMAND_Pkm_Tkm!$C43, STAT_TRA_Survey_Pkm!E$8:E$23)</f>
        <v>0</v>
      </c>
      <c r="I43" s="915">
        <f>SUMIF(STAT_TRA_Survey_Pkm!$C$8:$C$23, DEMAND_Pkm_Tkm!$C43, STAT_TRA_Survey_Pkm!F$8:F$23)</f>
        <v>0</v>
      </c>
      <c r="J43" s="915">
        <f>SUMIF(STAT_TRA_Survey_Pkm!$C$8:$C$23, DEMAND_Pkm_Tkm!$C43, STAT_TRA_Survey_Pkm!G$8:G$23)</f>
        <v>0</v>
      </c>
      <c r="K43" s="915">
        <f>SUMIF(STAT_TRA_Survey_Pkm!$C$8:$C$23, DEMAND_Pkm_Tkm!$C43, STAT_TRA_Survey_Pkm!H$8:H$23)</f>
        <v>0</v>
      </c>
      <c r="L43" s="915">
        <f>SUMIF(STAT_TRA_Survey_Pkm!$C$8:$C$23, DEMAND_Pkm_Tkm!$C43, STAT_TRA_Survey_Pkm!I$8:I$23)</f>
        <v>0</v>
      </c>
      <c r="M43" s="915">
        <f>SUMIF(STAT_TRA_Survey_Pkm!$C$8:$C$23, DEMAND_Pkm_Tkm!$C43, STAT_TRA_Survey_Pkm!J$8:J$23)</f>
        <v>0</v>
      </c>
      <c r="N43" s="915">
        <f>SUMIF(STAT_TRA_Survey_Pkm!$C$8:$C$23, DEMAND_Pkm_Tkm!$C43, STAT_TRA_Survey_Pkm!K$8:K$23)</f>
        <v>0</v>
      </c>
      <c r="O43" s="915">
        <f>SUMIF(STAT_TRA_Survey_Pkm!$C$8:$C$23, DEMAND_Pkm_Tkm!$C43, STAT_TRA_Survey_Pkm!L$8:L$23)</f>
        <v>0</v>
      </c>
      <c r="P43" s="915">
        <f>SUMIF(STAT_TRA_Survey_Pkm!$C$8:$C$23, DEMAND_Pkm_Tkm!$C43, STAT_TRA_Survey_Pkm!M$8:M$23)</f>
        <v>0</v>
      </c>
      <c r="Q43" s="915">
        <f>SUMIF(STAT_TRA_Survey_Pkm!$C$8:$C$23, DEMAND_Pkm_Tkm!$C43, STAT_TRA_Survey_Pkm!N$8:N$23)</f>
        <v>0</v>
      </c>
      <c r="R43" s="915">
        <f>SUMIF(STAT_TRA_Survey_Pkm!$C$8:$C$23, DEMAND_Pkm_Tkm!$C43, STAT_TRA_Survey_Pkm!O$8:O$23)</f>
        <v>0</v>
      </c>
      <c r="S43" s="915">
        <f>SUMIF(STAT_TRA_Survey_Pkm!$C$8:$C$23, DEMAND_Pkm_Tkm!$C43, STAT_TRA_Survey_Pkm!P$8:P$23)</f>
        <v>0</v>
      </c>
      <c r="T43" s="915">
        <f>SUMIF(STAT_TRA_Survey_Pkm!$C$8:$C$23, DEMAND_Pkm_Tkm!$C43, STAT_TRA_Survey_Pkm!Q$8:Q$23)</f>
        <v>0</v>
      </c>
      <c r="U43" s="915">
        <f>SUMIF(STAT_TRA_Survey_Pkm!$C$8:$C$23, DEMAND_Pkm_Tkm!$C43, STAT_TRA_Survey_Pkm!R$8:R$23)</f>
        <v>0</v>
      </c>
      <c r="V43" s="117" t="str">
        <f t="shared" si="0"/>
        <v>ok</v>
      </c>
    </row>
    <row r="45" spans="2:22" customFormat="1" x14ac:dyDescent="0.3">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3">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3">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3">
      <c r="B48" s="18" t="str">
        <f>IF(COUNTIF(TRA_Comm!$C$29:$C$90,DEMAND_Pkm_Tkm!C48)=1,"X","De-Active")</f>
        <v>X</v>
      </c>
      <c r="C48" s="169" t="s">
        <v>427</v>
      </c>
      <c r="D48" s="169" t="s">
        <v>631</v>
      </c>
      <c r="E48" s="697">
        <f t="shared" ref="E48:E71" si="2">SUM(G48:U48)</f>
        <v>0</v>
      </c>
      <c r="F48" s="169" t="s">
        <v>632</v>
      </c>
      <c r="G48" s="813">
        <f>SUMIF(STAT_TRA_Survey_Tkm!$C$6:$C$16, DEMAND_Pkm_Tkm!$C48, STAT_TRA_Survey_Tkm!D$6:D$16)</f>
        <v>0</v>
      </c>
      <c r="H48" s="813">
        <f>SUMIF(STAT_TRA_Survey_Tkm!$C$6:$C$16, DEMAND_Pkm_Tkm!$C48, STAT_TRA_Survey_Tkm!E$6:E$16)</f>
        <v>0</v>
      </c>
      <c r="I48" s="813">
        <f>SUMIF(STAT_TRA_Survey_Tkm!$C$6:$C$16, DEMAND_Pkm_Tkm!$C48, STAT_TRA_Survey_Tkm!F$6:F$16)</f>
        <v>0</v>
      </c>
      <c r="J48" s="813">
        <f>SUMIF(STAT_TRA_Survey_Tkm!$C$6:$C$16, DEMAND_Pkm_Tkm!$C48, STAT_TRA_Survey_Tkm!G$6:G$16)</f>
        <v>0</v>
      </c>
      <c r="K48" s="813">
        <f>SUMIF(STAT_TRA_Survey_Tkm!$C$6:$C$16, DEMAND_Pkm_Tkm!$C48, STAT_TRA_Survey_Tkm!H$6:H$16)</f>
        <v>0</v>
      </c>
      <c r="L48" s="813">
        <f>SUMIF(STAT_TRA_Survey_Tkm!$C$6:$C$16, DEMAND_Pkm_Tkm!$C48, STAT_TRA_Survey_Tkm!I$6:I$16)</f>
        <v>0</v>
      </c>
      <c r="M48" s="813">
        <f>SUMIF(STAT_TRA_Survey_Tkm!$C$6:$C$16, DEMAND_Pkm_Tkm!$C48, STAT_TRA_Survey_Tkm!J$6:J$16)</f>
        <v>0</v>
      </c>
      <c r="N48" s="813">
        <f>SUMIF(STAT_TRA_Survey_Tkm!$C$6:$C$16, DEMAND_Pkm_Tkm!$C48, STAT_TRA_Survey_Tkm!K$6:K$16)</f>
        <v>0</v>
      </c>
      <c r="O48" s="813">
        <f>SUMIF(STAT_TRA_Survey_Tkm!$C$6:$C$16, DEMAND_Pkm_Tkm!$C48, STAT_TRA_Survey_Tkm!L$6:L$16)</f>
        <v>0</v>
      </c>
      <c r="P48" s="813">
        <f>SUMIF(STAT_TRA_Survey_Tkm!$C$6:$C$16, DEMAND_Pkm_Tkm!$C48, STAT_TRA_Survey_Tkm!M$6:M$16)</f>
        <v>0</v>
      </c>
      <c r="Q48" s="813">
        <f>SUMIF(STAT_TRA_Survey_Tkm!$C$6:$C$16, DEMAND_Pkm_Tkm!$C48, STAT_TRA_Survey_Tkm!N$6:N$16)</f>
        <v>0</v>
      </c>
      <c r="R48" s="813">
        <f>SUMIF(STAT_TRA_Survey_Tkm!$C$6:$C$16, DEMAND_Pkm_Tkm!$C48, STAT_TRA_Survey_Tkm!O$6:O$16)</f>
        <v>0</v>
      </c>
      <c r="S48" s="813">
        <f>SUMIF(STAT_TRA_Survey_Tkm!$C$6:$C$16, DEMAND_Pkm_Tkm!$C48, STAT_TRA_Survey_Tkm!P$6:P$16)</f>
        <v>0</v>
      </c>
      <c r="T48" s="813">
        <f>SUMIF(STAT_TRA_Survey_Tkm!$C$6:$C$16, DEMAND_Pkm_Tkm!$C48, STAT_TRA_Survey_Tkm!Q$6:Q$16)</f>
        <v>0</v>
      </c>
      <c r="U48" s="813">
        <f>SUMIF(STAT_TRA_Survey_Tkm!$C$6:$C$16, DEMAND_Pkm_Tkm!$C48, STAT_TRA_Survey_Tkm!R$6:R$16)</f>
        <v>0</v>
      </c>
      <c r="V48" s="117" t="str">
        <f t="shared" ref="V48:V71" si="3">IF(E48=SUM(G48:U48),"ok","Too high/low")</f>
        <v>ok</v>
      </c>
    </row>
    <row r="49" spans="2:22" customFormat="1" x14ac:dyDescent="0.3">
      <c r="B49" s="18" t="str">
        <f>IF(COUNTIF(TRA_Comm!$C$29:$C$90,DEMAND_Pkm_Tkm!C49)=1,"X","De-Active")</f>
        <v>X</v>
      </c>
      <c r="C49" s="169" t="s">
        <v>633</v>
      </c>
      <c r="D49" s="169" t="s">
        <v>634</v>
      </c>
      <c r="E49" s="697">
        <f t="shared" si="2"/>
        <v>0</v>
      </c>
      <c r="F49" s="169" t="s">
        <v>632</v>
      </c>
      <c r="G49" s="813">
        <f>SUMIF(STAT_TRA_Survey_Tkm!$C$6:$C$16, DEMAND_Pkm_Tkm!$C49, STAT_TRA_Survey_Tkm!D$6:D$16)</f>
        <v>0</v>
      </c>
      <c r="H49" s="813">
        <f>SUMIF(STAT_TRA_Survey_Tkm!$C$6:$C$16, DEMAND_Pkm_Tkm!$C49, STAT_TRA_Survey_Tkm!E$6:E$16)</f>
        <v>0</v>
      </c>
      <c r="I49" s="813">
        <f>SUMIF(STAT_TRA_Survey_Tkm!$C$6:$C$16, DEMAND_Pkm_Tkm!$C49, STAT_TRA_Survey_Tkm!F$6:F$16)</f>
        <v>0</v>
      </c>
      <c r="J49" s="813">
        <f>SUMIF(STAT_TRA_Survey_Tkm!$C$6:$C$16, DEMAND_Pkm_Tkm!$C49, STAT_TRA_Survey_Tkm!G$6:G$16)</f>
        <v>0</v>
      </c>
      <c r="K49" s="813">
        <f>SUMIF(STAT_TRA_Survey_Tkm!$C$6:$C$16, DEMAND_Pkm_Tkm!$C49, STAT_TRA_Survey_Tkm!H$6:H$16)</f>
        <v>0</v>
      </c>
      <c r="L49" s="813">
        <f>SUMIF(STAT_TRA_Survey_Tkm!$C$6:$C$16, DEMAND_Pkm_Tkm!$C49, STAT_TRA_Survey_Tkm!I$6:I$16)</f>
        <v>0</v>
      </c>
      <c r="M49" s="813">
        <f>SUMIF(STAT_TRA_Survey_Tkm!$C$6:$C$16, DEMAND_Pkm_Tkm!$C49, STAT_TRA_Survey_Tkm!J$6:J$16)</f>
        <v>0</v>
      </c>
      <c r="N49" s="813">
        <f>SUMIF(STAT_TRA_Survey_Tkm!$C$6:$C$16, DEMAND_Pkm_Tkm!$C49, STAT_TRA_Survey_Tkm!K$6:K$16)</f>
        <v>0</v>
      </c>
      <c r="O49" s="813">
        <f>SUMIF(STAT_TRA_Survey_Tkm!$C$6:$C$16, DEMAND_Pkm_Tkm!$C49, STAT_TRA_Survey_Tkm!L$6:L$16)</f>
        <v>0</v>
      </c>
      <c r="P49" s="813">
        <f>SUMIF(STAT_TRA_Survey_Tkm!$C$6:$C$16, DEMAND_Pkm_Tkm!$C49, STAT_TRA_Survey_Tkm!M$6:M$16)</f>
        <v>0</v>
      </c>
      <c r="Q49" s="813">
        <f>SUMIF(STAT_TRA_Survey_Tkm!$C$6:$C$16, DEMAND_Pkm_Tkm!$C49, STAT_TRA_Survey_Tkm!N$6:N$16)</f>
        <v>0</v>
      </c>
      <c r="R49" s="813">
        <f>SUMIF(STAT_TRA_Survey_Tkm!$C$6:$C$16, DEMAND_Pkm_Tkm!$C49, STAT_TRA_Survey_Tkm!O$6:O$16)</f>
        <v>0</v>
      </c>
      <c r="S49" s="813">
        <f>SUMIF(STAT_TRA_Survey_Tkm!$C$6:$C$16, DEMAND_Pkm_Tkm!$C49, STAT_TRA_Survey_Tkm!P$6:P$16)</f>
        <v>0</v>
      </c>
      <c r="T49" s="813">
        <f>SUMIF(STAT_TRA_Survey_Tkm!$C$6:$C$16, DEMAND_Pkm_Tkm!$C49, STAT_TRA_Survey_Tkm!Q$6:Q$16)</f>
        <v>0</v>
      </c>
      <c r="U49" s="813">
        <f>SUMIF(STAT_TRA_Survey_Tkm!$C$6:$C$16, DEMAND_Pkm_Tkm!$C49, STAT_TRA_Survey_Tkm!R$6:R$16)</f>
        <v>0</v>
      </c>
      <c r="V49" s="117" t="str">
        <f t="shared" si="3"/>
        <v>ok</v>
      </c>
    </row>
    <row r="50" spans="2:22" customFormat="1" x14ac:dyDescent="0.3">
      <c r="B50" s="18" t="str">
        <f>IF(COUNTIF(TRA_Comm!$C$29:$C$90,DEMAND_Pkm_Tkm!C50)=1,"X","De-Active")</f>
        <v>X</v>
      </c>
      <c r="C50" s="169" t="s">
        <v>431</v>
      </c>
      <c r="D50" s="169" t="s">
        <v>635</v>
      </c>
      <c r="E50" s="697">
        <f t="shared" si="2"/>
        <v>40</v>
      </c>
      <c r="F50" s="169" t="s">
        <v>632</v>
      </c>
      <c r="G50" s="813">
        <f>SUMIF(STAT_TRA_Survey_Tkm!$C$6:$C$16, DEMAND_Pkm_Tkm!$C50, STAT_TRA_Survey_Tkm!D$6:D$16)</f>
        <v>40</v>
      </c>
      <c r="H50" s="813">
        <f>SUMIF(STAT_TRA_Survey_Tkm!$C$6:$C$16, DEMAND_Pkm_Tkm!$C50, STAT_TRA_Survey_Tkm!E$6:E$16)</f>
        <v>0</v>
      </c>
      <c r="I50" s="813">
        <f>SUMIF(STAT_TRA_Survey_Tkm!$C$6:$C$16, DEMAND_Pkm_Tkm!$C50, STAT_TRA_Survey_Tkm!F$6:F$16)</f>
        <v>0</v>
      </c>
      <c r="J50" s="813">
        <f>SUMIF(STAT_TRA_Survey_Tkm!$C$6:$C$16, DEMAND_Pkm_Tkm!$C50, STAT_TRA_Survey_Tkm!G$6:G$16)</f>
        <v>0</v>
      </c>
      <c r="K50" s="813">
        <f>SUMIF(STAT_TRA_Survey_Tkm!$C$6:$C$16, DEMAND_Pkm_Tkm!$C50, STAT_TRA_Survey_Tkm!H$6:H$16)</f>
        <v>0</v>
      </c>
      <c r="L50" s="813">
        <f>SUMIF(STAT_TRA_Survey_Tkm!$C$6:$C$16, DEMAND_Pkm_Tkm!$C50, STAT_TRA_Survey_Tkm!I$6:I$16)</f>
        <v>0</v>
      </c>
      <c r="M50" s="813">
        <f>SUMIF(STAT_TRA_Survey_Tkm!$C$6:$C$16, DEMAND_Pkm_Tkm!$C50, STAT_TRA_Survey_Tkm!J$6:J$16)</f>
        <v>0</v>
      </c>
      <c r="N50" s="813">
        <f>SUMIF(STAT_TRA_Survey_Tkm!$C$6:$C$16, DEMAND_Pkm_Tkm!$C50, STAT_TRA_Survey_Tkm!K$6:K$16)</f>
        <v>0</v>
      </c>
      <c r="O50" s="813">
        <f>SUMIF(STAT_TRA_Survey_Tkm!$C$6:$C$16, DEMAND_Pkm_Tkm!$C50, STAT_TRA_Survey_Tkm!L$6:L$16)</f>
        <v>0</v>
      </c>
      <c r="P50" s="813">
        <f>SUMIF(STAT_TRA_Survey_Tkm!$C$6:$C$16, DEMAND_Pkm_Tkm!$C50, STAT_TRA_Survey_Tkm!M$6:M$16)</f>
        <v>0</v>
      </c>
      <c r="Q50" s="813">
        <f>SUMIF(STAT_TRA_Survey_Tkm!$C$6:$C$16, DEMAND_Pkm_Tkm!$C50, STAT_TRA_Survey_Tkm!N$6:N$16)</f>
        <v>0</v>
      </c>
      <c r="R50" s="813">
        <f>SUMIF(STAT_TRA_Survey_Tkm!$C$6:$C$16, DEMAND_Pkm_Tkm!$C50, STAT_TRA_Survey_Tkm!O$6:O$16)</f>
        <v>0</v>
      </c>
      <c r="S50" s="813">
        <f>SUMIF(STAT_TRA_Survey_Tkm!$C$6:$C$16, DEMAND_Pkm_Tkm!$C50, STAT_TRA_Survey_Tkm!P$6:P$16)</f>
        <v>0</v>
      </c>
      <c r="T50" s="813">
        <f>SUMIF(STAT_TRA_Survey_Tkm!$C$6:$C$16, DEMAND_Pkm_Tkm!$C50, STAT_TRA_Survey_Tkm!Q$6:Q$16)</f>
        <v>0</v>
      </c>
      <c r="U50" s="813">
        <f>SUMIF(STAT_TRA_Survey_Tkm!$C$6:$C$16, DEMAND_Pkm_Tkm!$C50, STAT_TRA_Survey_Tkm!R$6:R$16)</f>
        <v>0</v>
      </c>
      <c r="V50" s="117" t="str">
        <f t="shared" si="3"/>
        <v>ok</v>
      </c>
    </row>
    <row r="51" spans="2:22" customFormat="1" x14ac:dyDescent="0.3">
      <c r="B51" s="18" t="str">
        <f>IF(COUNTIF(TRA_Comm!$C$29:$C$90,DEMAND_Pkm_Tkm!C51)=1,"X","De-Active")</f>
        <v>X</v>
      </c>
      <c r="C51" s="169" t="s">
        <v>636</v>
      </c>
      <c r="D51" s="169" t="s">
        <v>637</v>
      </c>
      <c r="E51" s="697">
        <f t="shared" si="2"/>
        <v>0</v>
      </c>
      <c r="F51" s="169" t="s">
        <v>632</v>
      </c>
      <c r="G51" s="813">
        <f>SUMIF(STAT_TRA_Survey_Tkm!$C$6:$C$16, DEMAND_Pkm_Tkm!$C51, STAT_TRA_Survey_Tkm!D$6:D$16)</f>
        <v>0</v>
      </c>
      <c r="H51" s="813">
        <f>SUMIF(STAT_TRA_Survey_Tkm!$C$6:$C$16, DEMAND_Pkm_Tkm!$C51, STAT_TRA_Survey_Tkm!E$6:E$16)</f>
        <v>0</v>
      </c>
      <c r="I51" s="813">
        <f>SUMIF(STAT_TRA_Survey_Tkm!$C$6:$C$16, DEMAND_Pkm_Tkm!$C51, STAT_TRA_Survey_Tkm!F$6:F$16)</f>
        <v>0</v>
      </c>
      <c r="J51" s="813">
        <f>SUMIF(STAT_TRA_Survey_Tkm!$C$6:$C$16, DEMAND_Pkm_Tkm!$C51, STAT_TRA_Survey_Tkm!G$6:G$16)</f>
        <v>0</v>
      </c>
      <c r="K51" s="813">
        <f>SUMIF(STAT_TRA_Survey_Tkm!$C$6:$C$16, DEMAND_Pkm_Tkm!$C51, STAT_TRA_Survey_Tkm!H$6:H$16)</f>
        <v>0</v>
      </c>
      <c r="L51" s="813">
        <f>SUMIF(STAT_TRA_Survey_Tkm!$C$6:$C$16, DEMAND_Pkm_Tkm!$C51, STAT_TRA_Survey_Tkm!I$6:I$16)</f>
        <v>0</v>
      </c>
      <c r="M51" s="813">
        <f>SUMIF(STAT_TRA_Survey_Tkm!$C$6:$C$16, DEMAND_Pkm_Tkm!$C51, STAT_TRA_Survey_Tkm!J$6:J$16)</f>
        <v>0</v>
      </c>
      <c r="N51" s="813">
        <f>SUMIF(STAT_TRA_Survey_Tkm!$C$6:$C$16, DEMAND_Pkm_Tkm!$C51, STAT_TRA_Survey_Tkm!K$6:K$16)</f>
        <v>0</v>
      </c>
      <c r="O51" s="813">
        <f>SUMIF(STAT_TRA_Survey_Tkm!$C$6:$C$16, DEMAND_Pkm_Tkm!$C51, STAT_TRA_Survey_Tkm!L$6:L$16)</f>
        <v>0</v>
      </c>
      <c r="P51" s="813">
        <f>SUMIF(STAT_TRA_Survey_Tkm!$C$6:$C$16, DEMAND_Pkm_Tkm!$C51, STAT_TRA_Survey_Tkm!M$6:M$16)</f>
        <v>0</v>
      </c>
      <c r="Q51" s="813">
        <f>SUMIF(STAT_TRA_Survey_Tkm!$C$6:$C$16, DEMAND_Pkm_Tkm!$C51, STAT_TRA_Survey_Tkm!N$6:N$16)</f>
        <v>0</v>
      </c>
      <c r="R51" s="813">
        <f>SUMIF(STAT_TRA_Survey_Tkm!$C$6:$C$16, DEMAND_Pkm_Tkm!$C51, STAT_TRA_Survey_Tkm!O$6:O$16)</f>
        <v>0</v>
      </c>
      <c r="S51" s="813">
        <f>SUMIF(STAT_TRA_Survey_Tkm!$C$6:$C$16, DEMAND_Pkm_Tkm!$C51, STAT_TRA_Survey_Tkm!P$6:P$16)</f>
        <v>0</v>
      </c>
      <c r="T51" s="813">
        <f>SUMIF(STAT_TRA_Survey_Tkm!$C$6:$C$16, DEMAND_Pkm_Tkm!$C51, STAT_TRA_Survey_Tkm!Q$6:Q$16)</f>
        <v>0</v>
      </c>
      <c r="U51" s="813">
        <f>SUMIF(STAT_TRA_Survey_Tkm!$C$6:$C$16, DEMAND_Pkm_Tkm!$C51, STAT_TRA_Survey_Tkm!R$6:R$16)</f>
        <v>0</v>
      </c>
      <c r="V51" s="117" t="str">
        <f t="shared" si="3"/>
        <v>ok</v>
      </c>
    </row>
    <row r="52" spans="2:22" customFormat="1" x14ac:dyDescent="0.3">
      <c r="B52" s="18" t="str">
        <f>IF(COUNTIF(TRA_Comm!$C$29:$C$90,DEMAND_Pkm_Tkm!C52)=1,"X","De-Active")</f>
        <v>X</v>
      </c>
      <c r="C52" s="169" t="s">
        <v>429</v>
      </c>
      <c r="D52" s="169" t="s">
        <v>638</v>
      </c>
      <c r="E52" s="697">
        <f t="shared" si="2"/>
        <v>159</v>
      </c>
      <c r="F52" s="169" t="s">
        <v>632</v>
      </c>
      <c r="G52" s="813">
        <f>SUMIF(STAT_TRA_Survey_Tkm!$C$6:$C$16, DEMAND_Pkm_Tkm!$C52, STAT_TRA_Survey_Tkm!D$6:D$16)</f>
        <v>159</v>
      </c>
      <c r="H52" s="813">
        <f>SUMIF(STAT_TRA_Survey_Tkm!$C$6:$C$16, DEMAND_Pkm_Tkm!$C52, STAT_TRA_Survey_Tkm!E$6:E$16)</f>
        <v>0</v>
      </c>
      <c r="I52" s="813">
        <f>SUMIF(STAT_TRA_Survey_Tkm!$C$6:$C$16, DEMAND_Pkm_Tkm!$C52, STAT_TRA_Survey_Tkm!F$6:F$16)</f>
        <v>0</v>
      </c>
      <c r="J52" s="813">
        <f>SUMIF(STAT_TRA_Survey_Tkm!$C$6:$C$16, DEMAND_Pkm_Tkm!$C52, STAT_TRA_Survey_Tkm!G$6:G$16)</f>
        <v>0</v>
      </c>
      <c r="K52" s="813">
        <f>SUMIF(STAT_TRA_Survey_Tkm!$C$6:$C$16, DEMAND_Pkm_Tkm!$C52, STAT_TRA_Survey_Tkm!H$6:H$16)</f>
        <v>0</v>
      </c>
      <c r="L52" s="813">
        <f>SUMIF(STAT_TRA_Survey_Tkm!$C$6:$C$16, DEMAND_Pkm_Tkm!$C52, STAT_TRA_Survey_Tkm!I$6:I$16)</f>
        <v>0</v>
      </c>
      <c r="M52" s="813">
        <f>SUMIF(STAT_TRA_Survey_Tkm!$C$6:$C$16, DEMAND_Pkm_Tkm!$C52, STAT_TRA_Survey_Tkm!J$6:J$16)</f>
        <v>0</v>
      </c>
      <c r="N52" s="813">
        <f>SUMIF(STAT_TRA_Survey_Tkm!$C$6:$C$16, DEMAND_Pkm_Tkm!$C52, STAT_TRA_Survey_Tkm!K$6:K$16)</f>
        <v>0</v>
      </c>
      <c r="O52" s="813">
        <f>SUMIF(STAT_TRA_Survey_Tkm!$C$6:$C$16, DEMAND_Pkm_Tkm!$C52, STAT_TRA_Survey_Tkm!L$6:L$16)</f>
        <v>0</v>
      </c>
      <c r="P52" s="813">
        <f>SUMIF(STAT_TRA_Survey_Tkm!$C$6:$C$16, DEMAND_Pkm_Tkm!$C52, STAT_TRA_Survey_Tkm!M$6:M$16)</f>
        <v>0</v>
      </c>
      <c r="Q52" s="813">
        <f>SUMIF(STAT_TRA_Survey_Tkm!$C$6:$C$16, DEMAND_Pkm_Tkm!$C52, STAT_TRA_Survey_Tkm!N$6:N$16)</f>
        <v>0</v>
      </c>
      <c r="R52" s="813">
        <f>SUMIF(STAT_TRA_Survey_Tkm!$C$6:$C$16, DEMAND_Pkm_Tkm!$C52, STAT_TRA_Survey_Tkm!O$6:O$16)</f>
        <v>0</v>
      </c>
      <c r="S52" s="813">
        <f>SUMIF(STAT_TRA_Survey_Tkm!$C$6:$C$16, DEMAND_Pkm_Tkm!$C52, STAT_TRA_Survey_Tkm!P$6:P$16)</f>
        <v>0</v>
      </c>
      <c r="T52" s="813">
        <f>SUMIF(STAT_TRA_Survey_Tkm!$C$6:$C$16, DEMAND_Pkm_Tkm!$C52, STAT_TRA_Survey_Tkm!Q$6:Q$16)</f>
        <v>0</v>
      </c>
      <c r="U52" s="813">
        <f>SUMIF(STAT_TRA_Survey_Tkm!$C$6:$C$16, DEMAND_Pkm_Tkm!$C52, STAT_TRA_Survey_Tkm!R$6:R$16)</f>
        <v>0</v>
      </c>
      <c r="V52" s="117" t="str">
        <f t="shared" si="3"/>
        <v>ok</v>
      </c>
    </row>
    <row r="53" spans="2:22" customFormat="1" x14ac:dyDescent="0.3">
      <c r="B53" s="18" t="str">
        <f>IF(COUNTIF(TRA_Comm!$C$29:$C$90,DEMAND_Pkm_Tkm!C53)=1,"X","De-Active")</f>
        <v>X</v>
      </c>
      <c r="C53" s="169" t="s">
        <v>639</v>
      </c>
      <c r="D53" s="169" t="s">
        <v>640</v>
      </c>
      <c r="E53" s="697">
        <f t="shared" si="2"/>
        <v>0</v>
      </c>
      <c r="F53" s="169" t="s">
        <v>632</v>
      </c>
      <c r="G53" s="813">
        <f>SUMIF(STAT_TRA_Survey_Tkm!$C$6:$C$16, DEMAND_Pkm_Tkm!$C53, STAT_TRA_Survey_Tkm!D$6:D$16)</f>
        <v>0</v>
      </c>
      <c r="H53" s="813">
        <f>SUMIF(STAT_TRA_Survey_Tkm!$C$6:$C$16, DEMAND_Pkm_Tkm!$C53, STAT_TRA_Survey_Tkm!E$6:E$16)</f>
        <v>0</v>
      </c>
      <c r="I53" s="813">
        <f>SUMIF(STAT_TRA_Survey_Tkm!$C$6:$C$16, DEMAND_Pkm_Tkm!$C53, STAT_TRA_Survey_Tkm!F$6:F$16)</f>
        <v>0</v>
      </c>
      <c r="J53" s="813">
        <f>SUMIF(STAT_TRA_Survey_Tkm!$C$6:$C$16, DEMAND_Pkm_Tkm!$C53, STAT_TRA_Survey_Tkm!G$6:G$16)</f>
        <v>0</v>
      </c>
      <c r="K53" s="813">
        <f>SUMIF(STAT_TRA_Survey_Tkm!$C$6:$C$16, DEMAND_Pkm_Tkm!$C53, STAT_TRA_Survey_Tkm!H$6:H$16)</f>
        <v>0</v>
      </c>
      <c r="L53" s="813">
        <f>SUMIF(STAT_TRA_Survey_Tkm!$C$6:$C$16, DEMAND_Pkm_Tkm!$C53, STAT_TRA_Survey_Tkm!I$6:I$16)</f>
        <v>0</v>
      </c>
      <c r="M53" s="813">
        <f>SUMIF(STAT_TRA_Survey_Tkm!$C$6:$C$16, DEMAND_Pkm_Tkm!$C53, STAT_TRA_Survey_Tkm!J$6:J$16)</f>
        <v>0</v>
      </c>
      <c r="N53" s="813">
        <f>SUMIF(STAT_TRA_Survey_Tkm!$C$6:$C$16, DEMAND_Pkm_Tkm!$C53, STAT_TRA_Survey_Tkm!K$6:K$16)</f>
        <v>0</v>
      </c>
      <c r="O53" s="813">
        <f>SUMIF(STAT_TRA_Survey_Tkm!$C$6:$C$16, DEMAND_Pkm_Tkm!$C53, STAT_TRA_Survey_Tkm!L$6:L$16)</f>
        <v>0</v>
      </c>
      <c r="P53" s="813">
        <f>SUMIF(STAT_TRA_Survey_Tkm!$C$6:$C$16, DEMAND_Pkm_Tkm!$C53, STAT_TRA_Survey_Tkm!M$6:M$16)</f>
        <v>0</v>
      </c>
      <c r="Q53" s="813">
        <f>SUMIF(STAT_TRA_Survey_Tkm!$C$6:$C$16, DEMAND_Pkm_Tkm!$C53, STAT_TRA_Survey_Tkm!N$6:N$16)</f>
        <v>0</v>
      </c>
      <c r="R53" s="813">
        <f>SUMIF(STAT_TRA_Survey_Tkm!$C$6:$C$16, DEMAND_Pkm_Tkm!$C53, STAT_TRA_Survey_Tkm!O$6:O$16)</f>
        <v>0</v>
      </c>
      <c r="S53" s="813">
        <f>SUMIF(STAT_TRA_Survey_Tkm!$C$6:$C$16, DEMAND_Pkm_Tkm!$C53, STAT_TRA_Survey_Tkm!P$6:P$16)</f>
        <v>0</v>
      </c>
      <c r="T53" s="813">
        <f>SUMIF(STAT_TRA_Survey_Tkm!$C$6:$C$16, DEMAND_Pkm_Tkm!$C53, STAT_TRA_Survey_Tkm!Q$6:Q$16)</f>
        <v>0</v>
      </c>
      <c r="U53" s="813">
        <f>SUMIF(STAT_TRA_Survey_Tkm!$C$6:$C$16, DEMAND_Pkm_Tkm!$C53, STAT_TRA_Survey_Tkm!R$6:R$16)</f>
        <v>0</v>
      </c>
      <c r="V53" s="117" t="str">
        <f t="shared" si="3"/>
        <v>ok</v>
      </c>
    </row>
    <row r="54" spans="2:22" customFormat="1" x14ac:dyDescent="0.3">
      <c r="B54" s="18" t="str">
        <f>IF(COUNTIF(TRA_Comm!$C$29:$C$90,DEMAND_Pkm_Tkm!C54)=1,"X","De-Active")</f>
        <v>X</v>
      </c>
      <c r="C54" s="336" t="s">
        <v>435</v>
      </c>
      <c r="D54" s="336" t="s">
        <v>641</v>
      </c>
      <c r="E54" s="697">
        <f t="shared" si="2"/>
        <v>0</v>
      </c>
      <c r="F54" s="336" t="s">
        <v>632</v>
      </c>
      <c r="G54" s="813">
        <f>SUMIF(STAT_TRA_Survey_Tkm!$C$6:$C$16, DEMAND_Pkm_Tkm!$C54, STAT_TRA_Survey_Tkm!D$6:D$16)</f>
        <v>0</v>
      </c>
      <c r="H54" s="813">
        <f>SUMIF(STAT_TRA_Survey_Tkm!$C$6:$C$16, DEMAND_Pkm_Tkm!$C54, STAT_TRA_Survey_Tkm!E$6:E$16)</f>
        <v>0</v>
      </c>
      <c r="I54" s="813">
        <f>SUMIF(STAT_TRA_Survey_Tkm!$C$6:$C$16, DEMAND_Pkm_Tkm!$C54, STAT_TRA_Survey_Tkm!F$6:F$16)</f>
        <v>0</v>
      </c>
      <c r="J54" s="813">
        <f>SUMIF(STAT_TRA_Survey_Tkm!$C$6:$C$16, DEMAND_Pkm_Tkm!$C54, STAT_TRA_Survey_Tkm!G$6:G$16)</f>
        <v>0</v>
      </c>
      <c r="K54" s="813">
        <f>SUMIF(STAT_TRA_Survey_Tkm!$C$6:$C$16, DEMAND_Pkm_Tkm!$C54, STAT_TRA_Survey_Tkm!H$6:H$16)</f>
        <v>0</v>
      </c>
      <c r="L54" s="813">
        <f>SUMIF(STAT_TRA_Survey_Tkm!$C$6:$C$16, DEMAND_Pkm_Tkm!$C54, STAT_TRA_Survey_Tkm!I$6:I$16)</f>
        <v>0</v>
      </c>
      <c r="M54" s="813">
        <f>SUMIF(STAT_TRA_Survey_Tkm!$C$6:$C$16, DEMAND_Pkm_Tkm!$C54, STAT_TRA_Survey_Tkm!J$6:J$16)</f>
        <v>0</v>
      </c>
      <c r="N54" s="813">
        <f>SUMIF(STAT_TRA_Survey_Tkm!$C$6:$C$16, DEMAND_Pkm_Tkm!$C54, STAT_TRA_Survey_Tkm!K$6:K$16)</f>
        <v>0</v>
      </c>
      <c r="O54" s="813">
        <f>SUMIF(STAT_TRA_Survey_Tkm!$C$6:$C$16, DEMAND_Pkm_Tkm!$C54, STAT_TRA_Survey_Tkm!L$6:L$16)</f>
        <v>0</v>
      </c>
      <c r="P54" s="813">
        <f>SUMIF(STAT_TRA_Survey_Tkm!$C$6:$C$16, DEMAND_Pkm_Tkm!$C54, STAT_TRA_Survey_Tkm!M$6:M$16)</f>
        <v>0</v>
      </c>
      <c r="Q54" s="813">
        <f>SUMIF(STAT_TRA_Survey_Tkm!$C$6:$C$16, DEMAND_Pkm_Tkm!$C54, STAT_TRA_Survey_Tkm!N$6:N$16)</f>
        <v>0</v>
      </c>
      <c r="R54" s="813">
        <f>SUMIF(STAT_TRA_Survey_Tkm!$C$6:$C$16, DEMAND_Pkm_Tkm!$C54, STAT_TRA_Survey_Tkm!O$6:O$16)</f>
        <v>0</v>
      </c>
      <c r="S54" s="813">
        <f>SUMIF(STAT_TRA_Survey_Tkm!$C$6:$C$16, DEMAND_Pkm_Tkm!$C54, STAT_TRA_Survey_Tkm!P$6:P$16)</f>
        <v>0</v>
      </c>
      <c r="T54" s="813">
        <f>SUMIF(STAT_TRA_Survey_Tkm!$C$6:$C$16, DEMAND_Pkm_Tkm!$C54, STAT_TRA_Survey_Tkm!Q$6:Q$16)</f>
        <v>0</v>
      </c>
      <c r="U54" s="813">
        <f>SUMIF(STAT_TRA_Survey_Tkm!$C$6:$C$16, DEMAND_Pkm_Tkm!$C54, STAT_TRA_Survey_Tkm!R$6:R$16)</f>
        <v>0</v>
      </c>
      <c r="V54" s="117" t="str">
        <f t="shared" si="3"/>
        <v>ok</v>
      </c>
    </row>
    <row r="55" spans="2:22" customFormat="1" x14ac:dyDescent="0.3">
      <c r="B55" s="18" t="str">
        <f>IF(COUNTIF(TRA_Comm!$C$29:$C$90,DEMAND_Pkm_Tkm!C55)=1,"X","De-Active")</f>
        <v>X</v>
      </c>
      <c r="C55" s="336" t="s">
        <v>642</v>
      </c>
      <c r="D55" s="336" t="s">
        <v>643</v>
      </c>
      <c r="E55" s="697">
        <f t="shared" si="2"/>
        <v>0</v>
      </c>
      <c r="F55" s="336" t="s">
        <v>632</v>
      </c>
      <c r="G55" s="813">
        <f>SUMIF(STAT_TRA_Survey_Tkm!$C$6:$C$16, DEMAND_Pkm_Tkm!$C55, STAT_TRA_Survey_Tkm!D$6:D$16)</f>
        <v>0</v>
      </c>
      <c r="H55" s="813">
        <f>SUMIF(STAT_TRA_Survey_Tkm!$C$6:$C$16, DEMAND_Pkm_Tkm!$C55, STAT_TRA_Survey_Tkm!E$6:E$16)</f>
        <v>0</v>
      </c>
      <c r="I55" s="813">
        <f>SUMIF(STAT_TRA_Survey_Tkm!$C$6:$C$16, DEMAND_Pkm_Tkm!$C55, STAT_TRA_Survey_Tkm!F$6:F$16)</f>
        <v>0</v>
      </c>
      <c r="J55" s="813">
        <f>SUMIF(STAT_TRA_Survey_Tkm!$C$6:$C$16, DEMAND_Pkm_Tkm!$C55, STAT_TRA_Survey_Tkm!G$6:G$16)</f>
        <v>0</v>
      </c>
      <c r="K55" s="813">
        <f>SUMIF(STAT_TRA_Survey_Tkm!$C$6:$C$16, DEMAND_Pkm_Tkm!$C55, STAT_TRA_Survey_Tkm!H$6:H$16)</f>
        <v>0</v>
      </c>
      <c r="L55" s="813">
        <f>SUMIF(STAT_TRA_Survey_Tkm!$C$6:$C$16, DEMAND_Pkm_Tkm!$C55, STAT_TRA_Survey_Tkm!I$6:I$16)</f>
        <v>0</v>
      </c>
      <c r="M55" s="813">
        <f>SUMIF(STAT_TRA_Survey_Tkm!$C$6:$C$16, DEMAND_Pkm_Tkm!$C55, STAT_TRA_Survey_Tkm!J$6:J$16)</f>
        <v>0</v>
      </c>
      <c r="N55" s="813">
        <f>SUMIF(STAT_TRA_Survey_Tkm!$C$6:$C$16, DEMAND_Pkm_Tkm!$C55, STAT_TRA_Survey_Tkm!K$6:K$16)</f>
        <v>0</v>
      </c>
      <c r="O55" s="813">
        <f>SUMIF(STAT_TRA_Survey_Tkm!$C$6:$C$16, DEMAND_Pkm_Tkm!$C55, STAT_TRA_Survey_Tkm!L$6:L$16)</f>
        <v>0</v>
      </c>
      <c r="P55" s="813">
        <f>SUMIF(STAT_TRA_Survey_Tkm!$C$6:$C$16, DEMAND_Pkm_Tkm!$C55, STAT_TRA_Survey_Tkm!M$6:M$16)</f>
        <v>0</v>
      </c>
      <c r="Q55" s="813">
        <f>SUMIF(STAT_TRA_Survey_Tkm!$C$6:$C$16, DEMAND_Pkm_Tkm!$C55, STAT_TRA_Survey_Tkm!N$6:N$16)</f>
        <v>0</v>
      </c>
      <c r="R55" s="813">
        <f>SUMIF(STAT_TRA_Survey_Tkm!$C$6:$C$16, DEMAND_Pkm_Tkm!$C55, STAT_TRA_Survey_Tkm!O$6:O$16)</f>
        <v>0</v>
      </c>
      <c r="S55" s="813">
        <f>SUMIF(STAT_TRA_Survey_Tkm!$C$6:$C$16, DEMAND_Pkm_Tkm!$C55, STAT_TRA_Survey_Tkm!P$6:P$16)</f>
        <v>0</v>
      </c>
      <c r="T55" s="813">
        <f>SUMIF(STAT_TRA_Survey_Tkm!$C$6:$C$16, DEMAND_Pkm_Tkm!$C55, STAT_TRA_Survey_Tkm!Q$6:Q$16)</f>
        <v>0</v>
      </c>
      <c r="U55" s="813">
        <f>SUMIF(STAT_TRA_Survey_Tkm!$C$6:$C$16, DEMAND_Pkm_Tkm!$C55, STAT_TRA_Survey_Tkm!R$6:R$16)</f>
        <v>0</v>
      </c>
      <c r="V55" s="117" t="str">
        <f t="shared" si="3"/>
        <v>ok</v>
      </c>
    </row>
    <row r="56" spans="2:22" customFormat="1" x14ac:dyDescent="0.3">
      <c r="B56" s="18" t="str">
        <f>IF(COUNTIF(TRA_Comm!$C$29:$C$90,DEMAND_Pkm_Tkm!C56)=1,"X","De-Active")</f>
        <v>X</v>
      </c>
      <c r="C56" s="336" t="s">
        <v>433</v>
      </c>
      <c r="D56" s="336" t="s">
        <v>644</v>
      </c>
      <c r="E56" s="697">
        <f t="shared" si="2"/>
        <v>0</v>
      </c>
      <c r="F56" s="336" t="s">
        <v>632</v>
      </c>
      <c r="G56" s="813">
        <f>SUMIF(STAT_TRA_Survey_Tkm!$C$6:$C$16, DEMAND_Pkm_Tkm!$C56, STAT_TRA_Survey_Tkm!D$6:D$16)</f>
        <v>0</v>
      </c>
      <c r="H56" s="813">
        <f>SUMIF(STAT_TRA_Survey_Tkm!$C$6:$C$16, DEMAND_Pkm_Tkm!$C56, STAT_TRA_Survey_Tkm!E$6:E$16)</f>
        <v>0</v>
      </c>
      <c r="I56" s="813">
        <f>SUMIF(STAT_TRA_Survey_Tkm!$C$6:$C$16, DEMAND_Pkm_Tkm!$C56, STAT_TRA_Survey_Tkm!F$6:F$16)</f>
        <v>0</v>
      </c>
      <c r="J56" s="813">
        <f>SUMIF(STAT_TRA_Survey_Tkm!$C$6:$C$16, DEMAND_Pkm_Tkm!$C56, STAT_TRA_Survey_Tkm!G$6:G$16)</f>
        <v>0</v>
      </c>
      <c r="K56" s="813">
        <f>SUMIF(STAT_TRA_Survey_Tkm!$C$6:$C$16, DEMAND_Pkm_Tkm!$C56, STAT_TRA_Survey_Tkm!H$6:H$16)</f>
        <v>0</v>
      </c>
      <c r="L56" s="813">
        <f>SUMIF(STAT_TRA_Survey_Tkm!$C$6:$C$16, DEMAND_Pkm_Tkm!$C56, STAT_TRA_Survey_Tkm!I$6:I$16)</f>
        <v>0</v>
      </c>
      <c r="M56" s="813">
        <f>SUMIF(STAT_TRA_Survey_Tkm!$C$6:$C$16, DEMAND_Pkm_Tkm!$C56, STAT_TRA_Survey_Tkm!J$6:J$16)</f>
        <v>0</v>
      </c>
      <c r="N56" s="813">
        <f>SUMIF(STAT_TRA_Survey_Tkm!$C$6:$C$16, DEMAND_Pkm_Tkm!$C56, STAT_TRA_Survey_Tkm!K$6:K$16)</f>
        <v>0</v>
      </c>
      <c r="O56" s="813">
        <f>SUMIF(STAT_TRA_Survey_Tkm!$C$6:$C$16, DEMAND_Pkm_Tkm!$C56, STAT_TRA_Survey_Tkm!L$6:L$16)</f>
        <v>0</v>
      </c>
      <c r="P56" s="813">
        <f>SUMIF(STAT_TRA_Survey_Tkm!$C$6:$C$16, DEMAND_Pkm_Tkm!$C56, STAT_TRA_Survey_Tkm!M$6:M$16)</f>
        <v>0</v>
      </c>
      <c r="Q56" s="813">
        <f>SUMIF(STAT_TRA_Survey_Tkm!$C$6:$C$16, DEMAND_Pkm_Tkm!$C56, STAT_TRA_Survey_Tkm!N$6:N$16)</f>
        <v>0</v>
      </c>
      <c r="R56" s="813">
        <f>SUMIF(STAT_TRA_Survey_Tkm!$C$6:$C$16, DEMAND_Pkm_Tkm!$C56, STAT_TRA_Survey_Tkm!O$6:O$16)</f>
        <v>0</v>
      </c>
      <c r="S56" s="813">
        <f>SUMIF(STAT_TRA_Survey_Tkm!$C$6:$C$16, DEMAND_Pkm_Tkm!$C56, STAT_TRA_Survey_Tkm!P$6:P$16)</f>
        <v>0</v>
      </c>
      <c r="T56" s="813">
        <f>SUMIF(STAT_TRA_Survey_Tkm!$C$6:$C$16, DEMAND_Pkm_Tkm!$C56, STAT_TRA_Survey_Tkm!Q$6:Q$16)</f>
        <v>0</v>
      </c>
      <c r="U56" s="813">
        <f>SUMIF(STAT_TRA_Survey_Tkm!$C$6:$C$16, DEMAND_Pkm_Tkm!$C56, STAT_TRA_Survey_Tkm!R$6:R$16)</f>
        <v>0</v>
      </c>
      <c r="V56" s="117" t="str">
        <f t="shared" si="3"/>
        <v>ok</v>
      </c>
    </row>
    <row r="57" spans="2:22" customFormat="1" x14ac:dyDescent="0.3">
      <c r="B57" s="18" t="str">
        <f>IF(COUNTIF(TRA_Comm!$C$29:$C$90,DEMAND_Pkm_Tkm!C57)=1,"X","De-Active")</f>
        <v>X</v>
      </c>
      <c r="C57" s="336" t="s">
        <v>645</v>
      </c>
      <c r="D57" s="336" t="s">
        <v>646</v>
      </c>
      <c r="E57" s="697">
        <f t="shared" si="2"/>
        <v>0</v>
      </c>
      <c r="F57" s="336" t="s">
        <v>632</v>
      </c>
      <c r="G57" s="813">
        <f>SUMIF(STAT_TRA_Survey_Tkm!$C$6:$C$16, DEMAND_Pkm_Tkm!$C57, STAT_TRA_Survey_Tkm!D$6:D$16)</f>
        <v>0</v>
      </c>
      <c r="H57" s="813">
        <f>SUMIF(STAT_TRA_Survey_Tkm!$C$6:$C$16, DEMAND_Pkm_Tkm!$C57, STAT_TRA_Survey_Tkm!E$6:E$16)</f>
        <v>0</v>
      </c>
      <c r="I57" s="813">
        <f>SUMIF(STAT_TRA_Survey_Tkm!$C$6:$C$16, DEMAND_Pkm_Tkm!$C57, STAT_TRA_Survey_Tkm!F$6:F$16)</f>
        <v>0</v>
      </c>
      <c r="J57" s="813">
        <f>SUMIF(STAT_TRA_Survey_Tkm!$C$6:$C$16, DEMAND_Pkm_Tkm!$C57, STAT_TRA_Survey_Tkm!G$6:G$16)</f>
        <v>0</v>
      </c>
      <c r="K57" s="813">
        <f>SUMIF(STAT_TRA_Survey_Tkm!$C$6:$C$16, DEMAND_Pkm_Tkm!$C57, STAT_TRA_Survey_Tkm!H$6:H$16)</f>
        <v>0</v>
      </c>
      <c r="L57" s="813">
        <f>SUMIF(STAT_TRA_Survey_Tkm!$C$6:$C$16, DEMAND_Pkm_Tkm!$C57, STAT_TRA_Survey_Tkm!I$6:I$16)</f>
        <v>0</v>
      </c>
      <c r="M57" s="813">
        <f>SUMIF(STAT_TRA_Survey_Tkm!$C$6:$C$16, DEMAND_Pkm_Tkm!$C57, STAT_TRA_Survey_Tkm!J$6:J$16)</f>
        <v>0</v>
      </c>
      <c r="N57" s="813">
        <f>SUMIF(STAT_TRA_Survey_Tkm!$C$6:$C$16, DEMAND_Pkm_Tkm!$C57, STAT_TRA_Survey_Tkm!K$6:K$16)</f>
        <v>0</v>
      </c>
      <c r="O57" s="813">
        <f>SUMIF(STAT_TRA_Survey_Tkm!$C$6:$C$16, DEMAND_Pkm_Tkm!$C57, STAT_TRA_Survey_Tkm!L$6:L$16)</f>
        <v>0</v>
      </c>
      <c r="P57" s="813">
        <f>SUMIF(STAT_TRA_Survey_Tkm!$C$6:$C$16, DEMAND_Pkm_Tkm!$C57, STAT_TRA_Survey_Tkm!M$6:M$16)</f>
        <v>0</v>
      </c>
      <c r="Q57" s="813">
        <f>SUMIF(STAT_TRA_Survey_Tkm!$C$6:$C$16, DEMAND_Pkm_Tkm!$C57, STAT_TRA_Survey_Tkm!N$6:N$16)</f>
        <v>0</v>
      </c>
      <c r="R57" s="813">
        <f>SUMIF(STAT_TRA_Survey_Tkm!$C$6:$C$16, DEMAND_Pkm_Tkm!$C57, STAT_TRA_Survey_Tkm!O$6:O$16)</f>
        <v>0</v>
      </c>
      <c r="S57" s="813">
        <f>SUMIF(STAT_TRA_Survey_Tkm!$C$6:$C$16, DEMAND_Pkm_Tkm!$C57, STAT_TRA_Survey_Tkm!P$6:P$16)</f>
        <v>0</v>
      </c>
      <c r="T57" s="813">
        <f>SUMIF(STAT_TRA_Survey_Tkm!$C$6:$C$16, DEMAND_Pkm_Tkm!$C57, STAT_TRA_Survey_Tkm!Q$6:Q$16)</f>
        <v>0</v>
      </c>
      <c r="U57" s="813">
        <f>SUMIF(STAT_TRA_Survey_Tkm!$C$6:$C$16, DEMAND_Pkm_Tkm!$C57, STAT_TRA_Survey_Tkm!R$6:R$16)</f>
        <v>0</v>
      </c>
      <c r="V57" s="117" t="str">
        <f t="shared" si="3"/>
        <v>ok</v>
      </c>
    </row>
    <row r="58" spans="2:22" customFormat="1" x14ac:dyDescent="0.3">
      <c r="B58" s="18" t="str">
        <f>IF(COUNTIF(TRA_Comm!$C$29:$C$90,DEMAND_Pkm_Tkm!C58)=1,"X","De-Active")</f>
        <v>X</v>
      </c>
      <c r="C58" s="169" t="s">
        <v>439</v>
      </c>
      <c r="D58" s="169" t="s">
        <v>647</v>
      </c>
      <c r="E58" s="697">
        <f t="shared" si="2"/>
        <v>1668</v>
      </c>
      <c r="F58" s="169" t="s">
        <v>632</v>
      </c>
      <c r="G58" s="813">
        <f>SUMIF(STAT_TRA_Survey_Tkm!$C$6:$C$16, DEMAND_Pkm_Tkm!$C58, STAT_TRA_Survey_Tkm!D$6:D$16)</f>
        <v>1668</v>
      </c>
      <c r="H58" s="813">
        <f>SUMIF(STAT_TRA_Survey_Tkm!$C$6:$C$16, DEMAND_Pkm_Tkm!$C58, STAT_TRA_Survey_Tkm!E$6:E$16)</f>
        <v>0</v>
      </c>
      <c r="I58" s="813">
        <f>SUMIF(STAT_TRA_Survey_Tkm!$C$6:$C$16, DEMAND_Pkm_Tkm!$C58, STAT_TRA_Survey_Tkm!F$6:F$16)</f>
        <v>0</v>
      </c>
      <c r="J58" s="813">
        <f>SUMIF(STAT_TRA_Survey_Tkm!$C$6:$C$16, DEMAND_Pkm_Tkm!$C58, STAT_TRA_Survey_Tkm!G$6:G$16)</f>
        <v>0</v>
      </c>
      <c r="K58" s="813">
        <f>SUMIF(STAT_TRA_Survey_Tkm!$C$6:$C$16, DEMAND_Pkm_Tkm!$C58, STAT_TRA_Survey_Tkm!H$6:H$16)</f>
        <v>0</v>
      </c>
      <c r="L58" s="813">
        <f>SUMIF(STAT_TRA_Survey_Tkm!$C$6:$C$16, DEMAND_Pkm_Tkm!$C58, STAT_TRA_Survey_Tkm!I$6:I$16)</f>
        <v>0</v>
      </c>
      <c r="M58" s="813">
        <f>SUMIF(STAT_TRA_Survey_Tkm!$C$6:$C$16, DEMAND_Pkm_Tkm!$C58, STAT_TRA_Survey_Tkm!J$6:J$16)</f>
        <v>0</v>
      </c>
      <c r="N58" s="813">
        <f>SUMIF(STAT_TRA_Survey_Tkm!$C$6:$C$16, DEMAND_Pkm_Tkm!$C58, STAT_TRA_Survey_Tkm!K$6:K$16)</f>
        <v>0</v>
      </c>
      <c r="O58" s="813">
        <f>SUMIF(STAT_TRA_Survey_Tkm!$C$6:$C$16, DEMAND_Pkm_Tkm!$C58, STAT_TRA_Survey_Tkm!L$6:L$16)</f>
        <v>0</v>
      </c>
      <c r="P58" s="813">
        <f>SUMIF(STAT_TRA_Survey_Tkm!$C$6:$C$16, DEMAND_Pkm_Tkm!$C58, STAT_TRA_Survey_Tkm!M$6:M$16)</f>
        <v>0</v>
      </c>
      <c r="Q58" s="813">
        <f>SUMIF(STAT_TRA_Survey_Tkm!$C$6:$C$16, DEMAND_Pkm_Tkm!$C58, STAT_TRA_Survey_Tkm!N$6:N$16)</f>
        <v>0</v>
      </c>
      <c r="R58" s="813">
        <f>SUMIF(STAT_TRA_Survey_Tkm!$C$6:$C$16, DEMAND_Pkm_Tkm!$C58, STAT_TRA_Survey_Tkm!O$6:O$16)</f>
        <v>0</v>
      </c>
      <c r="S58" s="813">
        <f>SUMIF(STAT_TRA_Survey_Tkm!$C$6:$C$16, DEMAND_Pkm_Tkm!$C58, STAT_TRA_Survey_Tkm!P$6:P$16)</f>
        <v>0</v>
      </c>
      <c r="T58" s="813">
        <f>SUMIF(STAT_TRA_Survey_Tkm!$C$6:$C$16, DEMAND_Pkm_Tkm!$C58, STAT_TRA_Survey_Tkm!Q$6:Q$16)</f>
        <v>0</v>
      </c>
      <c r="U58" s="813">
        <f>SUMIF(STAT_TRA_Survey_Tkm!$C$6:$C$16, DEMAND_Pkm_Tkm!$C58, STAT_TRA_Survey_Tkm!R$6:R$16)</f>
        <v>0</v>
      </c>
      <c r="V58" s="117" t="str">
        <f t="shared" si="3"/>
        <v>ok</v>
      </c>
    </row>
    <row r="59" spans="2:22" customFormat="1" x14ac:dyDescent="0.3">
      <c r="B59" s="18" t="str">
        <f>IF(COUNTIF(TRA_Comm!$C$29:$C$90,DEMAND_Pkm_Tkm!C59)=1,"X","De-Active")</f>
        <v>X</v>
      </c>
      <c r="C59" s="169" t="s">
        <v>648</v>
      </c>
      <c r="D59" s="169" t="s">
        <v>649</v>
      </c>
      <c r="E59" s="697">
        <f t="shared" si="2"/>
        <v>0</v>
      </c>
      <c r="F59" s="169" t="s">
        <v>632</v>
      </c>
      <c r="G59" s="813">
        <f>SUMIF(STAT_TRA_Survey_Tkm!$C$6:$C$16, DEMAND_Pkm_Tkm!$C59, STAT_TRA_Survey_Tkm!D$6:D$16)</f>
        <v>0</v>
      </c>
      <c r="H59" s="813">
        <f>SUMIF(STAT_TRA_Survey_Tkm!$C$6:$C$16, DEMAND_Pkm_Tkm!$C59, STAT_TRA_Survey_Tkm!E$6:E$16)</f>
        <v>0</v>
      </c>
      <c r="I59" s="813">
        <f>SUMIF(STAT_TRA_Survey_Tkm!$C$6:$C$16, DEMAND_Pkm_Tkm!$C59, STAT_TRA_Survey_Tkm!F$6:F$16)</f>
        <v>0</v>
      </c>
      <c r="J59" s="813">
        <f>SUMIF(STAT_TRA_Survey_Tkm!$C$6:$C$16, DEMAND_Pkm_Tkm!$C59, STAT_TRA_Survey_Tkm!G$6:G$16)</f>
        <v>0</v>
      </c>
      <c r="K59" s="813">
        <f>SUMIF(STAT_TRA_Survey_Tkm!$C$6:$C$16, DEMAND_Pkm_Tkm!$C59, STAT_TRA_Survey_Tkm!H$6:H$16)</f>
        <v>0</v>
      </c>
      <c r="L59" s="813">
        <f>SUMIF(STAT_TRA_Survey_Tkm!$C$6:$C$16, DEMAND_Pkm_Tkm!$C59, STAT_TRA_Survey_Tkm!I$6:I$16)</f>
        <v>0</v>
      </c>
      <c r="M59" s="813">
        <f>SUMIF(STAT_TRA_Survey_Tkm!$C$6:$C$16, DEMAND_Pkm_Tkm!$C59, STAT_TRA_Survey_Tkm!J$6:J$16)</f>
        <v>0</v>
      </c>
      <c r="N59" s="813">
        <f>SUMIF(STAT_TRA_Survey_Tkm!$C$6:$C$16, DEMAND_Pkm_Tkm!$C59, STAT_TRA_Survey_Tkm!K$6:K$16)</f>
        <v>0</v>
      </c>
      <c r="O59" s="813">
        <f>SUMIF(STAT_TRA_Survey_Tkm!$C$6:$C$16, DEMAND_Pkm_Tkm!$C59, STAT_TRA_Survey_Tkm!L$6:L$16)</f>
        <v>0</v>
      </c>
      <c r="P59" s="813">
        <f>SUMIF(STAT_TRA_Survey_Tkm!$C$6:$C$16, DEMAND_Pkm_Tkm!$C59, STAT_TRA_Survey_Tkm!M$6:M$16)</f>
        <v>0</v>
      </c>
      <c r="Q59" s="813">
        <f>SUMIF(STAT_TRA_Survey_Tkm!$C$6:$C$16, DEMAND_Pkm_Tkm!$C59, STAT_TRA_Survey_Tkm!N$6:N$16)</f>
        <v>0</v>
      </c>
      <c r="R59" s="813">
        <f>SUMIF(STAT_TRA_Survey_Tkm!$C$6:$C$16, DEMAND_Pkm_Tkm!$C59, STAT_TRA_Survey_Tkm!O$6:O$16)</f>
        <v>0</v>
      </c>
      <c r="S59" s="813">
        <f>SUMIF(STAT_TRA_Survey_Tkm!$C$6:$C$16, DEMAND_Pkm_Tkm!$C59, STAT_TRA_Survey_Tkm!P$6:P$16)</f>
        <v>0</v>
      </c>
      <c r="T59" s="813">
        <f>SUMIF(STAT_TRA_Survey_Tkm!$C$6:$C$16, DEMAND_Pkm_Tkm!$C59, STAT_TRA_Survey_Tkm!Q$6:Q$16)</f>
        <v>0</v>
      </c>
      <c r="U59" s="813">
        <f>SUMIF(STAT_TRA_Survey_Tkm!$C$6:$C$16, DEMAND_Pkm_Tkm!$C59, STAT_TRA_Survey_Tkm!R$6:R$16)</f>
        <v>0</v>
      </c>
      <c r="V59" s="117" t="str">
        <f t="shared" si="3"/>
        <v>ok</v>
      </c>
    </row>
    <row r="60" spans="2:22" customFormat="1" x14ac:dyDescent="0.3">
      <c r="B60" s="18" t="str">
        <f>IF(COUNTIF(TRA_Comm!$C$29:$C$90,DEMAND_Pkm_Tkm!C60)=1,"X","De-Active")</f>
        <v>X</v>
      </c>
      <c r="C60" s="169" t="s">
        <v>437</v>
      </c>
      <c r="D60" s="169" t="s">
        <v>650</v>
      </c>
      <c r="E60" s="697">
        <f t="shared" si="2"/>
        <v>1112</v>
      </c>
      <c r="F60" s="169" t="s">
        <v>632</v>
      </c>
      <c r="G60" s="813">
        <f>SUMIF(STAT_TRA_Survey_Tkm!$C$6:$C$16, DEMAND_Pkm_Tkm!$C60, STAT_TRA_Survey_Tkm!D$6:D$16)</f>
        <v>1112</v>
      </c>
      <c r="H60" s="813">
        <f>SUMIF(STAT_TRA_Survey_Tkm!$C$6:$C$16, DEMAND_Pkm_Tkm!$C60, STAT_TRA_Survey_Tkm!E$6:E$16)</f>
        <v>0</v>
      </c>
      <c r="I60" s="813">
        <f>SUMIF(STAT_TRA_Survey_Tkm!$C$6:$C$16, DEMAND_Pkm_Tkm!$C60, STAT_TRA_Survey_Tkm!F$6:F$16)</f>
        <v>0</v>
      </c>
      <c r="J60" s="813">
        <f>SUMIF(STAT_TRA_Survey_Tkm!$C$6:$C$16, DEMAND_Pkm_Tkm!$C60, STAT_TRA_Survey_Tkm!G$6:G$16)</f>
        <v>0</v>
      </c>
      <c r="K60" s="813">
        <f>SUMIF(STAT_TRA_Survey_Tkm!$C$6:$C$16, DEMAND_Pkm_Tkm!$C60, STAT_TRA_Survey_Tkm!H$6:H$16)</f>
        <v>0</v>
      </c>
      <c r="L60" s="813">
        <f>SUMIF(STAT_TRA_Survey_Tkm!$C$6:$C$16, DEMAND_Pkm_Tkm!$C60, STAT_TRA_Survey_Tkm!I$6:I$16)</f>
        <v>0</v>
      </c>
      <c r="M60" s="813">
        <f>SUMIF(STAT_TRA_Survey_Tkm!$C$6:$C$16, DEMAND_Pkm_Tkm!$C60, STAT_TRA_Survey_Tkm!J$6:J$16)</f>
        <v>0</v>
      </c>
      <c r="N60" s="813">
        <f>SUMIF(STAT_TRA_Survey_Tkm!$C$6:$C$16, DEMAND_Pkm_Tkm!$C60, STAT_TRA_Survey_Tkm!K$6:K$16)</f>
        <v>0</v>
      </c>
      <c r="O60" s="813">
        <f>SUMIF(STAT_TRA_Survey_Tkm!$C$6:$C$16, DEMAND_Pkm_Tkm!$C60, STAT_TRA_Survey_Tkm!L$6:L$16)</f>
        <v>0</v>
      </c>
      <c r="P60" s="813">
        <f>SUMIF(STAT_TRA_Survey_Tkm!$C$6:$C$16, DEMAND_Pkm_Tkm!$C60, STAT_TRA_Survey_Tkm!M$6:M$16)</f>
        <v>0</v>
      </c>
      <c r="Q60" s="813">
        <f>SUMIF(STAT_TRA_Survey_Tkm!$C$6:$C$16, DEMAND_Pkm_Tkm!$C60, STAT_TRA_Survey_Tkm!N$6:N$16)</f>
        <v>0</v>
      </c>
      <c r="R60" s="813">
        <f>SUMIF(STAT_TRA_Survey_Tkm!$C$6:$C$16, DEMAND_Pkm_Tkm!$C60, STAT_TRA_Survey_Tkm!O$6:O$16)</f>
        <v>0</v>
      </c>
      <c r="S60" s="813">
        <f>SUMIF(STAT_TRA_Survey_Tkm!$C$6:$C$16, DEMAND_Pkm_Tkm!$C60, STAT_TRA_Survey_Tkm!P$6:P$16)</f>
        <v>0</v>
      </c>
      <c r="T60" s="813">
        <f>SUMIF(STAT_TRA_Survey_Tkm!$C$6:$C$16, DEMAND_Pkm_Tkm!$C60, STAT_TRA_Survey_Tkm!Q$6:Q$16)</f>
        <v>0</v>
      </c>
      <c r="U60" s="813">
        <f>SUMIF(STAT_TRA_Survey_Tkm!$C$6:$C$16, DEMAND_Pkm_Tkm!$C60, STAT_TRA_Survey_Tkm!R$6:R$16)</f>
        <v>0</v>
      </c>
      <c r="V60" s="117" t="str">
        <f t="shared" si="3"/>
        <v>ok</v>
      </c>
    </row>
    <row r="61" spans="2:22" customFormat="1" x14ac:dyDescent="0.3">
      <c r="B61" s="18" t="str">
        <f>IF(COUNTIF(TRA_Comm!$C$29:$C$90,DEMAND_Pkm_Tkm!C61)=1,"X","De-Active")</f>
        <v>X</v>
      </c>
      <c r="C61" s="169" t="s">
        <v>651</v>
      </c>
      <c r="D61" s="169" t="s">
        <v>652</v>
      </c>
      <c r="E61" s="697">
        <f t="shared" si="2"/>
        <v>0</v>
      </c>
      <c r="F61" s="169" t="s">
        <v>632</v>
      </c>
      <c r="G61" s="813">
        <f>SUMIF(STAT_TRA_Survey_Tkm!$C$6:$C$16, DEMAND_Pkm_Tkm!$C61, STAT_TRA_Survey_Tkm!D$6:D$16)</f>
        <v>0</v>
      </c>
      <c r="H61" s="813">
        <f>SUMIF(STAT_TRA_Survey_Tkm!$C$6:$C$16, DEMAND_Pkm_Tkm!$C61, STAT_TRA_Survey_Tkm!E$6:E$16)</f>
        <v>0</v>
      </c>
      <c r="I61" s="813">
        <f>SUMIF(STAT_TRA_Survey_Tkm!$C$6:$C$16, DEMAND_Pkm_Tkm!$C61, STAT_TRA_Survey_Tkm!F$6:F$16)</f>
        <v>0</v>
      </c>
      <c r="J61" s="813">
        <f>SUMIF(STAT_TRA_Survey_Tkm!$C$6:$C$16, DEMAND_Pkm_Tkm!$C61, STAT_TRA_Survey_Tkm!G$6:G$16)</f>
        <v>0</v>
      </c>
      <c r="K61" s="813">
        <f>SUMIF(STAT_TRA_Survey_Tkm!$C$6:$C$16, DEMAND_Pkm_Tkm!$C61, STAT_TRA_Survey_Tkm!H$6:H$16)</f>
        <v>0</v>
      </c>
      <c r="L61" s="813">
        <f>SUMIF(STAT_TRA_Survey_Tkm!$C$6:$C$16, DEMAND_Pkm_Tkm!$C61, STAT_TRA_Survey_Tkm!I$6:I$16)</f>
        <v>0</v>
      </c>
      <c r="M61" s="813">
        <f>SUMIF(STAT_TRA_Survey_Tkm!$C$6:$C$16, DEMAND_Pkm_Tkm!$C61, STAT_TRA_Survey_Tkm!J$6:J$16)</f>
        <v>0</v>
      </c>
      <c r="N61" s="813">
        <f>SUMIF(STAT_TRA_Survey_Tkm!$C$6:$C$16, DEMAND_Pkm_Tkm!$C61, STAT_TRA_Survey_Tkm!K$6:K$16)</f>
        <v>0</v>
      </c>
      <c r="O61" s="813">
        <f>SUMIF(STAT_TRA_Survey_Tkm!$C$6:$C$16, DEMAND_Pkm_Tkm!$C61, STAT_TRA_Survey_Tkm!L$6:L$16)</f>
        <v>0</v>
      </c>
      <c r="P61" s="813">
        <f>SUMIF(STAT_TRA_Survey_Tkm!$C$6:$C$16, DEMAND_Pkm_Tkm!$C61, STAT_TRA_Survey_Tkm!M$6:M$16)</f>
        <v>0</v>
      </c>
      <c r="Q61" s="813">
        <f>SUMIF(STAT_TRA_Survey_Tkm!$C$6:$C$16, DEMAND_Pkm_Tkm!$C61, STAT_TRA_Survey_Tkm!N$6:N$16)</f>
        <v>0</v>
      </c>
      <c r="R61" s="813">
        <f>SUMIF(STAT_TRA_Survey_Tkm!$C$6:$C$16, DEMAND_Pkm_Tkm!$C61, STAT_TRA_Survey_Tkm!O$6:O$16)</f>
        <v>0</v>
      </c>
      <c r="S61" s="813">
        <f>SUMIF(STAT_TRA_Survey_Tkm!$C$6:$C$16, DEMAND_Pkm_Tkm!$C61, STAT_TRA_Survey_Tkm!P$6:P$16)</f>
        <v>0</v>
      </c>
      <c r="T61" s="813">
        <f>SUMIF(STAT_TRA_Survey_Tkm!$C$6:$C$16, DEMAND_Pkm_Tkm!$C61, STAT_TRA_Survey_Tkm!Q$6:Q$16)</f>
        <v>0</v>
      </c>
      <c r="U61" s="813">
        <f>SUMIF(STAT_TRA_Survey_Tkm!$C$6:$C$16, DEMAND_Pkm_Tkm!$C61, STAT_TRA_Survey_Tkm!R$6:R$16)</f>
        <v>0</v>
      </c>
      <c r="V61" s="117" t="str">
        <f t="shared" si="3"/>
        <v>ok</v>
      </c>
    </row>
    <row r="62" spans="2:22" customFormat="1" x14ac:dyDescent="0.3">
      <c r="B62" s="18" t="str">
        <f>IF(COUNTIF(TRA_Comm!$C$29:$C$90,DEMAND_Pkm_Tkm!C62)=1,"X","De-Active")</f>
        <v>X</v>
      </c>
      <c r="C62" s="169" t="s">
        <v>443</v>
      </c>
      <c r="D62" s="169" t="s">
        <v>653</v>
      </c>
      <c r="E62" s="697">
        <f t="shared" si="2"/>
        <v>0</v>
      </c>
      <c r="F62" s="169" t="s">
        <v>632</v>
      </c>
      <c r="G62" s="813">
        <f>SUMIF(STAT_TRA_Survey_Tkm!$C$6:$C$16, DEMAND_Pkm_Tkm!$C62, STAT_TRA_Survey_Tkm!D$6:D$16)</f>
        <v>0</v>
      </c>
      <c r="H62" s="813">
        <f>SUMIF(STAT_TRA_Survey_Tkm!$C$6:$C$16, DEMAND_Pkm_Tkm!$C62, STAT_TRA_Survey_Tkm!E$6:E$16)</f>
        <v>0</v>
      </c>
      <c r="I62" s="813">
        <f>SUMIF(STAT_TRA_Survey_Tkm!$C$6:$C$16, DEMAND_Pkm_Tkm!$C62, STAT_TRA_Survey_Tkm!F$6:F$16)</f>
        <v>0</v>
      </c>
      <c r="J62" s="813">
        <f>SUMIF(STAT_TRA_Survey_Tkm!$C$6:$C$16, DEMAND_Pkm_Tkm!$C62, STAT_TRA_Survey_Tkm!G$6:G$16)</f>
        <v>0</v>
      </c>
      <c r="K62" s="813">
        <f>SUMIF(STAT_TRA_Survey_Tkm!$C$6:$C$16, DEMAND_Pkm_Tkm!$C62, STAT_TRA_Survey_Tkm!H$6:H$16)</f>
        <v>0</v>
      </c>
      <c r="L62" s="813">
        <f>SUMIF(STAT_TRA_Survey_Tkm!$C$6:$C$16, DEMAND_Pkm_Tkm!$C62, STAT_TRA_Survey_Tkm!I$6:I$16)</f>
        <v>0</v>
      </c>
      <c r="M62" s="813">
        <f>SUMIF(STAT_TRA_Survey_Tkm!$C$6:$C$16, DEMAND_Pkm_Tkm!$C62, STAT_TRA_Survey_Tkm!J$6:J$16)</f>
        <v>0</v>
      </c>
      <c r="N62" s="813">
        <f>SUMIF(STAT_TRA_Survey_Tkm!$C$6:$C$16, DEMAND_Pkm_Tkm!$C62, STAT_TRA_Survey_Tkm!K$6:K$16)</f>
        <v>0</v>
      </c>
      <c r="O62" s="813">
        <f>SUMIF(STAT_TRA_Survey_Tkm!$C$6:$C$16, DEMAND_Pkm_Tkm!$C62, STAT_TRA_Survey_Tkm!L$6:L$16)</f>
        <v>0</v>
      </c>
      <c r="P62" s="813">
        <f>SUMIF(STAT_TRA_Survey_Tkm!$C$6:$C$16, DEMAND_Pkm_Tkm!$C62, STAT_TRA_Survey_Tkm!M$6:M$16)</f>
        <v>0</v>
      </c>
      <c r="Q62" s="813">
        <f>SUMIF(STAT_TRA_Survey_Tkm!$C$6:$C$16, DEMAND_Pkm_Tkm!$C62, STAT_TRA_Survey_Tkm!N$6:N$16)</f>
        <v>0</v>
      </c>
      <c r="R62" s="813">
        <f>SUMIF(STAT_TRA_Survey_Tkm!$C$6:$C$16, DEMAND_Pkm_Tkm!$C62, STAT_TRA_Survey_Tkm!O$6:O$16)</f>
        <v>0</v>
      </c>
      <c r="S62" s="813">
        <f>SUMIF(STAT_TRA_Survey_Tkm!$C$6:$C$16, DEMAND_Pkm_Tkm!$C62, STAT_TRA_Survey_Tkm!P$6:P$16)</f>
        <v>0</v>
      </c>
      <c r="T62" s="813">
        <f>SUMIF(STAT_TRA_Survey_Tkm!$C$6:$C$16, DEMAND_Pkm_Tkm!$C62, STAT_TRA_Survey_Tkm!Q$6:Q$16)</f>
        <v>0</v>
      </c>
      <c r="U62" s="813">
        <f>SUMIF(STAT_TRA_Survey_Tkm!$C$6:$C$16, DEMAND_Pkm_Tkm!$C62, STAT_TRA_Survey_Tkm!R$6:R$16)</f>
        <v>0</v>
      </c>
      <c r="V62" s="117" t="str">
        <f t="shared" si="3"/>
        <v>ok</v>
      </c>
    </row>
    <row r="63" spans="2:22" customFormat="1" x14ac:dyDescent="0.3">
      <c r="B63" s="18" t="str">
        <f>IF(COUNTIF(TRA_Comm!$C$29:$C$90,DEMAND_Pkm_Tkm!C63)=1,"X","De-Active")</f>
        <v>X</v>
      </c>
      <c r="C63" s="169" t="s">
        <v>654</v>
      </c>
      <c r="D63" s="169" t="s">
        <v>655</v>
      </c>
      <c r="E63" s="697">
        <f t="shared" si="2"/>
        <v>0</v>
      </c>
      <c r="F63" s="169" t="s">
        <v>632</v>
      </c>
      <c r="G63" s="813">
        <f>SUMIF(STAT_TRA_Survey_Tkm!$C$6:$C$16, DEMAND_Pkm_Tkm!$C63, STAT_TRA_Survey_Tkm!D$6:D$16)</f>
        <v>0</v>
      </c>
      <c r="H63" s="813">
        <f>SUMIF(STAT_TRA_Survey_Tkm!$C$6:$C$16, DEMAND_Pkm_Tkm!$C63, STAT_TRA_Survey_Tkm!E$6:E$16)</f>
        <v>0</v>
      </c>
      <c r="I63" s="813">
        <f>SUMIF(STAT_TRA_Survey_Tkm!$C$6:$C$16, DEMAND_Pkm_Tkm!$C63, STAT_TRA_Survey_Tkm!F$6:F$16)</f>
        <v>0</v>
      </c>
      <c r="J63" s="813">
        <f>SUMIF(STAT_TRA_Survey_Tkm!$C$6:$C$16, DEMAND_Pkm_Tkm!$C63, STAT_TRA_Survey_Tkm!G$6:G$16)</f>
        <v>0</v>
      </c>
      <c r="K63" s="813">
        <f>SUMIF(STAT_TRA_Survey_Tkm!$C$6:$C$16, DEMAND_Pkm_Tkm!$C63, STAT_TRA_Survey_Tkm!H$6:H$16)</f>
        <v>0</v>
      </c>
      <c r="L63" s="813">
        <f>SUMIF(STAT_TRA_Survey_Tkm!$C$6:$C$16, DEMAND_Pkm_Tkm!$C63, STAT_TRA_Survey_Tkm!I$6:I$16)</f>
        <v>0</v>
      </c>
      <c r="M63" s="813">
        <f>SUMIF(STAT_TRA_Survey_Tkm!$C$6:$C$16, DEMAND_Pkm_Tkm!$C63, STAT_TRA_Survey_Tkm!J$6:J$16)</f>
        <v>0</v>
      </c>
      <c r="N63" s="813">
        <f>SUMIF(STAT_TRA_Survey_Tkm!$C$6:$C$16, DEMAND_Pkm_Tkm!$C63, STAT_TRA_Survey_Tkm!K$6:K$16)</f>
        <v>0</v>
      </c>
      <c r="O63" s="813">
        <f>SUMIF(STAT_TRA_Survey_Tkm!$C$6:$C$16, DEMAND_Pkm_Tkm!$C63, STAT_TRA_Survey_Tkm!L$6:L$16)</f>
        <v>0</v>
      </c>
      <c r="P63" s="813">
        <f>SUMIF(STAT_TRA_Survey_Tkm!$C$6:$C$16, DEMAND_Pkm_Tkm!$C63, STAT_TRA_Survey_Tkm!M$6:M$16)</f>
        <v>0</v>
      </c>
      <c r="Q63" s="813">
        <f>SUMIF(STAT_TRA_Survey_Tkm!$C$6:$C$16, DEMAND_Pkm_Tkm!$C63, STAT_TRA_Survey_Tkm!N$6:N$16)</f>
        <v>0</v>
      </c>
      <c r="R63" s="813">
        <f>SUMIF(STAT_TRA_Survey_Tkm!$C$6:$C$16, DEMAND_Pkm_Tkm!$C63, STAT_TRA_Survey_Tkm!O$6:O$16)</f>
        <v>0</v>
      </c>
      <c r="S63" s="813">
        <f>SUMIF(STAT_TRA_Survey_Tkm!$C$6:$C$16, DEMAND_Pkm_Tkm!$C63, STAT_TRA_Survey_Tkm!P$6:P$16)</f>
        <v>0</v>
      </c>
      <c r="T63" s="813">
        <f>SUMIF(STAT_TRA_Survey_Tkm!$C$6:$C$16, DEMAND_Pkm_Tkm!$C63, STAT_TRA_Survey_Tkm!Q$6:Q$16)</f>
        <v>0</v>
      </c>
      <c r="U63" s="813">
        <f>SUMIF(STAT_TRA_Survey_Tkm!$C$6:$C$16, DEMAND_Pkm_Tkm!$C63, STAT_TRA_Survey_Tkm!R$6:R$16)</f>
        <v>0</v>
      </c>
      <c r="V63" s="117" t="str">
        <f t="shared" si="3"/>
        <v>ok</v>
      </c>
    </row>
    <row r="64" spans="2:22" customFormat="1" x14ac:dyDescent="0.3">
      <c r="B64" s="18" t="str">
        <f>IF(COUNTIF(TRA_Comm!$C$29:$C$90,DEMAND_Pkm_Tkm!C64)=1,"X","De-Active")</f>
        <v>X</v>
      </c>
      <c r="C64" s="169" t="s">
        <v>656</v>
      </c>
      <c r="D64" s="169" t="s">
        <v>657</v>
      </c>
      <c r="E64" s="697">
        <f t="shared" si="2"/>
        <v>0</v>
      </c>
      <c r="F64" s="169" t="s">
        <v>85</v>
      </c>
      <c r="G64" s="813">
        <f>SUMIF(STAT_TRA_Survey_Tkm!$C$6:$C$16, DEMAND_Pkm_Tkm!$C64, STAT_TRA_Survey_Tkm!D$6:D$16)</f>
        <v>0</v>
      </c>
      <c r="H64" s="813">
        <f>SUMIF(STAT_TRA_Survey_Tkm!$C$6:$C$16, DEMAND_Pkm_Tkm!$C64, STAT_TRA_Survey_Tkm!E$6:E$16)</f>
        <v>0</v>
      </c>
      <c r="I64" s="813">
        <f>SUMIF(STAT_TRA_Survey_Tkm!$C$6:$C$16, DEMAND_Pkm_Tkm!$C64, STAT_TRA_Survey_Tkm!F$6:F$16)</f>
        <v>0</v>
      </c>
      <c r="J64" s="813">
        <f>SUMIF(STAT_TRA_Survey_Tkm!$C$6:$C$16, DEMAND_Pkm_Tkm!$C64, STAT_TRA_Survey_Tkm!G$6:G$16)</f>
        <v>0</v>
      </c>
      <c r="K64" s="813">
        <f>SUMIF(STAT_TRA_Survey_Tkm!$C$6:$C$16, DEMAND_Pkm_Tkm!$C64, STAT_TRA_Survey_Tkm!H$6:H$16)</f>
        <v>0</v>
      </c>
      <c r="L64" s="813">
        <f>SUMIF(STAT_TRA_Survey_Tkm!$C$6:$C$16, DEMAND_Pkm_Tkm!$C64, STAT_TRA_Survey_Tkm!I$6:I$16)</f>
        <v>0</v>
      </c>
      <c r="M64" s="813">
        <f>SUMIF(STAT_TRA_Survey_Tkm!$C$6:$C$16, DEMAND_Pkm_Tkm!$C64, STAT_TRA_Survey_Tkm!J$6:J$16)</f>
        <v>0</v>
      </c>
      <c r="N64" s="813">
        <f>SUMIF(STAT_TRA_Survey_Tkm!$C$6:$C$16, DEMAND_Pkm_Tkm!$C64, STAT_TRA_Survey_Tkm!K$6:K$16)</f>
        <v>0</v>
      </c>
      <c r="O64" s="813">
        <f>SUMIF(STAT_TRA_Survey_Tkm!$C$6:$C$16, DEMAND_Pkm_Tkm!$C64, STAT_TRA_Survey_Tkm!L$6:L$16)</f>
        <v>0</v>
      </c>
      <c r="P64" s="813">
        <f>SUMIF(STAT_TRA_Survey_Tkm!$C$6:$C$16, DEMAND_Pkm_Tkm!$C64, STAT_TRA_Survey_Tkm!M$6:M$16)</f>
        <v>0</v>
      </c>
      <c r="Q64" s="813">
        <f>SUMIF(STAT_TRA_Survey_Tkm!$C$6:$C$16, DEMAND_Pkm_Tkm!$C64, STAT_TRA_Survey_Tkm!N$6:N$16)</f>
        <v>0</v>
      </c>
      <c r="R64" s="813">
        <f>SUMIF(STAT_TRA_Survey_Tkm!$C$6:$C$16, DEMAND_Pkm_Tkm!$C64, STAT_TRA_Survey_Tkm!O$6:O$16)</f>
        <v>0</v>
      </c>
      <c r="S64" s="813">
        <f>SUMIF(STAT_TRA_Survey_Tkm!$C$6:$C$16, DEMAND_Pkm_Tkm!$C64, STAT_TRA_Survey_Tkm!P$6:P$16)</f>
        <v>0</v>
      </c>
      <c r="T64" s="813">
        <f>SUMIF(STAT_TRA_Survey_Tkm!$C$6:$C$16, DEMAND_Pkm_Tkm!$C64, STAT_TRA_Survey_Tkm!Q$6:Q$16)</f>
        <v>0</v>
      </c>
      <c r="U64" s="813">
        <f>SUMIF(STAT_TRA_Survey_Tkm!$C$6:$C$16, DEMAND_Pkm_Tkm!$C64, STAT_TRA_Survey_Tkm!R$6:R$16)</f>
        <v>0</v>
      </c>
      <c r="V64" s="117" t="str">
        <f t="shared" si="3"/>
        <v>ok</v>
      </c>
    </row>
    <row r="65" spans="2:22" customFormat="1" x14ac:dyDescent="0.3">
      <c r="B65" s="18" t="str">
        <f>IF(COUNTIF(TRA_Comm!$C$29:$C$90,DEMAND_Pkm_Tkm!C65)=1,"X","De-Active")</f>
        <v>X</v>
      </c>
      <c r="C65" s="169" t="s">
        <v>658</v>
      </c>
      <c r="D65" s="169" t="s">
        <v>659</v>
      </c>
      <c r="E65" s="697">
        <f t="shared" si="2"/>
        <v>0</v>
      </c>
      <c r="F65" s="169" t="s">
        <v>85</v>
      </c>
      <c r="G65" s="813">
        <f>SUMIF(STAT_TRA_Survey_Tkm!$C$6:$C$16, DEMAND_Pkm_Tkm!$C65, STAT_TRA_Survey_Tkm!D$6:D$16)</f>
        <v>0</v>
      </c>
      <c r="H65" s="813">
        <f>SUMIF(STAT_TRA_Survey_Tkm!$C$6:$C$16, DEMAND_Pkm_Tkm!$C65, STAT_TRA_Survey_Tkm!E$6:E$16)</f>
        <v>0</v>
      </c>
      <c r="I65" s="813">
        <f>SUMIF(STAT_TRA_Survey_Tkm!$C$6:$C$16, DEMAND_Pkm_Tkm!$C65, STAT_TRA_Survey_Tkm!F$6:F$16)</f>
        <v>0</v>
      </c>
      <c r="J65" s="813">
        <f>SUMIF(STAT_TRA_Survey_Tkm!$C$6:$C$16, DEMAND_Pkm_Tkm!$C65, STAT_TRA_Survey_Tkm!G$6:G$16)</f>
        <v>0</v>
      </c>
      <c r="K65" s="813">
        <f>SUMIF(STAT_TRA_Survey_Tkm!$C$6:$C$16, DEMAND_Pkm_Tkm!$C65, STAT_TRA_Survey_Tkm!H$6:H$16)</f>
        <v>0</v>
      </c>
      <c r="L65" s="813">
        <f>SUMIF(STAT_TRA_Survey_Tkm!$C$6:$C$16, DEMAND_Pkm_Tkm!$C65, STAT_TRA_Survey_Tkm!I$6:I$16)</f>
        <v>0</v>
      </c>
      <c r="M65" s="813">
        <f>SUMIF(STAT_TRA_Survey_Tkm!$C$6:$C$16, DEMAND_Pkm_Tkm!$C65, STAT_TRA_Survey_Tkm!J$6:J$16)</f>
        <v>0</v>
      </c>
      <c r="N65" s="813">
        <f>SUMIF(STAT_TRA_Survey_Tkm!$C$6:$C$16, DEMAND_Pkm_Tkm!$C65, STAT_TRA_Survey_Tkm!K$6:K$16)</f>
        <v>0</v>
      </c>
      <c r="O65" s="813">
        <f>SUMIF(STAT_TRA_Survey_Tkm!$C$6:$C$16, DEMAND_Pkm_Tkm!$C65, STAT_TRA_Survey_Tkm!L$6:L$16)</f>
        <v>0</v>
      </c>
      <c r="P65" s="813">
        <f>SUMIF(STAT_TRA_Survey_Tkm!$C$6:$C$16, DEMAND_Pkm_Tkm!$C65, STAT_TRA_Survey_Tkm!M$6:M$16)</f>
        <v>0</v>
      </c>
      <c r="Q65" s="813">
        <f>SUMIF(STAT_TRA_Survey_Tkm!$C$6:$C$16, DEMAND_Pkm_Tkm!$C65, STAT_TRA_Survey_Tkm!N$6:N$16)</f>
        <v>0</v>
      </c>
      <c r="R65" s="813">
        <f>SUMIF(STAT_TRA_Survey_Tkm!$C$6:$C$16, DEMAND_Pkm_Tkm!$C65, STAT_TRA_Survey_Tkm!O$6:O$16)</f>
        <v>0</v>
      </c>
      <c r="S65" s="813">
        <f>SUMIF(STAT_TRA_Survey_Tkm!$C$6:$C$16, DEMAND_Pkm_Tkm!$C65, STAT_TRA_Survey_Tkm!P$6:P$16)</f>
        <v>0</v>
      </c>
      <c r="T65" s="813">
        <f>SUMIF(STAT_TRA_Survey_Tkm!$C$6:$C$16, DEMAND_Pkm_Tkm!$C65, STAT_TRA_Survey_Tkm!Q$6:Q$16)</f>
        <v>0</v>
      </c>
      <c r="U65" s="813">
        <f>SUMIF(STAT_TRA_Survey_Tkm!$C$6:$C$16, DEMAND_Pkm_Tkm!$C65, STAT_TRA_Survey_Tkm!R$6:R$16)</f>
        <v>0</v>
      </c>
      <c r="V65" s="117" t="str">
        <f t="shared" si="3"/>
        <v>ok</v>
      </c>
    </row>
    <row r="66" spans="2:22" customFormat="1" x14ac:dyDescent="0.3">
      <c r="B66" s="18" t="str">
        <f>IF(COUNTIF(TRA_Comm!$C$29:$C$90,DEMAND_Pkm_Tkm!C66)=1,"X","De-Active")</f>
        <v>X</v>
      </c>
      <c r="C66" s="169" t="s">
        <v>441</v>
      </c>
      <c r="D66" s="169" t="s">
        <v>660</v>
      </c>
      <c r="E66" s="697">
        <f t="shared" si="2"/>
        <v>0</v>
      </c>
      <c r="F66" s="169" t="s">
        <v>632</v>
      </c>
      <c r="G66" s="813">
        <f>SUMIF(STAT_TRA_Survey_Tkm!$C$6:$C$16, DEMAND_Pkm_Tkm!$C66, STAT_TRA_Survey_Tkm!D$6:D$16)</f>
        <v>0</v>
      </c>
      <c r="H66" s="813">
        <f>SUMIF(STAT_TRA_Survey_Tkm!$C$6:$C$16, DEMAND_Pkm_Tkm!$C66, STAT_TRA_Survey_Tkm!E$6:E$16)</f>
        <v>0</v>
      </c>
      <c r="I66" s="813">
        <f>SUMIF(STAT_TRA_Survey_Tkm!$C$6:$C$16, DEMAND_Pkm_Tkm!$C66, STAT_TRA_Survey_Tkm!F$6:F$16)</f>
        <v>0</v>
      </c>
      <c r="J66" s="813">
        <f>SUMIF(STAT_TRA_Survey_Tkm!$C$6:$C$16, DEMAND_Pkm_Tkm!$C66, STAT_TRA_Survey_Tkm!G$6:G$16)</f>
        <v>0</v>
      </c>
      <c r="K66" s="813">
        <f>SUMIF(STAT_TRA_Survey_Tkm!$C$6:$C$16, DEMAND_Pkm_Tkm!$C66, STAT_TRA_Survey_Tkm!H$6:H$16)</f>
        <v>0</v>
      </c>
      <c r="L66" s="813">
        <f>SUMIF(STAT_TRA_Survey_Tkm!$C$6:$C$16, DEMAND_Pkm_Tkm!$C66, STAT_TRA_Survey_Tkm!I$6:I$16)</f>
        <v>0</v>
      </c>
      <c r="M66" s="813">
        <f>SUMIF(STAT_TRA_Survey_Tkm!$C$6:$C$16, DEMAND_Pkm_Tkm!$C66, STAT_TRA_Survey_Tkm!J$6:J$16)</f>
        <v>0</v>
      </c>
      <c r="N66" s="813">
        <f>SUMIF(STAT_TRA_Survey_Tkm!$C$6:$C$16, DEMAND_Pkm_Tkm!$C66, STAT_TRA_Survey_Tkm!K$6:K$16)</f>
        <v>0</v>
      </c>
      <c r="O66" s="813">
        <f>SUMIF(STAT_TRA_Survey_Tkm!$C$6:$C$16, DEMAND_Pkm_Tkm!$C66, STAT_TRA_Survey_Tkm!L$6:L$16)</f>
        <v>0</v>
      </c>
      <c r="P66" s="813">
        <f>SUMIF(STAT_TRA_Survey_Tkm!$C$6:$C$16, DEMAND_Pkm_Tkm!$C66, STAT_TRA_Survey_Tkm!M$6:M$16)</f>
        <v>0</v>
      </c>
      <c r="Q66" s="813">
        <f>SUMIF(STAT_TRA_Survey_Tkm!$C$6:$C$16, DEMAND_Pkm_Tkm!$C66, STAT_TRA_Survey_Tkm!N$6:N$16)</f>
        <v>0</v>
      </c>
      <c r="R66" s="813">
        <f>SUMIF(STAT_TRA_Survey_Tkm!$C$6:$C$16, DEMAND_Pkm_Tkm!$C66, STAT_TRA_Survey_Tkm!O$6:O$16)</f>
        <v>0</v>
      </c>
      <c r="S66" s="813">
        <f>SUMIF(STAT_TRA_Survey_Tkm!$C$6:$C$16, DEMAND_Pkm_Tkm!$C66, STAT_TRA_Survey_Tkm!P$6:P$16)</f>
        <v>0</v>
      </c>
      <c r="T66" s="813">
        <f>SUMIF(STAT_TRA_Survey_Tkm!$C$6:$C$16, DEMAND_Pkm_Tkm!$C66, STAT_TRA_Survey_Tkm!Q$6:Q$16)</f>
        <v>0</v>
      </c>
      <c r="U66" s="813">
        <f>SUMIF(STAT_TRA_Survey_Tkm!$C$6:$C$16, DEMAND_Pkm_Tkm!$C66, STAT_TRA_Survey_Tkm!R$6:R$16)</f>
        <v>0</v>
      </c>
      <c r="V66" s="117" t="str">
        <f t="shared" si="3"/>
        <v>ok</v>
      </c>
    </row>
    <row r="67" spans="2:22" customFormat="1" x14ac:dyDescent="0.3">
      <c r="B67" s="18" t="str">
        <f>IF(COUNTIF(TRA_Comm!$C$29:$C$90,DEMAND_Pkm_Tkm!C67)=1,"X","De-Active")</f>
        <v>X</v>
      </c>
      <c r="C67" s="169" t="s">
        <v>661</v>
      </c>
      <c r="D67" s="169" t="s">
        <v>662</v>
      </c>
      <c r="E67" s="697">
        <f t="shared" si="2"/>
        <v>0</v>
      </c>
      <c r="F67" s="169" t="s">
        <v>632</v>
      </c>
      <c r="G67" s="813">
        <f>SUMIF(STAT_TRA_Survey_Tkm!$C$6:$C$16, DEMAND_Pkm_Tkm!$C67, STAT_TRA_Survey_Tkm!D$6:D$16)</f>
        <v>0</v>
      </c>
      <c r="H67" s="813">
        <f>SUMIF(STAT_TRA_Survey_Tkm!$C$6:$C$16, DEMAND_Pkm_Tkm!$C67, STAT_TRA_Survey_Tkm!E$6:E$16)</f>
        <v>0</v>
      </c>
      <c r="I67" s="813">
        <f>SUMIF(STAT_TRA_Survey_Tkm!$C$6:$C$16, DEMAND_Pkm_Tkm!$C67, STAT_TRA_Survey_Tkm!F$6:F$16)</f>
        <v>0</v>
      </c>
      <c r="J67" s="813">
        <f>SUMIF(STAT_TRA_Survey_Tkm!$C$6:$C$16, DEMAND_Pkm_Tkm!$C67, STAT_TRA_Survey_Tkm!G$6:G$16)</f>
        <v>0</v>
      </c>
      <c r="K67" s="813">
        <f>SUMIF(STAT_TRA_Survey_Tkm!$C$6:$C$16, DEMAND_Pkm_Tkm!$C67, STAT_TRA_Survey_Tkm!H$6:H$16)</f>
        <v>0</v>
      </c>
      <c r="L67" s="813">
        <f>SUMIF(STAT_TRA_Survey_Tkm!$C$6:$C$16, DEMAND_Pkm_Tkm!$C67, STAT_TRA_Survey_Tkm!I$6:I$16)</f>
        <v>0</v>
      </c>
      <c r="M67" s="813">
        <f>SUMIF(STAT_TRA_Survey_Tkm!$C$6:$C$16, DEMAND_Pkm_Tkm!$C67, STAT_TRA_Survey_Tkm!J$6:J$16)</f>
        <v>0</v>
      </c>
      <c r="N67" s="813">
        <f>SUMIF(STAT_TRA_Survey_Tkm!$C$6:$C$16, DEMAND_Pkm_Tkm!$C67, STAT_TRA_Survey_Tkm!K$6:K$16)</f>
        <v>0</v>
      </c>
      <c r="O67" s="813">
        <f>SUMIF(STAT_TRA_Survey_Tkm!$C$6:$C$16, DEMAND_Pkm_Tkm!$C67, STAT_TRA_Survey_Tkm!L$6:L$16)</f>
        <v>0</v>
      </c>
      <c r="P67" s="813">
        <f>SUMIF(STAT_TRA_Survey_Tkm!$C$6:$C$16, DEMAND_Pkm_Tkm!$C67, STAT_TRA_Survey_Tkm!M$6:M$16)</f>
        <v>0</v>
      </c>
      <c r="Q67" s="813">
        <f>SUMIF(STAT_TRA_Survey_Tkm!$C$6:$C$16, DEMAND_Pkm_Tkm!$C67, STAT_TRA_Survey_Tkm!N$6:N$16)</f>
        <v>0</v>
      </c>
      <c r="R67" s="813">
        <f>SUMIF(STAT_TRA_Survey_Tkm!$C$6:$C$16, DEMAND_Pkm_Tkm!$C67, STAT_TRA_Survey_Tkm!O$6:O$16)</f>
        <v>0</v>
      </c>
      <c r="S67" s="813">
        <f>SUMIF(STAT_TRA_Survey_Tkm!$C$6:$C$16, DEMAND_Pkm_Tkm!$C67, STAT_TRA_Survey_Tkm!P$6:P$16)</f>
        <v>0</v>
      </c>
      <c r="T67" s="813">
        <f>SUMIF(STAT_TRA_Survey_Tkm!$C$6:$C$16, DEMAND_Pkm_Tkm!$C67, STAT_TRA_Survey_Tkm!Q$6:Q$16)</f>
        <v>0</v>
      </c>
      <c r="U67" s="813">
        <f>SUMIF(STAT_TRA_Survey_Tkm!$C$6:$C$16, DEMAND_Pkm_Tkm!$C67, STAT_TRA_Survey_Tkm!R$6:R$16)</f>
        <v>0</v>
      </c>
      <c r="V67" s="117" t="str">
        <f t="shared" si="3"/>
        <v>ok</v>
      </c>
    </row>
    <row r="68" spans="2:22" customFormat="1" x14ac:dyDescent="0.3">
      <c r="B68" s="18" t="str">
        <f>IF(COUNTIF(TRA_Comm!$C$29:$C$90,DEMAND_Pkm_Tkm!C68)=1,"X","De-Active")</f>
        <v>X</v>
      </c>
      <c r="C68" s="169" t="s">
        <v>425</v>
      </c>
      <c r="D68" s="169" t="s">
        <v>663</v>
      </c>
      <c r="E68" s="697">
        <f t="shared" si="2"/>
        <v>0</v>
      </c>
      <c r="F68" s="169" t="s">
        <v>632</v>
      </c>
      <c r="G68" s="813">
        <f>SUMIF(STAT_TRA_Survey_Tkm!$C$6:$C$16, DEMAND_Pkm_Tkm!$C68, STAT_TRA_Survey_Tkm!D$6:D$16)</f>
        <v>0</v>
      </c>
      <c r="H68" s="813">
        <f>SUMIF(STAT_TRA_Survey_Tkm!$C$6:$C$16, DEMAND_Pkm_Tkm!$C68, STAT_TRA_Survey_Tkm!E$6:E$16)</f>
        <v>0</v>
      </c>
      <c r="I68" s="813">
        <f>SUMIF(STAT_TRA_Survey_Tkm!$C$6:$C$16, DEMAND_Pkm_Tkm!$C68, STAT_TRA_Survey_Tkm!F$6:F$16)</f>
        <v>0</v>
      </c>
      <c r="J68" s="813">
        <f>SUMIF(STAT_TRA_Survey_Tkm!$C$6:$C$16, DEMAND_Pkm_Tkm!$C68, STAT_TRA_Survey_Tkm!G$6:G$16)</f>
        <v>0</v>
      </c>
      <c r="K68" s="813">
        <f>SUMIF(STAT_TRA_Survey_Tkm!$C$6:$C$16, DEMAND_Pkm_Tkm!$C68, STAT_TRA_Survey_Tkm!H$6:H$16)</f>
        <v>0</v>
      </c>
      <c r="L68" s="813">
        <f>SUMIF(STAT_TRA_Survey_Tkm!$C$6:$C$16, DEMAND_Pkm_Tkm!$C68, STAT_TRA_Survey_Tkm!I$6:I$16)</f>
        <v>0</v>
      </c>
      <c r="M68" s="813">
        <f>SUMIF(STAT_TRA_Survey_Tkm!$C$6:$C$16, DEMAND_Pkm_Tkm!$C68, STAT_TRA_Survey_Tkm!J$6:J$16)</f>
        <v>0</v>
      </c>
      <c r="N68" s="813">
        <f>SUMIF(STAT_TRA_Survey_Tkm!$C$6:$C$16, DEMAND_Pkm_Tkm!$C68, STAT_TRA_Survey_Tkm!K$6:K$16)</f>
        <v>0</v>
      </c>
      <c r="O68" s="813">
        <f>SUMIF(STAT_TRA_Survey_Tkm!$C$6:$C$16, DEMAND_Pkm_Tkm!$C68, STAT_TRA_Survey_Tkm!L$6:L$16)</f>
        <v>0</v>
      </c>
      <c r="P68" s="813">
        <f>SUMIF(STAT_TRA_Survey_Tkm!$C$6:$C$16, DEMAND_Pkm_Tkm!$C68, STAT_TRA_Survey_Tkm!M$6:M$16)</f>
        <v>0</v>
      </c>
      <c r="Q68" s="813">
        <f>SUMIF(STAT_TRA_Survey_Tkm!$C$6:$C$16, DEMAND_Pkm_Tkm!$C68, STAT_TRA_Survey_Tkm!N$6:N$16)</f>
        <v>0</v>
      </c>
      <c r="R68" s="813">
        <f>SUMIF(STAT_TRA_Survey_Tkm!$C$6:$C$16, DEMAND_Pkm_Tkm!$C68, STAT_TRA_Survey_Tkm!O$6:O$16)</f>
        <v>0</v>
      </c>
      <c r="S68" s="813">
        <f>SUMIF(STAT_TRA_Survey_Tkm!$C$6:$C$16, DEMAND_Pkm_Tkm!$C68, STAT_TRA_Survey_Tkm!P$6:P$16)</f>
        <v>0</v>
      </c>
      <c r="T68" s="813">
        <f>SUMIF(STAT_TRA_Survey_Tkm!$C$6:$C$16, DEMAND_Pkm_Tkm!$C68, STAT_TRA_Survey_Tkm!Q$6:Q$16)</f>
        <v>0</v>
      </c>
      <c r="U68" s="813">
        <f>SUMIF(STAT_TRA_Survey_Tkm!$C$6:$C$16, DEMAND_Pkm_Tkm!$C68, STAT_TRA_Survey_Tkm!R$6:R$16)</f>
        <v>0</v>
      </c>
      <c r="V68" s="117" t="str">
        <f t="shared" si="3"/>
        <v>ok</v>
      </c>
    </row>
    <row r="69" spans="2:22" customFormat="1" x14ac:dyDescent="0.3">
      <c r="B69" s="18" t="str">
        <f>IF(COUNTIF(TRA_Comm!$C$29:$C$90,DEMAND_Pkm_Tkm!C69)=1,"X","De-Active")</f>
        <v>X</v>
      </c>
      <c r="C69" s="169" t="s">
        <v>509</v>
      </c>
      <c r="D69" s="169" t="s">
        <v>664</v>
      </c>
      <c r="E69" s="697">
        <f t="shared" si="2"/>
        <v>0</v>
      </c>
      <c r="F69" s="169" t="s">
        <v>632</v>
      </c>
      <c r="G69" s="813">
        <f>SUMIF(STAT_TRA_Survey_Tkm!$C$6:$C$16, DEMAND_Pkm_Tkm!$C69, STAT_TRA_Survey_Tkm!D$6:D$16)</f>
        <v>0</v>
      </c>
      <c r="H69" s="813">
        <f>SUMIF(STAT_TRA_Survey_Tkm!$C$6:$C$16, DEMAND_Pkm_Tkm!$C69, STAT_TRA_Survey_Tkm!E$6:E$16)</f>
        <v>0</v>
      </c>
      <c r="I69" s="813">
        <f>SUMIF(STAT_TRA_Survey_Tkm!$C$6:$C$16, DEMAND_Pkm_Tkm!$C69, STAT_TRA_Survey_Tkm!F$6:F$16)</f>
        <v>0</v>
      </c>
      <c r="J69" s="813">
        <f>SUMIF(STAT_TRA_Survey_Tkm!$C$6:$C$16, DEMAND_Pkm_Tkm!$C69, STAT_TRA_Survey_Tkm!G$6:G$16)</f>
        <v>0</v>
      </c>
      <c r="K69" s="813">
        <f>SUMIF(STAT_TRA_Survey_Tkm!$C$6:$C$16, DEMAND_Pkm_Tkm!$C69, STAT_TRA_Survey_Tkm!H$6:H$16)</f>
        <v>0</v>
      </c>
      <c r="L69" s="813">
        <f>SUMIF(STAT_TRA_Survey_Tkm!$C$6:$C$16, DEMAND_Pkm_Tkm!$C69, STAT_TRA_Survey_Tkm!I$6:I$16)</f>
        <v>0</v>
      </c>
      <c r="M69" s="813">
        <f>SUMIF(STAT_TRA_Survey_Tkm!$C$6:$C$16, DEMAND_Pkm_Tkm!$C69, STAT_TRA_Survey_Tkm!J$6:J$16)</f>
        <v>0</v>
      </c>
      <c r="N69" s="813">
        <f>SUMIF(STAT_TRA_Survey_Tkm!$C$6:$C$16, DEMAND_Pkm_Tkm!$C69, STAT_TRA_Survey_Tkm!K$6:K$16)</f>
        <v>0</v>
      </c>
      <c r="O69" s="813">
        <f>SUMIF(STAT_TRA_Survey_Tkm!$C$6:$C$16, DEMAND_Pkm_Tkm!$C69, STAT_TRA_Survey_Tkm!L$6:L$16)</f>
        <v>0</v>
      </c>
      <c r="P69" s="813">
        <f>SUMIF(STAT_TRA_Survey_Tkm!$C$6:$C$16, DEMAND_Pkm_Tkm!$C69, STAT_TRA_Survey_Tkm!M$6:M$16)</f>
        <v>0</v>
      </c>
      <c r="Q69" s="813">
        <f>SUMIF(STAT_TRA_Survey_Tkm!$C$6:$C$16, DEMAND_Pkm_Tkm!$C69, STAT_TRA_Survey_Tkm!N$6:N$16)</f>
        <v>0</v>
      </c>
      <c r="R69" s="813">
        <f>SUMIF(STAT_TRA_Survey_Tkm!$C$6:$C$16, DEMAND_Pkm_Tkm!$C69, STAT_TRA_Survey_Tkm!O$6:O$16)</f>
        <v>0</v>
      </c>
      <c r="S69" s="813">
        <f>SUMIF(STAT_TRA_Survey_Tkm!$C$6:$C$16, DEMAND_Pkm_Tkm!$C69, STAT_TRA_Survey_Tkm!P$6:P$16)</f>
        <v>0</v>
      </c>
      <c r="T69" s="813">
        <f>SUMIF(STAT_TRA_Survey_Tkm!$C$6:$C$16, DEMAND_Pkm_Tkm!$C69, STAT_TRA_Survey_Tkm!Q$6:Q$16)</f>
        <v>0</v>
      </c>
      <c r="U69" s="813">
        <f>SUMIF(STAT_TRA_Survey_Tkm!$C$6:$C$16, DEMAND_Pkm_Tkm!$C69, STAT_TRA_Survey_Tkm!R$6:R$16)</f>
        <v>0</v>
      </c>
      <c r="V69" s="117" t="str">
        <f t="shared" si="3"/>
        <v>ok</v>
      </c>
    </row>
    <row r="70" spans="2:22" customFormat="1" x14ac:dyDescent="0.3">
      <c r="B70" s="18" t="str">
        <f>IF(COUNTIF(TRA_Comm!$C$29:$C$90,DEMAND_Pkm_Tkm!C70)=1,"X","De-Active")</f>
        <v>X</v>
      </c>
      <c r="C70" s="169" t="s">
        <v>423</v>
      </c>
      <c r="D70" s="169" t="s">
        <v>665</v>
      </c>
      <c r="E70" s="697">
        <f t="shared" si="2"/>
        <v>0</v>
      </c>
      <c r="F70" s="169" t="s">
        <v>632</v>
      </c>
      <c r="G70" s="813">
        <f>SUMIF(STAT_TRA_Survey_Tkm!$C$6:$C$16, DEMAND_Pkm_Tkm!$C70, STAT_TRA_Survey_Tkm!D$6:D$16)</f>
        <v>0</v>
      </c>
      <c r="H70" s="813">
        <f>SUMIF(STAT_TRA_Survey_Tkm!$C$6:$C$16, DEMAND_Pkm_Tkm!$C70, STAT_TRA_Survey_Tkm!E$6:E$16)</f>
        <v>0</v>
      </c>
      <c r="I70" s="813">
        <f>SUMIF(STAT_TRA_Survey_Tkm!$C$6:$C$16, DEMAND_Pkm_Tkm!$C70, STAT_TRA_Survey_Tkm!F$6:F$16)</f>
        <v>0</v>
      </c>
      <c r="J70" s="813">
        <f>SUMIF(STAT_TRA_Survey_Tkm!$C$6:$C$16, DEMAND_Pkm_Tkm!$C70, STAT_TRA_Survey_Tkm!G$6:G$16)</f>
        <v>0</v>
      </c>
      <c r="K70" s="813">
        <f>SUMIF(STAT_TRA_Survey_Tkm!$C$6:$C$16, DEMAND_Pkm_Tkm!$C70, STAT_TRA_Survey_Tkm!H$6:H$16)</f>
        <v>0</v>
      </c>
      <c r="L70" s="813">
        <f>SUMIF(STAT_TRA_Survey_Tkm!$C$6:$C$16, DEMAND_Pkm_Tkm!$C70, STAT_TRA_Survey_Tkm!I$6:I$16)</f>
        <v>0</v>
      </c>
      <c r="M70" s="813">
        <f>SUMIF(STAT_TRA_Survey_Tkm!$C$6:$C$16, DEMAND_Pkm_Tkm!$C70, STAT_TRA_Survey_Tkm!J$6:J$16)</f>
        <v>0</v>
      </c>
      <c r="N70" s="813">
        <f>SUMIF(STAT_TRA_Survey_Tkm!$C$6:$C$16, DEMAND_Pkm_Tkm!$C70, STAT_TRA_Survey_Tkm!K$6:K$16)</f>
        <v>0</v>
      </c>
      <c r="O70" s="813">
        <f>SUMIF(STAT_TRA_Survey_Tkm!$C$6:$C$16, DEMAND_Pkm_Tkm!$C70, STAT_TRA_Survey_Tkm!L$6:L$16)</f>
        <v>0</v>
      </c>
      <c r="P70" s="813">
        <f>SUMIF(STAT_TRA_Survey_Tkm!$C$6:$C$16, DEMAND_Pkm_Tkm!$C70, STAT_TRA_Survey_Tkm!M$6:M$16)</f>
        <v>0</v>
      </c>
      <c r="Q70" s="813">
        <f>SUMIF(STAT_TRA_Survey_Tkm!$C$6:$C$16, DEMAND_Pkm_Tkm!$C70, STAT_TRA_Survey_Tkm!N$6:N$16)</f>
        <v>0</v>
      </c>
      <c r="R70" s="813">
        <f>SUMIF(STAT_TRA_Survey_Tkm!$C$6:$C$16, DEMAND_Pkm_Tkm!$C70, STAT_TRA_Survey_Tkm!O$6:O$16)</f>
        <v>0</v>
      </c>
      <c r="S70" s="813">
        <f>SUMIF(STAT_TRA_Survey_Tkm!$C$6:$C$16, DEMAND_Pkm_Tkm!$C70, STAT_TRA_Survey_Tkm!P$6:P$16)</f>
        <v>0</v>
      </c>
      <c r="T70" s="813">
        <f>SUMIF(STAT_TRA_Survey_Tkm!$C$6:$C$16, DEMAND_Pkm_Tkm!$C70, STAT_TRA_Survey_Tkm!Q$6:Q$16)</f>
        <v>0</v>
      </c>
      <c r="U70" s="813">
        <f>SUMIF(STAT_TRA_Survey_Tkm!$C$6:$C$16, DEMAND_Pkm_Tkm!$C70, STAT_TRA_Survey_Tkm!R$6:R$16)</f>
        <v>0</v>
      </c>
      <c r="V70" s="117" t="str">
        <f t="shared" si="3"/>
        <v>ok</v>
      </c>
    </row>
    <row r="71" spans="2:22" customFormat="1" x14ac:dyDescent="0.3">
      <c r="B71" s="18" t="str">
        <f>IF(COUNTIF(TRA_Comm!$C$29:$C$90,DEMAND_Pkm_Tkm!C71)=1,"X","De-Active")</f>
        <v>X</v>
      </c>
      <c r="C71" s="169" t="s">
        <v>508</v>
      </c>
      <c r="D71" s="169" t="s">
        <v>666</v>
      </c>
      <c r="E71" s="697">
        <f t="shared" si="2"/>
        <v>0</v>
      </c>
      <c r="F71" s="169" t="s">
        <v>632</v>
      </c>
      <c r="G71" s="813">
        <f>SUMIF(STAT_TRA_Survey_Tkm!$C$6:$C$16, DEMAND_Pkm_Tkm!$C71, STAT_TRA_Survey_Tkm!D$6:D$16)</f>
        <v>0</v>
      </c>
      <c r="H71" s="813">
        <f>SUMIF(STAT_TRA_Survey_Tkm!$C$6:$C$16, DEMAND_Pkm_Tkm!$C71, STAT_TRA_Survey_Tkm!E$6:E$16)</f>
        <v>0</v>
      </c>
      <c r="I71" s="813">
        <f>SUMIF(STAT_TRA_Survey_Tkm!$C$6:$C$16, DEMAND_Pkm_Tkm!$C71, STAT_TRA_Survey_Tkm!F$6:F$16)</f>
        <v>0</v>
      </c>
      <c r="J71" s="813">
        <f>SUMIF(STAT_TRA_Survey_Tkm!$C$6:$C$16, DEMAND_Pkm_Tkm!$C71, STAT_TRA_Survey_Tkm!G$6:G$16)</f>
        <v>0</v>
      </c>
      <c r="K71" s="813">
        <f>SUMIF(STAT_TRA_Survey_Tkm!$C$6:$C$16, DEMAND_Pkm_Tkm!$C71, STAT_TRA_Survey_Tkm!H$6:H$16)</f>
        <v>0</v>
      </c>
      <c r="L71" s="813">
        <f>SUMIF(STAT_TRA_Survey_Tkm!$C$6:$C$16, DEMAND_Pkm_Tkm!$C71, STAT_TRA_Survey_Tkm!I$6:I$16)</f>
        <v>0</v>
      </c>
      <c r="M71" s="813">
        <f>SUMIF(STAT_TRA_Survey_Tkm!$C$6:$C$16, DEMAND_Pkm_Tkm!$C71, STAT_TRA_Survey_Tkm!J$6:J$16)</f>
        <v>0</v>
      </c>
      <c r="N71" s="813">
        <f>SUMIF(STAT_TRA_Survey_Tkm!$C$6:$C$16, DEMAND_Pkm_Tkm!$C71, STAT_TRA_Survey_Tkm!K$6:K$16)</f>
        <v>0</v>
      </c>
      <c r="O71" s="813">
        <f>SUMIF(STAT_TRA_Survey_Tkm!$C$6:$C$16, DEMAND_Pkm_Tkm!$C71, STAT_TRA_Survey_Tkm!L$6:L$16)</f>
        <v>0</v>
      </c>
      <c r="P71" s="813">
        <f>SUMIF(STAT_TRA_Survey_Tkm!$C$6:$C$16, DEMAND_Pkm_Tkm!$C71, STAT_TRA_Survey_Tkm!M$6:M$16)</f>
        <v>0</v>
      </c>
      <c r="Q71" s="813">
        <f>SUMIF(STAT_TRA_Survey_Tkm!$C$6:$C$16, DEMAND_Pkm_Tkm!$C71, STAT_TRA_Survey_Tkm!N$6:N$16)</f>
        <v>0</v>
      </c>
      <c r="R71" s="813">
        <f>SUMIF(STAT_TRA_Survey_Tkm!$C$6:$C$16, DEMAND_Pkm_Tkm!$C71, STAT_TRA_Survey_Tkm!O$6:O$16)</f>
        <v>0</v>
      </c>
      <c r="S71" s="813">
        <f>SUMIF(STAT_TRA_Survey_Tkm!$C$6:$C$16, DEMAND_Pkm_Tkm!$C71, STAT_TRA_Survey_Tkm!P$6:P$16)</f>
        <v>0</v>
      </c>
      <c r="T71" s="813">
        <f>SUMIF(STAT_TRA_Survey_Tkm!$C$6:$C$16, DEMAND_Pkm_Tkm!$C71, STAT_TRA_Survey_Tkm!Q$6:Q$16)</f>
        <v>0</v>
      </c>
      <c r="U71" s="813">
        <f>SUMIF(STAT_TRA_Survey_Tkm!$C$6:$C$16, DEMAND_Pkm_Tkm!$C71, STAT_TRA_Survey_Tkm!R$6:R$16)</f>
        <v>0</v>
      </c>
      <c r="V71" s="117" t="str">
        <f t="shared" si="3"/>
        <v>ok</v>
      </c>
    </row>
    <row r="72" spans="2:22" x14ac:dyDescent="0.3">
      <c r="E72" s="16"/>
    </row>
    <row r="73" spans="2:22" x14ac:dyDescent="0.3">
      <c r="C73" s="102"/>
    </row>
    <row r="74" spans="2:22" x14ac:dyDescent="0.3">
      <c r="C74" s="102"/>
    </row>
    <row r="75" spans="2:22" x14ac:dyDescent="0.3">
      <c r="C75" s="102"/>
    </row>
    <row r="76" spans="2:22" x14ac:dyDescent="0.3">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zoomScale="75" zoomScaleNormal="75" workbookViewId="0">
      <pane xSplit="6" topLeftCell="X1" activePane="topRight" state="frozen"/>
      <selection activeCell="G30" sqref="G30"/>
      <selection pane="topRight" activeCell="AA86" sqref="AA86"/>
    </sheetView>
  </sheetViews>
  <sheetFormatPr defaultColWidth="9.33203125" defaultRowHeight="14.4" x14ac:dyDescent="0.3"/>
  <cols>
    <col min="1" max="1" width="15" customWidth="1"/>
    <col min="2" max="2" width="15.33203125" customWidth="1"/>
    <col min="3" max="3" width="18.44140625" customWidth="1"/>
    <col min="4" max="4" width="30.5546875" bestFit="1" customWidth="1"/>
    <col min="5" max="7" width="15.33203125" customWidth="1"/>
    <col min="8" max="22" width="10.6640625" customWidth="1"/>
    <col min="23" max="23" width="5.5546875" customWidth="1"/>
    <col min="24" max="24" width="93.6640625" bestFit="1" customWidth="1"/>
    <col min="25" max="25" width="19.44140625" customWidth="1"/>
    <col min="27" max="27" width="79.6640625" bestFit="1" customWidth="1"/>
    <col min="28" max="28" width="13.33203125" customWidth="1"/>
    <col min="30" max="30" width="11.5546875" bestFit="1" customWidth="1"/>
    <col min="32" max="32" width="11" bestFit="1" customWidth="1"/>
  </cols>
  <sheetData>
    <row r="2" spans="2:28" x14ac:dyDescent="0.3">
      <c r="B2" s="106" t="s">
        <v>667</v>
      </c>
      <c r="F2" s="122"/>
    </row>
    <row r="3" spans="2:28" x14ac:dyDescent="0.3">
      <c r="B3" s="106" t="s">
        <v>668</v>
      </c>
      <c r="F3" s="122"/>
      <c r="X3" s="106"/>
    </row>
    <row r="4" spans="2:28" x14ac:dyDescent="0.3">
      <c r="B4" s="106" t="s">
        <v>669</v>
      </c>
    </row>
    <row r="5" spans="2:28" x14ac:dyDescent="0.3">
      <c r="G5" s="21"/>
      <c r="H5" s="21"/>
      <c r="I5" s="21"/>
      <c r="J5" s="21"/>
      <c r="K5" s="21"/>
      <c r="L5" s="21"/>
      <c r="M5" s="21"/>
      <c r="N5" s="21"/>
      <c r="O5" s="21"/>
      <c r="P5" s="21"/>
      <c r="AA5" s="106"/>
    </row>
    <row r="6" spans="2:28" x14ac:dyDescent="0.3">
      <c r="H6" s="111"/>
      <c r="I6" s="111"/>
      <c r="J6" s="111"/>
      <c r="K6" s="111"/>
      <c r="L6" s="111"/>
      <c r="M6" s="111"/>
      <c r="N6" s="111"/>
      <c r="O6" s="22"/>
      <c r="P6" s="22"/>
      <c r="Z6" s="112"/>
      <c r="AB6" s="112"/>
    </row>
    <row r="7" spans="2:28" ht="18" x14ac:dyDescent="0.35">
      <c r="B7" s="42" t="s">
        <v>670</v>
      </c>
      <c r="C7" s="42"/>
      <c r="D7" s="21"/>
      <c r="E7" s="21"/>
      <c r="X7" s="320"/>
    </row>
    <row r="8" spans="2:28" x14ac:dyDescent="0.3">
      <c r="G8" s="457"/>
      <c r="Y8" s="295"/>
    </row>
    <row r="9" spans="2:28" hidden="1" x14ac:dyDescent="0.3">
      <c r="B9" s="466" t="s">
        <v>671</v>
      </c>
      <c r="G9" s="457"/>
      <c r="Y9" s="295"/>
    </row>
    <row r="10" spans="2:28" hidden="1" x14ac:dyDescent="0.3">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hidden="1" x14ac:dyDescent="0.3">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hidden="1" x14ac:dyDescent="0.3">
      <c r="B12" s="191" t="s">
        <v>72</v>
      </c>
      <c r="C12" s="191" t="s">
        <v>561</v>
      </c>
      <c r="D12" s="191" t="s">
        <v>679</v>
      </c>
      <c r="E12" s="191" t="s">
        <v>680</v>
      </c>
      <c r="F12" s="191" t="s">
        <v>473</v>
      </c>
      <c r="G12" s="497">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8">
        <v>1</v>
      </c>
      <c r="AA12" s="107"/>
      <c r="AB12" s="108"/>
    </row>
    <row r="13" spans="2:28" hidden="1" x14ac:dyDescent="0.3">
      <c r="B13" s="191" t="s">
        <v>72</v>
      </c>
      <c r="C13" s="191" t="s">
        <v>561</v>
      </c>
      <c r="D13" s="191" t="s">
        <v>679</v>
      </c>
      <c r="E13" s="191" t="s">
        <v>682</v>
      </c>
      <c r="F13" s="191" t="s">
        <v>473</v>
      </c>
      <c r="G13" s="497">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hidden="1" x14ac:dyDescent="0.3">
      <c r="B14" s="191" t="s">
        <v>72</v>
      </c>
      <c r="C14" s="191" t="s">
        <v>562</v>
      </c>
      <c r="D14" s="191" t="s">
        <v>477</v>
      </c>
      <c r="E14" s="191" t="s">
        <v>680</v>
      </c>
      <c r="F14" s="191" t="s">
        <v>476</v>
      </c>
      <c r="G14" s="497">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8">
        <v>1</v>
      </c>
      <c r="AA14" s="107"/>
      <c r="AB14" s="108"/>
    </row>
    <row r="15" spans="2:28" hidden="1" x14ac:dyDescent="0.3">
      <c r="B15" s="191" t="s">
        <v>72</v>
      </c>
      <c r="C15" s="191" t="s">
        <v>171</v>
      </c>
      <c r="D15" s="191" t="s">
        <v>471</v>
      </c>
      <c r="E15" s="191" t="s">
        <v>680</v>
      </c>
      <c r="F15" s="191" t="s">
        <v>470</v>
      </c>
      <c r="G15" s="497">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8">
        <v>1</v>
      </c>
      <c r="AA15" s="107"/>
      <c r="AB15" s="108"/>
    </row>
    <row r="16" spans="2:28" hidden="1" x14ac:dyDescent="0.3">
      <c r="B16" s="191" t="s">
        <v>72</v>
      </c>
      <c r="C16" s="191" t="s">
        <v>380</v>
      </c>
      <c r="D16" s="191" t="s">
        <v>683</v>
      </c>
      <c r="E16" s="191" t="s">
        <v>680</v>
      </c>
      <c r="F16" s="191" t="s">
        <v>398</v>
      </c>
      <c r="G16" s="497">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8">
        <v>1</v>
      </c>
      <c r="AA16" s="107"/>
      <c r="AB16" s="108"/>
    </row>
    <row r="17" spans="2:36" hidden="1" x14ac:dyDescent="0.3">
      <c r="B17" s="191" t="s">
        <v>72</v>
      </c>
      <c r="C17" s="191" t="s">
        <v>380</v>
      </c>
      <c r="D17" s="191" t="s">
        <v>683</v>
      </c>
      <c r="E17" s="191" t="s">
        <v>682</v>
      </c>
      <c r="F17" s="191" t="s">
        <v>398</v>
      </c>
      <c r="G17" s="497">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hidden="1" x14ac:dyDescent="0.3">
      <c r="B18" s="191" t="s">
        <v>72</v>
      </c>
      <c r="C18" s="191" t="s">
        <v>381</v>
      </c>
      <c r="D18" s="191" t="s">
        <v>684</v>
      </c>
      <c r="E18" s="191" t="s">
        <v>680</v>
      </c>
      <c r="F18" s="191" t="s">
        <v>396</v>
      </c>
      <c r="G18" s="497">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8">
        <v>1</v>
      </c>
      <c r="AA18" s="107"/>
      <c r="AB18" s="108"/>
    </row>
    <row r="19" spans="2:36" hidden="1" x14ac:dyDescent="0.3">
      <c r="B19" s="191" t="s">
        <v>72</v>
      </c>
      <c r="C19" s="191" t="s">
        <v>382</v>
      </c>
      <c r="D19" s="191" t="s">
        <v>685</v>
      </c>
      <c r="E19" s="191" t="s">
        <v>680</v>
      </c>
      <c r="F19" s="191" t="s">
        <v>394</v>
      </c>
      <c r="G19" s="497">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8">
        <v>1</v>
      </c>
      <c r="AA19" s="107"/>
      <c r="AB19" s="108"/>
    </row>
    <row r="20" spans="2:36" hidden="1" x14ac:dyDescent="0.3">
      <c r="B20" s="191" t="s">
        <v>72</v>
      </c>
      <c r="C20" s="191" t="s">
        <v>552</v>
      </c>
      <c r="D20" s="191" t="s">
        <v>168</v>
      </c>
      <c r="E20" s="191" t="s">
        <v>682</v>
      </c>
      <c r="F20" s="191" t="s">
        <v>400</v>
      </c>
      <c r="G20" s="497">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8">
        <v>33</v>
      </c>
      <c r="AA20" s="107"/>
      <c r="AB20" s="108"/>
    </row>
    <row r="21" spans="2:36" hidden="1" x14ac:dyDescent="0.3">
      <c r="B21" s="191" t="s">
        <v>72</v>
      </c>
      <c r="C21" s="191" t="s">
        <v>554</v>
      </c>
      <c r="D21" s="191" t="s">
        <v>168</v>
      </c>
      <c r="E21" s="191" t="s">
        <v>682</v>
      </c>
      <c r="F21" s="191" t="s">
        <v>479</v>
      </c>
      <c r="G21" s="497">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8">
        <v>33</v>
      </c>
      <c r="AA21" s="107"/>
      <c r="AB21" s="108"/>
    </row>
    <row r="22" spans="2:36" hidden="1" x14ac:dyDescent="0.3"/>
    <row r="23" spans="2:36" hidden="1" x14ac:dyDescent="0.3">
      <c r="G23" s="457"/>
      <c r="Y23" s="295"/>
    </row>
    <row r="24" spans="2:36" hidden="1" x14ac:dyDescent="0.3">
      <c r="B24" s="466" t="s">
        <v>481</v>
      </c>
      <c r="G24" s="457"/>
      <c r="Y24" s="295"/>
    </row>
    <row r="25" spans="2:36" hidden="1" x14ac:dyDescent="0.3">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28.8" hidden="1" x14ac:dyDescent="0.3">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hidden="1" x14ac:dyDescent="0.3">
      <c r="B27" s="191" t="s">
        <v>420</v>
      </c>
      <c r="C27" s="191" t="s">
        <v>688</v>
      </c>
      <c r="D27" s="191" t="s">
        <v>481</v>
      </c>
      <c r="E27" s="191" t="s">
        <v>682</v>
      </c>
      <c r="F27" s="191" t="s">
        <v>420</v>
      </c>
      <c r="G27" s="498">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hidden="1" x14ac:dyDescent="0.3">
      <c r="B28" s="191" t="s">
        <v>420</v>
      </c>
      <c r="C28" s="191" t="s">
        <v>689</v>
      </c>
      <c r="D28" s="191" t="s">
        <v>690</v>
      </c>
      <c r="E28" s="191" t="s">
        <v>682</v>
      </c>
      <c r="F28" s="191" t="s">
        <v>483</v>
      </c>
      <c r="G28" s="498">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hidden="1" x14ac:dyDescent="0.3">
      <c r="B29" s="63"/>
      <c r="C29" s="434"/>
      <c r="D29" s="434"/>
      <c r="E29" s="434"/>
      <c r="F29" s="63"/>
      <c r="G29" s="62"/>
      <c r="H29" s="15"/>
      <c r="I29" s="15"/>
      <c r="J29" s="15"/>
      <c r="K29" s="15"/>
      <c r="L29" s="15"/>
      <c r="M29" s="15"/>
      <c r="N29" s="15"/>
      <c r="O29" s="15"/>
      <c r="P29" s="15"/>
      <c r="Q29" s="15"/>
      <c r="R29" s="15"/>
      <c r="S29" s="15"/>
      <c r="T29" s="15"/>
      <c r="U29" s="15"/>
      <c r="V29" s="15"/>
      <c r="Y29" s="435"/>
    </row>
    <row r="30" spans="2:36" hidden="1" x14ac:dyDescent="0.3">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3">
      <c r="B31" s="466" t="s">
        <v>691</v>
      </c>
      <c r="G31" s="821">
        <v>1.25</v>
      </c>
      <c r="X31" s="106" t="s">
        <v>692</v>
      </c>
      <c r="AA31" s="106" t="s">
        <v>693</v>
      </c>
    </row>
    <row r="32" spans="2:36" x14ac:dyDescent="0.3">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3">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3">
      <c r="B34" s="186" t="s">
        <v>75</v>
      </c>
      <c r="C34" s="186" t="s">
        <v>528</v>
      </c>
      <c r="D34" s="186"/>
      <c r="E34" s="186"/>
      <c r="F34" s="186" t="s">
        <v>406</v>
      </c>
      <c r="G34" s="659">
        <f>ROUND(10^2/(Y34*$G$31),5)</f>
        <v>0.42781000000000002</v>
      </c>
      <c r="H34" s="660">
        <f t="shared" ref="H34:V34" si="6">$G34</f>
        <v>0.42781000000000002</v>
      </c>
      <c r="I34" s="660">
        <f t="shared" si="6"/>
        <v>0.42781000000000002</v>
      </c>
      <c r="J34" s="660">
        <f t="shared" si="6"/>
        <v>0.42781000000000002</v>
      </c>
      <c r="K34" s="660">
        <f t="shared" si="6"/>
        <v>0.42781000000000002</v>
      </c>
      <c r="L34" s="660">
        <f t="shared" si="6"/>
        <v>0.42781000000000002</v>
      </c>
      <c r="M34" s="660">
        <f t="shared" si="6"/>
        <v>0.42781000000000002</v>
      </c>
      <c r="N34" s="660">
        <f t="shared" si="6"/>
        <v>0.42781000000000002</v>
      </c>
      <c r="O34" s="660">
        <f t="shared" si="6"/>
        <v>0.42781000000000002</v>
      </c>
      <c r="P34" s="660">
        <f t="shared" si="6"/>
        <v>0.42781000000000002</v>
      </c>
      <c r="Q34" s="660">
        <f t="shared" si="6"/>
        <v>0.42781000000000002</v>
      </c>
      <c r="R34" s="660">
        <f t="shared" si="6"/>
        <v>0.42781000000000002</v>
      </c>
      <c r="S34" s="660">
        <f t="shared" si="6"/>
        <v>0.42781000000000002</v>
      </c>
      <c r="T34" s="660">
        <f t="shared" si="6"/>
        <v>0.42781000000000002</v>
      </c>
      <c r="U34" s="660">
        <f t="shared" si="6"/>
        <v>0.42781000000000002</v>
      </c>
      <c r="V34" s="660">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3">
      <c r="B35" s="186" t="s">
        <v>75</v>
      </c>
      <c r="C35" s="186" t="s">
        <v>528</v>
      </c>
      <c r="D35" s="186"/>
      <c r="E35" s="186"/>
      <c r="F35" s="186" t="s">
        <v>408</v>
      </c>
      <c r="G35" s="659">
        <f t="shared" ref="G35:G93" si="7">ROUND(10^2/(Y35*$G$31),5)</f>
        <v>0.37558999999999998</v>
      </c>
      <c r="H35" s="660">
        <f>$G35</f>
        <v>0.37558999999999998</v>
      </c>
      <c r="I35" s="660">
        <f t="shared" ref="I35:V35" si="8">$H35</f>
        <v>0.37558999999999998</v>
      </c>
      <c r="J35" s="660">
        <f t="shared" si="8"/>
        <v>0.37558999999999998</v>
      </c>
      <c r="K35" s="660">
        <f t="shared" si="8"/>
        <v>0.37558999999999998</v>
      </c>
      <c r="L35" s="660">
        <f t="shared" si="8"/>
        <v>0.37558999999999998</v>
      </c>
      <c r="M35" s="660">
        <f t="shared" si="8"/>
        <v>0.37558999999999998</v>
      </c>
      <c r="N35" s="660">
        <f t="shared" si="8"/>
        <v>0.37558999999999998</v>
      </c>
      <c r="O35" s="660">
        <f t="shared" si="8"/>
        <v>0.37558999999999998</v>
      </c>
      <c r="P35" s="660">
        <f t="shared" si="8"/>
        <v>0.37558999999999998</v>
      </c>
      <c r="Q35" s="660">
        <f t="shared" si="8"/>
        <v>0.37558999999999998</v>
      </c>
      <c r="R35" s="660">
        <f t="shared" si="8"/>
        <v>0.37558999999999998</v>
      </c>
      <c r="S35" s="660">
        <f t="shared" si="8"/>
        <v>0.37558999999999998</v>
      </c>
      <c r="T35" s="660">
        <f t="shared" si="8"/>
        <v>0.37558999999999998</v>
      </c>
      <c r="U35" s="660">
        <f t="shared" si="8"/>
        <v>0.37558999999999998</v>
      </c>
      <c r="V35" s="660">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3">
      <c r="B36" s="186" t="s">
        <v>75</v>
      </c>
      <c r="C36" s="186" t="s">
        <v>529</v>
      </c>
      <c r="D36" s="186"/>
      <c r="E36" s="186"/>
      <c r="F36" s="186" t="s">
        <v>406</v>
      </c>
      <c r="G36" s="659">
        <f t="shared" si="7"/>
        <v>1.0389600000000001</v>
      </c>
      <c r="H36" s="660">
        <f t="shared" ref="H36:H66" si="12">$G36</f>
        <v>1.0389600000000001</v>
      </c>
      <c r="I36" s="660">
        <f t="shared" ref="I36:V44" si="13">$H36</f>
        <v>1.0389600000000001</v>
      </c>
      <c r="J36" s="660">
        <f t="shared" si="13"/>
        <v>1.0389600000000001</v>
      </c>
      <c r="K36" s="660">
        <f t="shared" si="13"/>
        <v>1.0389600000000001</v>
      </c>
      <c r="L36" s="660">
        <f t="shared" si="13"/>
        <v>1.0389600000000001</v>
      </c>
      <c r="M36" s="660">
        <f t="shared" si="13"/>
        <v>1.0389600000000001</v>
      </c>
      <c r="N36" s="660">
        <f t="shared" si="13"/>
        <v>1.0389600000000001</v>
      </c>
      <c r="O36" s="660">
        <f t="shared" si="13"/>
        <v>1.0389600000000001</v>
      </c>
      <c r="P36" s="660">
        <f t="shared" si="13"/>
        <v>1.0389600000000001</v>
      </c>
      <c r="Q36" s="660">
        <f t="shared" si="13"/>
        <v>1.0389600000000001</v>
      </c>
      <c r="R36" s="660">
        <f t="shared" si="13"/>
        <v>1.0389600000000001</v>
      </c>
      <c r="S36" s="660">
        <f t="shared" si="13"/>
        <v>1.0389600000000001</v>
      </c>
      <c r="T36" s="660">
        <f t="shared" si="13"/>
        <v>1.0389600000000001</v>
      </c>
      <c r="U36" s="660">
        <f t="shared" si="13"/>
        <v>1.0389600000000001</v>
      </c>
      <c r="V36" s="660">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3">
      <c r="B37" s="186" t="s">
        <v>75</v>
      </c>
      <c r="C37" s="186" t="s">
        <v>529</v>
      </c>
      <c r="D37" s="186"/>
      <c r="E37" s="186"/>
      <c r="F37" s="186" t="s">
        <v>408</v>
      </c>
      <c r="G37" s="659">
        <f t="shared" si="7"/>
        <v>1.2903199999999999</v>
      </c>
      <c r="H37" s="660">
        <f t="shared" si="12"/>
        <v>1.2903199999999999</v>
      </c>
      <c r="I37" s="660">
        <f t="shared" si="13"/>
        <v>1.2903199999999999</v>
      </c>
      <c r="J37" s="660">
        <f t="shared" si="13"/>
        <v>1.2903199999999999</v>
      </c>
      <c r="K37" s="660">
        <f t="shared" si="13"/>
        <v>1.2903199999999999</v>
      </c>
      <c r="L37" s="660">
        <f t="shared" si="13"/>
        <v>1.2903199999999999</v>
      </c>
      <c r="M37" s="660">
        <f t="shared" si="13"/>
        <v>1.2903199999999999</v>
      </c>
      <c r="N37" s="660">
        <f t="shared" si="13"/>
        <v>1.2903199999999999</v>
      </c>
      <c r="O37" s="660">
        <f t="shared" si="13"/>
        <v>1.2903199999999999</v>
      </c>
      <c r="P37" s="660">
        <f t="shared" si="13"/>
        <v>1.2903199999999999</v>
      </c>
      <c r="Q37" s="660">
        <f t="shared" si="13"/>
        <v>1.2903199999999999</v>
      </c>
      <c r="R37" s="660">
        <f t="shared" si="13"/>
        <v>1.2903199999999999</v>
      </c>
      <c r="S37" s="660">
        <f t="shared" si="13"/>
        <v>1.2903199999999999</v>
      </c>
      <c r="T37" s="660">
        <f t="shared" si="13"/>
        <v>1.2903199999999999</v>
      </c>
      <c r="U37" s="660">
        <f t="shared" si="13"/>
        <v>1.2903199999999999</v>
      </c>
      <c r="V37" s="660">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3">
      <c r="B38" s="186" t="s">
        <v>75</v>
      </c>
      <c r="C38" s="186" t="s">
        <v>530</v>
      </c>
      <c r="D38" s="186"/>
      <c r="E38" s="186"/>
      <c r="F38" s="186" t="s">
        <v>406</v>
      </c>
      <c r="G38" s="659">
        <f>ROUND(10^2/(Y38*$G$31),5)</f>
        <v>0.38646999999999998</v>
      </c>
      <c r="H38" s="660">
        <f>$G38</f>
        <v>0.38646999999999998</v>
      </c>
      <c r="I38" s="660">
        <f t="shared" si="13"/>
        <v>0.38646999999999998</v>
      </c>
      <c r="J38" s="660">
        <f t="shared" si="13"/>
        <v>0.38646999999999998</v>
      </c>
      <c r="K38" s="660">
        <f t="shared" si="13"/>
        <v>0.38646999999999998</v>
      </c>
      <c r="L38" s="660">
        <f t="shared" si="13"/>
        <v>0.38646999999999998</v>
      </c>
      <c r="M38" s="660">
        <f t="shared" si="13"/>
        <v>0.38646999999999998</v>
      </c>
      <c r="N38" s="660">
        <f t="shared" si="13"/>
        <v>0.38646999999999998</v>
      </c>
      <c r="O38" s="660">
        <f t="shared" si="13"/>
        <v>0.38646999999999998</v>
      </c>
      <c r="P38" s="660">
        <f t="shared" si="13"/>
        <v>0.38646999999999998</v>
      </c>
      <c r="Q38" s="660">
        <f t="shared" si="13"/>
        <v>0.38646999999999998</v>
      </c>
      <c r="R38" s="660">
        <f t="shared" si="13"/>
        <v>0.38646999999999998</v>
      </c>
      <c r="S38" s="660">
        <f t="shared" si="13"/>
        <v>0.38646999999999998</v>
      </c>
      <c r="T38" s="660">
        <f t="shared" si="13"/>
        <v>0.38646999999999998</v>
      </c>
      <c r="U38" s="660">
        <f t="shared" si="13"/>
        <v>0.38646999999999998</v>
      </c>
      <c r="V38" s="660">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3">
      <c r="B39" s="186" t="s">
        <v>75</v>
      </c>
      <c r="C39" s="186" t="s">
        <v>530</v>
      </c>
      <c r="D39" s="186"/>
      <c r="E39" s="186"/>
      <c r="F39" s="186" t="s">
        <v>408</v>
      </c>
      <c r="G39" s="659">
        <f t="shared" si="7"/>
        <v>0.31873000000000001</v>
      </c>
      <c r="H39" s="660">
        <f t="shared" si="12"/>
        <v>0.31873000000000001</v>
      </c>
      <c r="I39" s="660">
        <f t="shared" si="13"/>
        <v>0.31873000000000001</v>
      </c>
      <c r="J39" s="660">
        <f t="shared" si="13"/>
        <v>0.31873000000000001</v>
      </c>
      <c r="K39" s="660">
        <f t="shared" si="13"/>
        <v>0.31873000000000001</v>
      </c>
      <c r="L39" s="660">
        <f t="shared" si="13"/>
        <v>0.31873000000000001</v>
      </c>
      <c r="M39" s="660">
        <f t="shared" si="13"/>
        <v>0.31873000000000001</v>
      </c>
      <c r="N39" s="660">
        <f t="shared" si="13"/>
        <v>0.31873000000000001</v>
      </c>
      <c r="O39" s="660">
        <f t="shared" si="13"/>
        <v>0.31873000000000001</v>
      </c>
      <c r="P39" s="660">
        <f t="shared" si="13"/>
        <v>0.31873000000000001</v>
      </c>
      <c r="Q39" s="660">
        <f t="shared" si="13"/>
        <v>0.31873000000000001</v>
      </c>
      <c r="R39" s="660">
        <f t="shared" si="13"/>
        <v>0.31873000000000001</v>
      </c>
      <c r="S39" s="660">
        <f t="shared" si="13"/>
        <v>0.31873000000000001</v>
      </c>
      <c r="T39" s="660">
        <f t="shared" si="13"/>
        <v>0.31873000000000001</v>
      </c>
      <c r="U39" s="660">
        <f t="shared" si="13"/>
        <v>0.31873000000000001</v>
      </c>
      <c r="V39" s="660">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3">
      <c r="B40" s="186" t="s">
        <v>75</v>
      </c>
      <c r="C40" s="186" t="s">
        <v>531</v>
      </c>
      <c r="D40" s="186"/>
      <c r="E40" s="186"/>
      <c r="F40" s="186" t="s">
        <v>406</v>
      </c>
      <c r="G40" s="659">
        <f t="shared" si="7"/>
        <v>0.38646999999999998</v>
      </c>
      <c r="H40" s="660">
        <f t="shared" si="12"/>
        <v>0.38646999999999998</v>
      </c>
      <c r="I40" s="660">
        <f t="shared" si="13"/>
        <v>0.38646999999999998</v>
      </c>
      <c r="J40" s="660">
        <f t="shared" si="13"/>
        <v>0.38646999999999998</v>
      </c>
      <c r="K40" s="660">
        <f t="shared" si="13"/>
        <v>0.38646999999999998</v>
      </c>
      <c r="L40" s="660">
        <f t="shared" si="13"/>
        <v>0.38646999999999998</v>
      </c>
      <c r="M40" s="660">
        <f t="shared" si="13"/>
        <v>0.38646999999999998</v>
      </c>
      <c r="N40" s="660">
        <f t="shared" si="13"/>
        <v>0.38646999999999998</v>
      </c>
      <c r="O40" s="660">
        <f t="shared" si="13"/>
        <v>0.38646999999999998</v>
      </c>
      <c r="P40" s="660">
        <f t="shared" si="13"/>
        <v>0.38646999999999998</v>
      </c>
      <c r="Q40" s="660">
        <f t="shared" si="13"/>
        <v>0.38646999999999998</v>
      </c>
      <c r="R40" s="660">
        <f t="shared" si="13"/>
        <v>0.38646999999999998</v>
      </c>
      <c r="S40" s="660">
        <f t="shared" si="13"/>
        <v>0.38646999999999998</v>
      </c>
      <c r="T40" s="660">
        <f t="shared" si="13"/>
        <v>0.38646999999999998</v>
      </c>
      <c r="U40" s="660">
        <f t="shared" si="13"/>
        <v>0.38646999999999998</v>
      </c>
      <c r="V40" s="660">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3">
      <c r="B41" s="186" t="s">
        <v>75</v>
      </c>
      <c r="C41" s="186" t="s">
        <v>531</v>
      </c>
      <c r="D41" s="186"/>
      <c r="E41" s="186"/>
      <c r="F41" s="186" t="s">
        <v>408</v>
      </c>
      <c r="G41" s="659">
        <f t="shared" si="7"/>
        <v>0.31873000000000001</v>
      </c>
      <c r="H41" s="660">
        <f t="shared" si="12"/>
        <v>0.31873000000000001</v>
      </c>
      <c r="I41" s="660">
        <f t="shared" si="13"/>
        <v>0.31873000000000001</v>
      </c>
      <c r="J41" s="660">
        <f t="shared" si="13"/>
        <v>0.31873000000000001</v>
      </c>
      <c r="K41" s="660">
        <f t="shared" si="13"/>
        <v>0.31873000000000001</v>
      </c>
      <c r="L41" s="660">
        <f t="shared" si="13"/>
        <v>0.31873000000000001</v>
      </c>
      <c r="M41" s="660">
        <f t="shared" si="13"/>
        <v>0.31873000000000001</v>
      </c>
      <c r="N41" s="660">
        <f t="shared" si="13"/>
        <v>0.31873000000000001</v>
      </c>
      <c r="O41" s="660">
        <f t="shared" si="13"/>
        <v>0.31873000000000001</v>
      </c>
      <c r="P41" s="660">
        <f t="shared" si="13"/>
        <v>0.31873000000000001</v>
      </c>
      <c r="Q41" s="660">
        <f t="shared" si="13"/>
        <v>0.31873000000000001</v>
      </c>
      <c r="R41" s="660">
        <f t="shared" si="13"/>
        <v>0.31873000000000001</v>
      </c>
      <c r="S41" s="660">
        <f t="shared" si="13"/>
        <v>0.31873000000000001</v>
      </c>
      <c r="T41" s="660">
        <f t="shared" si="13"/>
        <v>0.31873000000000001</v>
      </c>
      <c r="U41" s="660">
        <f t="shared" si="13"/>
        <v>0.31873000000000001</v>
      </c>
      <c r="V41" s="660">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3">
      <c r="B42" s="186" t="s">
        <v>75</v>
      </c>
      <c r="C42" s="186" t="s">
        <v>532</v>
      </c>
      <c r="D42" s="186"/>
      <c r="E42" s="186"/>
      <c r="F42" s="186" t="s">
        <v>406</v>
      </c>
      <c r="G42" s="659">
        <f t="shared" si="7"/>
        <v>0.37208999999999998</v>
      </c>
      <c r="H42" s="660">
        <f t="shared" si="12"/>
        <v>0.37208999999999998</v>
      </c>
      <c r="I42" s="660">
        <f t="shared" si="13"/>
        <v>0.37208999999999998</v>
      </c>
      <c r="J42" s="660">
        <f t="shared" si="13"/>
        <v>0.37208999999999998</v>
      </c>
      <c r="K42" s="660">
        <f t="shared" si="13"/>
        <v>0.37208999999999998</v>
      </c>
      <c r="L42" s="660">
        <f t="shared" si="13"/>
        <v>0.37208999999999998</v>
      </c>
      <c r="M42" s="660">
        <f t="shared" si="13"/>
        <v>0.37208999999999998</v>
      </c>
      <c r="N42" s="660">
        <f t="shared" si="13"/>
        <v>0.37208999999999998</v>
      </c>
      <c r="O42" s="660">
        <f t="shared" si="13"/>
        <v>0.37208999999999998</v>
      </c>
      <c r="P42" s="660">
        <f t="shared" si="13"/>
        <v>0.37208999999999998</v>
      </c>
      <c r="Q42" s="660">
        <f t="shared" si="13"/>
        <v>0.37208999999999998</v>
      </c>
      <c r="R42" s="660">
        <f t="shared" si="13"/>
        <v>0.37208999999999998</v>
      </c>
      <c r="S42" s="660">
        <f t="shared" si="13"/>
        <v>0.37208999999999998</v>
      </c>
      <c r="T42" s="660">
        <f t="shared" si="13"/>
        <v>0.37208999999999998</v>
      </c>
      <c r="U42" s="660">
        <f t="shared" si="13"/>
        <v>0.37208999999999998</v>
      </c>
      <c r="V42" s="660">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3">
      <c r="B43" s="186" t="s">
        <v>75</v>
      </c>
      <c r="C43" s="186" t="s">
        <v>532</v>
      </c>
      <c r="D43" s="186"/>
      <c r="E43" s="186"/>
      <c r="F43" s="186" t="s">
        <v>408</v>
      </c>
      <c r="G43" s="659">
        <f t="shared" si="7"/>
        <v>0.30188999999999999</v>
      </c>
      <c r="H43" s="660">
        <f t="shared" si="12"/>
        <v>0.30188999999999999</v>
      </c>
      <c r="I43" s="660">
        <f t="shared" si="13"/>
        <v>0.30188999999999999</v>
      </c>
      <c r="J43" s="660">
        <f t="shared" si="13"/>
        <v>0.30188999999999999</v>
      </c>
      <c r="K43" s="660">
        <f t="shared" si="13"/>
        <v>0.30188999999999999</v>
      </c>
      <c r="L43" s="660">
        <f t="shared" si="13"/>
        <v>0.30188999999999999</v>
      </c>
      <c r="M43" s="660">
        <f t="shared" si="13"/>
        <v>0.30188999999999999</v>
      </c>
      <c r="N43" s="660">
        <f t="shared" si="13"/>
        <v>0.30188999999999999</v>
      </c>
      <c r="O43" s="660">
        <f t="shared" si="13"/>
        <v>0.30188999999999999</v>
      </c>
      <c r="P43" s="660">
        <f t="shared" si="13"/>
        <v>0.30188999999999999</v>
      </c>
      <c r="Q43" s="660">
        <f t="shared" si="13"/>
        <v>0.30188999999999999</v>
      </c>
      <c r="R43" s="660">
        <f t="shared" si="13"/>
        <v>0.30188999999999999</v>
      </c>
      <c r="S43" s="660">
        <f t="shared" si="13"/>
        <v>0.30188999999999999</v>
      </c>
      <c r="T43" s="660">
        <f t="shared" si="13"/>
        <v>0.30188999999999999</v>
      </c>
      <c r="U43" s="660">
        <f t="shared" si="13"/>
        <v>0.30188999999999999</v>
      </c>
      <c r="V43" s="660">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3">
      <c r="B44" s="186" t="s">
        <v>75</v>
      </c>
      <c r="C44" s="186" t="s">
        <v>533</v>
      </c>
      <c r="D44" s="186"/>
      <c r="E44" s="186"/>
      <c r="F44" s="186" t="s">
        <v>406</v>
      </c>
      <c r="G44" s="659">
        <f t="shared" si="7"/>
        <v>0.53332999999999997</v>
      </c>
      <c r="H44" s="660">
        <f t="shared" si="12"/>
        <v>0.53332999999999997</v>
      </c>
      <c r="I44" s="660">
        <f t="shared" si="13"/>
        <v>0.53332999999999997</v>
      </c>
      <c r="J44" s="660">
        <f t="shared" si="13"/>
        <v>0.53332999999999997</v>
      </c>
      <c r="K44" s="660">
        <f t="shared" si="13"/>
        <v>0.53332999999999997</v>
      </c>
      <c r="L44" s="660">
        <f t="shared" si="13"/>
        <v>0.53332999999999997</v>
      </c>
      <c r="M44" s="660">
        <f t="shared" si="13"/>
        <v>0.53332999999999997</v>
      </c>
      <c r="N44" s="660">
        <f t="shared" si="13"/>
        <v>0.53332999999999997</v>
      </c>
      <c r="O44" s="660">
        <f t="shared" si="13"/>
        <v>0.53332999999999997</v>
      </c>
      <c r="P44" s="660">
        <f t="shared" si="13"/>
        <v>0.53332999999999997</v>
      </c>
      <c r="Q44" s="660">
        <f t="shared" si="13"/>
        <v>0.53332999999999997</v>
      </c>
      <c r="R44" s="660">
        <f t="shared" si="13"/>
        <v>0.53332999999999997</v>
      </c>
      <c r="S44" s="660">
        <f t="shared" si="13"/>
        <v>0.53332999999999997</v>
      </c>
      <c r="T44" s="660">
        <f t="shared" si="13"/>
        <v>0.53332999999999997</v>
      </c>
      <c r="U44" s="660">
        <f t="shared" si="13"/>
        <v>0.53332999999999997</v>
      </c>
      <c r="V44" s="660">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3">
      <c r="B45" s="186" t="s">
        <v>75</v>
      </c>
      <c r="C45" s="186" t="s">
        <v>533</v>
      </c>
      <c r="D45" s="186"/>
      <c r="E45" s="186"/>
      <c r="F45" s="186" t="s">
        <v>408</v>
      </c>
      <c r="G45" s="659">
        <f t="shared" si="7"/>
        <v>0.47059000000000001</v>
      </c>
      <c r="H45" s="660">
        <f t="shared" si="12"/>
        <v>0.47059000000000001</v>
      </c>
      <c r="I45" s="660">
        <f t="shared" ref="I45:V54" si="17">$H45</f>
        <v>0.47059000000000001</v>
      </c>
      <c r="J45" s="660">
        <f t="shared" si="17"/>
        <v>0.47059000000000001</v>
      </c>
      <c r="K45" s="660">
        <f t="shared" si="17"/>
        <v>0.47059000000000001</v>
      </c>
      <c r="L45" s="660">
        <f t="shared" si="17"/>
        <v>0.47059000000000001</v>
      </c>
      <c r="M45" s="660">
        <f t="shared" si="17"/>
        <v>0.47059000000000001</v>
      </c>
      <c r="N45" s="660">
        <f t="shared" si="17"/>
        <v>0.47059000000000001</v>
      </c>
      <c r="O45" s="660">
        <f t="shared" si="17"/>
        <v>0.47059000000000001</v>
      </c>
      <c r="P45" s="660">
        <f t="shared" si="17"/>
        <v>0.47059000000000001</v>
      </c>
      <c r="Q45" s="660">
        <f t="shared" si="17"/>
        <v>0.47059000000000001</v>
      </c>
      <c r="R45" s="660">
        <f t="shared" si="17"/>
        <v>0.47059000000000001</v>
      </c>
      <c r="S45" s="660">
        <f t="shared" si="17"/>
        <v>0.47059000000000001</v>
      </c>
      <c r="T45" s="660">
        <f t="shared" si="17"/>
        <v>0.47059000000000001</v>
      </c>
      <c r="U45" s="660">
        <f t="shared" si="17"/>
        <v>0.47059000000000001</v>
      </c>
      <c r="V45" s="660">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3">
      <c r="B46" s="186" t="s">
        <v>75</v>
      </c>
      <c r="C46" s="186" t="s">
        <v>534</v>
      </c>
      <c r="D46" s="186"/>
      <c r="E46" s="186"/>
      <c r="F46" s="186" t="s">
        <v>406</v>
      </c>
      <c r="G46" s="659">
        <f t="shared" si="7"/>
        <v>0.47904000000000002</v>
      </c>
      <c r="H46" s="660">
        <f t="shared" si="12"/>
        <v>0.47904000000000002</v>
      </c>
      <c r="I46" s="660">
        <f t="shared" si="17"/>
        <v>0.47904000000000002</v>
      </c>
      <c r="J46" s="660">
        <f t="shared" si="17"/>
        <v>0.47904000000000002</v>
      </c>
      <c r="K46" s="660">
        <f t="shared" si="17"/>
        <v>0.47904000000000002</v>
      </c>
      <c r="L46" s="660">
        <f t="shared" si="17"/>
        <v>0.47904000000000002</v>
      </c>
      <c r="M46" s="660">
        <f t="shared" si="17"/>
        <v>0.47904000000000002</v>
      </c>
      <c r="N46" s="660">
        <f t="shared" si="17"/>
        <v>0.47904000000000002</v>
      </c>
      <c r="O46" s="660">
        <f t="shared" si="17"/>
        <v>0.47904000000000002</v>
      </c>
      <c r="P46" s="660">
        <f t="shared" si="17"/>
        <v>0.47904000000000002</v>
      </c>
      <c r="Q46" s="660">
        <f t="shared" si="17"/>
        <v>0.47904000000000002</v>
      </c>
      <c r="R46" s="660">
        <f t="shared" si="17"/>
        <v>0.47904000000000002</v>
      </c>
      <c r="S46" s="660">
        <f t="shared" si="17"/>
        <v>0.47904000000000002</v>
      </c>
      <c r="T46" s="660">
        <f t="shared" si="17"/>
        <v>0.47904000000000002</v>
      </c>
      <c r="U46" s="660">
        <f t="shared" si="17"/>
        <v>0.47904000000000002</v>
      </c>
      <c r="V46" s="660">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3">
      <c r="B47" s="186" t="s">
        <v>75</v>
      </c>
      <c r="C47" s="186" t="s">
        <v>534</v>
      </c>
      <c r="D47" s="186"/>
      <c r="E47" s="186"/>
      <c r="F47" s="186" t="s">
        <v>408</v>
      </c>
      <c r="G47" s="659">
        <f t="shared" si="7"/>
        <v>0.39604</v>
      </c>
      <c r="H47" s="660">
        <f t="shared" si="12"/>
        <v>0.39604</v>
      </c>
      <c r="I47" s="660">
        <f t="shared" si="17"/>
        <v>0.39604</v>
      </c>
      <c r="J47" s="660">
        <f t="shared" si="17"/>
        <v>0.39604</v>
      </c>
      <c r="K47" s="660">
        <f t="shared" si="17"/>
        <v>0.39604</v>
      </c>
      <c r="L47" s="660">
        <f t="shared" si="17"/>
        <v>0.39604</v>
      </c>
      <c r="M47" s="660">
        <f t="shared" si="17"/>
        <v>0.39604</v>
      </c>
      <c r="N47" s="660">
        <f t="shared" si="17"/>
        <v>0.39604</v>
      </c>
      <c r="O47" s="660">
        <f t="shared" si="17"/>
        <v>0.39604</v>
      </c>
      <c r="P47" s="660">
        <f t="shared" si="17"/>
        <v>0.39604</v>
      </c>
      <c r="Q47" s="660">
        <f t="shared" si="17"/>
        <v>0.39604</v>
      </c>
      <c r="R47" s="660">
        <f t="shared" si="17"/>
        <v>0.39604</v>
      </c>
      <c r="S47" s="660">
        <f t="shared" si="17"/>
        <v>0.39604</v>
      </c>
      <c r="T47" s="660">
        <f t="shared" si="17"/>
        <v>0.39604</v>
      </c>
      <c r="U47" s="660">
        <f t="shared" si="17"/>
        <v>0.39604</v>
      </c>
      <c r="V47" s="660">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3">
      <c r="B48" s="186" t="s">
        <v>75</v>
      </c>
      <c r="C48" s="186" t="s">
        <v>535</v>
      </c>
      <c r="D48" s="186"/>
      <c r="E48" s="186"/>
      <c r="F48" s="186" t="s">
        <v>406</v>
      </c>
      <c r="G48" s="659">
        <f t="shared" si="7"/>
        <v>0.38646999999999998</v>
      </c>
      <c r="H48" s="660">
        <f t="shared" si="12"/>
        <v>0.38646999999999998</v>
      </c>
      <c r="I48" s="660">
        <f t="shared" si="17"/>
        <v>0.38646999999999998</v>
      </c>
      <c r="J48" s="660">
        <f t="shared" si="17"/>
        <v>0.38646999999999998</v>
      </c>
      <c r="K48" s="660">
        <f t="shared" si="17"/>
        <v>0.38646999999999998</v>
      </c>
      <c r="L48" s="660">
        <f t="shared" si="17"/>
        <v>0.38646999999999998</v>
      </c>
      <c r="M48" s="660">
        <f t="shared" si="17"/>
        <v>0.38646999999999998</v>
      </c>
      <c r="N48" s="660">
        <f t="shared" si="17"/>
        <v>0.38646999999999998</v>
      </c>
      <c r="O48" s="660">
        <f t="shared" si="17"/>
        <v>0.38646999999999998</v>
      </c>
      <c r="P48" s="660">
        <f t="shared" si="17"/>
        <v>0.38646999999999998</v>
      </c>
      <c r="Q48" s="660">
        <f t="shared" si="17"/>
        <v>0.38646999999999998</v>
      </c>
      <c r="R48" s="660">
        <f t="shared" si="17"/>
        <v>0.38646999999999998</v>
      </c>
      <c r="S48" s="660">
        <f t="shared" si="17"/>
        <v>0.38646999999999998</v>
      </c>
      <c r="T48" s="660">
        <f t="shared" si="17"/>
        <v>0.38646999999999998</v>
      </c>
      <c r="U48" s="660">
        <f t="shared" si="17"/>
        <v>0.38646999999999998</v>
      </c>
      <c r="V48" s="660">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3">
      <c r="B49" s="186" t="s">
        <v>75</v>
      </c>
      <c r="C49" s="186" t="s">
        <v>535</v>
      </c>
      <c r="D49" s="186"/>
      <c r="E49" s="186"/>
      <c r="F49" s="186" t="s">
        <v>408</v>
      </c>
      <c r="G49" s="659">
        <f t="shared" si="7"/>
        <v>0.31873000000000001</v>
      </c>
      <c r="H49" s="660">
        <f t="shared" si="12"/>
        <v>0.31873000000000001</v>
      </c>
      <c r="I49" s="660">
        <f t="shared" si="17"/>
        <v>0.31873000000000001</v>
      </c>
      <c r="J49" s="660">
        <f t="shared" si="17"/>
        <v>0.31873000000000001</v>
      </c>
      <c r="K49" s="660">
        <f t="shared" si="17"/>
        <v>0.31873000000000001</v>
      </c>
      <c r="L49" s="660">
        <f t="shared" si="17"/>
        <v>0.31873000000000001</v>
      </c>
      <c r="M49" s="660">
        <f t="shared" si="17"/>
        <v>0.31873000000000001</v>
      </c>
      <c r="N49" s="660">
        <f t="shared" si="17"/>
        <v>0.31873000000000001</v>
      </c>
      <c r="O49" s="660">
        <f t="shared" si="17"/>
        <v>0.31873000000000001</v>
      </c>
      <c r="P49" s="660">
        <f t="shared" si="17"/>
        <v>0.31873000000000001</v>
      </c>
      <c r="Q49" s="660">
        <f t="shared" si="17"/>
        <v>0.31873000000000001</v>
      </c>
      <c r="R49" s="660">
        <f t="shared" si="17"/>
        <v>0.31873000000000001</v>
      </c>
      <c r="S49" s="660">
        <f t="shared" si="17"/>
        <v>0.31873000000000001</v>
      </c>
      <c r="T49" s="660">
        <f t="shared" si="17"/>
        <v>0.31873000000000001</v>
      </c>
      <c r="U49" s="660">
        <f t="shared" si="17"/>
        <v>0.31873000000000001</v>
      </c>
      <c r="V49" s="660">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3">
      <c r="B50" s="186" t="s">
        <v>75</v>
      </c>
      <c r="C50" s="186" t="s">
        <v>536</v>
      </c>
      <c r="D50" s="186"/>
      <c r="E50" s="186"/>
      <c r="F50" s="186" t="s">
        <v>406</v>
      </c>
      <c r="G50" s="659">
        <f t="shared" si="7"/>
        <v>0.68376000000000003</v>
      </c>
      <c r="H50" s="660">
        <f t="shared" si="12"/>
        <v>0.68376000000000003</v>
      </c>
      <c r="I50" s="660">
        <f t="shared" si="17"/>
        <v>0.68376000000000003</v>
      </c>
      <c r="J50" s="660">
        <f t="shared" si="17"/>
        <v>0.68376000000000003</v>
      </c>
      <c r="K50" s="660">
        <f t="shared" si="17"/>
        <v>0.68376000000000003</v>
      </c>
      <c r="L50" s="660">
        <f t="shared" si="17"/>
        <v>0.68376000000000003</v>
      </c>
      <c r="M50" s="660">
        <f t="shared" si="17"/>
        <v>0.68376000000000003</v>
      </c>
      <c r="N50" s="660">
        <f t="shared" si="17"/>
        <v>0.68376000000000003</v>
      </c>
      <c r="O50" s="660">
        <f t="shared" si="17"/>
        <v>0.68376000000000003</v>
      </c>
      <c r="P50" s="660">
        <f t="shared" si="17"/>
        <v>0.68376000000000003</v>
      </c>
      <c r="Q50" s="660">
        <f t="shared" si="17"/>
        <v>0.68376000000000003</v>
      </c>
      <c r="R50" s="660">
        <f t="shared" si="17"/>
        <v>0.68376000000000003</v>
      </c>
      <c r="S50" s="660">
        <f t="shared" si="17"/>
        <v>0.68376000000000003</v>
      </c>
      <c r="T50" s="660">
        <f t="shared" si="17"/>
        <v>0.68376000000000003</v>
      </c>
      <c r="U50" s="660">
        <f t="shared" si="17"/>
        <v>0.68376000000000003</v>
      </c>
      <c r="V50" s="660">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3">
      <c r="B51" s="186" t="s">
        <v>75</v>
      </c>
      <c r="C51" s="186" t="s">
        <v>536</v>
      </c>
      <c r="D51" s="186"/>
      <c r="E51" s="186"/>
      <c r="F51" s="186" t="s">
        <v>408</v>
      </c>
      <c r="G51" s="659">
        <f t="shared" si="7"/>
        <v>0.87912000000000001</v>
      </c>
      <c r="H51" s="660">
        <f t="shared" si="12"/>
        <v>0.87912000000000001</v>
      </c>
      <c r="I51" s="660">
        <f t="shared" si="17"/>
        <v>0.87912000000000001</v>
      </c>
      <c r="J51" s="660">
        <f t="shared" si="17"/>
        <v>0.87912000000000001</v>
      </c>
      <c r="K51" s="660">
        <f t="shared" si="17"/>
        <v>0.87912000000000001</v>
      </c>
      <c r="L51" s="660">
        <f t="shared" si="17"/>
        <v>0.87912000000000001</v>
      </c>
      <c r="M51" s="660">
        <f t="shared" si="17"/>
        <v>0.87912000000000001</v>
      </c>
      <c r="N51" s="660">
        <f t="shared" si="17"/>
        <v>0.87912000000000001</v>
      </c>
      <c r="O51" s="660">
        <f t="shared" si="17"/>
        <v>0.87912000000000001</v>
      </c>
      <c r="P51" s="660">
        <f t="shared" si="17"/>
        <v>0.87912000000000001</v>
      </c>
      <c r="Q51" s="660">
        <f t="shared" si="17"/>
        <v>0.87912000000000001</v>
      </c>
      <c r="R51" s="660">
        <f t="shared" si="17"/>
        <v>0.87912000000000001</v>
      </c>
      <c r="S51" s="660">
        <f t="shared" si="17"/>
        <v>0.87912000000000001</v>
      </c>
      <c r="T51" s="660">
        <f t="shared" si="17"/>
        <v>0.87912000000000001</v>
      </c>
      <c r="U51" s="660">
        <f t="shared" si="17"/>
        <v>0.87912000000000001</v>
      </c>
      <c r="V51" s="660">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3">
      <c r="B52" s="186" t="s">
        <v>75</v>
      </c>
      <c r="C52" s="186" t="s">
        <v>537</v>
      </c>
      <c r="D52" s="186"/>
      <c r="E52" s="186"/>
      <c r="F52" s="186" t="s">
        <v>406</v>
      </c>
      <c r="G52" s="659">
        <f t="shared" si="7"/>
        <v>0.72726999999999997</v>
      </c>
      <c r="H52" s="660">
        <f t="shared" si="12"/>
        <v>0.72726999999999997</v>
      </c>
      <c r="I52" s="660">
        <f t="shared" si="17"/>
        <v>0.72726999999999997</v>
      </c>
      <c r="J52" s="660">
        <f t="shared" si="17"/>
        <v>0.72726999999999997</v>
      </c>
      <c r="K52" s="660">
        <f t="shared" si="17"/>
        <v>0.72726999999999997</v>
      </c>
      <c r="L52" s="660">
        <f t="shared" si="17"/>
        <v>0.72726999999999997</v>
      </c>
      <c r="M52" s="660">
        <f t="shared" si="17"/>
        <v>0.72726999999999997</v>
      </c>
      <c r="N52" s="660">
        <f t="shared" si="17"/>
        <v>0.72726999999999997</v>
      </c>
      <c r="O52" s="660">
        <f t="shared" si="17"/>
        <v>0.72726999999999997</v>
      </c>
      <c r="P52" s="660">
        <f t="shared" si="17"/>
        <v>0.72726999999999997</v>
      </c>
      <c r="Q52" s="660">
        <f t="shared" si="17"/>
        <v>0.72726999999999997</v>
      </c>
      <c r="R52" s="660">
        <f t="shared" si="17"/>
        <v>0.72726999999999997</v>
      </c>
      <c r="S52" s="660">
        <f t="shared" si="17"/>
        <v>0.72726999999999997</v>
      </c>
      <c r="T52" s="660">
        <f t="shared" si="17"/>
        <v>0.72726999999999997</v>
      </c>
      <c r="U52" s="660">
        <f t="shared" si="17"/>
        <v>0.72726999999999997</v>
      </c>
      <c r="V52" s="660">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3">
      <c r="B53" s="545" t="s">
        <v>75</v>
      </c>
      <c r="C53" s="545" t="s">
        <v>537</v>
      </c>
      <c r="D53" s="545"/>
      <c r="E53" s="545"/>
      <c r="F53" s="545" t="s">
        <v>408</v>
      </c>
      <c r="G53" s="668">
        <f t="shared" si="7"/>
        <v>0.82474000000000003</v>
      </c>
      <c r="H53" s="661">
        <f t="shared" si="12"/>
        <v>0.82474000000000003</v>
      </c>
      <c r="I53" s="661">
        <f t="shared" si="17"/>
        <v>0.82474000000000003</v>
      </c>
      <c r="J53" s="661">
        <f t="shared" si="17"/>
        <v>0.82474000000000003</v>
      </c>
      <c r="K53" s="661">
        <f t="shared" si="17"/>
        <v>0.82474000000000003</v>
      </c>
      <c r="L53" s="661">
        <f t="shared" si="17"/>
        <v>0.82474000000000003</v>
      </c>
      <c r="M53" s="661">
        <f t="shared" si="17"/>
        <v>0.82474000000000003</v>
      </c>
      <c r="N53" s="661">
        <f t="shared" si="17"/>
        <v>0.82474000000000003</v>
      </c>
      <c r="O53" s="661">
        <f t="shared" si="17"/>
        <v>0.82474000000000003</v>
      </c>
      <c r="P53" s="661">
        <f t="shared" si="17"/>
        <v>0.82474000000000003</v>
      </c>
      <c r="Q53" s="661">
        <f t="shared" si="17"/>
        <v>0.82474000000000003</v>
      </c>
      <c r="R53" s="661">
        <f t="shared" si="17"/>
        <v>0.82474000000000003</v>
      </c>
      <c r="S53" s="661">
        <f t="shared" si="17"/>
        <v>0.82474000000000003</v>
      </c>
      <c r="T53" s="661">
        <f t="shared" si="17"/>
        <v>0.82474000000000003</v>
      </c>
      <c r="U53" s="661">
        <f t="shared" si="17"/>
        <v>0.82474000000000003</v>
      </c>
      <c r="V53" s="661">
        <f t="shared" si="17"/>
        <v>0.82474000000000003</v>
      </c>
      <c r="X53" s="546" t="s">
        <v>698</v>
      </c>
      <c r="Y53" s="547">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3">
      <c r="A54" s="20"/>
      <c r="B54" s="186" t="s">
        <v>74</v>
      </c>
      <c r="C54" s="186" t="s">
        <v>302</v>
      </c>
      <c r="D54" s="186"/>
      <c r="E54" s="186"/>
      <c r="F54" s="186" t="s">
        <v>402</v>
      </c>
      <c r="G54" s="659">
        <f t="shared" si="7"/>
        <v>0.4</v>
      </c>
      <c r="H54" s="666">
        <f t="shared" si="12"/>
        <v>0.4</v>
      </c>
      <c r="I54" s="660">
        <f t="shared" si="17"/>
        <v>0.4</v>
      </c>
      <c r="J54" s="660">
        <f t="shared" si="17"/>
        <v>0.4</v>
      </c>
      <c r="K54" s="660">
        <f t="shared" si="17"/>
        <v>0.4</v>
      </c>
      <c r="L54" s="660">
        <f t="shared" si="17"/>
        <v>0.4</v>
      </c>
      <c r="M54" s="660">
        <f t="shared" si="17"/>
        <v>0.4</v>
      </c>
      <c r="N54" s="660">
        <f t="shared" si="17"/>
        <v>0.4</v>
      </c>
      <c r="O54" s="660">
        <f t="shared" si="17"/>
        <v>0.4</v>
      </c>
      <c r="P54" s="660">
        <f t="shared" si="17"/>
        <v>0.4</v>
      </c>
      <c r="Q54" s="660">
        <f t="shared" si="17"/>
        <v>0.4</v>
      </c>
      <c r="R54" s="660">
        <f t="shared" si="17"/>
        <v>0.4</v>
      </c>
      <c r="S54" s="660">
        <f t="shared" si="17"/>
        <v>0.4</v>
      </c>
      <c r="T54" s="660">
        <f t="shared" si="17"/>
        <v>0.4</v>
      </c>
      <c r="U54" s="660">
        <f t="shared" si="17"/>
        <v>0.4</v>
      </c>
      <c r="V54" s="660">
        <f t="shared" si="17"/>
        <v>0.4</v>
      </c>
      <c r="X54" s="307" t="s">
        <v>698</v>
      </c>
      <c r="Y54" s="302">
        <v>200</v>
      </c>
      <c r="AA54" s="107" t="s">
        <v>699</v>
      </c>
      <c r="AB54" s="108">
        <v>174</v>
      </c>
    </row>
    <row r="55" spans="1:36" x14ac:dyDescent="0.3">
      <c r="B55" s="186" t="s">
        <v>74</v>
      </c>
      <c r="C55" s="186" t="s">
        <v>302</v>
      </c>
      <c r="D55" s="186"/>
      <c r="E55" s="186"/>
      <c r="F55" s="186" t="s">
        <v>404</v>
      </c>
      <c r="G55" s="659">
        <f t="shared" si="7"/>
        <v>0.35555999999999999</v>
      </c>
      <c r="H55" s="666">
        <f t="shared" si="12"/>
        <v>0.35555999999999999</v>
      </c>
      <c r="I55" s="660">
        <f t="shared" ref="I55:V64" si="18">$H55</f>
        <v>0.35555999999999999</v>
      </c>
      <c r="J55" s="660">
        <f t="shared" si="18"/>
        <v>0.35555999999999999</v>
      </c>
      <c r="K55" s="660">
        <f t="shared" si="18"/>
        <v>0.35555999999999999</v>
      </c>
      <c r="L55" s="660">
        <f t="shared" si="18"/>
        <v>0.35555999999999999</v>
      </c>
      <c r="M55" s="660">
        <f t="shared" si="18"/>
        <v>0.35555999999999999</v>
      </c>
      <c r="N55" s="660">
        <f t="shared" si="18"/>
        <v>0.35555999999999999</v>
      </c>
      <c r="O55" s="660">
        <f t="shared" si="18"/>
        <v>0.35555999999999999</v>
      </c>
      <c r="P55" s="660">
        <f t="shared" si="18"/>
        <v>0.35555999999999999</v>
      </c>
      <c r="Q55" s="660">
        <f t="shared" si="18"/>
        <v>0.35555999999999999</v>
      </c>
      <c r="R55" s="660">
        <f t="shared" si="18"/>
        <v>0.35555999999999999</v>
      </c>
      <c r="S55" s="660">
        <f t="shared" si="18"/>
        <v>0.35555999999999999</v>
      </c>
      <c r="T55" s="660">
        <f t="shared" si="18"/>
        <v>0.35555999999999999</v>
      </c>
      <c r="U55" s="660">
        <f t="shared" si="18"/>
        <v>0.35555999999999999</v>
      </c>
      <c r="V55" s="660">
        <f t="shared" si="18"/>
        <v>0.35555999999999999</v>
      </c>
      <c r="X55" s="307" t="s">
        <v>698</v>
      </c>
      <c r="Y55" s="302">
        <v>225</v>
      </c>
      <c r="AA55" s="107" t="s">
        <v>699</v>
      </c>
      <c r="AB55" s="108">
        <v>199</v>
      </c>
      <c r="AI55" s="105"/>
    </row>
    <row r="56" spans="1:36" x14ac:dyDescent="0.3">
      <c r="B56" s="186" t="s">
        <v>74</v>
      </c>
      <c r="C56" s="186" t="s">
        <v>303</v>
      </c>
      <c r="D56" s="186"/>
      <c r="E56" s="186"/>
      <c r="F56" s="186" t="s">
        <v>402</v>
      </c>
      <c r="G56" s="659">
        <f t="shared" si="7"/>
        <v>1.0389600000000001</v>
      </c>
      <c r="H56" s="666">
        <f t="shared" si="12"/>
        <v>1.0389600000000001</v>
      </c>
      <c r="I56" s="660">
        <f t="shared" si="18"/>
        <v>1.0389600000000001</v>
      </c>
      <c r="J56" s="660">
        <f t="shared" si="18"/>
        <v>1.0389600000000001</v>
      </c>
      <c r="K56" s="660">
        <f t="shared" si="18"/>
        <v>1.0389600000000001</v>
      </c>
      <c r="L56" s="660">
        <f t="shared" si="18"/>
        <v>1.0389600000000001</v>
      </c>
      <c r="M56" s="660">
        <f t="shared" si="18"/>
        <v>1.0389600000000001</v>
      </c>
      <c r="N56" s="660">
        <f t="shared" si="18"/>
        <v>1.0389600000000001</v>
      </c>
      <c r="O56" s="660">
        <f t="shared" si="18"/>
        <v>1.0389600000000001</v>
      </c>
      <c r="P56" s="660">
        <f t="shared" si="18"/>
        <v>1.0389600000000001</v>
      </c>
      <c r="Q56" s="660">
        <f t="shared" si="18"/>
        <v>1.0389600000000001</v>
      </c>
      <c r="R56" s="660">
        <f t="shared" si="18"/>
        <v>1.0389600000000001</v>
      </c>
      <c r="S56" s="660">
        <f t="shared" si="18"/>
        <v>1.0389600000000001</v>
      </c>
      <c r="T56" s="660">
        <f t="shared" si="18"/>
        <v>1.0389600000000001</v>
      </c>
      <c r="U56" s="660">
        <f t="shared" si="18"/>
        <v>1.0389600000000001</v>
      </c>
      <c r="V56" s="660">
        <f t="shared" si="18"/>
        <v>1.0389600000000001</v>
      </c>
      <c r="X56" s="307" t="s">
        <v>698</v>
      </c>
      <c r="Y56" s="302">
        <v>77</v>
      </c>
      <c r="AA56" s="107" t="s">
        <v>699</v>
      </c>
      <c r="AB56" s="108">
        <v>77</v>
      </c>
    </row>
    <row r="57" spans="1:36" x14ac:dyDescent="0.3">
      <c r="B57" s="186" t="s">
        <v>74</v>
      </c>
      <c r="C57" s="186" t="s">
        <v>303</v>
      </c>
      <c r="D57" s="186"/>
      <c r="E57" s="186"/>
      <c r="F57" s="186" t="s">
        <v>404</v>
      </c>
      <c r="G57" s="659">
        <f t="shared" si="7"/>
        <v>1.2903199999999999</v>
      </c>
      <c r="H57" s="666">
        <f t="shared" si="12"/>
        <v>1.2903199999999999</v>
      </c>
      <c r="I57" s="660">
        <f t="shared" si="18"/>
        <v>1.2903199999999999</v>
      </c>
      <c r="J57" s="660">
        <f t="shared" si="18"/>
        <v>1.2903199999999999</v>
      </c>
      <c r="K57" s="660">
        <f t="shared" si="18"/>
        <v>1.2903199999999999</v>
      </c>
      <c r="L57" s="660">
        <f t="shared" si="18"/>
        <v>1.2903199999999999</v>
      </c>
      <c r="M57" s="660">
        <f t="shared" si="18"/>
        <v>1.2903199999999999</v>
      </c>
      <c r="N57" s="660">
        <f t="shared" si="18"/>
        <v>1.2903199999999999</v>
      </c>
      <c r="O57" s="660">
        <f t="shared" si="18"/>
        <v>1.2903199999999999</v>
      </c>
      <c r="P57" s="660">
        <f t="shared" si="18"/>
        <v>1.2903199999999999</v>
      </c>
      <c r="Q57" s="660">
        <f t="shared" si="18"/>
        <v>1.2903199999999999</v>
      </c>
      <c r="R57" s="660">
        <f t="shared" si="18"/>
        <v>1.2903199999999999</v>
      </c>
      <c r="S57" s="660">
        <f t="shared" si="18"/>
        <v>1.2903199999999999</v>
      </c>
      <c r="T57" s="660">
        <f t="shared" si="18"/>
        <v>1.2903199999999999</v>
      </c>
      <c r="U57" s="660">
        <f t="shared" si="18"/>
        <v>1.2903199999999999</v>
      </c>
      <c r="V57" s="660">
        <f t="shared" si="18"/>
        <v>1.2903199999999999</v>
      </c>
      <c r="X57" s="307" t="s">
        <v>698</v>
      </c>
      <c r="Y57" s="302">
        <v>62</v>
      </c>
      <c r="AA57" s="107" t="s">
        <v>699</v>
      </c>
      <c r="AB57" s="108">
        <v>62</v>
      </c>
    </row>
    <row r="58" spans="1:36" x14ac:dyDescent="0.3">
      <c r="B58" s="186" t="s">
        <v>74</v>
      </c>
      <c r="C58" s="186" t="s">
        <v>304</v>
      </c>
      <c r="D58" s="186"/>
      <c r="E58" s="186"/>
      <c r="F58" s="186" t="s">
        <v>402</v>
      </c>
      <c r="G58" s="659">
        <f t="shared" si="7"/>
        <v>0.38646999999999998</v>
      </c>
      <c r="H58" s="666">
        <f t="shared" si="12"/>
        <v>0.38646999999999998</v>
      </c>
      <c r="I58" s="660">
        <f t="shared" si="18"/>
        <v>0.38646999999999998</v>
      </c>
      <c r="J58" s="660">
        <f t="shared" si="18"/>
        <v>0.38646999999999998</v>
      </c>
      <c r="K58" s="660">
        <f t="shared" si="18"/>
        <v>0.38646999999999998</v>
      </c>
      <c r="L58" s="660">
        <f t="shared" si="18"/>
        <v>0.38646999999999998</v>
      </c>
      <c r="M58" s="660">
        <f t="shared" si="18"/>
        <v>0.38646999999999998</v>
      </c>
      <c r="N58" s="660">
        <f t="shared" si="18"/>
        <v>0.38646999999999998</v>
      </c>
      <c r="O58" s="660">
        <f t="shared" si="18"/>
        <v>0.38646999999999998</v>
      </c>
      <c r="P58" s="660">
        <f t="shared" si="18"/>
        <v>0.38646999999999998</v>
      </c>
      <c r="Q58" s="660">
        <f t="shared" si="18"/>
        <v>0.38646999999999998</v>
      </c>
      <c r="R58" s="660">
        <f t="shared" si="18"/>
        <v>0.38646999999999998</v>
      </c>
      <c r="S58" s="660">
        <f t="shared" si="18"/>
        <v>0.38646999999999998</v>
      </c>
      <c r="T58" s="660">
        <f t="shared" si="18"/>
        <v>0.38646999999999998</v>
      </c>
      <c r="U58" s="660">
        <f t="shared" si="18"/>
        <v>0.38646999999999998</v>
      </c>
      <c r="V58" s="660">
        <f t="shared" si="18"/>
        <v>0.38646999999999998</v>
      </c>
      <c r="X58" s="307" t="s">
        <v>700</v>
      </c>
      <c r="Y58" s="302">
        <v>207</v>
      </c>
      <c r="AA58" s="107" t="s">
        <v>699</v>
      </c>
      <c r="AB58" s="108">
        <v>193</v>
      </c>
    </row>
    <row r="59" spans="1:36" x14ac:dyDescent="0.3">
      <c r="B59" s="186" t="s">
        <v>74</v>
      </c>
      <c r="C59" s="186" t="s">
        <v>304</v>
      </c>
      <c r="D59" s="186"/>
      <c r="E59" s="186"/>
      <c r="F59" s="186" t="s">
        <v>404</v>
      </c>
      <c r="G59" s="659">
        <f t="shared" si="7"/>
        <v>0.31873000000000001</v>
      </c>
      <c r="H59" s="666">
        <f t="shared" si="12"/>
        <v>0.31873000000000001</v>
      </c>
      <c r="I59" s="660">
        <f t="shared" si="18"/>
        <v>0.31873000000000001</v>
      </c>
      <c r="J59" s="660">
        <f t="shared" si="18"/>
        <v>0.31873000000000001</v>
      </c>
      <c r="K59" s="660">
        <f t="shared" si="18"/>
        <v>0.31873000000000001</v>
      </c>
      <c r="L59" s="660">
        <f t="shared" si="18"/>
        <v>0.31873000000000001</v>
      </c>
      <c r="M59" s="660">
        <f t="shared" si="18"/>
        <v>0.31873000000000001</v>
      </c>
      <c r="N59" s="660">
        <f t="shared" si="18"/>
        <v>0.31873000000000001</v>
      </c>
      <c r="O59" s="660">
        <f t="shared" si="18"/>
        <v>0.31873000000000001</v>
      </c>
      <c r="P59" s="660">
        <f t="shared" si="18"/>
        <v>0.31873000000000001</v>
      </c>
      <c r="Q59" s="660">
        <f t="shared" si="18"/>
        <v>0.31873000000000001</v>
      </c>
      <c r="R59" s="660">
        <f t="shared" si="18"/>
        <v>0.31873000000000001</v>
      </c>
      <c r="S59" s="660">
        <f t="shared" si="18"/>
        <v>0.31873000000000001</v>
      </c>
      <c r="T59" s="660">
        <f t="shared" si="18"/>
        <v>0.31873000000000001</v>
      </c>
      <c r="U59" s="660">
        <f t="shared" si="18"/>
        <v>0.31873000000000001</v>
      </c>
      <c r="V59" s="660">
        <f t="shared" si="18"/>
        <v>0.31873000000000001</v>
      </c>
      <c r="X59" s="307" t="s">
        <v>700</v>
      </c>
      <c r="Y59" s="302">
        <v>251</v>
      </c>
      <c r="AA59" s="107" t="s">
        <v>699</v>
      </c>
      <c r="AB59" s="108">
        <v>235</v>
      </c>
    </row>
    <row r="60" spans="1:36" x14ac:dyDescent="0.3">
      <c r="B60" s="186" t="s">
        <v>74</v>
      </c>
      <c r="C60" s="186" t="s">
        <v>305</v>
      </c>
      <c r="D60" s="186"/>
      <c r="E60" s="186"/>
      <c r="F60" s="186" t="s">
        <v>402</v>
      </c>
      <c r="G60" s="659">
        <f t="shared" si="7"/>
        <v>0.38646999999999998</v>
      </c>
      <c r="H60" s="666">
        <f t="shared" si="12"/>
        <v>0.38646999999999998</v>
      </c>
      <c r="I60" s="660">
        <f t="shared" si="18"/>
        <v>0.38646999999999998</v>
      </c>
      <c r="J60" s="660">
        <f t="shared" si="18"/>
        <v>0.38646999999999998</v>
      </c>
      <c r="K60" s="660">
        <f t="shared" si="18"/>
        <v>0.38646999999999998</v>
      </c>
      <c r="L60" s="660">
        <f t="shared" si="18"/>
        <v>0.38646999999999998</v>
      </c>
      <c r="M60" s="660">
        <f t="shared" si="18"/>
        <v>0.38646999999999998</v>
      </c>
      <c r="N60" s="660">
        <f t="shared" si="18"/>
        <v>0.38646999999999998</v>
      </c>
      <c r="O60" s="660">
        <f t="shared" si="18"/>
        <v>0.38646999999999998</v>
      </c>
      <c r="P60" s="660">
        <f t="shared" si="18"/>
        <v>0.38646999999999998</v>
      </c>
      <c r="Q60" s="660">
        <f t="shared" si="18"/>
        <v>0.38646999999999998</v>
      </c>
      <c r="R60" s="660">
        <f t="shared" si="18"/>
        <v>0.38646999999999998</v>
      </c>
      <c r="S60" s="660">
        <f t="shared" si="18"/>
        <v>0.38646999999999998</v>
      </c>
      <c r="T60" s="660">
        <f t="shared" si="18"/>
        <v>0.38646999999999998</v>
      </c>
      <c r="U60" s="660">
        <f t="shared" si="18"/>
        <v>0.38646999999999998</v>
      </c>
      <c r="V60" s="660">
        <f t="shared" si="18"/>
        <v>0.38646999999999998</v>
      </c>
      <c r="X60" s="307" t="s">
        <v>700</v>
      </c>
      <c r="Y60" s="302">
        <v>207</v>
      </c>
      <c r="AA60" s="107" t="s">
        <v>699</v>
      </c>
      <c r="AB60" s="108">
        <v>193</v>
      </c>
    </row>
    <row r="61" spans="1:36" x14ac:dyDescent="0.3">
      <c r="B61" s="186" t="s">
        <v>74</v>
      </c>
      <c r="C61" s="186" t="s">
        <v>305</v>
      </c>
      <c r="D61" s="186"/>
      <c r="E61" s="186"/>
      <c r="F61" s="186" t="s">
        <v>404</v>
      </c>
      <c r="G61" s="659">
        <f t="shared" si="7"/>
        <v>0.31873000000000001</v>
      </c>
      <c r="H61" s="666">
        <f t="shared" si="12"/>
        <v>0.31873000000000001</v>
      </c>
      <c r="I61" s="660">
        <f t="shared" si="18"/>
        <v>0.31873000000000001</v>
      </c>
      <c r="J61" s="660">
        <f t="shared" si="18"/>
        <v>0.31873000000000001</v>
      </c>
      <c r="K61" s="660">
        <f t="shared" si="18"/>
        <v>0.31873000000000001</v>
      </c>
      <c r="L61" s="660">
        <f t="shared" si="18"/>
        <v>0.31873000000000001</v>
      </c>
      <c r="M61" s="660">
        <f t="shared" si="18"/>
        <v>0.31873000000000001</v>
      </c>
      <c r="N61" s="660">
        <f t="shared" si="18"/>
        <v>0.31873000000000001</v>
      </c>
      <c r="O61" s="660">
        <f t="shared" si="18"/>
        <v>0.31873000000000001</v>
      </c>
      <c r="P61" s="660">
        <f t="shared" si="18"/>
        <v>0.31873000000000001</v>
      </c>
      <c r="Q61" s="660">
        <f t="shared" si="18"/>
        <v>0.31873000000000001</v>
      </c>
      <c r="R61" s="660">
        <f t="shared" si="18"/>
        <v>0.31873000000000001</v>
      </c>
      <c r="S61" s="660">
        <f t="shared" si="18"/>
        <v>0.31873000000000001</v>
      </c>
      <c r="T61" s="660">
        <f t="shared" si="18"/>
        <v>0.31873000000000001</v>
      </c>
      <c r="U61" s="660">
        <f t="shared" si="18"/>
        <v>0.31873000000000001</v>
      </c>
      <c r="V61" s="660">
        <f t="shared" si="18"/>
        <v>0.31873000000000001</v>
      </c>
      <c r="X61" s="307" t="s">
        <v>700</v>
      </c>
      <c r="Y61" s="302">
        <v>251</v>
      </c>
      <c r="AA61" s="107" t="s">
        <v>699</v>
      </c>
      <c r="AB61" s="108">
        <v>235</v>
      </c>
    </row>
    <row r="62" spans="1:36" x14ac:dyDescent="0.3">
      <c r="B62" s="186" t="s">
        <v>74</v>
      </c>
      <c r="C62" s="186" t="s">
        <v>306</v>
      </c>
      <c r="D62" s="186"/>
      <c r="E62" s="186"/>
      <c r="F62" s="186" t="s">
        <v>402</v>
      </c>
      <c r="G62" s="659">
        <f>ROUND(10^2/(Y62*$G$31),5)</f>
        <v>0.37208999999999998</v>
      </c>
      <c r="H62" s="666">
        <f t="shared" si="12"/>
        <v>0.37208999999999998</v>
      </c>
      <c r="I62" s="660">
        <f t="shared" si="18"/>
        <v>0.37208999999999998</v>
      </c>
      <c r="J62" s="660">
        <f t="shared" si="18"/>
        <v>0.37208999999999998</v>
      </c>
      <c r="K62" s="660">
        <f t="shared" si="18"/>
        <v>0.37208999999999998</v>
      </c>
      <c r="L62" s="660">
        <f t="shared" si="18"/>
        <v>0.37208999999999998</v>
      </c>
      <c r="M62" s="660">
        <f t="shared" si="18"/>
        <v>0.37208999999999998</v>
      </c>
      <c r="N62" s="660">
        <f t="shared" si="18"/>
        <v>0.37208999999999998</v>
      </c>
      <c r="O62" s="660">
        <f t="shared" si="18"/>
        <v>0.37208999999999998</v>
      </c>
      <c r="P62" s="660">
        <f t="shared" si="18"/>
        <v>0.37208999999999998</v>
      </c>
      <c r="Q62" s="660">
        <f t="shared" si="18"/>
        <v>0.37208999999999998</v>
      </c>
      <c r="R62" s="660">
        <f t="shared" si="18"/>
        <v>0.37208999999999998</v>
      </c>
      <c r="S62" s="660">
        <f t="shared" si="18"/>
        <v>0.37208999999999998</v>
      </c>
      <c r="T62" s="660">
        <f t="shared" si="18"/>
        <v>0.37208999999999998</v>
      </c>
      <c r="U62" s="660">
        <f t="shared" si="18"/>
        <v>0.37208999999999998</v>
      </c>
      <c r="V62" s="660">
        <f t="shared" si="18"/>
        <v>0.37208999999999998</v>
      </c>
      <c r="X62" s="307" t="s">
        <v>698</v>
      </c>
      <c r="Y62" s="302">
        <v>215</v>
      </c>
      <c r="AA62" s="107" t="s">
        <v>699</v>
      </c>
      <c r="AB62" s="108">
        <v>193</v>
      </c>
    </row>
    <row r="63" spans="1:36" x14ac:dyDescent="0.3">
      <c r="B63" s="186" t="s">
        <v>74</v>
      </c>
      <c r="C63" s="186" t="s">
        <v>306</v>
      </c>
      <c r="D63" s="186"/>
      <c r="E63" s="186"/>
      <c r="F63" s="186" t="s">
        <v>404</v>
      </c>
      <c r="G63" s="659">
        <f t="shared" si="7"/>
        <v>0.30188999999999999</v>
      </c>
      <c r="H63" s="666">
        <f t="shared" si="12"/>
        <v>0.30188999999999999</v>
      </c>
      <c r="I63" s="660">
        <f t="shared" si="18"/>
        <v>0.30188999999999999</v>
      </c>
      <c r="J63" s="660">
        <f t="shared" si="18"/>
        <v>0.30188999999999999</v>
      </c>
      <c r="K63" s="660">
        <f t="shared" si="18"/>
        <v>0.30188999999999999</v>
      </c>
      <c r="L63" s="660">
        <f t="shared" si="18"/>
        <v>0.30188999999999999</v>
      </c>
      <c r="M63" s="660">
        <f t="shared" si="18"/>
        <v>0.30188999999999999</v>
      </c>
      <c r="N63" s="660">
        <f t="shared" si="18"/>
        <v>0.30188999999999999</v>
      </c>
      <c r="O63" s="660">
        <f t="shared" si="18"/>
        <v>0.30188999999999999</v>
      </c>
      <c r="P63" s="660">
        <f t="shared" si="18"/>
        <v>0.30188999999999999</v>
      </c>
      <c r="Q63" s="660">
        <f t="shared" si="18"/>
        <v>0.30188999999999999</v>
      </c>
      <c r="R63" s="660">
        <f t="shared" si="18"/>
        <v>0.30188999999999999</v>
      </c>
      <c r="S63" s="660">
        <f t="shared" si="18"/>
        <v>0.30188999999999999</v>
      </c>
      <c r="T63" s="660">
        <f t="shared" si="18"/>
        <v>0.30188999999999999</v>
      </c>
      <c r="U63" s="660">
        <f t="shared" si="18"/>
        <v>0.30188999999999999</v>
      </c>
      <c r="V63" s="660">
        <f t="shared" si="18"/>
        <v>0.30188999999999999</v>
      </c>
      <c r="X63" s="307" t="s">
        <v>698</v>
      </c>
      <c r="Y63" s="302">
        <v>265</v>
      </c>
      <c r="AA63" s="107" t="s">
        <v>699</v>
      </c>
      <c r="AB63" s="108">
        <v>235</v>
      </c>
    </row>
    <row r="64" spans="1:36" x14ac:dyDescent="0.3">
      <c r="B64" s="186" t="s">
        <v>74</v>
      </c>
      <c r="C64" s="186" t="s">
        <v>307</v>
      </c>
      <c r="D64" s="186"/>
      <c r="E64" s="186"/>
      <c r="F64" s="186" t="s">
        <v>402</v>
      </c>
      <c r="G64" s="659">
        <f t="shared" si="7"/>
        <v>0.53332999999999997</v>
      </c>
      <c r="H64" s="666">
        <f t="shared" si="12"/>
        <v>0.53332999999999997</v>
      </c>
      <c r="I64" s="660">
        <f t="shared" si="18"/>
        <v>0.53332999999999997</v>
      </c>
      <c r="J64" s="660">
        <f t="shared" si="18"/>
        <v>0.53332999999999997</v>
      </c>
      <c r="K64" s="660">
        <f t="shared" si="18"/>
        <v>0.53332999999999997</v>
      </c>
      <c r="L64" s="660">
        <f t="shared" si="18"/>
        <v>0.53332999999999997</v>
      </c>
      <c r="M64" s="660">
        <f t="shared" si="18"/>
        <v>0.53332999999999997</v>
      </c>
      <c r="N64" s="660">
        <f t="shared" si="18"/>
        <v>0.53332999999999997</v>
      </c>
      <c r="O64" s="660">
        <f t="shared" si="18"/>
        <v>0.53332999999999997</v>
      </c>
      <c r="P64" s="660">
        <f t="shared" si="18"/>
        <v>0.53332999999999997</v>
      </c>
      <c r="Q64" s="660">
        <f t="shared" si="18"/>
        <v>0.53332999999999997</v>
      </c>
      <c r="R64" s="660">
        <f t="shared" si="18"/>
        <v>0.53332999999999997</v>
      </c>
      <c r="S64" s="660">
        <f t="shared" si="18"/>
        <v>0.53332999999999997</v>
      </c>
      <c r="T64" s="660">
        <f t="shared" si="18"/>
        <v>0.53332999999999997</v>
      </c>
      <c r="U64" s="660">
        <f t="shared" si="18"/>
        <v>0.53332999999999997</v>
      </c>
      <c r="V64" s="660">
        <f t="shared" si="18"/>
        <v>0.53332999999999997</v>
      </c>
      <c r="X64" s="307" t="s">
        <v>698</v>
      </c>
      <c r="Y64" s="302">
        <v>150</v>
      </c>
      <c r="AA64" s="107" t="s">
        <v>699</v>
      </c>
      <c r="AB64" s="108">
        <v>141</v>
      </c>
    </row>
    <row r="65" spans="1:28" x14ac:dyDescent="0.3">
      <c r="B65" s="186" t="s">
        <v>74</v>
      </c>
      <c r="C65" s="186" t="s">
        <v>307</v>
      </c>
      <c r="D65" s="186"/>
      <c r="E65" s="186"/>
      <c r="F65" s="186" t="s">
        <v>404</v>
      </c>
      <c r="G65" s="659">
        <f t="shared" si="7"/>
        <v>0.47059000000000001</v>
      </c>
      <c r="H65" s="666">
        <f t="shared" si="12"/>
        <v>0.47059000000000001</v>
      </c>
      <c r="I65" s="660">
        <f t="shared" ref="I65:V74" si="19">$H65</f>
        <v>0.47059000000000001</v>
      </c>
      <c r="J65" s="660">
        <f t="shared" si="19"/>
        <v>0.47059000000000001</v>
      </c>
      <c r="K65" s="660">
        <f t="shared" si="19"/>
        <v>0.47059000000000001</v>
      </c>
      <c r="L65" s="660">
        <f t="shared" si="19"/>
        <v>0.47059000000000001</v>
      </c>
      <c r="M65" s="660">
        <f t="shared" si="19"/>
        <v>0.47059000000000001</v>
      </c>
      <c r="N65" s="660">
        <f t="shared" si="19"/>
        <v>0.47059000000000001</v>
      </c>
      <c r="O65" s="660">
        <f t="shared" si="19"/>
        <v>0.47059000000000001</v>
      </c>
      <c r="P65" s="660">
        <f t="shared" si="19"/>
        <v>0.47059000000000001</v>
      </c>
      <c r="Q65" s="660">
        <f t="shared" si="19"/>
        <v>0.47059000000000001</v>
      </c>
      <c r="R65" s="660">
        <f t="shared" si="19"/>
        <v>0.47059000000000001</v>
      </c>
      <c r="S65" s="660">
        <f t="shared" si="19"/>
        <v>0.47059000000000001</v>
      </c>
      <c r="T65" s="660">
        <f t="shared" si="19"/>
        <v>0.47059000000000001</v>
      </c>
      <c r="U65" s="660">
        <f t="shared" si="19"/>
        <v>0.47059000000000001</v>
      </c>
      <c r="V65" s="660">
        <f t="shared" si="19"/>
        <v>0.47059000000000001</v>
      </c>
      <c r="X65" s="307" t="s">
        <v>698</v>
      </c>
      <c r="Y65" s="302">
        <v>170</v>
      </c>
      <c r="AA65" s="107" t="s">
        <v>699</v>
      </c>
      <c r="AB65" s="108">
        <v>161</v>
      </c>
    </row>
    <row r="66" spans="1:28" x14ac:dyDescent="0.3">
      <c r="B66" s="186" t="s">
        <v>74</v>
      </c>
      <c r="C66" s="186" t="s">
        <v>308</v>
      </c>
      <c r="D66" s="186"/>
      <c r="E66" s="186"/>
      <c r="F66" s="186" t="s">
        <v>402</v>
      </c>
      <c r="G66" s="659">
        <f t="shared" si="7"/>
        <v>0.47904000000000002</v>
      </c>
      <c r="H66" s="666">
        <f t="shared" si="12"/>
        <v>0.47904000000000002</v>
      </c>
      <c r="I66" s="660">
        <f t="shared" si="19"/>
        <v>0.47904000000000002</v>
      </c>
      <c r="J66" s="660">
        <f t="shared" si="19"/>
        <v>0.47904000000000002</v>
      </c>
      <c r="K66" s="660">
        <f t="shared" si="19"/>
        <v>0.47904000000000002</v>
      </c>
      <c r="L66" s="660">
        <f t="shared" si="19"/>
        <v>0.47904000000000002</v>
      </c>
      <c r="M66" s="660">
        <f t="shared" si="19"/>
        <v>0.47904000000000002</v>
      </c>
      <c r="N66" s="660">
        <f t="shared" si="19"/>
        <v>0.47904000000000002</v>
      </c>
      <c r="O66" s="660">
        <f t="shared" si="19"/>
        <v>0.47904000000000002</v>
      </c>
      <c r="P66" s="660">
        <f t="shared" si="19"/>
        <v>0.47904000000000002</v>
      </c>
      <c r="Q66" s="660">
        <f t="shared" si="19"/>
        <v>0.47904000000000002</v>
      </c>
      <c r="R66" s="660">
        <f t="shared" si="19"/>
        <v>0.47904000000000002</v>
      </c>
      <c r="S66" s="660">
        <f t="shared" si="19"/>
        <v>0.47904000000000002</v>
      </c>
      <c r="T66" s="660">
        <f t="shared" si="19"/>
        <v>0.47904000000000002</v>
      </c>
      <c r="U66" s="660">
        <f t="shared" si="19"/>
        <v>0.47904000000000002</v>
      </c>
      <c r="V66" s="660">
        <f t="shared" si="19"/>
        <v>0.47904000000000002</v>
      </c>
      <c r="X66" s="307" t="s">
        <v>698</v>
      </c>
      <c r="Y66" s="302">
        <v>167</v>
      </c>
      <c r="AA66" s="107" t="s">
        <v>699</v>
      </c>
      <c r="AB66" s="108">
        <v>157</v>
      </c>
    </row>
    <row r="67" spans="1:28" x14ac:dyDescent="0.3">
      <c r="B67" s="186" t="s">
        <v>74</v>
      </c>
      <c r="C67" s="186" t="s">
        <v>308</v>
      </c>
      <c r="D67" s="186"/>
      <c r="E67" s="186"/>
      <c r="F67" s="186" t="s">
        <v>404</v>
      </c>
      <c r="G67" s="659">
        <f t="shared" si="7"/>
        <v>0.39604</v>
      </c>
      <c r="H67" s="666">
        <f t="shared" ref="H67:H93" si="20">$G67</f>
        <v>0.39604</v>
      </c>
      <c r="I67" s="660">
        <f t="shared" si="19"/>
        <v>0.39604</v>
      </c>
      <c r="J67" s="660">
        <f t="shared" si="19"/>
        <v>0.39604</v>
      </c>
      <c r="K67" s="660">
        <f t="shared" si="19"/>
        <v>0.39604</v>
      </c>
      <c r="L67" s="660">
        <f t="shared" si="19"/>
        <v>0.39604</v>
      </c>
      <c r="M67" s="660">
        <f t="shared" si="19"/>
        <v>0.39604</v>
      </c>
      <c r="N67" s="660">
        <f t="shared" si="19"/>
        <v>0.39604</v>
      </c>
      <c r="O67" s="660">
        <f t="shared" si="19"/>
        <v>0.39604</v>
      </c>
      <c r="P67" s="660">
        <f t="shared" si="19"/>
        <v>0.39604</v>
      </c>
      <c r="Q67" s="660">
        <f t="shared" si="19"/>
        <v>0.39604</v>
      </c>
      <c r="R67" s="660">
        <f t="shared" si="19"/>
        <v>0.39604</v>
      </c>
      <c r="S67" s="660">
        <f t="shared" si="19"/>
        <v>0.39604</v>
      </c>
      <c r="T67" s="660">
        <f t="shared" si="19"/>
        <v>0.39604</v>
      </c>
      <c r="U67" s="660">
        <f t="shared" si="19"/>
        <v>0.39604</v>
      </c>
      <c r="V67" s="660">
        <f t="shared" si="19"/>
        <v>0.39604</v>
      </c>
      <c r="X67" s="307" t="s">
        <v>698</v>
      </c>
      <c r="Y67" s="302">
        <v>202</v>
      </c>
      <c r="AA67" s="107" t="s">
        <v>699</v>
      </c>
      <c r="AB67" s="108">
        <v>191</v>
      </c>
    </row>
    <row r="68" spans="1:28" x14ac:dyDescent="0.3">
      <c r="B68" s="186" t="s">
        <v>74</v>
      </c>
      <c r="C68" s="186" t="s">
        <v>309</v>
      </c>
      <c r="D68" s="186"/>
      <c r="E68" s="186"/>
      <c r="F68" s="186" t="s">
        <v>402</v>
      </c>
      <c r="G68" s="659">
        <f t="shared" si="7"/>
        <v>0.38646999999999998</v>
      </c>
      <c r="H68" s="666">
        <f t="shared" si="20"/>
        <v>0.38646999999999998</v>
      </c>
      <c r="I68" s="660">
        <f t="shared" si="19"/>
        <v>0.38646999999999998</v>
      </c>
      <c r="J68" s="660">
        <f t="shared" si="19"/>
        <v>0.38646999999999998</v>
      </c>
      <c r="K68" s="660">
        <f t="shared" si="19"/>
        <v>0.38646999999999998</v>
      </c>
      <c r="L68" s="660">
        <f t="shared" si="19"/>
        <v>0.38646999999999998</v>
      </c>
      <c r="M68" s="660">
        <f t="shared" si="19"/>
        <v>0.38646999999999998</v>
      </c>
      <c r="N68" s="660">
        <f t="shared" si="19"/>
        <v>0.38646999999999998</v>
      </c>
      <c r="O68" s="660">
        <f t="shared" si="19"/>
        <v>0.38646999999999998</v>
      </c>
      <c r="P68" s="660">
        <f t="shared" si="19"/>
        <v>0.38646999999999998</v>
      </c>
      <c r="Q68" s="660">
        <f t="shared" si="19"/>
        <v>0.38646999999999998</v>
      </c>
      <c r="R68" s="660">
        <f t="shared" si="19"/>
        <v>0.38646999999999998</v>
      </c>
      <c r="S68" s="660">
        <f t="shared" si="19"/>
        <v>0.38646999999999998</v>
      </c>
      <c r="T68" s="660">
        <f t="shared" si="19"/>
        <v>0.38646999999999998</v>
      </c>
      <c r="U68" s="660">
        <f t="shared" si="19"/>
        <v>0.38646999999999998</v>
      </c>
      <c r="V68" s="660">
        <f t="shared" si="19"/>
        <v>0.38646999999999998</v>
      </c>
      <c r="X68" s="307" t="s">
        <v>700</v>
      </c>
      <c r="Y68" s="302">
        <v>207</v>
      </c>
      <c r="AA68" s="107" t="s">
        <v>699</v>
      </c>
      <c r="AB68" s="108">
        <v>193</v>
      </c>
    </row>
    <row r="69" spans="1:28" x14ac:dyDescent="0.3">
      <c r="B69" s="186" t="s">
        <v>74</v>
      </c>
      <c r="C69" s="186" t="s">
        <v>309</v>
      </c>
      <c r="D69" s="186"/>
      <c r="E69" s="186"/>
      <c r="F69" s="186" t="s">
        <v>404</v>
      </c>
      <c r="G69" s="659">
        <f t="shared" si="7"/>
        <v>0.31873000000000001</v>
      </c>
      <c r="H69" s="666">
        <f t="shared" si="20"/>
        <v>0.31873000000000001</v>
      </c>
      <c r="I69" s="660">
        <f t="shared" si="19"/>
        <v>0.31873000000000001</v>
      </c>
      <c r="J69" s="660">
        <f t="shared" si="19"/>
        <v>0.31873000000000001</v>
      </c>
      <c r="K69" s="660">
        <f t="shared" si="19"/>
        <v>0.31873000000000001</v>
      </c>
      <c r="L69" s="660">
        <f t="shared" si="19"/>
        <v>0.31873000000000001</v>
      </c>
      <c r="M69" s="660">
        <f t="shared" si="19"/>
        <v>0.31873000000000001</v>
      </c>
      <c r="N69" s="660">
        <f t="shared" si="19"/>
        <v>0.31873000000000001</v>
      </c>
      <c r="O69" s="660">
        <f t="shared" si="19"/>
        <v>0.31873000000000001</v>
      </c>
      <c r="P69" s="660">
        <f t="shared" si="19"/>
        <v>0.31873000000000001</v>
      </c>
      <c r="Q69" s="660">
        <f t="shared" si="19"/>
        <v>0.31873000000000001</v>
      </c>
      <c r="R69" s="660">
        <f t="shared" si="19"/>
        <v>0.31873000000000001</v>
      </c>
      <c r="S69" s="660">
        <f t="shared" si="19"/>
        <v>0.31873000000000001</v>
      </c>
      <c r="T69" s="660">
        <f t="shared" si="19"/>
        <v>0.31873000000000001</v>
      </c>
      <c r="U69" s="660">
        <f t="shared" si="19"/>
        <v>0.31873000000000001</v>
      </c>
      <c r="V69" s="660">
        <f t="shared" si="19"/>
        <v>0.31873000000000001</v>
      </c>
      <c r="X69" s="307" t="s">
        <v>700</v>
      </c>
      <c r="Y69" s="302">
        <v>251</v>
      </c>
      <c r="AA69" s="107" t="s">
        <v>699</v>
      </c>
      <c r="AB69" s="108">
        <v>235</v>
      </c>
    </row>
    <row r="70" spans="1:28" s="19" customFormat="1" x14ac:dyDescent="0.3">
      <c r="B70" s="186" t="s">
        <v>74</v>
      </c>
      <c r="C70" s="186" t="s">
        <v>310</v>
      </c>
      <c r="D70" s="186"/>
      <c r="E70" s="186"/>
      <c r="F70" s="186" t="s">
        <v>402</v>
      </c>
      <c r="G70" s="659">
        <f t="shared" si="7"/>
        <v>0.68376000000000003</v>
      </c>
      <c r="H70" s="666">
        <f t="shared" si="20"/>
        <v>0.68376000000000003</v>
      </c>
      <c r="I70" s="660">
        <f t="shared" si="19"/>
        <v>0.68376000000000003</v>
      </c>
      <c r="J70" s="660">
        <f t="shared" si="19"/>
        <v>0.68376000000000003</v>
      </c>
      <c r="K70" s="660">
        <f t="shared" si="19"/>
        <v>0.68376000000000003</v>
      </c>
      <c r="L70" s="660">
        <f t="shared" si="19"/>
        <v>0.68376000000000003</v>
      </c>
      <c r="M70" s="660">
        <f t="shared" si="19"/>
        <v>0.68376000000000003</v>
      </c>
      <c r="N70" s="660">
        <f t="shared" si="19"/>
        <v>0.68376000000000003</v>
      </c>
      <c r="O70" s="660">
        <f t="shared" si="19"/>
        <v>0.68376000000000003</v>
      </c>
      <c r="P70" s="660">
        <f t="shared" si="19"/>
        <v>0.68376000000000003</v>
      </c>
      <c r="Q70" s="660">
        <f t="shared" si="19"/>
        <v>0.68376000000000003</v>
      </c>
      <c r="R70" s="660">
        <f t="shared" si="19"/>
        <v>0.68376000000000003</v>
      </c>
      <c r="S70" s="660">
        <f t="shared" si="19"/>
        <v>0.68376000000000003</v>
      </c>
      <c r="T70" s="660">
        <f t="shared" si="19"/>
        <v>0.68376000000000003</v>
      </c>
      <c r="U70" s="660">
        <f t="shared" si="19"/>
        <v>0.68376000000000003</v>
      </c>
      <c r="V70" s="660">
        <f t="shared" si="19"/>
        <v>0.68376000000000003</v>
      </c>
      <c r="X70" s="307" t="s">
        <v>698</v>
      </c>
      <c r="Y70" s="302">
        <v>117</v>
      </c>
      <c r="AA70" s="107" t="s">
        <v>699</v>
      </c>
      <c r="AB70" s="108">
        <v>117</v>
      </c>
    </row>
    <row r="71" spans="1:28" s="19" customFormat="1" x14ac:dyDescent="0.3">
      <c r="B71" s="186" t="s">
        <v>74</v>
      </c>
      <c r="C71" s="186" t="s">
        <v>310</v>
      </c>
      <c r="D71" s="186"/>
      <c r="E71" s="186"/>
      <c r="F71" s="186" t="s">
        <v>404</v>
      </c>
      <c r="G71" s="659">
        <f t="shared" si="7"/>
        <v>0.87912000000000001</v>
      </c>
      <c r="H71" s="666">
        <f t="shared" si="20"/>
        <v>0.87912000000000001</v>
      </c>
      <c r="I71" s="660">
        <f t="shared" si="19"/>
        <v>0.87912000000000001</v>
      </c>
      <c r="J71" s="660">
        <f t="shared" si="19"/>
        <v>0.87912000000000001</v>
      </c>
      <c r="K71" s="660">
        <f t="shared" si="19"/>
        <v>0.87912000000000001</v>
      </c>
      <c r="L71" s="660">
        <f t="shared" si="19"/>
        <v>0.87912000000000001</v>
      </c>
      <c r="M71" s="660">
        <f t="shared" si="19"/>
        <v>0.87912000000000001</v>
      </c>
      <c r="N71" s="660">
        <f t="shared" si="19"/>
        <v>0.87912000000000001</v>
      </c>
      <c r="O71" s="660">
        <f t="shared" si="19"/>
        <v>0.87912000000000001</v>
      </c>
      <c r="P71" s="660">
        <f t="shared" si="19"/>
        <v>0.87912000000000001</v>
      </c>
      <c r="Q71" s="660">
        <f t="shared" si="19"/>
        <v>0.87912000000000001</v>
      </c>
      <c r="R71" s="660">
        <f t="shared" si="19"/>
        <v>0.87912000000000001</v>
      </c>
      <c r="S71" s="660">
        <f t="shared" si="19"/>
        <v>0.87912000000000001</v>
      </c>
      <c r="T71" s="660">
        <f t="shared" si="19"/>
        <v>0.87912000000000001</v>
      </c>
      <c r="U71" s="660">
        <f t="shared" si="19"/>
        <v>0.87912000000000001</v>
      </c>
      <c r="V71" s="660">
        <f t="shared" si="19"/>
        <v>0.87912000000000001</v>
      </c>
      <c r="X71" s="307" t="s">
        <v>698</v>
      </c>
      <c r="Y71" s="302">
        <v>91</v>
      </c>
      <c r="AA71" s="107" t="s">
        <v>699</v>
      </c>
      <c r="AB71" s="108">
        <v>92</v>
      </c>
    </row>
    <row r="72" spans="1:28" s="19" customFormat="1" x14ac:dyDescent="0.3">
      <c r="B72" s="186" t="s">
        <v>74</v>
      </c>
      <c r="C72" s="186" t="s">
        <v>311</v>
      </c>
      <c r="D72" s="186"/>
      <c r="E72" s="186"/>
      <c r="F72" s="186" t="s">
        <v>402</v>
      </c>
      <c r="G72" s="659">
        <f t="shared" si="7"/>
        <v>0.72726999999999997</v>
      </c>
      <c r="H72" s="666">
        <f t="shared" si="20"/>
        <v>0.72726999999999997</v>
      </c>
      <c r="I72" s="660">
        <f t="shared" si="19"/>
        <v>0.72726999999999997</v>
      </c>
      <c r="J72" s="660">
        <f t="shared" si="19"/>
        <v>0.72726999999999997</v>
      </c>
      <c r="K72" s="660">
        <f t="shared" si="19"/>
        <v>0.72726999999999997</v>
      </c>
      <c r="L72" s="660">
        <f t="shared" si="19"/>
        <v>0.72726999999999997</v>
      </c>
      <c r="M72" s="660">
        <f t="shared" si="19"/>
        <v>0.72726999999999997</v>
      </c>
      <c r="N72" s="660">
        <f t="shared" si="19"/>
        <v>0.72726999999999997</v>
      </c>
      <c r="O72" s="660">
        <f t="shared" si="19"/>
        <v>0.72726999999999997</v>
      </c>
      <c r="P72" s="660">
        <f t="shared" si="19"/>
        <v>0.72726999999999997</v>
      </c>
      <c r="Q72" s="660">
        <f t="shared" si="19"/>
        <v>0.72726999999999997</v>
      </c>
      <c r="R72" s="660">
        <f t="shared" si="19"/>
        <v>0.72726999999999997</v>
      </c>
      <c r="S72" s="660">
        <f t="shared" si="19"/>
        <v>0.72726999999999997</v>
      </c>
      <c r="T72" s="660">
        <f t="shared" si="19"/>
        <v>0.72726999999999997</v>
      </c>
      <c r="U72" s="660">
        <f t="shared" si="19"/>
        <v>0.72726999999999997</v>
      </c>
      <c r="V72" s="660">
        <f t="shared" si="19"/>
        <v>0.72726999999999997</v>
      </c>
      <c r="X72" s="307" t="s">
        <v>698</v>
      </c>
      <c r="Y72" s="302">
        <v>110</v>
      </c>
      <c r="AA72" s="107" t="s">
        <v>699</v>
      </c>
      <c r="AB72" s="108">
        <v>110</v>
      </c>
    </row>
    <row r="73" spans="1:28" s="19" customFormat="1" x14ac:dyDescent="0.3">
      <c r="B73" s="545" t="s">
        <v>74</v>
      </c>
      <c r="C73" s="545" t="s">
        <v>311</v>
      </c>
      <c r="D73" s="545"/>
      <c r="E73" s="545"/>
      <c r="F73" s="545" t="s">
        <v>404</v>
      </c>
      <c r="G73" s="668">
        <f t="shared" si="7"/>
        <v>0.82474000000000003</v>
      </c>
      <c r="H73" s="667">
        <f t="shared" si="20"/>
        <v>0.82474000000000003</v>
      </c>
      <c r="I73" s="661">
        <f t="shared" si="19"/>
        <v>0.82474000000000003</v>
      </c>
      <c r="J73" s="661">
        <f t="shared" si="19"/>
        <v>0.82474000000000003</v>
      </c>
      <c r="K73" s="661">
        <f t="shared" si="19"/>
        <v>0.82474000000000003</v>
      </c>
      <c r="L73" s="661">
        <f t="shared" si="19"/>
        <v>0.82474000000000003</v>
      </c>
      <c r="M73" s="661">
        <f t="shared" si="19"/>
        <v>0.82474000000000003</v>
      </c>
      <c r="N73" s="661">
        <f t="shared" si="19"/>
        <v>0.82474000000000003</v>
      </c>
      <c r="O73" s="661">
        <f t="shared" si="19"/>
        <v>0.82474000000000003</v>
      </c>
      <c r="P73" s="661">
        <f t="shared" si="19"/>
        <v>0.82474000000000003</v>
      </c>
      <c r="Q73" s="661">
        <f t="shared" si="19"/>
        <v>0.82474000000000003</v>
      </c>
      <c r="R73" s="661">
        <f t="shared" si="19"/>
        <v>0.82474000000000003</v>
      </c>
      <c r="S73" s="661">
        <f t="shared" si="19"/>
        <v>0.82474000000000003</v>
      </c>
      <c r="T73" s="661">
        <f t="shared" si="19"/>
        <v>0.82474000000000003</v>
      </c>
      <c r="U73" s="661">
        <f t="shared" si="19"/>
        <v>0.82474000000000003</v>
      </c>
      <c r="V73" s="661">
        <f t="shared" si="19"/>
        <v>0.82474000000000003</v>
      </c>
      <c r="X73" s="546" t="s">
        <v>698</v>
      </c>
      <c r="Y73" s="547">
        <v>97</v>
      </c>
      <c r="AA73" s="107" t="s">
        <v>699</v>
      </c>
      <c r="AB73" s="108">
        <v>99</v>
      </c>
    </row>
    <row r="74" spans="1:28" x14ac:dyDescent="0.3">
      <c r="A74" s="20"/>
      <c r="B74" s="186" t="s">
        <v>490</v>
      </c>
      <c r="C74" s="186" t="s">
        <v>313</v>
      </c>
      <c r="D74" s="186"/>
      <c r="E74" s="186"/>
      <c r="F74" s="186" t="s">
        <v>410</v>
      </c>
      <c r="G74" s="659">
        <f t="shared" si="7"/>
        <v>0.42781000000000002</v>
      </c>
      <c r="H74" s="666">
        <f t="shared" si="20"/>
        <v>0.42781000000000002</v>
      </c>
      <c r="I74" s="660">
        <f t="shared" si="19"/>
        <v>0.42781000000000002</v>
      </c>
      <c r="J74" s="660">
        <f t="shared" si="19"/>
        <v>0.42781000000000002</v>
      </c>
      <c r="K74" s="660">
        <f t="shared" si="19"/>
        <v>0.42781000000000002</v>
      </c>
      <c r="L74" s="660">
        <f t="shared" si="19"/>
        <v>0.42781000000000002</v>
      </c>
      <c r="M74" s="660">
        <f t="shared" si="19"/>
        <v>0.42781000000000002</v>
      </c>
      <c r="N74" s="660">
        <f t="shared" si="19"/>
        <v>0.42781000000000002</v>
      </c>
      <c r="O74" s="660">
        <f t="shared" si="19"/>
        <v>0.42781000000000002</v>
      </c>
      <c r="P74" s="660">
        <f t="shared" si="19"/>
        <v>0.42781000000000002</v>
      </c>
      <c r="Q74" s="660">
        <f t="shared" si="19"/>
        <v>0.42781000000000002</v>
      </c>
      <c r="R74" s="660">
        <f t="shared" si="19"/>
        <v>0.42781000000000002</v>
      </c>
      <c r="S74" s="660">
        <f t="shared" si="19"/>
        <v>0.42781000000000002</v>
      </c>
      <c r="T74" s="660">
        <f t="shared" si="19"/>
        <v>0.42781000000000002</v>
      </c>
      <c r="U74" s="660">
        <f t="shared" si="19"/>
        <v>0.42781000000000002</v>
      </c>
      <c r="V74" s="660">
        <f t="shared" si="19"/>
        <v>0.42781000000000002</v>
      </c>
      <c r="X74" s="307" t="s">
        <v>698</v>
      </c>
      <c r="Y74" s="302">
        <v>187</v>
      </c>
      <c r="AA74" s="107" t="s">
        <v>699</v>
      </c>
      <c r="AB74" s="108">
        <v>174</v>
      </c>
    </row>
    <row r="75" spans="1:28" x14ac:dyDescent="0.3">
      <c r="B75" s="186" t="s">
        <v>490</v>
      </c>
      <c r="C75" s="186" t="s">
        <v>313</v>
      </c>
      <c r="D75" s="186"/>
      <c r="E75" s="186"/>
      <c r="F75" s="186" t="s">
        <v>412</v>
      </c>
      <c r="G75" s="659">
        <f t="shared" si="7"/>
        <v>0.37558999999999998</v>
      </c>
      <c r="H75" s="666">
        <f t="shared" si="20"/>
        <v>0.37558999999999998</v>
      </c>
      <c r="I75" s="660">
        <f t="shared" ref="I75:V84" si="21">$H75</f>
        <v>0.37558999999999998</v>
      </c>
      <c r="J75" s="660">
        <f t="shared" si="21"/>
        <v>0.37558999999999998</v>
      </c>
      <c r="K75" s="660">
        <f t="shared" si="21"/>
        <v>0.37558999999999998</v>
      </c>
      <c r="L75" s="660">
        <f t="shared" si="21"/>
        <v>0.37558999999999998</v>
      </c>
      <c r="M75" s="660">
        <f t="shared" si="21"/>
        <v>0.37558999999999998</v>
      </c>
      <c r="N75" s="660">
        <f t="shared" si="21"/>
        <v>0.37558999999999998</v>
      </c>
      <c r="O75" s="660">
        <f t="shared" si="21"/>
        <v>0.37558999999999998</v>
      </c>
      <c r="P75" s="660">
        <f t="shared" si="21"/>
        <v>0.37558999999999998</v>
      </c>
      <c r="Q75" s="660">
        <f t="shared" si="21"/>
        <v>0.37558999999999998</v>
      </c>
      <c r="R75" s="660">
        <f t="shared" si="21"/>
        <v>0.37558999999999998</v>
      </c>
      <c r="S75" s="660">
        <f t="shared" si="21"/>
        <v>0.37558999999999998</v>
      </c>
      <c r="T75" s="660">
        <f t="shared" si="21"/>
        <v>0.37558999999999998</v>
      </c>
      <c r="U75" s="660">
        <f t="shared" si="21"/>
        <v>0.37558999999999998</v>
      </c>
      <c r="V75" s="660">
        <f t="shared" si="21"/>
        <v>0.37558999999999998</v>
      </c>
      <c r="X75" s="307" t="s">
        <v>698</v>
      </c>
      <c r="Y75" s="302">
        <v>213</v>
      </c>
      <c r="AA75" s="107" t="s">
        <v>699</v>
      </c>
      <c r="AB75" s="108">
        <v>199</v>
      </c>
    </row>
    <row r="76" spans="1:28" x14ac:dyDescent="0.3">
      <c r="B76" s="186" t="s">
        <v>490</v>
      </c>
      <c r="C76" s="186" t="s">
        <v>314</v>
      </c>
      <c r="D76" s="186"/>
      <c r="E76" s="186"/>
      <c r="F76" s="186" t="s">
        <v>410</v>
      </c>
      <c r="G76" s="659">
        <f t="shared" si="7"/>
        <v>1.0389600000000001</v>
      </c>
      <c r="H76" s="666">
        <f t="shared" si="20"/>
        <v>1.0389600000000001</v>
      </c>
      <c r="I76" s="660">
        <f t="shared" si="21"/>
        <v>1.0389600000000001</v>
      </c>
      <c r="J76" s="660">
        <f t="shared" si="21"/>
        <v>1.0389600000000001</v>
      </c>
      <c r="K76" s="660">
        <f t="shared" si="21"/>
        <v>1.0389600000000001</v>
      </c>
      <c r="L76" s="660">
        <f t="shared" si="21"/>
        <v>1.0389600000000001</v>
      </c>
      <c r="M76" s="660">
        <f t="shared" si="21"/>
        <v>1.0389600000000001</v>
      </c>
      <c r="N76" s="660">
        <f t="shared" si="21"/>
        <v>1.0389600000000001</v>
      </c>
      <c r="O76" s="660">
        <f t="shared" si="21"/>
        <v>1.0389600000000001</v>
      </c>
      <c r="P76" s="660">
        <f t="shared" si="21"/>
        <v>1.0389600000000001</v>
      </c>
      <c r="Q76" s="660">
        <f t="shared" si="21"/>
        <v>1.0389600000000001</v>
      </c>
      <c r="R76" s="660">
        <f t="shared" si="21"/>
        <v>1.0389600000000001</v>
      </c>
      <c r="S76" s="660">
        <f t="shared" si="21"/>
        <v>1.0389600000000001</v>
      </c>
      <c r="T76" s="660">
        <f t="shared" si="21"/>
        <v>1.0389600000000001</v>
      </c>
      <c r="U76" s="660">
        <f t="shared" si="21"/>
        <v>1.0389600000000001</v>
      </c>
      <c r="V76" s="660">
        <f t="shared" si="21"/>
        <v>1.0389600000000001</v>
      </c>
      <c r="X76" s="307" t="s">
        <v>698</v>
      </c>
      <c r="Y76" s="302">
        <v>77</v>
      </c>
      <c r="AA76" s="107" t="s">
        <v>699</v>
      </c>
      <c r="AB76" s="108">
        <v>77</v>
      </c>
    </row>
    <row r="77" spans="1:28" x14ac:dyDescent="0.3">
      <c r="B77" s="186" t="s">
        <v>490</v>
      </c>
      <c r="C77" s="186" t="s">
        <v>314</v>
      </c>
      <c r="D77" s="186"/>
      <c r="E77" s="186"/>
      <c r="F77" s="186" t="s">
        <v>412</v>
      </c>
      <c r="G77" s="659">
        <f t="shared" si="7"/>
        <v>1.2903199999999999</v>
      </c>
      <c r="H77" s="666">
        <f t="shared" si="20"/>
        <v>1.2903199999999999</v>
      </c>
      <c r="I77" s="660">
        <f t="shared" si="21"/>
        <v>1.2903199999999999</v>
      </c>
      <c r="J77" s="660">
        <f t="shared" si="21"/>
        <v>1.2903199999999999</v>
      </c>
      <c r="K77" s="660">
        <f t="shared" si="21"/>
        <v>1.2903199999999999</v>
      </c>
      <c r="L77" s="660">
        <f t="shared" si="21"/>
        <v>1.2903199999999999</v>
      </c>
      <c r="M77" s="660">
        <f t="shared" si="21"/>
        <v>1.2903199999999999</v>
      </c>
      <c r="N77" s="660">
        <f t="shared" si="21"/>
        <v>1.2903199999999999</v>
      </c>
      <c r="O77" s="660">
        <f t="shared" si="21"/>
        <v>1.2903199999999999</v>
      </c>
      <c r="P77" s="660">
        <f t="shared" si="21"/>
        <v>1.2903199999999999</v>
      </c>
      <c r="Q77" s="660">
        <f t="shared" si="21"/>
        <v>1.2903199999999999</v>
      </c>
      <c r="R77" s="660">
        <f t="shared" si="21"/>
        <v>1.2903199999999999</v>
      </c>
      <c r="S77" s="660">
        <f t="shared" si="21"/>
        <v>1.2903199999999999</v>
      </c>
      <c r="T77" s="660">
        <f t="shared" si="21"/>
        <v>1.2903199999999999</v>
      </c>
      <c r="U77" s="660">
        <f t="shared" si="21"/>
        <v>1.2903199999999999</v>
      </c>
      <c r="V77" s="660">
        <f t="shared" si="21"/>
        <v>1.2903199999999999</v>
      </c>
      <c r="X77" s="307" t="s">
        <v>698</v>
      </c>
      <c r="Y77" s="302">
        <v>62</v>
      </c>
      <c r="AA77" s="107" t="s">
        <v>699</v>
      </c>
      <c r="AB77" s="108">
        <v>62</v>
      </c>
    </row>
    <row r="78" spans="1:28" x14ac:dyDescent="0.3">
      <c r="B78" s="186" t="s">
        <v>490</v>
      </c>
      <c r="C78" s="186" t="s">
        <v>315</v>
      </c>
      <c r="D78" s="186"/>
      <c r="E78" s="186"/>
      <c r="F78" s="186" t="s">
        <v>410</v>
      </c>
      <c r="G78" s="659">
        <f t="shared" si="7"/>
        <v>0.38646999999999998</v>
      </c>
      <c r="H78" s="666">
        <f t="shared" si="20"/>
        <v>0.38646999999999998</v>
      </c>
      <c r="I78" s="660">
        <f t="shared" si="21"/>
        <v>0.38646999999999998</v>
      </c>
      <c r="J78" s="660">
        <f t="shared" si="21"/>
        <v>0.38646999999999998</v>
      </c>
      <c r="K78" s="660">
        <f t="shared" si="21"/>
        <v>0.38646999999999998</v>
      </c>
      <c r="L78" s="660">
        <f t="shared" si="21"/>
        <v>0.38646999999999998</v>
      </c>
      <c r="M78" s="660">
        <f t="shared" si="21"/>
        <v>0.38646999999999998</v>
      </c>
      <c r="N78" s="660">
        <f t="shared" si="21"/>
        <v>0.38646999999999998</v>
      </c>
      <c r="O78" s="660">
        <f t="shared" si="21"/>
        <v>0.38646999999999998</v>
      </c>
      <c r="P78" s="660">
        <f t="shared" si="21"/>
        <v>0.38646999999999998</v>
      </c>
      <c r="Q78" s="660">
        <f t="shared" si="21"/>
        <v>0.38646999999999998</v>
      </c>
      <c r="R78" s="660">
        <f t="shared" si="21"/>
        <v>0.38646999999999998</v>
      </c>
      <c r="S78" s="660">
        <f t="shared" si="21"/>
        <v>0.38646999999999998</v>
      </c>
      <c r="T78" s="660">
        <f t="shared" si="21"/>
        <v>0.38646999999999998</v>
      </c>
      <c r="U78" s="660">
        <f t="shared" si="21"/>
        <v>0.38646999999999998</v>
      </c>
      <c r="V78" s="660">
        <f t="shared" si="21"/>
        <v>0.38646999999999998</v>
      </c>
      <c r="X78" s="307" t="s">
        <v>700</v>
      </c>
      <c r="Y78" s="302">
        <v>207</v>
      </c>
      <c r="AA78" s="107" t="s">
        <v>699</v>
      </c>
      <c r="AB78" s="108">
        <v>193</v>
      </c>
    </row>
    <row r="79" spans="1:28" x14ac:dyDescent="0.3">
      <c r="B79" s="186" t="s">
        <v>490</v>
      </c>
      <c r="C79" s="186" t="s">
        <v>315</v>
      </c>
      <c r="D79" s="186"/>
      <c r="E79" s="186"/>
      <c r="F79" s="186" t="s">
        <v>412</v>
      </c>
      <c r="G79" s="659">
        <f t="shared" si="7"/>
        <v>0.31873000000000001</v>
      </c>
      <c r="H79" s="666">
        <f t="shared" si="20"/>
        <v>0.31873000000000001</v>
      </c>
      <c r="I79" s="660">
        <f t="shared" si="21"/>
        <v>0.31873000000000001</v>
      </c>
      <c r="J79" s="660">
        <f t="shared" si="21"/>
        <v>0.31873000000000001</v>
      </c>
      <c r="K79" s="660">
        <f t="shared" si="21"/>
        <v>0.31873000000000001</v>
      </c>
      <c r="L79" s="660">
        <f t="shared" si="21"/>
        <v>0.31873000000000001</v>
      </c>
      <c r="M79" s="660">
        <f t="shared" si="21"/>
        <v>0.31873000000000001</v>
      </c>
      <c r="N79" s="660">
        <f t="shared" si="21"/>
        <v>0.31873000000000001</v>
      </c>
      <c r="O79" s="660">
        <f t="shared" si="21"/>
        <v>0.31873000000000001</v>
      </c>
      <c r="P79" s="660">
        <f t="shared" si="21"/>
        <v>0.31873000000000001</v>
      </c>
      <c r="Q79" s="660">
        <f t="shared" si="21"/>
        <v>0.31873000000000001</v>
      </c>
      <c r="R79" s="660">
        <f t="shared" si="21"/>
        <v>0.31873000000000001</v>
      </c>
      <c r="S79" s="660">
        <f t="shared" si="21"/>
        <v>0.31873000000000001</v>
      </c>
      <c r="T79" s="660">
        <f t="shared" si="21"/>
        <v>0.31873000000000001</v>
      </c>
      <c r="U79" s="660">
        <f t="shared" si="21"/>
        <v>0.31873000000000001</v>
      </c>
      <c r="V79" s="660">
        <f t="shared" si="21"/>
        <v>0.31873000000000001</v>
      </c>
      <c r="X79" s="307" t="s">
        <v>700</v>
      </c>
      <c r="Y79" s="302">
        <v>251</v>
      </c>
      <c r="AA79" s="107" t="s">
        <v>699</v>
      </c>
      <c r="AB79" s="108">
        <v>235</v>
      </c>
    </row>
    <row r="80" spans="1:28" x14ac:dyDescent="0.3">
      <c r="B80" s="186" t="s">
        <v>490</v>
      </c>
      <c r="C80" s="186" t="s">
        <v>316</v>
      </c>
      <c r="D80" s="186"/>
      <c r="E80" s="186"/>
      <c r="F80" s="186" t="s">
        <v>410</v>
      </c>
      <c r="G80" s="659">
        <f t="shared" si="7"/>
        <v>0.38646999999999998</v>
      </c>
      <c r="H80" s="666">
        <f t="shared" si="20"/>
        <v>0.38646999999999998</v>
      </c>
      <c r="I80" s="660">
        <f t="shared" si="21"/>
        <v>0.38646999999999998</v>
      </c>
      <c r="J80" s="660">
        <f t="shared" si="21"/>
        <v>0.38646999999999998</v>
      </c>
      <c r="K80" s="660">
        <f t="shared" si="21"/>
        <v>0.38646999999999998</v>
      </c>
      <c r="L80" s="660">
        <f t="shared" si="21"/>
        <v>0.38646999999999998</v>
      </c>
      <c r="M80" s="660">
        <f t="shared" si="21"/>
        <v>0.38646999999999998</v>
      </c>
      <c r="N80" s="660">
        <f t="shared" si="21"/>
        <v>0.38646999999999998</v>
      </c>
      <c r="O80" s="660">
        <f t="shared" si="21"/>
        <v>0.38646999999999998</v>
      </c>
      <c r="P80" s="660">
        <f t="shared" si="21"/>
        <v>0.38646999999999998</v>
      </c>
      <c r="Q80" s="660">
        <f t="shared" si="21"/>
        <v>0.38646999999999998</v>
      </c>
      <c r="R80" s="660">
        <f t="shared" si="21"/>
        <v>0.38646999999999998</v>
      </c>
      <c r="S80" s="660">
        <f t="shared" si="21"/>
        <v>0.38646999999999998</v>
      </c>
      <c r="T80" s="660">
        <f t="shared" si="21"/>
        <v>0.38646999999999998</v>
      </c>
      <c r="U80" s="660">
        <f t="shared" si="21"/>
        <v>0.38646999999999998</v>
      </c>
      <c r="V80" s="660">
        <f t="shared" si="21"/>
        <v>0.38646999999999998</v>
      </c>
      <c r="X80" s="307" t="s">
        <v>700</v>
      </c>
      <c r="Y80" s="302">
        <v>207</v>
      </c>
      <c r="AA80" s="107" t="s">
        <v>699</v>
      </c>
      <c r="AB80" s="108">
        <v>193</v>
      </c>
    </row>
    <row r="81" spans="2:28" x14ac:dyDescent="0.3">
      <c r="B81" s="186" t="s">
        <v>490</v>
      </c>
      <c r="C81" s="186" t="s">
        <v>316</v>
      </c>
      <c r="D81" s="186"/>
      <c r="E81" s="186"/>
      <c r="F81" s="186" t="s">
        <v>412</v>
      </c>
      <c r="G81" s="659">
        <f t="shared" si="7"/>
        <v>0.31873000000000001</v>
      </c>
      <c r="H81" s="666">
        <f t="shared" si="20"/>
        <v>0.31873000000000001</v>
      </c>
      <c r="I81" s="660">
        <f t="shared" si="21"/>
        <v>0.31873000000000001</v>
      </c>
      <c r="J81" s="660">
        <f t="shared" si="21"/>
        <v>0.31873000000000001</v>
      </c>
      <c r="K81" s="660">
        <f t="shared" si="21"/>
        <v>0.31873000000000001</v>
      </c>
      <c r="L81" s="660">
        <f t="shared" si="21"/>
        <v>0.31873000000000001</v>
      </c>
      <c r="M81" s="660">
        <f t="shared" si="21"/>
        <v>0.31873000000000001</v>
      </c>
      <c r="N81" s="660">
        <f t="shared" si="21"/>
        <v>0.31873000000000001</v>
      </c>
      <c r="O81" s="660">
        <f t="shared" si="21"/>
        <v>0.31873000000000001</v>
      </c>
      <c r="P81" s="660">
        <f t="shared" si="21"/>
        <v>0.31873000000000001</v>
      </c>
      <c r="Q81" s="660">
        <f t="shared" si="21"/>
        <v>0.31873000000000001</v>
      </c>
      <c r="R81" s="660">
        <f t="shared" si="21"/>
        <v>0.31873000000000001</v>
      </c>
      <c r="S81" s="660">
        <f t="shared" si="21"/>
        <v>0.31873000000000001</v>
      </c>
      <c r="T81" s="660">
        <f t="shared" si="21"/>
        <v>0.31873000000000001</v>
      </c>
      <c r="U81" s="660">
        <f t="shared" si="21"/>
        <v>0.31873000000000001</v>
      </c>
      <c r="V81" s="660">
        <f t="shared" si="21"/>
        <v>0.31873000000000001</v>
      </c>
      <c r="X81" s="307" t="s">
        <v>700</v>
      </c>
      <c r="Y81" s="302">
        <v>251</v>
      </c>
      <c r="AA81" s="107" t="s">
        <v>699</v>
      </c>
      <c r="AB81" s="108">
        <v>235</v>
      </c>
    </row>
    <row r="82" spans="2:28" x14ac:dyDescent="0.3">
      <c r="B82" s="186" t="s">
        <v>490</v>
      </c>
      <c r="C82" s="186" t="s">
        <v>317</v>
      </c>
      <c r="D82" s="186"/>
      <c r="E82" s="186"/>
      <c r="F82" s="186" t="s">
        <v>410</v>
      </c>
      <c r="G82" s="659">
        <f t="shared" si="7"/>
        <v>0.38646999999999998</v>
      </c>
      <c r="H82" s="666">
        <f t="shared" si="20"/>
        <v>0.38646999999999998</v>
      </c>
      <c r="I82" s="660">
        <f t="shared" si="21"/>
        <v>0.38646999999999998</v>
      </c>
      <c r="J82" s="660">
        <f t="shared" si="21"/>
        <v>0.38646999999999998</v>
      </c>
      <c r="K82" s="660">
        <f t="shared" si="21"/>
        <v>0.38646999999999998</v>
      </c>
      <c r="L82" s="660">
        <f t="shared" si="21"/>
        <v>0.38646999999999998</v>
      </c>
      <c r="M82" s="660">
        <f t="shared" si="21"/>
        <v>0.38646999999999998</v>
      </c>
      <c r="N82" s="660">
        <f t="shared" si="21"/>
        <v>0.38646999999999998</v>
      </c>
      <c r="O82" s="660">
        <f t="shared" si="21"/>
        <v>0.38646999999999998</v>
      </c>
      <c r="P82" s="660">
        <f t="shared" si="21"/>
        <v>0.38646999999999998</v>
      </c>
      <c r="Q82" s="660">
        <f t="shared" si="21"/>
        <v>0.38646999999999998</v>
      </c>
      <c r="R82" s="660">
        <f t="shared" si="21"/>
        <v>0.38646999999999998</v>
      </c>
      <c r="S82" s="660">
        <f t="shared" si="21"/>
        <v>0.38646999999999998</v>
      </c>
      <c r="T82" s="660">
        <f t="shared" si="21"/>
        <v>0.38646999999999998</v>
      </c>
      <c r="U82" s="660">
        <f t="shared" si="21"/>
        <v>0.38646999999999998</v>
      </c>
      <c r="V82" s="660">
        <f t="shared" si="21"/>
        <v>0.38646999999999998</v>
      </c>
      <c r="X82" s="307" t="s">
        <v>698</v>
      </c>
      <c r="Y82" s="302">
        <v>207</v>
      </c>
      <c r="AA82" s="107" t="s">
        <v>699</v>
      </c>
      <c r="AB82" s="108">
        <v>193</v>
      </c>
    </row>
    <row r="83" spans="2:28" x14ac:dyDescent="0.3">
      <c r="B83" s="186" t="s">
        <v>490</v>
      </c>
      <c r="C83" s="186" t="s">
        <v>317</v>
      </c>
      <c r="D83" s="186"/>
      <c r="E83" s="186"/>
      <c r="F83" s="186" t="s">
        <v>412</v>
      </c>
      <c r="G83" s="659">
        <f t="shared" si="7"/>
        <v>0.31873000000000001</v>
      </c>
      <c r="H83" s="666">
        <f t="shared" si="20"/>
        <v>0.31873000000000001</v>
      </c>
      <c r="I83" s="660">
        <f t="shared" si="21"/>
        <v>0.31873000000000001</v>
      </c>
      <c r="J83" s="660">
        <f t="shared" si="21"/>
        <v>0.31873000000000001</v>
      </c>
      <c r="K83" s="660">
        <f t="shared" si="21"/>
        <v>0.31873000000000001</v>
      </c>
      <c r="L83" s="660">
        <f t="shared" si="21"/>
        <v>0.31873000000000001</v>
      </c>
      <c r="M83" s="660">
        <f t="shared" si="21"/>
        <v>0.31873000000000001</v>
      </c>
      <c r="N83" s="660">
        <f t="shared" si="21"/>
        <v>0.31873000000000001</v>
      </c>
      <c r="O83" s="660">
        <f t="shared" si="21"/>
        <v>0.31873000000000001</v>
      </c>
      <c r="P83" s="660">
        <f t="shared" si="21"/>
        <v>0.31873000000000001</v>
      </c>
      <c r="Q83" s="660">
        <f t="shared" si="21"/>
        <v>0.31873000000000001</v>
      </c>
      <c r="R83" s="660">
        <f t="shared" si="21"/>
        <v>0.31873000000000001</v>
      </c>
      <c r="S83" s="660">
        <f t="shared" si="21"/>
        <v>0.31873000000000001</v>
      </c>
      <c r="T83" s="660">
        <f t="shared" si="21"/>
        <v>0.31873000000000001</v>
      </c>
      <c r="U83" s="660">
        <f t="shared" si="21"/>
        <v>0.31873000000000001</v>
      </c>
      <c r="V83" s="660">
        <f t="shared" si="21"/>
        <v>0.31873000000000001</v>
      </c>
      <c r="X83" s="307" t="s">
        <v>698</v>
      </c>
      <c r="Y83" s="302">
        <v>251</v>
      </c>
      <c r="AA83" s="107" t="s">
        <v>699</v>
      </c>
      <c r="AB83" s="108">
        <v>235</v>
      </c>
    </row>
    <row r="84" spans="2:28" x14ac:dyDescent="0.3">
      <c r="B84" s="186" t="s">
        <v>490</v>
      </c>
      <c r="C84" s="186" t="s">
        <v>318</v>
      </c>
      <c r="D84" s="186"/>
      <c r="E84" s="186"/>
      <c r="F84" s="186" t="s">
        <v>410</v>
      </c>
      <c r="G84" s="659">
        <f t="shared" si="7"/>
        <v>0.53332999999999997</v>
      </c>
      <c r="H84" s="666">
        <f t="shared" si="20"/>
        <v>0.53332999999999997</v>
      </c>
      <c r="I84" s="660">
        <f t="shared" si="21"/>
        <v>0.53332999999999997</v>
      </c>
      <c r="J84" s="660">
        <f t="shared" si="21"/>
        <v>0.53332999999999997</v>
      </c>
      <c r="K84" s="660">
        <f t="shared" si="21"/>
        <v>0.53332999999999997</v>
      </c>
      <c r="L84" s="660">
        <f t="shared" si="21"/>
        <v>0.53332999999999997</v>
      </c>
      <c r="M84" s="660">
        <f t="shared" si="21"/>
        <v>0.53332999999999997</v>
      </c>
      <c r="N84" s="660">
        <f t="shared" si="21"/>
        <v>0.53332999999999997</v>
      </c>
      <c r="O84" s="660">
        <f t="shared" si="21"/>
        <v>0.53332999999999997</v>
      </c>
      <c r="P84" s="660">
        <f t="shared" si="21"/>
        <v>0.53332999999999997</v>
      </c>
      <c r="Q84" s="660">
        <f t="shared" si="21"/>
        <v>0.53332999999999997</v>
      </c>
      <c r="R84" s="660">
        <f t="shared" si="21"/>
        <v>0.53332999999999997</v>
      </c>
      <c r="S84" s="660">
        <f t="shared" si="21"/>
        <v>0.53332999999999997</v>
      </c>
      <c r="T84" s="660">
        <f t="shared" si="21"/>
        <v>0.53332999999999997</v>
      </c>
      <c r="U84" s="660">
        <f t="shared" si="21"/>
        <v>0.53332999999999997</v>
      </c>
      <c r="V84" s="660">
        <f t="shared" si="21"/>
        <v>0.53332999999999997</v>
      </c>
      <c r="X84" s="307" t="s">
        <v>698</v>
      </c>
      <c r="Y84" s="302">
        <v>150</v>
      </c>
      <c r="AA84" s="107" t="s">
        <v>699</v>
      </c>
      <c r="AB84" s="108">
        <v>141</v>
      </c>
    </row>
    <row r="85" spans="2:28" x14ac:dyDescent="0.3">
      <c r="B85" s="186" t="s">
        <v>490</v>
      </c>
      <c r="C85" s="186" t="s">
        <v>318</v>
      </c>
      <c r="D85" s="186"/>
      <c r="E85" s="186"/>
      <c r="F85" s="186" t="s">
        <v>412</v>
      </c>
      <c r="G85" s="659">
        <f t="shared" si="7"/>
        <v>0.47059000000000001</v>
      </c>
      <c r="H85" s="666">
        <f t="shared" si="20"/>
        <v>0.47059000000000001</v>
      </c>
      <c r="I85" s="660">
        <f t="shared" ref="I85:V93" si="22">$H85</f>
        <v>0.47059000000000001</v>
      </c>
      <c r="J85" s="660">
        <f t="shared" si="22"/>
        <v>0.47059000000000001</v>
      </c>
      <c r="K85" s="660">
        <f t="shared" si="22"/>
        <v>0.47059000000000001</v>
      </c>
      <c r="L85" s="660">
        <f t="shared" si="22"/>
        <v>0.47059000000000001</v>
      </c>
      <c r="M85" s="660">
        <f t="shared" si="22"/>
        <v>0.47059000000000001</v>
      </c>
      <c r="N85" s="660">
        <f t="shared" si="22"/>
        <v>0.47059000000000001</v>
      </c>
      <c r="O85" s="660">
        <f t="shared" si="22"/>
        <v>0.47059000000000001</v>
      </c>
      <c r="P85" s="660">
        <f t="shared" si="22"/>
        <v>0.47059000000000001</v>
      </c>
      <c r="Q85" s="660">
        <f t="shared" si="22"/>
        <v>0.47059000000000001</v>
      </c>
      <c r="R85" s="660">
        <f t="shared" si="22"/>
        <v>0.47059000000000001</v>
      </c>
      <c r="S85" s="660">
        <f t="shared" si="22"/>
        <v>0.47059000000000001</v>
      </c>
      <c r="T85" s="660">
        <f t="shared" si="22"/>
        <v>0.47059000000000001</v>
      </c>
      <c r="U85" s="660">
        <f t="shared" si="22"/>
        <v>0.47059000000000001</v>
      </c>
      <c r="V85" s="660">
        <f t="shared" si="22"/>
        <v>0.47059000000000001</v>
      </c>
      <c r="X85" s="307" t="s">
        <v>698</v>
      </c>
      <c r="Y85" s="302">
        <v>170</v>
      </c>
      <c r="AA85" s="107" t="s">
        <v>699</v>
      </c>
      <c r="AB85" s="108">
        <v>161</v>
      </c>
    </row>
    <row r="86" spans="2:28" x14ac:dyDescent="0.3">
      <c r="B86" s="186" t="s">
        <v>490</v>
      </c>
      <c r="C86" s="186" t="s">
        <v>319</v>
      </c>
      <c r="D86" s="186"/>
      <c r="E86" s="186"/>
      <c r="F86" s="186" t="s">
        <v>410</v>
      </c>
      <c r="G86" s="659">
        <f t="shared" si="7"/>
        <v>0.47904000000000002</v>
      </c>
      <c r="H86" s="666">
        <f t="shared" si="20"/>
        <v>0.47904000000000002</v>
      </c>
      <c r="I86" s="660">
        <f t="shared" si="22"/>
        <v>0.47904000000000002</v>
      </c>
      <c r="J86" s="660">
        <f t="shared" si="22"/>
        <v>0.47904000000000002</v>
      </c>
      <c r="K86" s="660">
        <f t="shared" si="22"/>
        <v>0.47904000000000002</v>
      </c>
      <c r="L86" s="660">
        <f t="shared" si="22"/>
        <v>0.47904000000000002</v>
      </c>
      <c r="M86" s="660">
        <f t="shared" si="22"/>
        <v>0.47904000000000002</v>
      </c>
      <c r="N86" s="660">
        <f t="shared" si="22"/>
        <v>0.47904000000000002</v>
      </c>
      <c r="O86" s="660">
        <f t="shared" si="22"/>
        <v>0.47904000000000002</v>
      </c>
      <c r="P86" s="660">
        <f t="shared" si="22"/>
        <v>0.47904000000000002</v>
      </c>
      <c r="Q86" s="660">
        <f t="shared" si="22"/>
        <v>0.47904000000000002</v>
      </c>
      <c r="R86" s="660">
        <f t="shared" si="22"/>
        <v>0.47904000000000002</v>
      </c>
      <c r="S86" s="660">
        <f t="shared" si="22"/>
        <v>0.47904000000000002</v>
      </c>
      <c r="T86" s="660">
        <f t="shared" si="22"/>
        <v>0.47904000000000002</v>
      </c>
      <c r="U86" s="660">
        <f t="shared" si="22"/>
        <v>0.47904000000000002</v>
      </c>
      <c r="V86" s="660">
        <f t="shared" si="22"/>
        <v>0.47904000000000002</v>
      </c>
      <c r="X86" s="307" t="s">
        <v>698</v>
      </c>
      <c r="Y86" s="302">
        <v>167</v>
      </c>
      <c r="AA86" s="107" t="s">
        <v>699</v>
      </c>
      <c r="AB86" s="108">
        <v>157</v>
      </c>
    </row>
    <row r="87" spans="2:28" x14ac:dyDescent="0.3">
      <c r="B87" s="186" t="s">
        <v>490</v>
      </c>
      <c r="C87" s="186" t="s">
        <v>319</v>
      </c>
      <c r="D87" s="186"/>
      <c r="E87" s="186"/>
      <c r="F87" s="186" t="s">
        <v>412</v>
      </c>
      <c r="G87" s="659">
        <f t="shared" si="7"/>
        <v>0.39604</v>
      </c>
      <c r="H87" s="666">
        <f t="shared" si="20"/>
        <v>0.39604</v>
      </c>
      <c r="I87" s="660">
        <f t="shared" si="22"/>
        <v>0.39604</v>
      </c>
      <c r="J87" s="660">
        <f t="shared" si="22"/>
        <v>0.39604</v>
      </c>
      <c r="K87" s="660">
        <f t="shared" si="22"/>
        <v>0.39604</v>
      </c>
      <c r="L87" s="660">
        <f t="shared" si="22"/>
        <v>0.39604</v>
      </c>
      <c r="M87" s="660">
        <f t="shared" si="22"/>
        <v>0.39604</v>
      </c>
      <c r="N87" s="660">
        <f t="shared" si="22"/>
        <v>0.39604</v>
      </c>
      <c r="O87" s="660">
        <f t="shared" si="22"/>
        <v>0.39604</v>
      </c>
      <c r="P87" s="660">
        <f t="shared" si="22"/>
        <v>0.39604</v>
      </c>
      <c r="Q87" s="660">
        <f t="shared" si="22"/>
        <v>0.39604</v>
      </c>
      <c r="R87" s="660">
        <f t="shared" si="22"/>
        <v>0.39604</v>
      </c>
      <c r="S87" s="660">
        <f t="shared" si="22"/>
        <v>0.39604</v>
      </c>
      <c r="T87" s="660">
        <f t="shared" si="22"/>
        <v>0.39604</v>
      </c>
      <c r="U87" s="660">
        <f t="shared" si="22"/>
        <v>0.39604</v>
      </c>
      <c r="V87" s="660">
        <f t="shared" si="22"/>
        <v>0.39604</v>
      </c>
      <c r="X87" s="307" t="s">
        <v>698</v>
      </c>
      <c r="Y87" s="302">
        <v>202</v>
      </c>
      <c r="AA87" s="107" t="s">
        <v>699</v>
      </c>
      <c r="AB87" s="108">
        <v>191</v>
      </c>
    </row>
    <row r="88" spans="2:28" x14ac:dyDescent="0.3">
      <c r="B88" s="186" t="s">
        <v>490</v>
      </c>
      <c r="C88" s="186" t="s">
        <v>320</v>
      </c>
      <c r="D88" s="186"/>
      <c r="E88" s="186"/>
      <c r="F88" s="186" t="s">
        <v>410</v>
      </c>
      <c r="G88" s="659">
        <f t="shared" si="7"/>
        <v>0.38646999999999998</v>
      </c>
      <c r="H88" s="666">
        <f t="shared" si="20"/>
        <v>0.38646999999999998</v>
      </c>
      <c r="I88" s="660">
        <f t="shared" si="22"/>
        <v>0.38646999999999998</v>
      </c>
      <c r="J88" s="660">
        <f t="shared" si="22"/>
        <v>0.38646999999999998</v>
      </c>
      <c r="K88" s="660">
        <f t="shared" si="22"/>
        <v>0.38646999999999998</v>
      </c>
      <c r="L88" s="660">
        <f t="shared" si="22"/>
        <v>0.38646999999999998</v>
      </c>
      <c r="M88" s="660">
        <f t="shared" si="22"/>
        <v>0.38646999999999998</v>
      </c>
      <c r="N88" s="660">
        <f t="shared" si="22"/>
        <v>0.38646999999999998</v>
      </c>
      <c r="O88" s="660">
        <f t="shared" si="22"/>
        <v>0.38646999999999998</v>
      </c>
      <c r="P88" s="660">
        <f t="shared" si="22"/>
        <v>0.38646999999999998</v>
      </c>
      <c r="Q88" s="660">
        <f t="shared" si="22"/>
        <v>0.38646999999999998</v>
      </c>
      <c r="R88" s="660">
        <f t="shared" si="22"/>
        <v>0.38646999999999998</v>
      </c>
      <c r="S88" s="660">
        <f t="shared" si="22"/>
        <v>0.38646999999999998</v>
      </c>
      <c r="T88" s="660">
        <f t="shared" si="22"/>
        <v>0.38646999999999998</v>
      </c>
      <c r="U88" s="660">
        <f t="shared" si="22"/>
        <v>0.38646999999999998</v>
      </c>
      <c r="V88" s="660">
        <f t="shared" si="22"/>
        <v>0.38646999999999998</v>
      </c>
      <c r="X88" s="307" t="s">
        <v>700</v>
      </c>
      <c r="Y88" s="302">
        <v>207</v>
      </c>
      <c r="AA88" s="107" t="s">
        <v>699</v>
      </c>
      <c r="AB88" s="108">
        <v>193</v>
      </c>
    </row>
    <row r="89" spans="2:28" x14ac:dyDescent="0.3">
      <c r="B89" s="186" t="s">
        <v>490</v>
      </c>
      <c r="C89" s="186" t="s">
        <v>320</v>
      </c>
      <c r="D89" s="186"/>
      <c r="E89" s="186"/>
      <c r="F89" s="186" t="s">
        <v>412</v>
      </c>
      <c r="G89" s="659">
        <f t="shared" si="7"/>
        <v>0.31873000000000001</v>
      </c>
      <c r="H89" s="666">
        <f t="shared" si="20"/>
        <v>0.31873000000000001</v>
      </c>
      <c r="I89" s="660">
        <f t="shared" si="22"/>
        <v>0.31873000000000001</v>
      </c>
      <c r="J89" s="660">
        <f t="shared" si="22"/>
        <v>0.31873000000000001</v>
      </c>
      <c r="K89" s="660">
        <f t="shared" si="22"/>
        <v>0.31873000000000001</v>
      </c>
      <c r="L89" s="660">
        <f t="shared" si="22"/>
        <v>0.31873000000000001</v>
      </c>
      <c r="M89" s="660">
        <f t="shared" si="22"/>
        <v>0.31873000000000001</v>
      </c>
      <c r="N89" s="660">
        <f t="shared" si="22"/>
        <v>0.31873000000000001</v>
      </c>
      <c r="O89" s="660">
        <f t="shared" si="22"/>
        <v>0.31873000000000001</v>
      </c>
      <c r="P89" s="660">
        <f t="shared" si="22"/>
        <v>0.31873000000000001</v>
      </c>
      <c r="Q89" s="660">
        <f t="shared" si="22"/>
        <v>0.31873000000000001</v>
      </c>
      <c r="R89" s="660">
        <f t="shared" si="22"/>
        <v>0.31873000000000001</v>
      </c>
      <c r="S89" s="660">
        <f t="shared" si="22"/>
        <v>0.31873000000000001</v>
      </c>
      <c r="T89" s="660">
        <f t="shared" si="22"/>
        <v>0.31873000000000001</v>
      </c>
      <c r="U89" s="660">
        <f t="shared" si="22"/>
        <v>0.31873000000000001</v>
      </c>
      <c r="V89" s="660">
        <f t="shared" si="22"/>
        <v>0.31873000000000001</v>
      </c>
      <c r="X89" s="307" t="s">
        <v>700</v>
      </c>
      <c r="Y89" s="302">
        <v>251</v>
      </c>
      <c r="AA89" s="107" t="s">
        <v>699</v>
      </c>
      <c r="AB89" s="108">
        <v>235</v>
      </c>
    </row>
    <row r="90" spans="2:28" s="19" customFormat="1" x14ac:dyDescent="0.3">
      <c r="B90" s="186" t="s">
        <v>490</v>
      </c>
      <c r="C90" s="186" t="s">
        <v>321</v>
      </c>
      <c r="D90" s="186"/>
      <c r="E90" s="186"/>
      <c r="F90" s="186" t="s">
        <v>410</v>
      </c>
      <c r="G90" s="659">
        <f t="shared" si="7"/>
        <v>0.68376000000000003</v>
      </c>
      <c r="H90" s="666">
        <f t="shared" si="20"/>
        <v>0.68376000000000003</v>
      </c>
      <c r="I90" s="660">
        <f t="shared" si="22"/>
        <v>0.68376000000000003</v>
      </c>
      <c r="J90" s="660">
        <f t="shared" si="22"/>
        <v>0.68376000000000003</v>
      </c>
      <c r="K90" s="660">
        <f t="shared" si="22"/>
        <v>0.68376000000000003</v>
      </c>
      <c r="L90" s="660">
        <f t="shared" si="22"/>
        <v>0.68376000000000003</v>
      </c>
      <c r="M90" s="660">
        <f t="shared" si="22"/>
        <v>0.68376000000000003</v>
      </c>
      <c r="N90" s="660">
        <f t="shared" si="22"/>
        <v>0.68376000000000003</v>
      </c>
      <c r="O90" s="660">
        <f t="shared" si="22"/>
        <v>0.68376000000000003</v>
      </c>
      <c r="P90" s="660">
        <f t="shared" si="22"/>
        <v>0.68376000000000003</v>
      </c>
      <c r="Q90" s="660">
        <f t="shared" si="22"/>
        <v>0.68376000000000003</v>
      </c>
      <c r="R90" s="660">
        <f t="shared" si="22"/>
        <v>0.68376000000000003</v>
      </c>
      <c r="S90" s="660">
        <f t="shared" si="22"/>
        <v>0.68376000000000003</v>
      </c>
      <c r="T90" s="660">
        <f t="shared" si="22"/>
        <v>0.68376000000000003</v>
      </c>
      <c r="U90" s="660">
        <f t="shared" si="22"/>
        <v>0.68376000000000003</v>
      </c>
      <c r="V90" s="660">
        <f t="shared" si="22"/>
        <v>0.68376000000000003</v>
      </c>
      <c r="X90" s="307" t="s">
        <v>698</v>
      </c>
      <c r="Y90" s="302">
        <v>117</v>
      </c>
      <c r="AA90" s="107" t="s">
        <v>699</v>
      </c>
      <c r="AB90" s="108">
        <v>117</v>
      </c>
    </row>
    <row r="91" spans="2:28" s="19" customFormat="1" x14ac:dyDescent="0.3">
      <c r="B91" s="186" t="s">
        <v>490</v>
      </c>
      <c r="C91" s="186" t="s">
        <v>321</v>
      </c>
      <c r="D91" s="186"/>
      <c r="E91" s="186"/>
      <c r="F91" s="186" t="s">
        <v>412</v>
      </c>
      <c r="G91" s="659">
        <f t="shared" si="7"/>
        <v>0.87912000000000001</v>
      </c>
      <c r="H91" s="666">
        <f t="shared" si="20"/>
        <v>0.87912000000000001</v>
      </c>
      <c r="I91" s="660">
        <f t="shared" si="22"/>
        <v>0.87912000000000001</v>
      </c>
      <c r="J91" s="660">
        <f t="shared" si="22"/>
        <v>0.87912000000000001</v>
      </c>
      <c r="K91" s="660">
        <f t="shared" si="22"/>
        <v>0.87912000000000001</v>
      </c>
      <c r="L91" s="660">
        <f t="shared" si="22"/>
        <v>0.87912000000000001</v>
      </c>
      <c r="M91" s="660">
        <f t="shared" si="22"/>
        <v>0.87912000000000001</v>
      </c>
      <c r="N91" s="660">
        <f t="shared" si="22"/>
        <v>0.87912000000000001</v>
      </c>
      <c r="O91" s="660">
        <f t="shared" si="22"/>
        <v>0.87912000000000001</v>
      </c>
      <c r="P91" s="660">
        <f t="shared" si="22"/>
        <v>0.87912000000000001</v>
      </c>
      <c r="Q91" s="660">
        <f t="shared" si="22"/>
        <v>0.87912000000000001</v>
      </c>
      <c r="R91" s="660">
        <f t="shared" si="22"/>
        <v>0.87912000000000001</v>
      </c>
      <c r="S91" s="660">
        <f t="shared" si="22"/>
        <v>0.87912000000000001</v>
      </c>
      <c r="T91" s="660">
        <f t="shared" si="22"/>
        <v>0.87912000000000001</v>
      </c>
      <c r="U91" s="660">
        <f t="shared" si="22"/>
        <v>0.87912000000000001</v>
      </c>
      <c r="V91" s="660">
        <f t="shared" si="22"/>
        <v>0.87912000000000001</v>
      </c>
      <c r="X91" s="307" t="s">
        <v>698</v>
      </c>
      <c r="Y91" s="302">
        <v>91</v>
      </c>
      <c r="AA91" s="107" t="s">
        <v>699</v>
      </c>
      <c r="AB91" s="108">
        <v>92</v>
      </c>
    </row>
    <row r="92" spans="2:28" s="19" customFormat="1" x14ac:dyDescent="0.3">
      <c r="B92" s="186" t="s">
        <v>490</v>
      </c>
      <c r="C92" s="186" t="s">
        <v>322</v>
      </c>
      <c r="D92" s="186"/>
      <c r="E92" s="186"/>
      <c r="F92" s="186" t="s">
        <v>410</v>
      </c>
      <c r="G92" s="659">
        <f t="shared" si="7"/>
        <v>0.72726999999999997</v>
      </c>
      <c r="H92" s="666">
        <f t="shared" si="20"/>
        <v>0.72726999999999997</v>
      </c>
      <c r="I92" s="660">
        <f t="shared" si="22"/>
        <v>0.72726999999999997</v>
      </c>
      <c r="J92" s="660">
        <f t="shared" si="22"/>
        <v>0.72726999999999997</v>
      </c>
      <c r="K92" s="660">
        <f t="shared" si="22"/>
        <v>0.72726999999999997</v>
      </c>
      <c r="L92" s="660">
        <f t="shared" si="22"/>
        <v>0.72726999999999997</v>
      </c>
      <c r="M92" s="660">
        <f t="shared" si="22"/>
        <v>0.72726999999999997</v>
      </c>
      <c r="N92" s="660">
        <f t="shared" si="22"/>
        <v>0.72726999999999997</v>
      </c>
      <c r="O92" s="660">
        <f t="shared" si="22"/>
        <v>0.72726999999999997</v>
      </c>
      <c r="P92" s="660">
        <f t="shared" si="22"/>
        <v>0.72726999999999997</v>
      </c>
      <c r="Q92" s="660">
        <f t="shared" si="22"/>
        <v>0.72726999999999997</v>
      </c>
      <c r="R92" s="660">
        <f t="shared" si="22"/>
        <v>0.72726999999999997</v>
      </c>
      <c r="S92" s="660">
        <f t="shared" si="22"/>
        <v>0.72726999999999997</v>
      </c>
      <c r="T92" s="660">
        <f t="shared" si="22"/>
        <v>0.72726999999999997</v>
      </c>
      <c r="U92" s="660">
        <f t="shared" si="22"/>
        <v>0.72726999999999997</v>
      </c>
      <c r="V92" s="660">
        <f t="shared" si="22"/>
        <v>0.72726999999999997</v>
      </c>
      <c r="X92" s="307" t="s">
        <v>698</v>
      </c>
      <c r="Y92" s="302">
        <v>110</v>
      </c>
      <c r="AA92" s="107" t="s">
        <v>699</v>
      </c>
      <c r="AB92" s="108">
        <v>110</v>
      </c>
    </row>
    <row r="93" spans="2:28" s="19" customFormat="1" x14ac:dyDescent="0.3">
      <c r="B93" s="186" t="s">
        <v>490</v>
      </c>
      <c r="C93" s="186" t="s">
        <v>322</v>
      </c>
      <c r="D93" s="186"/>
      <c r="E93" s="186"/>
      <c r="F93" s="186" t="s">
        <v>412</v>
      </c>
      <c r="G93" s="659">
        <f t="shared" si="7"/>
        <v>0.82474000000000003</v>
      </c>
      <c r="H93" s="666">
        <f t="shared" si="20"/>
        <v>0.82474000000000003</v>
      </c>
      <c r="I93" s="660">
        <f t="shared" si="22"/>
        <v>0.82474000000000003</v>
      </c>
      <c r="J93" s="660">
        <f t="shared" si="22"/>
        <v>0.82474000000000003</v>
      </c>
      <c r="K93" s="660">
        <f t="shared" si="22"/>
        <v>0.82474000000000003</v>
      </c>
      <c r="L93" s="660">
        <f t="shared" si="22"/>
        <v>0.82474000000000003</v>
      </c>
      <c r="M93" s="660">
        <f t="shared" si="22"/>
        <v>0.82474000000000003</v>
      </c>
      <c r="N93" s="660">
        <f t="shared" si="22"/>
        <v>0.82474000000000003</v>
      </c>
      <c r="O93" s="660">
        <f t="shared" si="22"/>
        <v>0.82474000000000003</v>
      </c>
      <c r="P93" s="660">
        <f t="shared" si="22"/>
        <v>0.82474000000000003</v>
      </c>
      <c r="Q93" s="660">
        <f t="shared" si="22"/>
        <v>0.82474000000000003</v>
      </c>
      <c r="R93" s="660">
        <f t="shared" si="22"/>
        <v>0.82474000000000003</v>
      </c>
      <c r="S93" s="660">
        <f t="shared" si="22"/>
        <v>0.82474000000000003</v>
      </c>
      <c r="T93" s="660">
        <f t="shared" si="22"/>
        <v>0.82474000000000003</v>
      </c>
      <c r="U93" s="660">
        <f t="shared" si="22"/>
        <v>0.82474000000000003</v>
      </c>
      <c r="V93" s="660">
        <f t="shared" si="22"/>
        <v>0.82474000000000003</v>
      </c>
      <c r="X93" s="307" t="s">
        <v>698</v>
      </c>
      <c r="Y93" s="302">
        <v>97</v>
      </c>
      <c r="AA93" s="107" t="s">
        <v>699</v>
      </c>
      <c r="AB93" s="108">
        <v>99</v>
      </c>
    </row>
    <row r="94" spans="2:28" s="19" customFormat="1" x14ac:dyDescent="0.3">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hidden="1" x14ac:dyDescent="0.3">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hidden="1" x14ac:dyDescent="0.3">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hidden="1" x14ac:dyDescent="0.3">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hidden="1" x14ac:dyDescent="0.3">
      <c r="B99" s="186" t="s">
        <v>76</v>
      </c>
      <c r="C99" s="186" t="s">
        <v>323</v>
      </c>
      <c r="D99" s="186"/>
      <c r="E99" s="186"/>
      <c r="F99" s="186" t="s">
        <v>76</v>
      </c>
      <c r="G99" s="659">
        <f t="shared" ref="G99:G102" si="23">ROUND(10^2/Y99,5)</f>
        <v>1.8799399999999999</v>
      </c>
      <c r="H99" s="666">
        <f>$G99</f>
        <v>1.8799399999999999</v>
      </c>
      <c r="I99" s="666">
        <f>$H99</f>
        <v>1.8799399999999999</v>
      </c>
      <c r="J99" s="666">
        <f t="shared" ref="I99:V102" si="24">$H99</f>
        <v>1.8799399999999999</v>
      </c>
      <c r="K99" s="666">
        <f t="shared" si="24"/>
        <v>1.8799399999999999</v>
      </c>
      <c r="L99" s="666">
        <f t="shared" si="24"/>
        <v>1.8799399999999999</v>
      </c>
      <c r="M99" s="666">
        <f t="shared" si="24"/>
        <v>1.8799399999999999</v>
      </c>
      <c r="N99" s="666">
        <f t="shared" si="24"/>
        <v>1.8799399999999999</v>
      </c>
      <c r="O99" s="666">
        <f t="shared" si="24"/>
        <v>1.8799399999999999</v>
      </c>
      <c r="P99" s="666">
        <f t="shared" si="24"/>
        <v>1.8799399999999999</v>
      </c>
      <c r="Q99" s="666">
        <f t="shared" si="24"/>
        <v>1.8799399999999999</v>
      </c>
      <c r="R99" s="666">
        <f t="shared" si="24"/>
        <v>1.8799399999999999</v>
      </c>
      <c r="S99" s="666">
        <f t="shared" si="24"/>
        <v>1.8799399999999999</v>
      </c>
      <c r="T99" s="666">
        <f t="shared" si="24"/>
        <v>1.8799399999999999</v>
      </c>
      <c r="U99" s="666">
        <f t="shared" si="24"/>
        <v>1.8799399999999999</v>
      </c>
      <c r="V99" s="666">
        <f t="shared" si="24"/>
        <v>1.8799399999999999</v>
      </c>
      <c r="X99" s="307" t="s">
        <v>702</v>
      </c>
      <c r="Y99" s="412">
        <f>Y100*Y76/Y82</f>
        <v>53.193236714975846</v>
      </c>
      <c r="AA99" s="107" t="s">
        <v>703</v>
      </c>
      <c r="AB99" s="108">
        <v>143</v>
      </c>
    </row>
    <row r="100" spans="2:36" hidden="1" x14ac:dyDescent="0.3">
      <c r="B100" s="186" t="s">
        <v>76</v>
      </c>
      <c r="C100" s="186" t="s">
        <v>324</v>
      </c>
      <c r="D100" s="186"/>
      <c r="E100" s="186"/>
      <c r="F100" s="186" t="s">
        <v>76</v>
      </c>
      <c r="G100" s="659">
        <f t="shared" si="23"/>
        <v>0.69930000000000003</v>
      </c>
      <c r="H100" s="666">
        <f>$G100</f>
        <v>0.69930000000000003</v>
      </c>
      <c r="I100" s="666">
        <f t="shared" si="24"/>
        <v>0.69930000000000003</v>
      </c>
      <c r="J100" s="666">
        <f t="shared" si="24"/>
        <v>0.69930000000000003</v>
      </c>
      <c r="K100" s="666">
        <f t="shared" si="24"/>
        <v>0.69930000000000003</v>
      </c>
      <c r="L100" s="666">
        <f t="shared" si="24"/>
        <v>0.69930000000000003</v>
      </c>
      <c r="M100" s="666">
        <f t="shared" si="24"/>
        <v>0.69930000000000003</v>
      </c>
      <c r="N100" s="666">
        <f t="shared" si="24"/>
        <v>0.69930000000000003</v>
      </c>
      <c r="O100" s="666">
        <f t="shared" si="24"/>
        <v>0.69930000000000003</v>
      </c>
      <c r="P100" s="666">
        <f t="shared" si="24"/>
        <v>0.69930000000000003</v>
      </c>
      <c r="Q100" s="666">
        <f t="shared" si="24"/>
        <v>0.69930000000000003</v>
      </c>
      <c r="R100" s="666">
        <f t="shared" si="24"/>
        <v>0.69930000000000003</v>
      </c>
      <c r="S100" s="666">
        <f t="shared" si="24"/>
        <v>0.69930000000000003</v>
      </c>
      <c r="T100" s="666">
        <f t="shared" si="24"/>
        <v>0.69930000000000003</v>
      </c>
      <c r="U100" s="666">
        <f t="shared" si="24"/>
        <v>0.69930000000000003</v>
      </c>
      <c r="V100" s="666">
        <f t="shared" si="24"/>
        <v>0.69930000000000003</v>
      </c>
      <c r="X100" s="307" t="s">
        <v>703</v>
      </c>
      <c r="Y100" s="302">
        <v>143</v>
      </c>
      <c r="AA100" s="107" t="s">
        <v>703</v>
      </c>
      <c r="AB100" s="108">
        <v>143</v>
      </c>
    </row>
    <row r="101" spans="2:36" hidden="1" x14ac:dyDescent="0.3">
      <c r="B101" s="186" t="s">
        <v>76</v>
      </c>
      <c r="C101" s="186" t="s">
        <v>541</v>
      </c>
      <c r="D101" s="186"/>
      <c r="E101" s="186"/>
      <c r="F101" s="186" t="s">
        <v>494</v>
      </c>
      <c r="G101" s="659">
        <f t="shared" si="23"/>
        <v>1.8799399999999999</v>
      </c>
      <c r="H101" s="666">
        <f>$G101</f>
        <v>1.8799399999999999</v>
      </c>
      <c r="I101" s="666">
        <f t="shared" si="24"/>
        <v>1.8799399999999999</v>
      </c>
      <c r="J101" s="666">
        <f t="shared" si="24"/>
        <v>1.8799399999999999</v>
      </c>
      <c r="K101" s="666">
        <f t="shared" si="24"/>
        <v>1.8799399999999999</v>
      </c>
      <c r="L101" s="666">
        <f t="shared" si="24"/>
        <v>1.8799399999999999</v>
      </c>
      <c r="M101" s="666">
        <f t="shared" si="24"/>
        <v>1.8799399999999999</v>
      </c>
      <c r="N101" s="666">
        <f t="shared" si="24"/>
        <v>1.8799399999999999</v>
      </c>
      <c r="O101" s="666">
        <f t="shared" si="24"/>
        <v>1.8799399999999999</v>
      </c>
      <c r="P101" s="666">
        <f t="shared" si="24"/>
        <v>1.8799399999999999</v>
      </c>
      <c r="Q101" s="666">
        <f t="shared" si="24"/>
        <v>1.8799399999999999</v>
      </c>
      <c r="R101" s="666">
        <f t="shared" si="24"/>
        <v>1.8799399999999999</v>
      </c>
      <c r="S101" s="666">
        <f t="shared" si="24"/>
        <v>1.8799399999999999</v>
      </c>
      <c r="T101" s="666">
        <f t="shared" si="24"/>
        <v>1.8799399999999999</v>
      </c>
      <c r="U101" s="666">
        <f t="shared" si="24"/>
        <v>1.8799399999999999</v>
      </c>
      <c r="V101" s="666">
        <f t="shared" si="24"/>
        <v>1.8799399999999999</v>
      </c>
      <c r="X101" s="307" t="s">
        <v>702</v>
      </c>
      <c r="Y101" s="412">
        <f>Y102*Y76/Y82</f>
        <v>53.193236714975846</v>
      </c>
      <c r="AA101" s="107" t="s">
        <v>703</v>
      </c>
      <c r="AB101" s="108">
        <v>143</v>
      </c>
    </row>
    <row r="102" spans="2:36" hidden="1" x14ac:dyDescent="0.3">
      <c r="B102" s="186" t="s">
        <v>76</v>
      </c>
      <c r="C102" s="186" t="s">
        <v>542</v>
      </c>
      <c r="D102" s="186"/>
      <c r="E102" s="186"/>
      <c r="F102" s="186" t="s">
        <v>494</v>
      </c>
      <c r="G102" s="659">
        <f t="shared" si="23"/>
        <v>0.69930000000000003</v>
      </c>
      <c r="H102" s="666">
        <f>$G102</f>
        <v>0.69930000000000003</v>
      </c>
      <c r="I102" s="666">
        <f t="shared" si="24"/>
        <v>0.69930000000000003</v>
      </c>
      <c r="J102" s="666">
        <f t="shared" si="24"/>
        <v>0.69930000000000003</v>
      </c>
      <c r="K102" s="666">
        <f t="shared" si="24"/>
        <v>0.69930000000000003</v>
      </c>
      <c r="L102" s="666">
        <f t="shared" si="24"/>
        <v>0.69930000000000003</v>
      </c>
      <c r="M102" s="666">
        <f t="shared" si="24"/>
        <v>0.69930000000000003</v>
      </c>
      <c r="N102" s="666">
        <f t="shared" si="24"/>
        <v>0.69930000000000003</v>
      </c>
      <c r="O102" s="666">
        <f t="shared" si="24"/>
        <v>0.69930000000000003</v>
      </c>
      <c r="P102" s="666">
        <f t="shared" si="24"/>
        <v>0.69930000000000003</v>
      </c>
      <c r="Q102" s="666">
        <f t="shared" si="24"/>
        <v>0.69930000000000003</v>
      </c>
      <c r="R102" s="666">
        <f t="shared" si="24"/>
        <v>0.69930000000000003</v>
      </c>
      <c r="S102" s="666">
        <f t="shared" si="24"/>
        <v>0.69930000000000003</v>
      </c>
      <c r="T102" s="666">
        <f t="shared" si="24"/>
        <v>0.69930000000000003</v>
      </c>
      <c r="U102" s="666">
        <f t="shared" si="24"/>
        <v>0.69930000000000003</v>
      </c>
      <c r="V102" s="666">
        <f t="shared" si="24"/>
        <v>0.69930000000000003</v>
      </c>
      <c r="X102" s="307" t="s">
        <v>703</v>
      </c>
      <c r="Y102" s="302">
        <v>143</v>
      </c>
      <c r="AA102" s="107" t="s">
        <v>703</v>
      </c>
      <c r="AB102" s="108">
        <v>143</v>
      </c>
    </row>
    <row r="103" spans="2:36" hidden="1" x14ac:dyDescent="0.3">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hidden="1" x14ac:dyDescent="0.3">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3">
      <c r="B105" s="466" t="s">
        <v>704</v>
      </c>
      <c r="G105" s="821">
        <v>1</v>
      </c>
      <c r="X105" s="106" t="s">
        <v>692</v>
      </c>
      <c r="AA105" s="106" t="s">
        <v>693</v>
      </c>
    </row>
    <row r="106" spans="2:36" x14ac:dyDescent="0.3">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3">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3">
      <c r="B108" s="186" t="s">
        <v>77</v>
      </c>
      <c r="C108" s="186" t="s">
        <v>325</v>
      </c>
      <c r="D108" s="186"/>
      <c r="E108" s="186"/>
      <c r="F108" s="186" t="s">
        <v>415</v>
      </c>
      <c r="G108" s="659">
        <f>ROUND(10^2/(Y108*$G$105),5)</f>
        <v>6.6669999999999993E-2</v>
      </c>
      <c r="H108" s="666">
        <f t="shared" ref="H108:H151" si="25">$G108</f>
        <v>6.6669999999999993E-2</v>
      </c>
      <c r="I108" s="666">
        <f t="shared" ref="I108:V117" si="26">$H108</f>
        <v>6.6669999999999993E-2</v>
      </c>
      <c r="J108" s="666">
        <f t="shared" si="26"/>
        <v>6.6669999999999993E-2</v>
      </c>
      <c r="K108" s="666">
        <f t="shared" si="26"/>
        <v>6.6669999999999993E-2</v>
      </c>
      <c r="L108" s="666">
        <f t="shared" si="26"/>
        <v>6.6669999999999993E-2</v>
      </c>
      <c r="M108" s="666">
        <f t="shared" si="26"/>
        <v>6.6669999999999993E-2</v>
      </c>
      <c r="N108" s="666">
        <f t="shared" si="26"/>
        <v>6.6669999999999993E-2</v>
      </c>
      <c r="O108" s="666">
        <f t="shared" si="26"/>
        <v>6.6669999999999993E-2</v>
      </c>
      <c r="P108" s="666">
        <f t="shared" si="26"/>
        <v>6.6669999999999993E-2</v>
      </c>
      <c r="Q108" s="666">
        <f t="shared" si="26"/>
        <v>6.6669999999999993E-2</v>
      </c>
      <c r="R108" s="666">
        <f t="shared" si="26"/>
        <v>6.6669999999999993E-2</v>
      </c>
      <c r="S108" s="666">
        <f t="shared" si="26"/>
        <v>6.6669999999999993E-2</v>
      </c>
      <c r="T108" s="666">
        <f t="shared" si="26"/>
        <v>6.6669999999999993E-2</v>
      </c>
      <c r="U108" s="666">
        <f t="shared" si="26"/>
        <v>6.6669999999999993E-2</v>
      </c>
      <c r="V108" s="666">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3">
      <c r="B109" s="186" t="s">
        <v>77</v>
      </c>
      <c r="C109" s="186" t="s">
        <v>706</v>
      </c>
      <c r="D109" s="186"/>
      <c r="E109" s="186"/>
      <c r="F109" s="186" t="s">
        <v>592</v>
      </c>
      <c r="G109" s="659">
        <f t="shared" ref="G109:G151" si="28">ROUND(10^2/(Y109*$G$105),5)</f>
        <v>6.6669999999999993E-2</v>
      </c>
      <c r="H109" s="666">
        <f t="shared" si="25"/>
        <v>6.6669999999999993E-2</v>
      </c>
      <c r="I109" s="666">
        <f t="shared" si="26"/>
        <v>6.6669999999999993E-2</v>
      </c>
      <c r="J109" s="666">
        <f t="shared" si="26"/>
        <v>6.6669999999999993E-2</v>
      </c>
      <c r="K109" s="666">
        <f t="shared" si="26"/>
        <v>6.6669999999999993E-2</v>
      </c>
      <c r="L109" s="666">
        <f t="shared" si="26"/>
        <v>6.6669999999999993E-2</v>
      </c>
      <c r="M109" s="666">
        <f t="shared" si="26"/>
        <v>6.6669999999999993E-2</v>
      </c>
      <c r="N109" s="666">
        <f t="shared" si="26"/>
        <v>6.6669999999999993E-2</v>
      </c>
      <c r="O109" s="666">
        <f t="shared" si="26"/>
        <v>6.6669999999999993E-2</v>
      </c>
      <c r="P109" s="666">
        <f t="shared" si="26"/>
        <v>6.6669999999999993E-2</v>
      </c>
      <c r="Q109" s="666">
        <f t="shared" si="26"/>
        <v>6.6669999999999993E-2</v>
      </c>
      <c r="R109" s="666">
        <f t="shared" si="26"/>
        <v>6.6669999999999993E-2</v>
      </c>
      <c r="S109" s="666">
        <f t="shared" si="26"/>
        <v>6.6669999999999993E-2</v>
      </c>
      <c r="T109" s="666">
        <f t="shared" si="26"/>
        <v>6.6669999999999993E-2</v>
      </c>
      <c r="U109" s="666">
        <f t="shared" si="26"/>
        <v>6.6669999999999993E-2</v>
      </c>
      <c r="V109" s="666">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3">
      <c r="B110" s="186" t="s">
        <v>77</v>
      </c>
      <c r="C110" s="186" t="s">
        <v>326</v>
      </c>
      <c r="D110" s="186"/>
      <c r="E110" s="186"/>
      <c r="F110" s="186" t="s">
        <v>415</v>
      </c>
      <c r="G110" s="659">
        <f t="shared" si="28"/>
        <v>6.6669999999999993E-2</v>
      </c>
      <c r="H110" s="666">
        <f t="shared" si="25"/>
        <v>6.6669999999999993E-2</v>
      </c>
      <c r="I110" s="666">
        <f t="shared" si="26"/>
        <v>6.6669999999999993E-2</v>
      </c>
      <c r="J110" s="666">
        <f t="shared" si="26"/>
        <v>6.6669999999999993E-2</v>
      </c>
      <c r="K110" s="666">
        <f t="shared" si="26"/>
        <v>6.6669999999999993E-2</v>
      </c>
      <c r="L110" s="666">
        <f t="shared" si="26"/>
        <v>6.6669999999999993E-2</v>
      </c>
      <c r="M110" s="666">
        <f t="shared" si="26"/>
        <v>6.6669999999999993E-2</v>
      </c>
      <c r="N110" s="666">
        <f t="shared" si="26"/>
        <v>6.6669999999999993E-2</v>
      </c>
      <c r="O110" s="666">
        <f t="shared" si="26"/>
        <v>6.6669999999999993E-2</v>
      </c>
      <c r="P110" s="666">
        <f t="shared" si="26"/>
        <v>6.6669999999999993E-2</v>
      </c>
      <c r="Q110" s="666">
        <f t="shared" si="26"/>
        <v>6.6669999999999993E-2</v>
      </c>
      <c r="R110" s="666">
        <f t="shared" si="26"/>
        <v>6.6669999999999993E-2</v>
      </c>
      <c r="S110" s="666">
        <f t="shared" si="26"/>
        <v>6.6669999999999993E-2</v>
      </c>
      <c r="T110" s="666">
        <f t="shared" si="26"/>
        <v>6.6669999999999993E-2</v>
      </c>
      <c r="U110" s="666">
        <f t="shared" si="26"/>
        <v>6.6669999999999993E-2</v>
      </c>
      <c r="V110" s="666">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3">
      <c r="B111" s="186" t="s">
        <v>77</v>
      </c>
      <c r="C111" s="186" t="s">
        <v>326</v>
      </c>
      <c r="D111" s="186"/>
      <c r="E111" s="186"/>
      <c r="F111" s="186" t="s">
        <v>592</v>
      </c>
      <c r="G111" s="659">
        <f t="shared" si="28"/>
        <v>6.6669999999999993E-2</v>
      </c>
      <c r="H111" s="666">
        <f t="shared" si="25"/>
        <v>6.6669999999999993E-2</v>
      </c>
      <c r="I111" s="666">
        <f t="shared" si="26"/>
        <v>6.6669999999999993E-2</v>
      </c>
      <c r="J111" s="666">
        <f t="shared" si="26"/>
        <v>6.6669999999999993E-2</v>
      </c>
      <c r="K111" s="666">
        <f t="shared" si="26"/>
        <v>6.6669999999999993E-2</v>
      </c>
      <c r="L111" s="666">
        <f t="shared" si="26"/>
        <v>6.6669999999999993E-2</v>
      </c>
      <c r="M111" s="666">
        <f t="shared" si="26"/>
        <v>6.6669999999999993E-2</v>
      </c>
      <c r="N111" s="666">
        <f t="shared" si="26"/>
        <v>6.6669999999999993E-2</v>
      </c>
      <c r="O111" s="666">
        <f t="shared" si="26"/>
        <v>6.6669999999999993E-2</v>
      </c>
      <c r="P111" s="666">
        <f t="shared" si="26"/>
        <v>6.6669999999999993E-2</v>
      </c>
      <c r="Q111" s="666">
        <f t="shared" si="26"/>
        <v>6.6669999999999993E-2</v>
      </c>
      <c r="R111" s="666">
        <f t="shared" si="26"/>
        <v>6.6669999999999993E-2</v>
      </c>
      <c r="S111" s="666">
        <f t="shared" si="26"/>
        <v>6.6669999999999993E-2</v>
      </c>
      <c r="T111" s="666">
        <f t="shared" si="26"/>
        <v>6.6669999999999993E-2</v>
      </c>
      <c r="U111" s="666">
        <f t="shared" si="26"/>
        <v>6.6669999999999993E-2</v>
      </c>
      <c r="V111" s="666">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3">
      <c r="B112" s="186" t="s">
        <v>77</v>
      </c>
      <c r="C112" s="186" t="s">
        <v>327</v>
      </c>
      <c r="D112" s="186"/>
      <c r="E112" s="186"/>
      <c r="F112" s="186" t="s">
        <v>415</v>
      </c>
      <c r="G112" s="659">
        <f t="shared" si="28"/>
        <v>0.16667000000000001</v>
      </c>
      <c r="H112" s="666">
        <f t="shared" si="25"/>
        <v>0.16667000000000001</v>
      </c>
      <c r="I112" s="666">
        <f t="shared" si="26"/>
        <v>0.16667000000000001</v>
      </c>
      <c r="J112" s="666">
        <f t="shared" si="26"/>
        <v>0.16667000000000001</v>
      </c>
      <c r="K112" s="666">
        <f t="shared" si="26"/>
        <v>0.16667000000000001</v>
      </c>
      <c r="L112" s="666">
        <f t="shared" si="26"/>
        <v>0.16667000000000001</v>
      </c>
      <c r="M112" s="666">
        <f t="shared" si="26"/>
        <v>0.16667000000000001</v>
      </c>
      <c r="N112" s="666">
        <f t="shared" si="26"/>
        <v>0.16667000000000001</v>
      </c>
      <c r="O112" s="666">
        <f t="shared" si="26"/>
        <v>0.16667000000000001</v>
      </c>
      <c r="P112" s="666">
        <f t="shared" si="26"/>
        <v>0.16667000000000001</v>
      </c>
      <c r="Q112" s="666">
        <f t="shared" si="26"/>
        <v>0.16667000000000001</v>
      </c>
      <c r="R112" s="666">
        <f t="shared" si="26"/>
        <v>0.16667000000000001</v>
      </c>
      <c r="S112" s="666">
        <f t="shared" si="26"/>
        <v>0.16667000000000001</v>
      </c>
      <c r="T112" s="666">
        <f t="shared" si="26"/>
        <v>0.16667000000000001</v>
      </c>
      <c r="U112" s="666">
        <f t="shared" si="26"/>
        <v>0.16667000000000001</v>
      </c>
      <c r="V112" s="666">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3">
      <c r="B113" s="186" t="s">
        <v>77</v>
      </c>
      <c r="C113" s="186" t="s">
        <v>327</v>
      </c>
      <c r="D113" s="186"/>
      <c r="E113" s="186"/>
      <c r="F113" s="186" t="s">
        <v>592</v>
      </c>
      <c r="G113" s="659">
        <f t="shared" si="28"/>
        <v>0.16667000000000001</v>
      </c>
      <c r="H113" s="666">
        <f t="shared" si="25"/>
        <v>0.16667000000000001</v>
      </c>
      <c r="I113" s="666">
        <f t="shared" si="26"/>
        <v>0.16667000000000001</v>
      </c>
      <c r="J113" s="666">
        <f t="shared" si="26"/>
        <v>0.16667000000000001</v>
      </c>
      <c r="K113" s="666">
        <f t="shared" si="26"/>
        <v>0.16667000000000001</v>
      </c>
      <c r="L113" s="666">
        <f t="shared" si="26"/>
        <v>0.16667000000000001</v>
      </c>
      <c r="M113" s="666">
        <f t="shared" si="26"/>
        <v>0.16667000000000001</v>
      </c>
      <c r="N113" s="666">
        <f t="shared" si="26"/>
        <v>0.16667000000000001</v>
      </c>
      <c r="O113" s="666">
        <f t="shared" si="26"/>
        <v>0.16667000000000001</v>
      </c>
      <c r="P113" s="666">
        <f t="shared" si="26"/>
        <v>0.16667000000000001</v>
      </c>
      <c r="Q113" s="666">
        <f t="shared" si="26"/>
        <v>0.16667000000000001</v>
      </c>
      <c r="R113" s="666">
        <f t="shared" si="26"/>
        <v>0.16667000000000001</v>
      </c>
      <c r="S113" s="666">
        <f t="shared" si="26"/>
        <v>0.16667000000000001</v>
      </c>
      <c r="T113" s="666">
        <f t="shared" si="26"/>
        <v>0.16667000000000001</v>
      </c>
      <c r="U113" s="666">
        <f t="shared" si="26"/>
        <v>0.16667000000000001</v>
      </c>
      <c r="V113" s="666">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3">
      <c r="B114" s="186" t="s">
        <v>77</v>
      </c>
      <c r="C114" s="186" t="s">
        <v>328</v>
      </c>
      <c r="D114" s="186"/>
      <c r="E114" s="186"/>
      <c r="F114" s="186" t="s">
        <v>415</v>
      </c>
      <c r="G114" s="659">
        <f t="shared" si="28"/>
        <v>6.3490000000000005E-2</v>
      </c>
      <c r="H114" s="666">
        <f t="shared" si="25"/>
        <v>6.3490000000000005E-2</v>
      </c>
      <c r="I114" s="666">
        <f t="shared" si="26"/>
        <v>6.3490000000000005E-2</v>
      </c>
      <c r="J114" s="666">
        <f t="shared" si="26"/>
        <v>6.3490000000000005E-2</v>
      </c>
      <c r="K114" s="666">
        <f t="shared" si="26"/>
        <v>6.3490000000000005E-2</v>
      </c>
      <c r="L114" s="666">
        <f t="shared" si="26"/>
        <v>6.3490000000000005E-2</v>
      </c>
      <c r="M114" s="666">
        <f t="shared" si="26"/>
        <v>6.3490000000000005E-2</v>
      </c>
      <c r="N114" s="666">
        <f t="shared" si="26"/>
        <v>6.3490000000000005E-2</v>
      </c>
      <c r="O114" s="666">
        <f t="shared" si="26"/>
        <v>6.3490000000000005E-2</v>
      </c>
      <c r="P114" s="666">
        <f t="shared" si="26"/>
        <v>6.3490000000000005E-2</v>
      </c>
      <c r="Q114" s="666">
        <f t="shared" si="26"/>
        <v>6.3490000000000005E-2</v>
      </c>
      <c r="R114" s="666">
        <f t="shared" si="26"/>
        <v>6.3490000000000005E-2</v>
      </c>
      <c r="S114" s="666">
        <f t="shared" si="26"/>
        <v>6.3490000000000005E-2</v>
      </c>
      <c r="T114" s="666">
        <f t="shared" si="26"/>
        <v>6.3490000000000005E-2</v>
      </c>
      <c r="U114" s="666">
        <f t="shared" si="26"/>
        <v>6.3490000000000005E-2</v>
      </c>
      <c r="V114" s="666">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3">
      <c r="B115" s="186" t="s">
        <v>77</v>
      </c>
      <c r="C115" s="186" t="s">
        <v>328</v>
      </c>
      <c r="D115" s="186"/>
      <c r="E115" s="186"/>
      <c r="F115" s="186" t="s">
        <v>592</v>
      </c>
      <c r="G115" s="659">
        <f t="shared" si="28"/>
        <v>6.3490000000000005E-2</v>
      </c>
      <c r="H115" s="666">
        <f t="shared" si="25"/>
        <v>6.3490000000000005E-2</v>
      </c>
      <c r="I115" s="666">
        <f t="shared" si="26"/>
        <v>6.3490000000000005E-2</v>
      </c>
      <c r="J115" s="666">
        <f t="shared" si="26"/>
        <v>6.3490000000000005E-2</v>
      </c>
      <c r="K115" s="666">
        <f t="shared" si="26"/>
        <v>6.3490000000000005E-2</v>
      </c>
      <c r="L115" s="666">
        <f t="shared" si="26"/>
        <v>6.3490000000000005E-2</v>
      </c>
      <c r="M115" s="666">
        <f t="shared" si="26"/>
        <v>6.3490000000000005E-2</v>
      </c>
      <c r="N115" s="666">
        <f t="shared" si="26"/>
        <v>6.3490000000000005E-2</v>
      </c>
      <c r="O115" s="666">
        <f t="shared" si="26"/>
        <v>6.3490000000000005E-2</v>
      </c>
      <c r="P115" s="666">
        <f t="shared" si="26"/>
        <v>6.3490000000000005E-2</v>
      </c>
      <c r="Q115" s="666">
        <f t="shared" si="26"/>
        <v>6.3490000000000005E-2</v>
      </c>
      <c r="R115" s="666">
        <f t="shared" si="26"/>
        <v>6.3490000000000005E-2</v>
      </c>
      <c r="S115" s="666">
        <f t="shared" si="26"/>
        <v>6.3490000000000005E-2</v>
      </c>
      <c r="T115" s="666">
        <f t="shared" si="26"/>
        <v>6.3490000000000005E-2</v>
      </c>
      <c r="U115" s="666">
        <f t="shared" si="26"/>
        <v>6.3490000000000005E-2</v>
      </c>
      <c r="V115" s="666">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3">
      <c r="B116" s="186" t="s">
        <v>77</v>
      </c>
      <c r="C116" s="186" t="s">
        <v>329</v>
      </c>
      <c r="D116" s="186"/>
      <c r="E116" s="186"/>
      <c r="F116" s="186" t="s">
        <v>415</v>
      </c>
      <c r="G116" s="659">
        <f t="shared" si="28"/>
        <v>4.8079999999999998E-2</v>
      </c>
      <c r="H116" s="666">
        <f t="shared" si="25"/>
        <v>4.8079999999999998E-2</v>
      </c>
      <c r="I116" s="666">
        <f t="shared" si="26"/>
        <v>4.8079999999999998E-2</v>
      </c>
      <c r="J116" s="666">
        <f t="shared" si="26"/>
        <v>4.8079999999999998E-2</v>
      </c>
      <c r="K116" s="666">
        <f t="shared" si="26"/>
        <v>4.8079999999999998E-2</v>
      </c>
      <c r="L116" s="666">
        <f t="shared" si="26"/>
        <v>4.8079999999999998E-2</v>
      </c>
      <c r="M116" s="666">
        <f t="shared" si="26"/>
        <v>4.8079999999999998E-2</v>
      </c>
      <c r="N116" s="666">
        <f t="shared" si="26"/>
        <v>4.8079999999999998E-2</v>
      </c>
      <c r="O116" s="666">
        <f t="shared" si="26"/>
        <v>4.8079999999999998E-2</v>
      </c>
      <c r="P116" s="666">
        <f t="shared" si="26"/>
        <v>4.8079999999999998E-2</v>
      </c>
      <c r="Q116" s="666">
        <f t="shared" si="26"/>
        <v>4.8079999999999998E-2</v>
      </c>
      <c r="R116" s="666">
        <f t="shared" si="26"/>
        <v>4.8079999999999998E-2</v>
      </c>
      <c r="S116" s="666">
        <f t="shared" si="26"/>
        <v>4.8079999999999998E-2</v>
      </c>
      <c r="T116" s="666">
        <f t="shared" si="26"/>
        <v>4.8079999999999998E-2</v>
      </c>
      <c r="U116" s="666">
        <f t="shared" si="26"/>
        <v>4.8079999999999998E-2</v>
      </c>
      <c r="V116" s="666">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3">
      <c r="B117" s="186" t="s">
        <v>77</v>
      </c>
      <c r="C117" s="186" t="s">
        <v>329</v>
      </c>
      <c r="D117" s="186"/>
      <c r="E117" s="186"/>
      <c r="F117" s="186" t="s">
        <v>592</v>
      </c>
      <c r="G117" s="659">
        <f t="shared" si="28"/>
        <v>4.8079999999999998E-2</v>
      </c>
      <c r="H117" s="666">
        <f t="shared" si="25"/>
        <v>4.8079999999999998E-2</v>
      </c>
      <c r="I117" s="666">
        <f t="shared" si="26"/>
        <v>4.8079999999999998E-2</v>
      </c>
      <c r="J117" s="666">
        <f t="shared" si="26"/>
        <v>4.8079999999999998E-2</v>
      </c>
      <c r="K117" s="666">
        <f t="shared" si="26"/>
        <v>4.8079999999999998E-2</v>
      </c>
      <c r="L117" s="666">
        <f t="shared" si="26"/>
        <v>4.8079999999999998E-2</v>
      </c>
      <c r="M117" s="666">
        <f t="shared" si="26"/>
        <v>4.8079999999999998E-2</v>
      </c>
      <c r="N117" s="666">
        <f t="shared" si="26"/>
        <v>4.8079999999999998E-2</v>
      </c>
      <c r="O117" s="666">
        <f t="shared" si="26"/>
        <v>4.8079999999999998E-2</v>
      </c>
      <c r="P117" s="666">
        <f t="shared" si="26"/>
        <v>4.8079999999999998E-2</v>
      </c>
      <c r="Q117" s="666">
        <f t="shared" si="26"/>
        <v>4.8079999999999998E-2</v>
      </c>
      <c r="R117" s="666">
        <f t="shared" si="26"/>
        <v>4.8079999999999998E-2</v>
      </c>
      <c r="S117" s="666">
        <f t="shared" si="26"/>
        <v>4.8079999999999998E-2</v>
      </c>
      <c r="T117" s="666">
        <f t="shared" si="26"/>
        <v>4.8079999999999998E-2</v>
      </c>
      <c r="U117" s="666">
        <f t="shared" si="26"/>
        <v>4.8079999999999998E-2</v>
      </c>
      <c r="V117" s="666">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3">
      <c r="B118" s="186" t="s">
        <v>77</v>
      </c>
      <c r="C118" s="186" t="s">
        <v>330</v>
      </c>
      <c r="D118" s="186"/>
      <c r="E118" s="186"/>
      <c r="F118" s="186" t="s">
        <v>415</v>
      </c>
      <c r="G118" s="659">
        <f t="shared" si="28"/>
        <v>4.8079999999999998E-2</v>
      </c>
      <c r="H118" s="666">
        <f t="shared" si="25"/>
        <v>4.8079999999999998E-2</v>
      </c>
      <c r="I118" s="666">
        <f t="shared" ref="I118:V127" si="35">$H118</f>
        <v>4.8079999999999998E-2</v>
      </c>
      <c r="J118" s="666">
        <f t="shared" si="35"/>
        <v>4.8079999999999998E-2</v>
      </c>
      <c r="K118" s="666">
        <f t="shared" si="35"/>
        <v>4.8079999999999998E-2</v>
      </c>
      <c r="L118" s="666">
        <f t="shared" si="35"/>
        <v>4.8079999999999998E-2</v>
      </c>
      <c r="M118" s="666">
        <f t="shared" si="35"/>
        <v>4.8079999999999998E-2</v>
      </c>
      <c r="N118" s="666">
        <f t="shared" si="35"/>
        <v>4.8079999999999998E-2</v>
      </c>
      <c r="O118" s="666">
        <f t="shared" si="35"/>
        <v>4.8079999999999998E-2</v>
      </c>
      <c r="P118" s="666">
        <f t="shared" si="35"/>
        <v>4.8079999999999998E-2</v>
      </c>
      <c r="Q118" s="666">
        <f t="shared" si="35"/>
        <v>4.8079999999999998E-2</v>
      </c>
      <c r="R118" s="666">
        <f t="shared" si="35"/>
        <v>4.8079999999999998E-2</v>
      </c>
      <c r="S118" s="666">
        <f t="shared" si="35"/>
        <v>4.8079999999999998E-2</v>
      </c>
      <c r="T118" s="666">
        <f t="shared" si="35"/>
        <v>4.8079999999999998E-2</v>
      </c>
      <c r="U118" s="666">
        <f t="shared" si="35"/>
        <v>4.8079999999999998E-2</v>
      </c>
      <c r="V118" s="666">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3">
      <c r="B119" s="186" t="s">
        <v>77</v>
      </c>
      <c r="C119" s="186" t="s">
        <v>330</v>
      </c>
      <c r="D119" s="186"/>
      <c r="E119" s="186"/>
      <c r="F119" s="186" t="s">
        <v>592</v>
      </c>
      <c r="G119" s="659">
        <f t="shared" si="28"/>
        <v>4.8079999999999998E-2</v>
      </c>
      <c r="H119" s="666">
        <f t="shared" si="25"/>
        <v>4.8079999999999998E-2</v>
      </c>
      <c r="I119" s="666">
        <f t="shared" si="35"/>
        <v>4.8079999999999998E-2</v>
      </c>
      <c r="J119" s="666">
        <f t="shared" si="35"/>
        <v>4.8079999999999998E-2</v>
      </c>
      <c r="K119" s="666">
        <f t="shared" si="35"/>
        <v>4.8079999999999998E-2</v>
      </c>
      <c r="L119" s="666">
        <f t="shared" si="35"/>
        <v>4.8079999999999998E-2</v>
      </c>
      <c r="M119" s="666">
        <f t="shared" si="35"/>
        <v>4.8079999999999998E-2</v>
      </c>
      <c r="N119" s="666">
        <f t="shared" si="35"/>
        <v>4.8079999999999998E-2</v>
      </c>
      <c r="O119" s="666">
        <f t="shared" si="35"/>
        <v>4.8079999999999998E-2</v>
      </c>
      <c r="P119" s="666">
        <f t="shared" si="35"/>
        <v>4.8079999999999998E-2</v>
      </c>
      <c r="Q119" s="666">
        <f t="shared" si="35"/>
        <v>4.8079999999999998E-2</v>
      </c>
      <c r="R119" s="666">
        <f t="shared" si="35"/>
        <v>4.8079999999999998E-2</v>
      </c>
      <c r="S119" s="666">
        <f t="shared" si="35"/>
        <v>4.8079999999999998E-2</v>
      </c>
      <c r="T119" s="666">
        <f t="shared" si="35"/>
        <v>4.8079999999999998E-2</v>
      </c>
      <c r="U119" s="666">
        <f t="shared" si="35"/>
        <v>4.8079999999999998E-2</v>
      </c>
      <c r="V119" s="666">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3">
      <c r="B120" s="186" t="s">
        <v>77</v>
      </c>
      <c r="C120" s="186" t="s">
        <v>331</v>
      </c>
      <c r="D120" s="186"/>
      <c r="E120" s="186"/>
      <c r="F120" s="186" t="s">
        <v>415</v>
      </c>
      <c r="G120" s="659">
        <f t="shared" si="28"/>
        <v>7.4069999999999997E-2</v>
      </c>
      <c r="H120" s="666">
        <f t="shared" si="25"/>
        <v>7.4069999999999997E-2</v>
      </c>
      <c r="I120" s="666">
        <f t="shared" si="35"/>
        <v>7.4069999999999997E-2</v>
      </c>
      <c r="J120" s="666">
        <f t="shared" si="35"/>
        <v>7.4069999999999997E-2</v>
      </c>
      <c r="K120" s="666">
        <f t="shared" si="35"/>
        <v>7.4069999999999997E-2</v>
      </c>
      <c r="L120" s="666">
        <f t="shared" si="35"/>
        <v>7.4069999999999997E-2</v>
      </c>
      <c r="M120" s="666">
        <f t="shared" si="35"/>
        <v>7.4069999999999997E-2</v>
      </c>
      <c r="N120" s="666">
        <f t="shared" si="35"/>
        <v>7.4069999999999997E-2</v>
      </c>
      <c r="O120" s="666">
        <f t="shared" si="35"/>
        <v>7.4069999999999997E-2</v>
      </c>
      <c r="P120" s="666">
        <f t="shared" si="35"/>
        <v>7.4069999999999997E-2</v>
      </c>
      <c r="Q120" s="666">
        <f t="shared" si="35"/>
        <v>7.4069999999999997E-2</v>
      </c>
      <c r="R120" s="666">
        <f t="shared" si="35"/>
        <v>7.4069999999999997E-2</v>
      </c>
      <c r="S120" s="666">
        <f t="shared" si="35"/>
        <v>7.4069999999999997E-2</v>
      </c>
      <c r="T120" s="666">
        <f t="shared" si="35"/>
        <v>7.4069999999999997E-2</v>
      </c>
      <c r="U120" s="666">
        <f t="shared" si="35"/>
        <v>7.4069999999999997E-2</v>
      </c>
      <c r="V120" s="666">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3">
      <c r="B121" s="186" t="s">
        <v>77</v>
      </c>
      <c r="C121" s="186" t="s">
        <v>331</v>
      </c>
      <c r="D121" s="186"/>
      <c r="E121" s="186"/>
      <c r="F121" s="186" t="s">
        <v>592</v>
      </c>
      <c r="G121" s="659">
        <f t="shared" si="28"/>
        <v>7.4069999999999997E-2</v>
      </c>
      <c r="H121" s="666">
        <f t="shared" si="25"/>
        <v>7.4069999999999997E-2</v>
      </c>
      <c r="I121" s="666">
        <f t="shared" si="35"/>
        <v>7.4069999999999997E-2</v>
      </c>
      <c r="J121" s="666">
        <f t="shared" si="35"/>
        <v>7.4069999999999997E-2</v>
      </c>
      <c r="K121" s="666">
        <f t="shared" si="35"/>
        <v>7.4069999999999997E-2</v>
      </c>
      <c r="L121" s="666">
        <f t="shared" si="35"/>
        <v>7.4069999999999997E-2</v>
      </c>
      <c r="M121" s="666">
        <f t="shared" si="35"/>
        <v>7.4069999999999997E-2</v>
      </c>
      <c r="N121" s="666">
        <f t="shared" si="35"/>
        <v>7.4069999999999997E-2</v>
      </c>
      <c r="O121" s="666">
        <f t="shared" si="35"/>
        <v>7.4069999999999997E-2</v>
      </c>
      <c r="P121" s="666">
        <f t="shared" si="35"/>
        <v>7.4069999999999997E-2</v>
      </c>
      <c r="Q121" s="666">
        <f t="shared" si="35"/>
        <v>7.4069999999999997E-2</v>
      </c>
      <c r="R121" s="666">
        <f t="shared" si="35"/>
        <v>7.4069999999999997E-2</v>
      </c>
      <c r="S121" s="666">
        <f t="shared" si="35"/>
        <v>7.4069999999999997E-2</v>
      </c>
      <c r="T121" s="666">
        <f t="shared" si="35"/>
        <v>7.4069999999999997E-2</v>
      </c>
      <c r="U121" s="666">
        <f t="shared" si="35"/>
        <v>7.4069999999999997E-2</v>
      </c>
      <c r="V121" s="666">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3">
      <c r="B122" s="186" t="s">
        <v>77</v>
      </c>
      <c r="C122" s="186" t="s">
        <v>332</v>
      </c>
      <c r="D122" s="186"/>
      <c r="E122" s="186"/>
      <c r="F122" s="186" t="s">
        <v>415</v>
      </c>
      <c r="G122" s="659">
        <f t="shared" si="28"/>
        <v>5.3420000000000002E-2</v>
      </c>
      <c r="H122" s="666">
        <f t="shared" si="25"/>
        <v>5.3420000000000002E-2</v>
      </c>
      <c r="I122" s="666">
        <f t="shared" si="35"/>
        <v>5.3420000000000002E-2</v>
      </c>
      <c r="J122" s="666">
        <f t="shared" si="35"/>
        <v>5.3420000000000002E-2</v>
      </c>
      <c r="K122" s="666">
        <f t="shared" si="35"/>
        <v>5.3420000000000002E-2</v>
      </c>
      <c r="L122" s="666">
        <f t="shared" si="35"/>
        <v>5.3420000000000002E-2</v>
      </c>
      <c r="M122" s="666">
        <f t="shared" si="35"/>
        <v>5.3420000000000002E-2</v>
      </c>
      <c r="N122" s="666">
        <f t="shared" si="35"/>
        <v>5.3420000000000002E-2</v>
      </c>
      <c r="O122" s="666">
        <f t="shared" si="35"/>
        <v>5.3420000000000002E-2</v>
      </c>
      <c r="P122" s="666">
        <f t="shared" si="35"/>
        <v>5.3420000000000002E-2</v>
      </c>
      <c r="Q122" s="666">
        <f t="shared" si="35"/>
        <v>5.3420000000000002E-2</v>
      </c>
      <c r="R122" s="666">
        <f t="shared" si="35"/>
        <v>5.3420000000000002E-2</v>
      </c>
      <c r="S122" s="666">
        <f t="shared" si="35"/>
        <v>5.3420000000000002E-2</v>
      </c>
      <c r="T122" s="666">
        <f t="shared" si="35"/>
        <v>5.3420000000000002E-2</v>
      </c>
      <c r="U122" s="666">
        <f t="shared" si="35"/>
        <v>5.3420000000000002E-2</v>
      </c>
      <c r="V122" s="666">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3">
      <c r="B123" s="186" t="s">
        <v>77</v>
      </c>
      <c r="C123" s="186" t="s">
        <v>332</v>
      </c>
      <c r="D123" s="186"/>
      <c r="E123" s="186"/>
      <c r="F123" s="186" t="s">
        <v>592</v>
      </c>
      <c r="G123" s="659">
        <f t="shared" si="28"/>
        <v>5.3420000000000002E-2</v>
      </c>
      <c r="H123" s="666">
        <f t="shared" si="25"/>
        <v>5.3420000000000002E-2</v>
      </c>
      <c r="I123" s="666">
        <f t="shared" si="35"/>
        <v>5.3420000000000002E-2</v>
      </c>
      <c r="J123" s="666">
        <f t="shared" si="35"/>
        <v>5.3420000000000002E-2</v>
      </c>
      <c r="K123" s="666">
        <f t="shared" si="35"/>
        <v>5.3420000000000002E-2</v>
      </c>
      <c r="L123" s="666">
        <f t="shared" si="35"/>
        <v>5.3420000000000002E-2</v>
      </c>
      <c r="M123" s="666">
        <f t="shared" si="35"/>
        <v>5.3420000000000002E-2</v>
      </c>
      <c r="N123" s="666">
        <f t="shared" si="35"/>
        <v>5.3420000000000002E-2</v>
      </c>
      <c r="O123" s="666">
        <f t="shared" si="35"/>
        <v>5.3420000000000002E-2</v>
      </c>
      <c r="P123" s="666">
        <f t="shared" si="35"/>
        <v>5.3420000000000002E-2</v>
      </c>
      <c r="Q123" s="666">
        <f t="shared" si="35"/>
        <v>5.3420000000000002E-2</v>
      </c>
      <c r="R123" s="666">
        <f t="shared" si="35"/>
        <v>5.3420000000000002E-2</v>
      </c>
      <c r="S123" s="666">
        <f t="shared" si="35"/>
        <v>5.3420000000000002E-2</v>
      </c>
      <c r="T123" s="666">
        <f t="shared" si="35"/>
        <v>5.3420000000000002E-2</v>
      </c>
      <c r="U123" s="666">
        <f t="shared" si="35"/>
        <v>5.3420000000000002E-2</v>
      </c>
      <c r="V123" s="666">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3">
      <c r="B124" s="186" t="s">
        <v>77</v>
      </c>
      <c r="C124" s="186" t="s">
        <v>333</v>
      </c>
      <c r="D124" s="186"/>
      <c r="E124" s="186"/>
      <c r="F124" s="186" t="s">
        <v>415</v>
      </c>
      <c r="G124" s="659">
        <f t="shared" si="28"/>
        <v>4.8079999999999998E-2</v>
      </c>
      <c r="H124" s="666">
        <f t="shared" si="25"/>
        <v>4.8079999999999998E-2</v>
      </c>
      <c r="I124" s="666">
        <f t="shared" si="35"/>
        <v>4.8079999999999998E-2</v>
      </c>
      <c r="J124" s="666">
        <f t="shared" si="35"/>
        <v>4.8079999999999998E-2</v>
      </c>
      <c r="K124" s="666">
        <f t="shared" si="35"/>
        <v>4.8079999999999998E-2</v>
      </c>
      <c r="L124" s="666">
        <f t="shared" si="35"/>
        <v>4.8079999999999998E-2</v>
      </c>
      <c r="M124" s="666">
        <f t="shared" si="35"/>
        <v>4.8079999999999998E-2</v>
      </c>
      <c r="N124" s="666">
        <f t="shared" si="35"/>
        <v>4.8079999999999998E-2</v>
      </c>
      <c r="O124" s="666">
        <f t="shared" si="35"/>
        <v>4.8079999999999998E-2</v>
      </c>
      <c r="P124" s="666">
        <f t="shared" si="35"/>
        <v>4.8079999999999998E-2</v>
      </c>
      <c r="Q124" s="666">
        <f t="shared" si="35"/>
        <v>4.8079999999999998E-2</v>
      </c>
      <c r="R124" s="666">
        <f t="shared" si="35"/>
        <v>4.8079999999999998E-2</v>
      </c>
      <c r="S124" s="666">
        <f t="shared" si="35"/>
        <v>4.8079999999999998E-2</v>
      </c>
      <c r="T124" s="666">
        <f t="shared" si="35"/>
        <v>4.8079999999999998E-2</v>
      </c>
      <c r="U124" s="666">
        <f t="shared" si="35"/>
        <v>4.8079999999999998E-2</v>
      </c>
      <c r="V124" s="666">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3">
      <c r="B125" s="186" t="s">
        <v>77</v>
      </c>
      <c r="C125" s="186" t="s">
        <v>333</v>
      </c>
      <c r="D125" s="186"/>
      <c r="E125" s="186"/>
      <c r="F125" s="186" t="s">
        <v>592</v>
      </c>
      <c r="G125" s="659">
        <f t="shared" si="28"/>
        <v>4.8079999999999998E-2</v>
      </c>
      <c r="H125" s="666">
        <f t="shared" si="25"/>
        <v>4.8079999999999998E-2</v>
      </c>
      <c r="I125" s="666">
        <f t="shared" si="35"/>
        <v>4.8079999999999998E-2</v>
      </c>
      <c r="J125" s="666">
        <f t="shared" si="35"/>
        <v>4.8079999999999998E-2</v>
      </c>
      <c r="K125" s="666">
        <f t="shared" si="35"/>
        <v>4.8079999999999998E-2</v>
      </c>
      <c r="L125" s="666">
        <f t="shared" si="35"/>
        <v>4.8079999999999998E-2</v>
      </c>
      <c r="M125" s="666">
        <f t="shared" si="35"/>
        <v>4.8079999999999998E-2</v>
      </c>
      <c r="N125" s="666">
        <f t="shared" si="35"/>
        <v>4.8079999999999998E-2</v>
      </c>
      <c r="O125" s="666">
        <f t="shared" si="35"/>
        <v>4.8079999999999998E-2</v>
      </c>
      <c r="P125" s="666">
        <f t="shared" si="35"/>
        <v>4.8079999999999998E-2</v>
      </c>
      <c r="Q125" s="666">
        <f t="shared" si="35"/>
        <v>4.8079999999999998E-2</v>
      </c>
      <c r="R125" s="666">
        <f t="shared" si="35"/>
        <v>4.8079999999999998E-2</v>
      </c>
      <c r="S125" s="666">
        <f t="shared" si="35"/>
        <v>4.8079999999999998E-2</v>
      </c>
      <c r="T125" s="666">
        <f t="shared" si="35"/>
        <v>4.8079999999999998E-2</v>
      </c>
      <c r="U125" s="666">
        <f t="shared" si="35"/>
        <v>4.8079999999999998E-2</v>
      </c>
      <c r="V125" s="666">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3">
      <c r="B126" s="186" t="s">
        <v>77</v>
      </c>
      <c r="C126" s="186" t="s">
        <v>334</v>
      </c>
      <c r="D126" s="186"/>
      <c r="E126" s="186"/>
      <c r="F126" s="186" t="s">
        <v>415</v>
      </c>
      <c r="G126" s="659">
        <f t="shared" si="28"/>
        <v>9.5240000000000005E-2</v>
      </c>
      <c r="H126" s="666">
        <f t="shared" si="25"/>
        <v>9.5240000000000005E-2</v>
      </c>
      <c r="I126" s="666">
        <f t="shared" si="35"/>
        <v>9.5240000000000005E-2</v>
      </c>
      <c r="J126" s="666">
        <f t="shared" si="35"/>
        <v>9.5240000000000005E-2</v>
      </c>
      <c r="K126" s="666">
        <f t="shared" si="35"/>
        <v>9.5240000000000005E-2</v>
      </c>
      <c r="L126" s="666">
        <f t="shared" si="35"/>
        <v>9.5240000000000005E-2</v>
      </c>
      <c r="M126" s="666">
        <f t="shared" si="35"/>
        <v>9.5240000000000005E-2</v>
      </c>
      <c r="N126" s="666">
        <f t="shared" si="35"/>
        <v>9.5240000000000005E-2</v>
      </c>
      <c r="O126" s="666">
        <f t="shared" si="35"/>
        <v>9.5240000000000005E-2</v>
      </c>
      <c r="P126" s="666">
        <f t="shared" si="35"/>
        <v>9.5240000000000005E-2</v>
      </c>
      <c r="Q126" s="666">
        <f t="shared" si="35"/>
        <v>9.5240000000000005E-2</v>
      </c>
      <c r="R126" s="666">
        <f t="shared" si="35"/>
        <v>9.5240000000000005E-2</v>
      </c>
      <c r="S126" s="666">
        <f t="shared" si="35"/>
        <v>9.5240000000000005E-2</v>
      </c>
      <c r="T126" s="666">
        <f t="shared" si="35"/>
        <v>9.5240000000000005E-2</v>
      </c>
      <c r="U126" s="666">
        <f t="shared" si="35"/>
        <v>9.5240000000000005E-2</v>
      </c>
      <c r="V126" s="666">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3">
      <c r="B127" s="186" t="s">
        <v>77</v>
      </c>
      <c r="C127" s="186" t="s">
        <v>334</v>
      </c>
      <c r="D127" s="186"/>
      <c r="E127" s="186"/>
      <c r="F127" s="186" t="s">
        <v>592</v>
      </c>
      <c r="G127" s="659">
        <f t="shared" si="28"/>
        <v>9.5240000000000005E-2</v>
      </c>
      <c r="H127" s="666">
        <f t="shared" si="25"/>
        <v>9.5240000000000005E-2</v>
      </c>
      <c r="I127" s="666">
        <f t="shared" si="35"/>
        <v>9.5240000000000005E-2</v>
      </c>
      <c r="J127" s="666">
        <f t="shared" si="35"/>
        <v>9.5240000000000005E-2</v>
      </c>
      <c r="K127" s="666">
        <f t="shared" si="35"/>
        <v>9.5240000000000005E-2</v>
      </c>
      <c r="L127" s="666">
        <f t="shared" si="35"/>
        <v>9.5240000000000005E-2</v>
      </c>
      <c r="M127" s="666">
        <f t="shared" si="35"/>
        <v>9.5240000000000005E-2</v>
      </c>
      <c r="N127" s="666">
        <f t="shared" si="35"/>
        <v>9.5240000000000005E-2</v>
      </c>
      <c r="O127" s="666">
        <f t="shared" si="35"/>
        <v>9.5240000000000005E-2</v>
      </c>
      <c r="P127" s="666">
        <f t="shared" si="35"/>
        <v>9.5240000000000005E-2</v>
      </c>
      <c r="Q127" s="666">
        <f t="shared" si="35"/>
        <v>9.5240000000000005E-2</v>
      </c>
      <c r="R127" s="666">
        <f t="shared" si="35"/>
        <v>9.5240000000000005E-2</v>
      </c>
      <c r="S127" s="666">
        <f t="shared" si="35"/>
        <v>9.5240000000000005E-2</v>
      </c>
      <c r="T127" s="666">
        <f t="shared" si="35"/>
        <v>9.5240000000000005E-2</v>
      </c>
      <c r="U127" s="666">
        <f t="shared" si="35"/>
        <v>9.5240000000000005E-2</v>
      </c>
      <c r="V127" s="666">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3">
      <c r="B128" s="186" t="s">
        <v>77</v>
      </c>
      <c r="C128" s="186" t="s">
        <v>335</v>
      </c>
      <c r="D128" s="186"/>
      <c r="E128" s="186"/>
      <c r="F128" s="186" t="s">
        <v>415</v>
      </c>
      <c r="G128" s="659">
        <f t="shared" si="28"/>
        <v>6.8680000000000005E-2</v>
      </c>
      <c r="H128" s="666">
        <f t="shared" si="25"/>
        <v>6.8680000000000005E-2</v>
      </c>
      <c r="I128" s="666">
        <f t="shared" ref="I128:V137" si="36">$H128</f>
        <v>6.8680000000000005E-2</v>
      </c>
      <c r="J128" s="666">
        <f t="shared" si="36"/>
        <v>6.8680000000000005E-2</v>
      </c>
      <c r="K128" s="666">
        <f t="shared" si="36"/>
        <v>6.8680000000000005E-2</v>
      </c>
      <c r="L128" s="666">
        <f t="shared" si="36"/>
        <v>6.8680000000000005E-2</v>
      </c>
      <c r="M128" s="666">
        <f t="shared" si="36"/>
        <v>6.8680000000000005E-2</v>
      </c>
      <c r="N128" s="666">
        <f t="shared" si="36"/>
        <v>6.8680000000000005E-2</v>
      </c>
      <c r="O128" s="666">
        <f t="shared" si="36"/>
        <v>6.8680000000000005E-2</v>
      </c>
      <c r="P128" s="666">
        <f t="shared" si="36"/>
        <v>6.8680000000000005E-2</v>
      </c>
      <c r="Q128" s="666">
        <f t="shared" si="36"/>
        <v>6.8680000000000005E-2</v>
      </c>
      <c r="R128" s="666">
        <f t="shared" si="36"/>
        <v>6.8680000000000005E-2</v>
      </c>
      <c r="S128" s="666">
        <f t="shared" si="36"/>
        <v>6.8680000000000005E-2</v>
      </c>
      <c r="T128" s="666">
        <f t="shared" si="36"/>
        <v>6.8680000000000005E-2</v>
      </c>
      <c r="U128" s="666">
        <f t="shared" si="36"/>
        <v>6.8680000000000005E-2</v>
      </c>
      <c r="V128" s="666">
        <f t="shared" si="36"/>
        <v>6.8680000000000005E-2</v>
      </c>
      <c r="X128" s="307"/>
      <c r="Y128" s="415">
        <f>Y118*0.7</f>
        <v>1456</v>
      </c>
      <c r="AA128" s="107" t="s">
        <v>711</v>
      </c>
      <c r="AB128" s="108"/>
    </row>
    <row r="129" spans="2:28" x14ac:dyDescent="0.3">
      <c r="B129" s="545" t="s">
        <v>77</v>
      </c>
      <c r="C129" s="545" t="s">
        <v>335</v>
      </c>
      <c r="D129" s="545"/>
      <c r="E129" s="545"/>
      <c r="F129" s="545" t="s">
        <v>592</v>
      </c>
      <c r="G129" s="668">
        <f t="shared" si="28"/>
        <v>6.8680000000000005E-2</v>
      </c>
      <c r="H129" s="667">
        <f t="shared" si="25"/>
        <v>6.8680000000000005E-2</v>
      </c>
      <c r="I129" s="661">
        <f t="shared" si="36"/>
        <v>6.8680000000000005E-2</v>
      </c>
      <c r="J129" s="661">
        <f t="shared" si="36"/>
        <v>6.8680000000000005E-2</v>
      </c>
      <c r="K129" s="661">
        <f t="shared" si="36"/>
        <v>6.8680000000000005E-2</v>
      </c>
      <c r="L129" s="661">
        <f t="shared" si="36"/>
        <v>6.8680000000000005E-2</v>
      </c>
      <c r="M129" s="661">
        <f t="shared" si="36"/>
        <v>6.8680000000000005E-2</v>
      </c>
      <c r="N129" s="661">
        <f t="shared" si="36"/>
        <v>6.8680000000000005E-2</v>
      </c>
      <c r="O129" s="661">
        <f t="shared" si="36"/>
        <v>6.8680000000000005E-2</v>
      </c>
      <c r="P129" s="661">
        <f t="shared" si="36"/>
        <v>6.8680000000000005E-2</v>
      </c>
      <c r="Q129" s="661">
        <f t="shared" si="36"/>
        <v>6.8680000000000005E-2</v>
      </c>
      <c r="R129" s="661">
        <f t="shared" si="36"/>
        <v>6.8680000000000005E-2</v>
      </c>
      <c r="S129" s="661">
        <f t="shared" si="36"/>
        <v>6.8680000000000005E-2</v>
      </c>
      <c r="T129" s="661">
        <f t="shared" si="36"/>
        <v>6.8680000000000005E-2</v>
      </c>
      <c r="U129" s="661">
        <f t="shared" si="36"/>
        <v>6.8680000000000005E-2</v>
      </c>
      <c r="V129" s="661">
        <f t="shared" si="36"/>
        <v>6.8680000000000005E-2</v>
      </c>
      <c r="X129" s="546"/>
      <c r="Y129" s="547">
        <f>Y119*0.7</f>
        <v>1456</v>
      </c>
      <c r="AA129" s="107" t="s">
        <v>711</v>
      </c>
      <c r="AB129" s="108"/>
    </row>
    <row r="130" spans="2:28" x14ac:dyDescent="0.3">
      <c r="B130" s="186" t="s">
        <v>77</v>
      </c>
      <c r="C130" s="186" t="s">
        <v>336</v>
      </c>
      <c r="D130" s="186"/>
      <c r="E130" s="186"/>
      <c r="F130" s="186" t="s">
        <v>414</v>
      </c>
      <c r="G130" s="659">
        <f>ROUND(10^2/(Y130*$G$105),5)</f>
        <v>8.3330000000000001E-2</v>
      </c>
      <c r="H130" s="666">
        <f>$G130</f>
        <v>8.3330000000000001E-2</v>
      </c>
      <c r="I130" s="666">
        <f t="shared" si="36"/>
        <v>8.3330000000000001E-2</v>
      </c>
      <c r="J130" s="666">
        <f t="shared" si="36"/>
        <v>8.3330000000000001E-2</v>
      </c>
      <c r="K130" s="666">
        <f t="shared" si="36"/>
        <v>8.3330000000000001E-2</v>
      </c>
      <c r="L130" s="666">
        <f t="shared" si="36"/>
        <v>8.3330000000000001E-2</v>
      </c>
      <c r="M130" s="666">
        <f t="shared" si="36"/>
        <v>8.3330000000000001E-2</v>
      </c>
      <c r="N130" s="666">
        <f t="shared" si="36"/>
        <v>8.3330000000000001E-2</v>
      </c>
      <c r="O130" s="666">
        <f t="shared" si="36"/>
        <v>8.3330000000000001E-2</v>
      </c>
      <c r="P130" s="666">
        <f t="shared" si="36"/>
        <v>8.3330000000000001E-2</v>
      </c>
      <c r="Q130" s="666">
        <f t="shared" si="36"/>
        <v>8.3330000000000001E-2</v>
      </c>
      <c r="R130" s="666">
        <f t="shared" si="36"/>
        <v>8.3330000000000001E-2</v>
      </c>
      <c r="S130" s="666">
        <f t="shared" si="36"/>
        <v>8.3330000000000001E-2</v>
      </c>
      <c r="T130" s="666">
        <f t="shared" si="36"/>
        <v>8.3330000000000001E-2</v>
      </c>
      <c r="U130" s="666">
        <f t="shared" si="36"/>
        <v>8.3330000000000001E-2</v>
      </c>
      <c r="V130" s="666">
        <f t="shared" si="36"/>
        <v>8.3330000000000001E-2</v>
      </c>
      <c r="X130" s="307"/>
      <c r="Y130" s="412">
        <v>1200</v>
      </c>
      <c r="AA130" s="107"/>
      <c r="AB130" s="108"/>
    </row>
    <row r="131" spans="2:28" x14ac:dyDescent="0.3">
      <c r="B131" s="186" t="s">
        <v>77</v>
      </c>
      <c r="C131" s="186" t="s">
        <v>336</v>
      </c>
      <c r="D131" s="186"/>
      <c r="E131" s="186"/>
      <c r="F131" s="186" t="s">
        <v>589</v>
      </c>
      <c r="G131" s="659">
        <f t="shared" si="28"/>
        <v>8.3330000000000001E-2</v>
      </c>
      <c r="H131" s="666">
        <f t="shared" si="25"/>
        <v>8.3330000000000001E-2</v>
      </c>
      <c r="I131" s="666">
        <f t="shared" si="36"/>
        <v>8.3330000000000001E-2</v>
      </c>
      <c r="J131" s="666">
        <f t="shared" si="36"/>
        <v>8.3330000000000001E-2</v>
      </c>
      <c r="K131" s="666">
        <f t="shared" si="36"/>
        <v>8.3330000000000001E-2</v>
      </c>
      <c r="L131" s="666">
        <f t="shared" si="36"/>
        <v>8.3330000000000001E-2</v>
      </c>
      <c r="M131" s="666">
        <f t="shared" si="36"/>
        <v>8.3330000000000001E-2</v>
      </c>
      <c r="N131" s="666">
        <f t="shared" si="36"/>
        <v>8.3330000000000001E-2</v>
      </c>
      <c r="O131" s="666">
        <f t="shared" si="36"/>
        <v>8.3330000000000001E-2</v>
      </c>
      <c r="P131" s="666">
        <f t="shared" si="36"/>
        <v>8.3330000000000001E-2</v>
      </c>
      <c r="Q131" s="666">
        <f t="shared" si="36"/>
        <v>8.3330000000000001E-2</v>
      </c>
      <c r="R131" s="666">
        <f t="shared" si="36"/>
        <v>8.3330000000000001E-2</v>
      </c>
      <c r="S131" s="666">
        <f t="shared" si="36"/>
        <v>8.3330000000000001E-2</v>
      </c>
      <c r="T131" s="666">
        <f t="shared" si="36"/>
        <v>8.3330000000000001E-2</v>
      </c>
      <c r="U131" s="666">
        <f t="shared" si="36"/>
        <v>8.3330000000000001E-2</v>
      </c>
      <c r="V131" s="666">
        <f t="shared" si="36"/>
        <v>8.3330000000000001E-2</v>
      </c>
      <c r="X131" s="307"/>
      <c r="Y131" s="412">
        <v>1200</v>
      </c>
      <c r="AA131" s="107"/>
      <c r="AB131" s="108"/>
    </row>
    <row r="132" spans="2:28" x14ac:dyDescent="0.3">
      <c r="B132" s="186" t="s">
        <v>77</v>
      </c>
      <c r="C132" s="186" t="s">
        <v>337</v>
      </c>
      <c r="D132" s="186"/>
      <c r="E132" s="186"/>
      <c r="F132" s="186" t="s">
        <v>414</v>
      </c>
      <c r="G132" s="659">
        <f t="shared" si="28"/>
        <v>8.3330000000000001E-2</v>
      </c>
      <c r="H132" s="666">
        <f t="shared" si="25"/>
        <v>8.3330000000000001E-2</v>
      </c>
      <c r="I132" s="666">
        <f t="shared" si="36"/>
        <v>8.3330000000000001E-2</v>
      </c>
      <c r="J132" s="666">
        <f t="shared" si="36"/>
        <v>8.3330000000000001E-2</v>
      </c>
      <c r="K132" s="666">
        <f t="shared" si="36"/>
        <v>8.3330000000000001E-2</v>
      </c>
      <c r="L132" s="666">
        <f t="shared" si="36"/>
        <v>8.3330000000000001E-2</v>
      </c>
      <c r="M132" s="666">
        <f t="shared" si="36"/>
        <v>8.3330000000000001E-2</v>
      </c>
      <c r="N132" s="666">
        <f t="shared" si="36"/>
        <v>8.3330000000000001E-2</v>
      </c>
      <c r="O132" s="666">
        <f t="shared" si="36"/>
        <v>8.3330000000000001E-2</v>
      </c>
      <c r="P132" s="666">
        <f t="shared" si="36"/>
        <v>8.3330000000000001E-2</v>
      </c>
      <c r="Q132" s="666">
        <f t="shared" si="36"/>
        <v>8.3330000000000001E-2</v>
      </c>
      <c r="R132" s="666">
        <f t="shared" si="36"/>
        <v>8.3330000000000001E-2</v>
      </c>
      <c r="S132" s="666">
        <f t="shared" si="36"/>
        <v>8.3330000000000001E-2</v>
      </c>
      <c r="T132" s="666">
        <f t="shared" si="36"/>
        <v>8.3330000000000001E-2</v>
      </c>
      <c r="U132" s="666">
        <f t="shared" si="36"/>
        <v>8.3330000000000001E-2</v>
      </c>
      <c r="V132" s="666">
        <f t="shared" si="36"/>
        <v>8.3330000000000001E-2</v>
      </c>
      <c r="X132" s="307" t="s">
        <v>712</v>
      </c>
      <c r="Y132" s="412">
        <v>1200</v>
      </c>
      <c r="AA132" s="107" t="s">
        <v>713</v>
      </c>
      <c r="AB132" s="108">
        <v>1200</v>
      </c>
    </row>
    <row r="133" spans="2:28" x14ac:dyDescent="0.3">
      <c r="B133" s="186" t="s">
        <v>77</v>
      </c>
      <c r="C133" s="186" t="s">
        <v>337</v>
      </c>
      <c r="D133" s="186"/>
      <c r="E133" s="186"/>
      <c r="F133" s="186" t="s">
        <v>589</v>
      </c>
      <c r="G133" s="659">
        <f t="shared" si="28"/>
        <v>8.3330000000000001E-2</v>
      </c>
      <c r="H133" s="666">
        <f t="shared" si="25"/>
        <v>8.3330000000000001E-2</v>
      </c>
      <c r="I133" s="666">
        <f t="shared" si="36"/>
        <v>8.3330000000000001E-2</v>
      </c>
      <c r="J133" s="666">
        <f t="shared" si="36"/>
        <v>8.3330000000000001E-2</v>
      </c>
      <c r="K133" s="666">
        <f t="shared" si="36"/>
        <v>8.3330000000000001E-2</v>
      </c>
      <c r="L133" s="666">
        <f t="shared" si="36"/>
        <v>8.3330000000000001E-2</v>
      </c>
      <c r="M133" s="666">
        <f t="shared" si="36"/>
        <v>8.3330000000000001E-2</v>
      </c>
      <c r="N133" s="666">
        <f t="shared" si="36"/>
        <v>8.3330000000000001E-2</v>
      </c>
      <c r="O133" s="666">
        <f t="shared" si="36"/>
        <v>8.3330000000000001E-2</v>
      </c>
      <c r="P133" s="666">
        <f t="shared" si="36"/>
        <v>8.3330000000000001E-2</v>
      </c>
      <c r="Q133" s="666">
        <f t="shared" si="36"/>
        <v>8.3330000000000001E-2</v>
      </c>
      <c r="R133" s="666">
        <f t="shared" si="36"/>
        <v>8.3330000000000001E-2</v>
      </c>
      <c r="S133" s="666">
        <f t="shared" si="36"/>
        <v>8.3330000000000001E-2</v>
      </c>
      <c r="T133" s="666">
        <f t="shared" si="36"/>
        <v>8.3330000000000001E-2</v>
      </c>
      <c r="U133" s="666">
        <f t="shared" si="36"/>
        <v>8.3330000000000001E-2</v>
      </c>
      <c r="V133" s="666">
        <f t="shared" si="36"/>
        <v>8.3330000000000001E-2</v>
      </c>
      <c r="X133" s="307" t="s">
        <v>712</v>
      </c>
      <c r="Y133" s="412">
        <v>1200</v>
      </c>
      <c r="AA133" s="107" t="s">
        <v>713</v>
      </c>
      <c r="AB133" s="108">
        <v>1200</v>
      </c>
    </row>
    <row r="134" spans="2:28" s="23" customFormat="1" x14ac:dyDescent="0.3">
      <c r="B134" s="648" t="s">
        <v>77</v>
      </c>
      <c r="C134" s="648" t="s">
        <v>338</v>
      </c>
      <c r="D134" s="648"/>
      <c r="E134" s="648"/>
      <c r="F134" s="648" t="s">
        <v>414</v>
      </c>
      <c r="G134" s="659">
        <f>ROUND(10^2/(Y134*$G$105),5)</f>
        <v>0.16667000000000001</v>
      </c>
      <c r="H134" s="669">
        <f t="shared" si="25"/>
        <v>0.16667000000000001</v>
      </c>
      <c r="I134" s="669">
        <f t="shared" si="36"/>
        <v>0.16667000000000001</v>
      </c>
      <c r="J134" s="669">
        <f t="shared" si="36"/>
        <v>0.16667000000000001</v>
      </c>
      <c r="K134" s="669">
        <f t="shared" si="36"/>
        <v>0.16667000000000001</v>
      </c>
      <c r="L134" s="669">
        <f t="shared" si="36"/>
        <v>0.16667000000000001</v>
      </c>
      <c r="M134" s="669">
        <f t="shared" si="36"/>
        <v>0.16667000000000001</v>
      </c>
      <c r="N134" s="669">
        <f t="shared" si="36"/>
        <v>0.16667000000000001</v>
      </c>
      <c r="O134" s="669">
        <f t="shared" si="36"/>
        <v>0.16667000000000001</v>
      </c>
      <c r="P134" s="669">
        <f t="shared" si="36"/>
        <v>0.16667000000000001</v>
      </c>
      <c r="Q134" s="669">
        <f t="shared" si="36"/>
        <v>0.16667000000000001</v>
      </c>
      <c r="R134" s="669">
        <f t="shared" si="36"/>
        <v>0.16667000000000001</v>
      </c>
      <c r="S134" s="669">
        <f t="shared" si="36"/>
        <v>0.16667000000000001</v>
      </c>
      <c r="T134" s="669">
        <f t="shared" si="36"/>
        <v>0.16667000000000001</v>
      </c>
      <c r="U134" s="669">
        <f t="shared" si="36"/>
        <v>0.16667000000000001</v>
      </c>
      <c r="V134" s="669">
        <f t="shared" si="36"/>
        <v>0.16667000000000001</v>
      </c>
      <c r="X134" s="643"/>
      <c r="Y134" s="417">
        <f>Y112</f>
        <v>600</v>
      </c>
      <c r="AA134" s="646" t="s">
        <v>714</v>
      </c>
      <c r="AB134" s="647"/>
    </row>
    <row r="135" spans="2:28" s="23" customFormat="1" x14ac:dyDescent="0.3">
      <c r="B135" s="648" t="s">
        <v>77</v>
      </c>
      <c r="C135" s="648" t="s">
        <v>338</v>
      </c>
      <c r="D135" s="648"/>
      <c r="E135" s="648"/>
      <c r="F135" s="648" t="s">
        <v>589</v>
      </c>
      <c r="G135" s="659">
        <f t="shared" si="28"/>
        <v>0.16667000000000001</v>
      </c>
      <c r="H135" s="669">
        <f t="shared" si="25"/>
        <v>0.16667000000000001</v>
      </c>
      <c r="I135" s="669">
        <f t="shared" si="36"/>
        <v>0.16667000000000001</v>
      </c>
      <c r="J135" s="669">
        <f t="shared" si="36"/>
        <v>0.16667000000000001</v>
      </c>
      <c r="K135" s="669">
        <f t="shared" si="36"/>
        <v>0.16667000000000001</v>
      </c>
      <c r="L135" s="669">
        <f t="shared" si="36"/>
        <v>0.16667000000000001</v>
      </c>
      <c r="M135" s="669">
        <f t="shared" si="36"/>
        <v>0.16667000000000001</v>
      </c>
      <c r="N135" s="669">
        <f t="shared" si="36"/>
        <v>0.16667000000000001</v>
      </c>
      <c r="O135" s="669">
        <f t="shared" si="36"/>
        <v>0.16667000000000001</v>
      </c>
      <c r="P135" s="669">
        <f t="shared" si="36"/>
        <v>0.16667000000000001</v>
      </c>
      <c r="Q135" s="669">
        <f t="shared" si="36"/>
        <v>0.16667000000000001</v>
      </c>
      <c r="R135" s="669">
        <f t="shared" si="36"/>
        <v>0.16667000000000001</v>
      </c>
      <c r="S135" s="669">
        <f t="shared" si="36"/>
        <v>0.16667000000000001</v>
      </c>
      <c r="T135" s="669">
        <f t="shared" si="36"/>
        <v>0.16667000000000001</v>
      </c>
      <c r="U135" s="669">
        <f t="shared" si="36"/>
        <v>0.16667000000000001</v>
      </c>
      <c r="V135" s="669">
        <f t="shared" si="36"/>
        <v>0.16667000000000001</v>
      </c>
      <c r="X135" s="643"/>
      <c r="Y135" s="417">
        <f>Y113</f>
        <v>600</v>
      </c>
      <c r="AA135" s="646" t="s">
        <v>714</v>
      </c>
      <c r="AB135" s="647"/>
    </row>
    <row r="136" spans="2:28" x14ac:dyDescent="0.3">
      <c r="B136" s="186" t="s">
        <v>77</v>
      </c>
      <c r="C136" s="186" t="s">
        <v>339</v>
      </c>
      <c r="D136" s="186"/>
      <c r="E136" s="186"/>
      <c r="F136" s="186" t="s">
        <v>414</v>
      </c>
      <c r="G136" s="659">
        <f t="shared" si="28"/>
        <v>4.3290000000000002E-2</v>
      </c>
      <c r="H136" s="666">
        <f t="shared" si="25"/>
        <v>4.3290000000000002E-2</v>
      </c>
      <c r="I136" s="666">
        <f t="shared" si="36"/>
        <v>4.3290000000000002E-2</v>
      </c>
      <c r="J136" s="666">
        <f t="shared" si="36"/>
        <v>4.3290000000000002E-2</v>
      </c>
      <c r="K136" s="666">
        <f t="shared" si="36"/>
        <v>4.3290000000000002E-2</v>
      </c>
      <c r="L136" s="666">
        <f t="shared" si="36"/>
        <v>4.3290000000000002E-2</v>
      </c>
      <c r="M136" s="666">
        <f t="shared" si="36"/>
        <v>4.3290000000000002E-2</v>
      </c>
      <c r="N136" s="666">
        <f t="shared" si="36"/>
        <v>4.3290000000000002E-2</v>
      </c>
      <c r="O136" s="666">
        <f t="shared" si="36"/>
        <v>4.3290000000000002E-2</v>
      </c>
      <c r="P136" s="666">
        <f t="shared" si="36"/>
        <v>4.3290000000000002E-2</v>
      </c>
      <c r="Q136" s="666">
        <f t="shared" si="36"/>
        <v>4.3290000000000002E-2</v>
      </c>
      <c r="R136" s="666">
        <f t="shared" si="36"/>
        <v>4.3290000000000002E-2</v>
      </c>
      <c r="S136" s="666">
        <f t="shared" si="36"/>
        <v>4.3290000000000002E-2</v>
      </c>
      <c r="T136" s="666">
        <f t="shared" si="36"/>
        <v>4.3290000000000002E-2</v>
      </c>
      <c r="U136" s="666">
        <f t="shared" si="36"/>
        <v>4.3290000000000002E-2</v>
      </c>
      <c r="V136" s="666">
        <f t="shared" si="36"/>
        <v>4.3290000000000002E-2</v>
      </c>
      <c r="X136" s="307" t="s">
        <v>715</v>
      </c>
      <c r="Y136" s="412">
        <v>2310</v>
      </c>
      <c r="AA136" s="107" t="s">
        <v>713</v>
      </c>
      <c r="AB136" s="108">
        <v>2310</v>
      </c>
    </row>
    <row r="137" spans="2:28" x14ac:dyDescent="0.3">
      <c r="B137" s="186" t="s">
        <v>77</v>
      </c>
      <c r="C137" s="186" t="s">
        <v>339</v>
      </c>
      <c r="D137" s="186"/>
      <c r="E137" s="186"/>
      <c r="F137" s="186" t="s">
        <v>589</v>
      </c>
      <c r="G137" s="659">
        <f t="shared" si="28"/>
        <v>4.3290000000000002E-2</v>
      </c>
      <c r="H137" s="666">
        <f t="shared" si="25"/>
        <v>4.3290000000000002E-2</v>
      </c>
      <c r="I137" s="666">
        <f t="shared" si="36"/>
        <v>4.3290000000000002E-2</v>
      </c>
      <c r="J137" s="666">
        <f t="shared" si="36"/>
        <v>4.3290000000000002E-2</v>
      </c>
      <c r="K137" s="666">
        <f t="shared" si="36"/>
        <v>4.3290000000000002E-2</v>
      </c>
      <c r="L137" s="666">
        <f t="shared" si="36"/>
        <v>4.3290000000000002E-2</v>
      </c>
      <c r="M137" s="666">
        <f t="shared" si="36"/>
        <v>4.3290000000000002E-2</v>
      </c>
      <c r="N137" s="666">
        <f t="shared" si="36"/>
        <v>4.3290000000000002E-2</v>
      </c>
      <c r="O137" s="666">
        <f t="shared" si="36"/>
        <v>4.3290000000000002E-2</v>
      </c>
      <c r="P137" s="666">
        <f t="shared" si="36"/>
        <v>4.3290000000000002E-2</v>
      </c>
      <c r="Q137" s="666">
        <f t="shared" si="36"/>
        <v>4.3290000000000002E-2</v>
      </c>
      <c r="R137" s="666">
        <f t="shared" si="36"/>
        <v>4.3290000000000002E-2</v>
      </c>
      <c r="S137" s="666">
        <f t="shared" si="36"/>
        <v>4.3290000000000002E-2</v>
      </c>
      <c r="T137" s="666">
        <f t="shared" si="36"/>
        <v>4.3290000000000002E-2</v>
      </c>
      <c r="U137" s="666">
        <f t="shared" si="36"/>
        <v>4.3290000000000002E-2</v>
      </c>
      <c r="V137" s="666">
        <f t="shared" si="36"/>
        <v>4.3290000000000002E-2</v>
      </c>
      <c r="X137" s="307" t="s">
        <v>715</v>
      </c>
      <c r="Y137" s="412">
        <v>2310</v>
      </c>
      <c r="AA137" s="107" t="s">
        <v>713</v>
      </c>
      <c r="AB137" s="108">
        <v>2310</v>
      </c>
    </row>
    <row r="138" spans="2:28" x14ac:dyDescent="0.3">
      <c r="B138" s="186" t="s">
        <v>77</v>
      </c>
      <c r="C138" s="186" t="s">
        <v>340</v>
      </c>
      <c r="D138" s="186"/>
      <c r="E138" s="186"/>
      <c r="F138" s="186" t="s">
        <v>414</v>
      </c>
      <c r="G138" s="659">
        <f t="shared" si="28"/>
        <v>8.8109999999999994E-2</v>
      </c>
      <c r="H138" s="666">
        <f t="shared" si="25"/>
        <v>8.8109999999999994E-2</v>
      </c>
      <c r="I138" s="666">
        <f t="shared" ref="I138:V151" si="37">$H138</f>
        <v>8.8109999999999994E-2</v>
      </c>
      <c r="J138" s="666">
        <f t="shared" si="37"/>
        <v>8.8109999999999994E-2</v>
      </c>
      <c r="K138" s="666">
        <f t="shared" si="37"/>
        <v>8.8109999999999994E-2</v>
      </c>
      <c r="L138" s="666">
        <f t="shared" si="37"/>
        <v>8.8109999999999994E-2</v>
      </c>
      <c r="M138" s="666">
        <f t="shared" si="37"/>
        <v>8.8109999999999994E-2</v>
      </c>
      <c r="N138" s="666">
        <f t="shared" si="37"/>
        <v>8.8109999999999994E-2</v>
      </c>
      <c r="O138" s="666">
        <f t="shared" si="37"/>
        <v>8.8109999999999994E-2</v>
      </c>
      <c r="P138" s="666">
        <f t="shared" si="37"/>
        <v>8.8109999999999994E-2</v>
      </c>
      <c r="Q138" s="666">
        <f t="shared" si="37"/>
        <v>8.8109999999999994E-2</v>
      </c>
      <c r="R138" s="666">
        <f t="shared" si="37"/>
        <v>8.8109999999999994E-2</v>
      </c>
      <c r="S138" s="666">
        <f t="shared" si="37"/>
        <v>8.8109999999999994E-2</v>
      </c>
      <c r="T138" s="666">
        <f t="shared" si="37"/>
        <v>8.8109999999999994E-2</v>
      </c>
      <c r="U138" s="666">
        <f t="shared" si="37"/>
        <v>8.8109999999999994E-2</v>
      </c>
      <c r="V138" s="666">
        <f t="shared" si="37"/>
        <v>8.8109999999999994E-2</v>
      </c>
      <c r="X138" s="307" t="s">
        <v>716</v>
      </c>
      <c r="Y138" s="302">
        <v>1135</v>
      </c>
      <c r="AA138" s="107" t="s">
        <v>713</v>
      </c>
      <c r="AB138" s="108">
        <v>1135</v>
      </c>
    </row>
    <row r="139" spans="2:28" x14ac:dyDescent="0.3">
      <c r="B139" s="186" t="s">
        <v>77</v>
      </c>
      <c r="C139" s="186" t="s">
        <v>340</v>
      </c>
      <c r="D139" s="186"/>
      <c r="E139" s="186"/>
      <c r="F139" s="186" t="s">
        <v>589</v>
      </c>
      <c r="G139" s="659">
        <f>ROUND(10^2/(Y139*$G$105),5)</f>
        <v>8.8109999999999994E-2</v>
      </c>
      <c r="H139" s="666">
        <f t="shared" si="25"/>
        <v>8.8109999999999994E-2</v>
      </c>
      <c r="I139" s="666">
        <f t="shared" si="37"/>
        <v>8.8109999999999994E-2</v>
      </c>
      <c r="J139" s="666">
        <f t="shared" si="37"/>
        <v>8.8109999999999994E-2</v>
      </c>
      <c r="K139" s="666">
        <f t="shared" si="37"/>
        <v>8.8109999999999994E-2</v>
      </c>
      <c r="L139" s="666">
        <f t="shared" si="37"/>
        <v>8.8109999999999994E-2</v>
      </c>
      <c r="M139" s="666">
        <f t="shared" si="37"/>
        <v>8.8109999999999994E-2</v>
      </c>
      <c r="N139" s="666">
        <f t="shared" si="37"/>
        <v>8.8109999999999994E-2</v>
      </c>
      <c r="O139" s="666">
        <f t="shared" si="37"/>
        <v>8.8109999999999994E-2</v>
      </c>
      <c r="P139" s="666">
        <f t="shared" si="37"/>
        <v>8.8109999999999994E-2</v>
      </c>
      <c r="Q139" s="666">
        <f t="shared" si="37"/>
        <v>8.8109999999999994E-2</v>
      </c>
      <c r="R139" s="666">
        <f t="shared" si="37"/>
        <v>8.8109999999999994E-2</v>
      </c>
      <c r="S139" s="666">
        <f t="shared" si="37"/>
        <v>8.8109999999999994E-2</v>
      </c>
      <c r="T139" s="666">
        <f t="shared" si="37"/>
        <v>8.8109999999999994E-2</v>
      </c>
      <c r="U139" s="666">
        <f t="shared" si="37"/>
        <v>8.8109999999999994E-2</v>
      </c>
      <c r="V139" s="666">
        <f t="shared" si="37"/>
        <v>8.8109999999999994E-2</v>
      </c>
      <c r="X139" s="307" t="s">
        <v>716</v>
      </c>
      <c r="Y139" s="302">
        <v>1135</v>
      </c>
      <c r="AA139" s="107" t="s">
        <v>713</v>
      </c>
      <c r="AB139" s="108">
        <v>1135</v>
      </c>
    </row>
    <row r="140" spans="2:28" x14ac:dyDescent="0.3">
      <c r="B140" s="186" t="s">
        <v>77</v>
      </c>
      <c r="C140" s="186" t="s">
        <v>341</v>
      </c>
      <c r="D140" s="186"/>
      <c r="E140" s="186"/>
      <c r="F140" s="186" t="s">
        <v>414</v>
      </c>
      <c r="G140" s="659">
        <f t="shared" si="28"/>
        <v>5.0610000000000002E-2</v>
      </c>
      <c r="H140" s="666">
        <f t="shared" si="25"/>
        <v>5.0610000000000002E-2</v>
      </c>
      <c r="I140" s="666">
        <f t="shared" si="37"/>
        <v>5.0610000000000002E-2</v>
      </c>
      <c r="J140" s="666">
        <f t="shared" si="37"/>
        <v>5.0610000000000002E-2</v>
      </c>
      <c r="K140" s="666">
        <f t="shared" si="37"/>
        <v>5.0610000000000002E-2</v>
      </c>
      <c r="L140" s="666">
        <f t="shared" si="37"/>
        <v>5.0610000000000002E-2</v>
      </c>
      <c r="M140" s="666">
        <f t="shared" si="37"/>
        <v>5.0610000000000002E-2</v>
      </c>
      <c r="N140" s="666">
        <f t="shared" si="37"/>
        <v>5.0610000000000002E-2</v>
      </c>
      <c r="O140" s="666">
        <f t="shared" si="37"/>
        <v>5.0610000000000002E-2</v>
      </c>
      <c r="P140" s="666">
        <f t="shared" si="37"/>
        <v>5.0610000000000002E-2</v>
      </c>
      <c r="Q140" s="666">
        <f t="shared" si="37"/>
        <v>5.0610000000000002E-2</v>
      </c>
      <c r="R140" s="666">
        <f t="shared" si="37"/>
        <v>5.0610000000000002E-2</v>
      </c>
      <c r="S140" s="666">
        <f t="shared" si="37"/>
        <v>5.0610000000000002E-2</v>
      </c>
      <c r="T140" s="666">
        <f t="shared" si="37"/>
        <v>5.0610000000000002E-2</v>
      </c>
      <c r="U140" s="666">
        <f t="shared" si="37"/>
        <v>5.0610000000000002E-2</v>
      </c>
      <c r="V140" s="666">
        <f t="shared" si="37"/>
        <v>5.0610000000000002E-2</v>
      </c>
      <c r="X140" s="307" t="s">
        <v>717</v>
      </c>
      <c r="Y140" s="302">
        <f t="shared" ref="Y140:Y141" si="38">Y118*0.95</f>
        <v>1976</v>
      </c>
      <c r="AA140" s="107" t="s">
        <v>681</v>
      </c>
      <c r="AB140" s="108">
        <f t="shared" ref="AB140:AB141" si="39">AB118*0.95</f>
        <v>1976</v>
      </c>
    </row>
    <row r="141" spans="2:28" x14ac:dyDescent="0.3">
      <c r="B141" s="186" t="s">
        <v>77</v>
      </c>
      <c r="C141" s="186" t="s">
        <v>341</v>
      </c>
      <c r="D141" s="186"/>
      <c r="E141" s="186"/>
      <c r="F141" s="186" t="s">
        <v>589</v>
      </c>
      <c r="G141" s="659">
        <f t="shared" si="28"/>
        <v>5.0610000000000002E-2</v>
      </c>
      <c r="H141" s="666">
        <f t="shared" si="25"/>
        <v>5.0610000000000002E-2</v>
      </c>
      <c r="I141" s="666">
        <f t="shared" si="37"/>
        <v>5.0610000000000002E-2</v>
      </c>
      <c r="J141" s="666">
        <f t="shared" si="37"/>
        <v>5.0610000000000002E-2</v>
      </c>
      <c r="K141" s="666">
        <f t="shared" si="37"/>
        <v>5.0610000000000002E-2</v>
      </c>
      <c r="L141" s="666">
        <f t="shared" si="37"/>
        <v>5.0610000000000002E-2</v>
      </c>
      <c r="M141" s="666">
        <f t="shared" si="37"/>
        <v>5.0610000000000002E-2</v>
      </c>
      <c r="N141" s="666">
        <f t="shared" si="37"/>
        <v>5.0610000000000002E-2</v>
      </c>
      <c r="O141" s="666">
        <f t="shared" si="37"/>
        <v>5.0610000000000002E-2</v>
      </c>
      <c r="P141" s="666">
        <f t="shared" si="37"/>
        <v>5.0610000000000002E-2</v>
      </c>
      <c r="Q141" s="666">
        <f t="shared" si="37"/>
        <v>5.0610000000000002E-2</v>
      </c>
      <c r="R141" s="666">
        <f t="shared" si="37"/>
        <v>5.0610000000000002E-2</v>
      </c>
      <c r="S141" s="666">
        <f t="shared" si="37"/>
        <v>5.0610000000000002E-2</v>
      </c>
      <c r="T141" s="666">
        <f t="shared" si="37"/>
        <v>5.0610000000000002E-2</v>
      </c>
      <c r="U141" s="666">
        <f t="shared" si="37"/>
        <v>5.0610000000000002E-2</v>
      </c>
      <c r="V141" s="666">
        <f t="shared" si="37"/>
        <v>5.0610000000000002E-2</v>
      </c>
      <c r="X141" s="307" t="s">
        <v>717</v>
      </c>
      <c r="Y141" s="302">
        <f t="shared" si="38"/>
        <v>1976</v>
      </c>
      <c r="AA141" s="107" t="s">
        <v>681</v>
      </c>
      <c r="AB141" s="108">
        <f t="shared" si="39"/>
        <v>1976</v>
      </c>
    </row>
    <row r="142" spans="2:28" x14ac:dyDescent="0.3">
      <c r="B142" s="186" t="s">
        <v>77</v>
      </c>
      <c r="C142" s="186" t="s">
        <v>342</v>
      </c>
      <c r="D142" s="186"/>
      <c r="E142" s="186"/>
      <c r="F142" s="186" t="s">
        <v>414</v>
      </c>
      <c r="G142" s="659">
        <f t="shared" si="28"/>
        <v>8.7720000000000006E-2</v>
      </c>
      <c r="H142" s="666">
        <f t="shared" si="25"/>
        <v>8.7720000000000006E-2</v>
      </c>
      <c r="I142" s="666">
        <f t="shared" si="37"/>
        <v>8.7720000000000006E-2</v>
      </c>
      <c r="J142" s="666">
        <f t="shared" si="37"/>
        <v>8.7720000000000006E-2</v>
      </c>
      <c r="K142" s="666">
        <f t="shared" si="37"/>
        <v>8.7720000000000006E-2</v>
      </c>
      <c r="L142" s="666">
        <f t="shared" si="37"/>
        <v>8.7720000000000006E-2</v>
      </c>
      <c r="M142" s="666">
        <f t="shared" si="37"/>
        <v>8.7720000000000006E-2</v>
      </c>
      <c r="N142" s="666">
        <f t="shared" si="37"/>
        <v>8.7720000000000006E-2</v>
      </c>
      <c r="O142" s="666">
        <f t="shared" si="37"/>
        <v>8.7720000000000006E-2</v>
      </c>
      <c r="P142" s="666">
        <f t="shared" si="37"/>
        <v>8.7720000000000006E-2</v>
      </c>
      <c r="Q142" s="666">
        <f t="shared" si="37"/>
        <v>8.7720000000000006E-2</v>
      </c>
      <c r="R142" s="666">
        <f t="shared" si="37"/>
        <v>8.7720000000000006E-2</v>
      </c>
      <c r="S142" s="666">
        <f t="shared" si="37"/>
        <v>8.7720000000000006E-2</v>
      </c>
      <c r="T142" s="666">
        <f t="shared" si="37"/>
        <v>8.7720000000000006E-2</v>
      </c>
      <c r="U142" s="666">
        <f t="shared" si="37"/>
        <v>8.7720000000000006E-2</v>
      </c>
      <c r="V142" s="666">
        <f t="shared" si="37"/>
        <v>8.7720000000000006E-2</v>
      </c>
      <c r="X142" s="307"/>
      <c r="Y142" s="416">
        <f>Y132*0.95</f>
        <v>1140</v>
      </c>
      <c r="AA142" s="107"/>
      <c r="AB142" s="108"/>
    </row>
    <row r="143" spans="2:28" x14ac:dyDescent="0.3">
      <c r="B143" s="186" t="s">
        <v>77</v>
      </c>
      <c r="C143" s="186" t="s">
        <v>342</v>
      </c>
      <c r="D143" s="186"/>
      <c r="E143" s="186"/>
      <c r="F143" s="186" t="s">
        <v>589</v>
      </c>
      <c r="G143" s="659">
        <f t="shared" si="28"/>
        <v>8.7720000000000006E-2</v>
      </c>
      <c r="H143" s="666">
        <f t="shared" si="25"/>
        <v>8.7720000000000006E-2</v>
      </c>
      <c r="I143" s="666">
        <f t="shared" si="37"/>
        <v>8.7720000000000006E-2</v>
      </c>
      <c r="J143" s="666">
        <f t="shared" si="37"/>
        <v>8.7720000000000006E-2</v>
      </c>
      <c r="K143" s="666">
        <f t="shared" si="37"/>
        <v>8.7720000000000006E-2</v>
      </c>
      <c r="L143" s="666">
        <f t="shared" si="37"/>
        <v>8.7720000000000006E-2</v>
      </c>
      <c r="M143" s="666">
        <f t="shared" si="37"/>
        <v>8.7720000000000006E-2</v>
      </c>
      <c r="N143" s="666">
        <f t="shared" si="37"/>
        <v>8.7720000000000006E-2</v>
      </c>
      <c r="O143" s="666">
        <f t="shared" si="37"/>
        <v>8.7720000000000006E-2</v>
      </c>
      <c r="P143" s="666">
        <f t="shared" si="37"/>
        <v>8.7720000000000006E-2</v>
      </c>
      <c r="Q143" s="666">
        <f t="shared" si="37"/>
        <v>8.7720000000000006E-2</v>
      </c>
      <c r="R143" s="666">
        <f t="shared" si="37"/>
        <v>8.7720000000000006E-2</v>
      </c>
      <c r="S143" s="666">
        <f t="shared" si="37"/>
        <v>8.7720000000000006E-2</v>
      </c>
      <c r="T143" s="666">
        <f t="shared" si="37"/>
        <v>8.7720000000000006E-2</v>
      </c>
      <c r="U143" s="666">
        <f t="shared" si="37"/>
        <v>8.7720000000000006E-2</v>
      </c>
      <c r="V143" s="666">
        <f t="shared" si="37"/>
        <v>8.7720000000000006E-2</v>
      </c>
      <c r="X143" s="307"/>
      <c r="Y143" s="416">
        <f>Y133*0.95</f>
        <v>1140</v>
      </c>
      <c r="AA143" s="107"/>
      <c r="AB143" s="108"/>
    </row>
    <row r="144" spans="2:28" x14ac:dyDescent="0.3">
      <c r="B144" s="186" t="s">
        <v>77</v>
      </c>
      <c r="C144" s="186" t="s">
        <v>343</v>
      </c>
      <c r="D144" s="186"/>
      <c r="E144" s="186"/>
      <c r="F144" s="186" t="s">
        <v>414</v>
      </c>
      <c r="G144" s="659">
        <f t="shared" si="28"/>
        <v>5.3269999999999998E-2</v>
      </c>
      <c r="H144" s="666">
        <f t="shared" si="25"/>
        <v>5.3269999999999998E-2</v>
      </c>
      <c r="I144" s="666">
        <f t="shared" si="37"/>
        <v>5.3269999999999998E-2</v>
      </c>
      <c r="J144" s="666">
        <f t="shared" si="37"/>
        <v>5.3269999999999998E-2</v>
      </c>
      <c r="K144" s="666">
        <f t="shared" si="37"/>
        <v>5.3269999999999998E-2</v>
      </c>
      <c r="L144" s="666">
        <f t="shared" si="37"/>
        <v>5.3269999999999998E-2</v>
      </c>
      <c r="M144" s="666">
        <f t="shared" si="37"/>
        <v>5.3269999999999998E-2</v>
      </c>
      <c r="N144" s="666">
        <f t="shared" si="37"/>
        <v>5.3269999999999998E-2</v>
      </c>
      <c r="O144" s="666">
        <f t="shared" si="37"/>
        <v>5.3269999999999998E-2</v>
      </c>
      <c r="P144" s="666">
        <f t="shared" si="37"/>
        <v>5.3269999999999998E-2</v>
      </c>
      <c r="Q144" s="666">
        <f t="shared" si="37"/>
        <v>5.3269999999999998E-2</v>
      </c>
      <c r="R144" s="666">
        <f t="shared" si="37"/>
        <v>5.3269999999999998E-2</v>
      </c>
      <c r="S144" s="666">
        <f t="shared" si="37"/>
        <v>5.3269999999999998E-2</v>
      </c>
      <c r="T144" s="666">
        <f t="shared" si="37"/>
        <v>5.3269999999999998E-2</v>
      </c>
      <c r="U144" s="666">
        <f t="shared" si="37"/>
        <v>5.3269999999999998E-2</v>
      </c>
      <c r="V144" s="666">
        <f t="shared" si="37"/>
        <v>5.3269999999999998E-2</v>
      </c>
      <c r="X144" s="307"/>
      <c r="Y144" s="416">
        <f>Y140*0.95</f>
        <v>1877.1999999999998</v>
      </c>
      <c r="AA144" s="107"/>
      <c r="AB144" s="108"/>
    </row>
    <row r="145" spans="2:36" x14ac:dyDescent="0.3">
      <c r="B145" s="186" t="s">
        <v>77</v>
      </c>
      <c r="C145" s="186" t="s">
        <v>343</v>
      </c>
      <c r="D145" s="186"/>
      <c r="E145" s="186"/>
      <c r="F145" s="186" t="s">
        <v>589</v>
      </c>
      <c r="G145" s="659">
        <f t="shared" si="28"/>
        <v>5.3269999999999998E-2</v>
      </c>
      <c r="H145" s="666">
        <f t="shared" si="25"/>
        <v>5.3269999999999998E-2</v>
      </c>
      <c r="I145" s="666">
        <f t="shared" si="37"/>
        <v>5.3269999999999998E-2</v>
      </c>
      <c r="J145" s="666">
        <f t="shared" si="37"/>
        <v>5.3269999999999998E-2</v>
      </c>
      <c r="K145" s="666">
        <f t="shared" si="37"/>
        <v>5.3269999999999998E-2</v>
      </c>
      <c r="L145" s="666">
        <f t="shared" si="37"/>
        <v>5.3269999999999998E-2</v>
      </c>
      <c r="M145" s="666">
        <f t="shared" si="37"/>
        <v>5.3269999999999998E-2</v>
      </c>
      <c r="N145" s="666">
        <f t="shared" si="37"/>
        <v>5.3269999999999998E-2</v>
      </c>
      <c r="O145" s="666">
        <f t="shared" si="37"/>
        <v>5.3269999999999998E-2</v>
      </c>
      <c r="P145" s="666">
        <f t="shared" si="37"/>
        <v>5.3269999999999998E-2</v>
      </c>
      <c r="Q145" s="666">
        <f t="shared" si="37"/>
        <v>5.3269999999999998E-2</v>
      </c>
      <c r="R145" s="666">
        <f t="shared" si="37"/>
        <v>5.3269999999999998E-2</v>
      </c>
      <c r="S145" s="666">
        <f t="shared" si="37"/>
        <v>5.3269999999999998E-2</v>
      </c>
      <c r="T145" s="666">
        <f t="shared" si="37"/>
        <v>5.3269999999999998E-2</v>
      </c>
      <c r="U145" s="666">
        <f t="shared" si="37"/>
        <v>5.3269999999999998E-2</v>
      </c>
      <c r="V145" s="666">
        <f t="shared" si="37"/>
        <v>5.3269999999999998E-2</v>
      </c>
      <c r="X145" s="307"/>
      <c r="Y145" s="416">
        <f>Y141*0.95</f>
        <v>1877.1999999999998</v>
      </c>
      <c r="AA145" s="107"/>
      <c r="AB145" s="108"/>
    </row>
    <row r="146" spans="2:36" x14ac:dyDescent="0.3">
      <c r="B146" s="186" t="s">
        <v>77</v>
      </c>
      <c r="C146" s="186" t="s">
        <v>344</v>
      </c>
      <c r="D146" s="186"/>
      <c r="E146" s="186"/>
      <c r="F146" s="186" t="s">
        <v>414</v>
      </c>
      <c r="G146" s="659">
        <f t="shared" si="28"/>
        <v>5.0610000000000002E-2</v>
      </c>
      <c r="H146" s="666">
        <f t="shared" si="25"/>
        <v>5.0610000000000002E-2</v>
      </c>
      <c r="I146" s="666">
        <f t="shared" si="37"/>
        <v>5.0610000000000002E-2</v>
      </c>
      <c r="J146" s="666">
        <f t="shared" si="37"/>
        <v>5.0610000000000002E-2</v>
      </c>
      <c r="K146" s="666">
        <f t="shared" si="37"/>
        <v>5.0610000000000002E-2</v>
      </c>
      <c r="L146" s="666">
        <f t="shared" si="37"/>
        <v>5.0610000000000002E-2</v>
      </c>
      <c r="M146" s="666">
        <f t="shared" si="37"/>
        <v>5.0610000000000002E-2</v>
      </c>
      <c r="N146" s="666">
        <f t="shared" si="37"/>
        <v>5.0610000000000002E-2</v>
      </c>
      <c r="O146" s="666">
        <f t="shared" si="37"/>
        <v>5.0610000000000002E-2</v>
      </c>
      <c r="P146" s="666">
        <f t="shared" si="37"/>
        <v>5.0610000000000002E-2</v>
      </c>
      <c r="Q146" s="666">
        <f t="shared" si="37"/>
        <v>5.0610000000000002E-2</v>
      </c>
      <c r="R146" s="666">
        <f t="shared" si="37"/>
        <v>5.0610000000000002E-2</v>
      </c>
      <c r="S146" s="666">
        <f t="shared" si="37"/>
        <v>5.0610000000000002E-2</v>
      </c>
      <c r="T146" s="666">
        <f t="shared" si="37"/>
        <v>5.0610000000000002E-2</v>
      </c>
      <c r="U146" s="666">
        <f t="shared" si="37"/>
        <v>5.0610000000000002E-2</v>
      </c>
      <c r="V146" s="666">
        <f t="shared" si="37"/>
        <v>5.0610000000000002E-2</v>
      </c>
      <c r="X146" s="307"/>
      <c r="Y146" s="359">
        <f>Y140</f>
        <v>1976</v>
      </c>
      <c r="AA146" s="107"/>
      <c r="AB146" s="108"/>
    </row>
    <row r="147" spans="2:36" x14ac:dyDescent="0.3">
      <c r="B147" s="186" t="s">
        <v>77</v>
      </c>
      <c r="C147" s="186" t="s">
        <v>344</v>
      </c>
      <c r="D147" s="186"/>
      <c r="E147" s="186"/>
      <c r="F147" s="186" t="s">
        <v>589</v>
      </c>
      <c r="G147" s="659">
        <f t="shared" si="28"/>
        <v>5.0610000000000002E-2</v>
      </c>
      <c r="H147" s="666">
        <f t="shared" si="25"/>
        <v>5.0610000000000002E-2</v>
      </c>
      <c r="I147" s="666">
        <f t="shared" si="37"/>
        <v>5.0610000000000002E-2</v>
      </c>
      <c r="J147" s="666">
        <f t="shared" si="37"/>
        <v>5.0610000000000002E-2</v>
      </c>
      <c r="K147" s="666">
        <f t="shared" si="37"/>
        <v>5.0610000000000002E-2</v>
      </c>
      <c r="L147" s="666">
        <f t="shared" si="37"/>
        <v>5.0610000000000002E-2</v>
      </c>
      <c r="M147" s="666">
        <f t="shared" si="37"/>
        <v>5.0610000000000002E-2</v>
      </c>
      <c r="N147" s="666">
        <f t="shared" si="37"/>
        <v>5.0610000000000002E-2</v>
      </c>
      <c r="O147" s="666">
        <f t="shared" si="37"/>
        <v>5.0610000000000002E-2</v>
      </c>
      <c r="P147" s="666">
        <f t="shared" si="37"/>
        <v>5.0610000000000002E-2</v>
      </c>
      <c r="Q147" s="666">
        <f t="shared" si="37"/>
        <v>5.0610000000000002E-2</v>
      </c>
      <c r="R147" s="666">
        <f t="shared" si="37"/>
        <v>5.0610000000000002E-2</v>
      </c>
      <c r="S147" s="666">
        <f t="shared" si="37"/>
        <v>5.0610000000000002E-2</v>
      </c>
      <c r="T147" s="666">
        <f t="shared" si="37"/>
        <v>5.0610000000000002E-2</v>
      </c>
      <c r="U147" s="666">
        <f t="shared" si="37"/>
        <v>5.0610000000000002E-2</v>
      </c>
      <c r="V147" s="666">
        <f t="shared" si="37"/>
        <v>5.0610000000000002E-2</v>
      </c>
      <c r="X147" s="307"/>
      <c r="Y147" s="359">
        <f>Y141</f>
        <v>1976</v>
      </c>
      <c r="AA147" s="107"/>
      <c r="AB147" s="108"/>
    </row>
    <row r="148" spans="2:36" x14ac:dyDescent="0.3">
      <c r="B148" s="186" t="s">
        <v>77</v>
      </c>
      <c r="C148" s="186" t="s">
        <v>345</v>
      </c>
      <c r="D148" s="186"/>
      <c r="E148" s="186"/>
      <c r="F148" s="186" t="s">
        <v>414</v>
      </c>
      <c r="G148" s="659">
        <f t="shared" si="28"/>
        <v>9.2590000000000006E-2</v>
      </c>
      <c r="H148" s="666">
        <f t="shared" si="25"/>
        <v>9.2590000000000006E-2</v>
      </c>
      <c r="I148" s="666">
        <f t="shared" si="37"/>
        <v>9.2590000000000006E-2</v>
      </c>
      <c r="J148" s="666">
        <f t="shared" si="37"/>
        <v>9.2590000000000006E-2</v>
      </c>
      <c r="K148" s="666">
        <f t="shared" si="37"/>
        <v>9.2590000000000006E-2</v>
      </c>
      <c r="L148" s="666">
        <f t="shared" si="37"/>
        <v>9.2590000000000006E-2</v>
      </c>
      <c r="M148" s="666">
        <f t="shared" si="37"/>
        <v>9.2590000000000006E-2</v>
      </c>
      <c r="N148" s="666">
        <f t="shared" si="37"/>
        <v>9.2590000000000006E-2</v>
      </c>
      <c r="O148" s="666">
        <f t="shared" si="37"/>
        <v>9.2590000000000006E-2</v>
      </c>
      <c r="P148" s="666">
        <f t="shared" si="37"/>
        <v>9.2590000000000006E-2</v>
      </c>
      <c r="Q148" s="666">
        <f t="shared" si="37"/>
        <v>9.2590000000000006E-2</v>
      </c>
      <c r="R148" s="666">
        <f t="shared" si="37"/>
        <v>9.2590000000000006E-2</v>
      </c>
      <c r="S148" s="666">
        <f t="shared" si="37"/>
        <v>9.2590000000000006E-2</v>
      </c>
      <c r="T148" s="666">
        <f t="shared" si="37"/>
        <v>9.2590000000000006E-2</v>
      </c>
      <c r="U148" s="666">
        <f t="shared" si="37"/>
        <v>9.2590000000000006E-2</v>
      </c>
      <c r="V148" s="666">
        <f t="shared" si="37"/>
        <v>9.2590000000000006E-2</v>
      </c>
      <c r="X148" s="307"/>
      <c r="Y148" s="416">
        <f>Y132*0.9</f>
        <v>1080</v>
      </c>
      <c r="AA148" s="107"/>
      <c r="AB148" s="108"/>
    </row>
    <row r="149" spans="2:36" x14ac:dyDescent="0.3">
      <c r="B149" s="186" t="s">
        <v>77</v>
      </c>
      <c r="C149" s="186" t="s">
        <v>345</v>
      </c>
      <c r="D149" s="186"/>
      <c r="E149" s="186"/>
      <c r="F149" s="186" t="s">
        <v>589</v>
      </c>
      <c r="G149" s="659">
        <f t="shared" si="28"/>
        <v>9.2590000000000006E-2</v>
      </c>
      <c r="H149" s="666">
        <f t="shared" si="25"/>
        <v>9.2590000000000006E-2</v>
      </c>
      <c r="I149" s="666">
        <f t="shared" si="37"/>
        <v>9.2590000000000006E-2</v>
      </c>
      <c r="J149" s="666">
        <f t="shared" si="37"/>
        <v>9.2590000000000006E-2</v>
      </c>
      <c r="K149" s="666">
        <f t="shared" si="37"/>
        <v>9.2590000000000006E-2</v>
      </c>
      <c r="L149" s="666">
        <f t="shared" si="37"/>
        <v>9.2590000000000006E-2</v>
      </c>
      <c r="M149" s="666">
        <f t="shared" si="37"/>
        <v>9.2590000000000006E-2</v>
      </c>
      <c r="N149" s="666">
        <f t="shared" si="37"/>
        <v>9.2590000000000006E-2</v>
      </c>
      <c r="O149" s="666">
        <f t="shared" si="37"/>
        <v>9.2590000000000006E-2</v>
      </c>
      <c r="P149" s="666">
        <f t="shared" si="37"/>
        <v>9.2590000000000006E-2</v>
      </c>
      <c r="Q149" s="666">
        <f t="shared" si="37"/>
        <v>9.2590000000000006E-2</v>
      </c>
      <c r="R149" s="666">
        <f t="shared" si="37"/>
        <v>9.2590000000000006E-2</v>
      </c>
      <c r="S149" s="666">
        <f t="shared" si="37"/>
        <v>9.2590000000000006E-2</v>
      </c>
      <c r="T149" s="666">
        <f t="shared" si="37"/>
        <v>9.2590000000000006E-2</v>
      </c>
      <c r="U149" s="666">
        <f t="shared" si="37"/>
        <v>9.2590000000000006E-2</v>
      </c>
      <c r="V149" s="666">
        <f t="shared" si="37"/>
        <v>9.2590000000000006E-2</v>
      </c>
      <c r="X149" s="307"/>
      <c r="Y149" s="416">
        <f>Y133*0.9</f>
        <v>1080</v>
      </c>
      <c r="AA149" s="107"/>
      <c r="AB149" s="108"/>
    </row>
    <row r="150" spans="2:36" x14ac:dyDescent="0.3">
      <c r="B150" s="186" t="s">
        <v>77</v>
      </c>
      <c r="C150" s="186" t="s">
        <v>346</v>
      </c>
      <c r="D150" s="186"/>
      <c r="E150" s="186"/>
      <c r="F150" s="186" t="s">
        <v>414</v>
      </c>
      <c r="G150" s="659">
        <f t="shared" si="28"/>
        <v>5.6230000000000002E-2</v>
      </c>
      <c r="H150" s="666">
        <f t="shared" si="25"/>
        <v>5.6230000000000002E-2</v>
      </c>
      <c r="I150" s="666">
        <f t="shared" si="37"/>
        <v>5.6230000000000002E-2</v>
      </c>
      <c r="J150" s="666">
        <f t="shared" si="37"/>
        <v>5.6230000000000002E-2</v>
      </c>
      <c r="K150" s="666">
        <f t="shared" si="37"/>
        <v>5.6230000000000002E-2</v>
      </c>
      <c r="L150" s="666">
        <f t="shared" si="37"/>
        <v>5.6230000000000002E-2</v>
      </c>
      <c r="M150" s="666">
        <f t="shared" si="37"/>
        <v>5.6230000000000002E-2</v>
      </c>
      <c r="N150" s="666">
        <f t="shared" si="37"/>
        <v>5.6230000000000002E-2</v>
      </c>
      <c r="O150" s="666">
        <f t="shared" si="37"/>
        <v>5.6230000000000002E-2</v>
      </c>
      <c r="P150" s="666">
        <f t="shared" si="37"/>
        <v>5.6230000000000002E-2</v>
      </c>
      <c r="Q150" s="666">
        <f t="shared" si="37"/>
        <v>5.6230000000000002E-2</v>
      </c>
      <c r="R150" s="666">
        <f t="shared" si="37"/>
        <v>5.6230000000000002E-2</v>
      </c>
      <c r="S150" s="666">
        <f t="shared" si="37"/>
        <v>5.6230000000000002E-2</v>
      </c>
      <c r="T150" s="666">
        <f t="shared" si="37"/>
        <v>5.6230000000000002E-2</v>
      </c>
      <c r="U150" s="666">
        <f t="shared" si="37"/>
        <v>5.6230000000000002E-2</v>
      </c>
      <c r="V150" s="666">
        <f t="shared" si="37"/>
        <v>5.6230000000000002E-2</v>
      </c>
      <c r="X150" s="307"/>
      <c r="Y150" s="416">
        <f>Y140*0.9</f>
        <v>1778.4</v>
      </c>
      <c r="AA150" s="107"/>
      <c r="AB150" s="108"/>
    </row>
    <row r="151" spans="2:36" x14ac:dyDescent="0.3">
      <c r="B151" s="186" t="s">
        <v>77</v>
      </c>
      <c r="C151" s="186" t="s">
        <v>346</v>
      </c>
      <c r="D151" s="186"/>
      <c r="E151" s="186"/>
      <c r="F151" s="186" t="s">
        <v>589</v>
      </c>
      <c r="G151" s="659">
        <f t="shared" si="28"/>
        <v>5.6230000000000002E-2</v>
      </c>
      <c r="H151" s="666">
        <f t="shared" si="25"/>
        <v>5.6230000000000002E-2</v>
      </c>
      <c r="I151" s="666">
        <f t="shared" si="37"/>
        <v>5.6230000000000002E-2</v>
      </c>
      <c r="J151" s="666">
        <f t="shared" si="37"/>
        <v>5.6230000000000002E-2</v>
      </c>
      <c r="K151" s="666">
        <f t="shared" si="37"/>
        <v>5.6230000000000002E-2</v>
      </c>
      <c r="L151" s="666">
        <f t="shared" si="37"/>
        <v>5.6230000000000002E-2</v>
      </c>
      <c r="M151" s="666">
        <f t="shared" si="37"/>
        <v>5.6230000000000002E-2</v>
      </c>
      <c r="N151" s="666">
        <f t="shared" si="37"/>
        <v>5.6230000000000002E-2</v>
      </c>
      <c r="O151" s="666">
        <f t="shared" si="37"/>
        <v>5.6230000000000002E-2</v>
      </c>
      <c r="P151" s="666">
        <f t="shared" si="37"/>
        <v>5.6230000000000002E-2</v>
      </c>
      <c r="Q151" s="666">
        <f t="shared" si="37"/>
        <v>5.6230000000000002E-2</v>
      </c>
      <c r="R151" s="666">
        <f t="shared" si="37"/>
        <v>5.6230000000000002E-2</v>
      </c>
      <c r="S151" s="666">
        <f t="shared" si="37"/>
        <v>5.6230000000000002E-2</v>
      </c>
      <c r="T151" s="666">
        <f t="shared" si="37"/>
        <v>5.6230000000000002E-2</v>
      </c>
      <c r="U151" s="666">
        <f t="shared" si="37"/>
        <v>5.6230000000000002E-2</v>
      </c>
      <c r="V151" s="666">
        <f t="shared" si="37"/>
        <v>5.6230000000000002E-2</v>
      </c>
      <c r="X151" s="307"/>
      <c r="Y151" s="416">
        <f>Y141*0.9</f>
        <v>1778.4</v>
      </c>
      <c r="AA151" s="107"/>
      <c r="AB151" s="108"/>
    </row>
    <row r="152" spans="2:36" x14ac:dyDescent="0.3">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3">
      <c r="B153" s="22"/>
      <c r="C153" s="22"/>
      <c r="D153" s="14"/>
      <c r="E153" s="22"/>
      <c r="F153" s="22"/>
      <c r="G153" s="454"/>
      <c r="H153" s="15"/>
      <c r="I153" s="15"/>
      <c r="J153" s="15"/>
      <c r="K153" s="15"/>
      <c r="L153" s="15"/>
      <c r="M153" s="15"/>
      <c r="N153" s="15"/>
      <c r="O153" s="15"/>
      <c r="P153" s="15"/>
      <c r="Q153" s="15"/>
      <c r="R153" s="15"/>
      <c r="S153" s="15"/>
      <c r="T153" s="15"/>
      <c r="U153" s="15"/>
      <c r="V153" s="15"/>
      <c r="X153" s="492"/>
      <c r="Y153" s="493"/>
    </row>
    <row r="154" spans="2:36" x14ac:dyDescent="0.3">
      <c r="B154" s="466" t="s">
        <v>718</v>
      </c>
      <c r="C154" s="22"/>
      <c r="D154" s="22"/>
      <c r="E154" s="22"/>
      <c r="F154" s="22"/>
      <c r="G154" s="821">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3">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3">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3">
      <c r="B157" s="572" t="s">
        <v>78</v>
      </c>
      <c r="C157" s="573" t="s">
        <v>556</v>
      </c>
      <c r="D157" s="545"/>
      <c r="E157" s="545"/>
      <c r="F157" s="541" t="s">
        <v>427</v>
      </c>
      <c r="G157" s="668">
        <f t="shared" ref="G157" si="41">ROUND(10^2/Y157,5)</f>
        <v>3.0303</v>
      </c>
      <c r="H157" s="667">
        <f t="shared" ref="H157:H278" si="42">$G157</f>
        <v>3.0303</v>
      </c>
      <c r="I157" s="667">
        <f t="shared" ref="I157:I159" si="43">$H157</f>
        <v>3.0303</v>
      </c>
      <c r="J157" s="667">
        <f t="shared" ref="J157:V159" si="44">$H157</f>
        <v>3.0303</v>
      </c>
      <c r="K157" s="667">
        <f t="shared" si="44"/>
        <v>3.0303</v>
      </c>
      <c r="L157" s="667">
        <f t="shared" si="44"/>
        <v>3.0303</v>
      </c>
      <c r="M157" s="667">
        <f t="shared" si="44"/>
        <v>3.0303</v>
      </c>
      <c r="N157" s="667">
        <f t="shared" si="44"/>
        <v>3.0303</v>
      </c>
      <c r="O157" s="667">
        <f t="shared" si="44"/>
        <v>3.0303</v>
      </c>
      <c r="P157" s="667">
        <f t="shared" si="44"/>
        <v>3.0303</v>
      </c>
      <c r="Q157" s="667">
        <f t="shared" si="44"/>
        <v>3.0303</v>
      </c>
      <c r="R157" s="667">
        <f t="shared" si="44"/>
        <v>3.0303</v>
      </c>
      <c r="S157" s="667">
        <f t="shared" si="44"/>
        <v>3.0303</v>
      </c>
      <c r="T157" s="667">
        <f t="shared" si="44"/>
        <v>3.0303</v>
      </c>
      <c r="U157" s="667">
        <f t="shared" si="44"/>
        <v>3.0303</v>
      </c>
      <c r="V157" s="667">
        <f t="shared" si="44"/>
        <v>3.0303</v>
      </c>
      <c r="X157" s="546"/>
      <c r="Y157" s="547">
        <v>33</v>
      </c>
      <c r="AA157" s="107"/>
      <c r="AB157" s="108"/>
      <c r="AF157" t="s">
        <v>678</v>
      </c>
      <c r="AG157" t="s">
        <v>694</v>
      </c>
      <c r="AH157" t="s">
        <v>695</v>
      </c>
      <c r="AI157" t="s">
        <v>696</v>
      </c>
      <c r="AJ157" t="s">
        <v>697</v>
      </c>
    </row>
    <row r="158" spans="2:36" x14ac:dyDescent="0.3">
      <c r="B158" s="191" t="s">
        <v>78</v>
      </c>
      <c r="C158" s="186" t="s">
        <v>347</v>
      </c>
      <c r="D158" s="186"/>
      <c r="E158" s="186"/>
      <c r="F158" s="191" t="s">
        <v>431</v>
      </c>
      <c r="G158" s="659">
        <f>ROUND(10^2/(Y158*$G$154),5)</f>
        <v>0.42781000000000002</v>
      </c>
      <c r="H158" s="666">
        <f t="shared" si="42"/>
        <v>0.42781000000000002</v>
      </c>
      <c r="I158" s="666">
        <f t="shared" si="43"/>
        <v>0.42781000000000002</v>
      </c>
      <c r="J158" s="666">
        <f t="shared" si="44"/>
        <v>0.42781000000000002</v>
      </c>
      <c r="K158" s="666">
        <f t="shared" si="44"/>
        <v>0.42781000000000002</v>
      </c>
      <c r="L158" s="666">
        <f t="shared" si="44"/>
        <v>0.42781000000000002</v>
      </c>
      <c r="M158" s="666">
        <f t="shared" si="44"/>
        <v>0.42781000000000002</v>
      </c>
      <c r="N158" s="666">
        <f t="shared" si="44"/>
        <v>0.42781000000000002</v>
      </c>
      <c r="O158" s="666">
        <f t="shared" si="44"/>
        <v>0.42781000000000002</v>
      </c>
      <c r="P158" s="666">
        <f t="shared" si="44"/>
        <v>0.42781000000000002</v>
      </c>
      <c r="Q158" s="666">
        <f t="shared" si="44"/>
        <v>0.42781000000000002</v>
      </c>
      <c r="R158" s="666">
        <f t="shared" si="44"/>
        <v>0.42781000000000002</v>
      </c>
      <c r="S158" s="666">
        <f t="shared" si="44"/>
        <v>0.42781000000000002</v>
      </c>
      <c r="T158" s="666">
        <f t="shared" si="44"/>
        <v>0.42781000000000002</v>
      </c>
      <c r="U158" s="666">
        <f t="shared" si="44"/>
        <v>0.42781000000000002</v>
      </c>
      <c r="V158" s="666">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3">
      <c r="B159" s="191" t="s">
        <v>78</v>
      </c>
      <c r="C159" s="186" t="s">
        <v>347</v>
      </c>
      <c r="D159" s="186"/>
      <c r="E159" s="186"/>
      <c r="F159" s="191" t="s">
        <v>429</v>
      </c>
      <c r="G159" s="659">
        <f t="shared" ref="G159:G179" si="45">ROUND(10^2/(Y159*$G$154),5)</f>
        <v>0.37558999999999998</v>
      </c>
      <c r="H159" s="666">
        <f t="shared" si="42"/>
        <v>0.37558999999999998</v>
      </c>
      <c r="I159" s="666">
        <f t="shared" si="43"/>
        <v>0.37558999999999998</v>
      </c>
      <c r="J159" s="666">
        <f t="shared" si="44"/>
        <v>0.37558999999999998</v>
      </c>
      <c r="K159" s="666">
        <f t="shared" si="44"/>
        <v>0.37558999999999998</v>
      </c>
      <c r="L159" s="666">
        <f t="shared" si="44"/>
        <v>0.37558999999999998</v>
      </c>
      <c r="M159" s="666">
        <f t="shared" si="44"/>
        <v>0.37558999999999998</v>
      </c>
      <c r="N159" s="666">
        <f t="shared" si="44"/>
        <v>0.37558999999999998</v>
      </c>
      <c r="O159" s="666">
        <f t="shared" si="44"/>
        <v>0.37558999999999998</v>
      </c>
      <c r="P159" s="666">
        <f t="shared" si="44"/>
        <v>0.37558999999999998</v>
      </c>
      <c r="Q159" s="666">
        <f t="shared" si="44"/>
        <v>0.37558999999999998</v>
      </c>
      <c r="R159" s="666">
        <f t="shared" si="44"/>
        <v>0.37558999999999998</v>
      </c>
      <c r="S159" s="666">
        <f t="shared" si="44"/>
        <v>0.37558999999999998</v>
      </c>
      <c r="T159" s="666">
        <f t="shared" si="44"/>
        <v>0.37558999999999998</v>
      </c>
      <c r="U159" s="666">
        <f t="shared" si="44"/>
        <v>0.37558999999999998</v>
      </c>
      <c r="V159" s="666">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3">
      <c r="B160" s="191" t="s">
        <v>78</v>
      </c>
      <c r="C160" s="191" t="s">
        <v>348</v>
      </c>
      <c r="D160" s="191"/>
      <c r="E160" s="191"/>
      <c r="F160" s="191" t="s">
        <v>431</v>
      </c>
      <c r="G160" s="659">
        <f t="shared" si="45"/>
        <v>0.42781000000000002</v>
      </c>
      <c r="H160" s="666">
        <f t="shared" si="42"/>
        <v>0.42781000000000002</v>
      </c>
      <c r="I160" s="666">
        <f t="shared" ref="I160:V282" si="49">$H160</f>
        <v>0.42781000000000002</v>
      </c>
      <c r="J160" s="666">
        <f t="shared" ref="J160:V165" si="50">$H160</f>
        <v>0.42781000000000002</v>
      </c>
      <c r="K160" s="666">
        <f t="shared" si="50"/>
        <v>0.42781000000000002</v>
      </c>
      <c r="L160" s="666">
        <f t="shared" si="50"/>
        <v>0.42781000000000002</v>
      </c>
      <c r="M160" s="666">
        <f t="shared" si="50"/>
        <v>0.42781000000000002</v>
      </c>
      <c r="N160" s="666">
        <f t="shared" si="50"/>
        <v>0.42781000000000002</v>
      </c>
      <c r="O160" s="666">
        <f t="shared" si="50"/>
        <v>0.42781000000000002</v>
      </c>
      <c r="P160" s="666">
        <f t="shared" si="50"/>
        <v>0.42781000000000002</v>
      </c>
      <c r="Q160" s="666">
        <f t="shared" si="50"/>
        <v>0.42781000000000002</v>
      </c>
      <c r="R160" s="666">
        <f t="shared" si="50"/>
        <v>0.42781000000000002</v>
      </c>
      <c r="S160" s="666">
        <f t="shared" si="50"/>
        <v>0.42781000000000002</v>
      </c>
      <c r="T160" s="666">
        <f t="shared" si="50"/>
        <v>0.42781000000000002</v>
      </c>
      <c r="U160" s="666">
        <f t="shared" si="50"/>
        <v>0.42781000000000002</v>
      </c>
      <c r="V160" s="666">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3">
      <c r="B161" s="191" t="s">
        <v>78</v>
      </c>
      <c r="C161" s="191" t="s">
        <v>348</v>
      </c>
      <c r="D161" s="191"/>
      <c r="E161" s="191"/>
      <c r="F161" s="191" t="s">
        <v>429</v>
      </c>
      <c r="G161" s="659">
        <f t="shared" si="45"/>
        <v>0.37558999999999998</v>
      </c>
      <c r="H161" s="666">
        <f t="shared" si="42"/>
        <v>0.37558999999999998</v>
      </c>
      <c r="I161" s="666">
        <f t="shared" si="49"/>
        <v>0.37558999999999998</v>
      </c>
      <c r="J161" s="666">
        <f t="shared" si="50"/>
        <v>0.37558999999999998</v>
      </c>
      <c r="K161" s="666">
        <f t="shared" si="50"/>
        <v>0.37558999999999998</v>
      </c>
      <c r="L161" s="666">
        <f t="shared" si="50"/>
        <v>0.37558999999999998</v>
      </c>
      <c r="M161" s="666">
        <f t="shared" si="50"/>
        <v>0.37558999999999998</v>
      </c>
      <c r="N161" s="666">
        <f t="shared" si="50"/>
        <v>0.37558999999999998</v>
      </c>
      <c r="O161" s="666">
        <f t="shared" si="50"/>
        <v>0.37558999999999998</v>
      </c>
      <c r="P161" s="666">
        <f t="shared" si="50"/>
        <v>0.37558999999999998</v>
      </c>
      <c r="Q161" s="666">
        <f t="shared" si="50"/>
        <v>0.37558999999999998</v>
      </c>
      <c r="R161" s="666">
        <f t="shared" si="50"/>
        <v>0.37558999999999998</v>
      </c>
      <c r="S161" s="666">
        <f t="shared" si="50"/>
        <v>0.37558999999999998</v>
      </c>
      <c r="T161" s="666">
        <f t="shared" si="50"/>
        <v>0.37558999999999998</v>
      </c>
      <c r="U161" s="666">
        <f t="shared" si="50"/>
        <v>0.37558999999999998</v>
      </c>
      <c r="V161" s="666">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3">
      <c r="B162" s="191" t="s">
        <v>78</v>
      </c>
      <c r="C162" s="191" t="s">
        <v>349</v>
      </c>
      <c r="D162" s="191"/>
      <c r="E162" s="191"/>
      <c r="F162" s="191" t="s">
        <v>431</v>
      </c>
      <c r="G162" s="659">
        <f t="shared" si="45"/>
        <v>1.0389600000000001</v>
      </c>
      <c r="H162" s="666">
        <f t="shared" si="42"/>
        <v>1.0389600000000001</v>
      </c>
      <c r="I162" s="666">
        <f t="shared" si="49"/>
        <v>1.0389600000000001</v>
      </c>
      <c r="J162" s="666">
        <f t="shared" si="50"/>
        <v>1.0389600000000001</v>
      </c>
      <c r="K162" s="666">
        <f t="shared" si="50"/>
        <v>1.0389600000000001</v>
      </c>
      <c r="L162" s="666">
        <f t="shared" si="50"/>
        <v>1.0389600000000001</v>
      </c>
      <c r="M162" s="666">
        <f t="shared" si="50"/>
        <v>1.0389600000000001</v>
      </c>
      <c r="N162" s="666">
        <f t="shared" si="50"/>
        <v>1.0389600000000001</v>
      </c>
      <c r="O162" s="666">
        <f t="shared" si="50"/>
        <v>1.0389600000000001</v>
      </c>
      <c r="P162" s="666">
        <f t="shared" si="50"/>
        <v>1.0389600000000001</v>
      </c>
      <c r="Q162" s="666">
        <f t="shared" si="50"/>
        <v>1.0389600000000001</v>
      </c>
      <c r="R162" s="666">
        <f t="shared" si="50"/>
        <v>1.0389600000000001</v>
      </c>
      <c r="S162" s="666">
        <f t="shared" si="50"/>
        <v>1.0389600000000001</v>
      </c>
      <c r="T162" s="666">
        <f t="shared" si="50"/>
        <v>1.0389600000000001</v>
      </c>
      <c r="U162" s="666">
        <f t="shared" si="50"/>
        <v>1.0389600000000001</v>
      </c>
      <c r="V162" s="666">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3">
      <c r="B163" s="191" t="s">
        <v>78</v>
      </c>
      <c r="C163" s="191" t="s">
        <v>349</v>
      </c>
      <c r="D163" s="191"/>
      <c r="E163" s="191"/>
      <c r="F163" s="191" t="s">
        <v>429</v>
      </c>
      <c r="G163" s="659">
        <f t="shared" si="45"/>
        <v>1.2903199999999999</v>
      </c>
      <c r="H163" s="666">
        <f t="shared" si="42"/>
        <v>1.2903199999999999</v>
      </c>
      <c r="I163" s="666">
        <f t="shared" si="49"/>
        <v>1.2903199999999999</v>
      </c>
      <c r="J163" s="666">
        <f t="shared" si="50"/>
        <v>1.2903199999999999</v>
      </c>
      <c r="K163" s="666">
        <f t="shared" si="50"/>
        <v>1.2903199999999999</v>
      </c>
      <c r="L163" s="666">
        <f t="shared" si="50"/>
        <v>1.2903199999999999</v>
      </c>
      <c r="M163" s="666">
        <f t="shared" si="50"/>
        <v>1.2903199999999999</v>
      </c>
      <c r="N163" s="666">
        <f t="shared" si="50"/>
        <v>1.2903199999999999</v>
      </c>
      <c r="O163" s="666">
        <f t="shared" si="50"/>
        <v>1.2903199999999999</v>
      </c>
      <c r="P163" s="666">
        <f t="shared" si="50"/>
        <v>1.2903199999999999</v>
      </c>
      <c r="Q163" s="666">
        <f t="shared" si="50"/>
        <v>1.2903199999999999</v>
      </c>
      <c r="R163" s="666">
        <f t="shared" si="50"/>
        <v>1.2903199999999999</v>
      </c>
      <c r="S163" s="666">
        <f t="shared" si="50"/>
        <v>1.2903199999999999</v>
      </c>
      <c r="T163" s="666">
        <f t="shared" si="50"/>
        <v>1.2903199999999999</v>
      </c>
      <c r="U163" s="666">
        <f t="shared" si="50"/>
        <v>1.2903199999999999</v>
      </c>
      <c r="V163" s="666">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3">
      <c r="B164" s="191" t="s">
        <v>78</v>
      </c>
      <c r="C164" s="191" t="s">
        <v>350</v>
      </c>
      <c r="D164" s="191"/>
      <c r="E164" s="191"/>
      <c r="F164" s="191" t="s">
        <v>431</v>
      </c>
      <c r="G164" s="659">
        <f t="shared" si="45"/>
        <v>0.38646999999999998</v>
      </c>
      <c r="H164" s="666">
        <f t="shared" si="42"/>
        <v>0.38646999999999998</v>
      </c>
      <c r="I164" s="666">
        <f t="shared" si="49"/>
        <v>0.38646999999999998</v>
      </c>
      <c r="J164" s="666">
        <f t="shared" si="50"/>
        <v>0.38646999999999998</v>
      </c>
      <c r="K164" s="666">
        <f t="shared" si="50"/>
        <v>0.38646999999999998</v>
      </c>
      <c r="L164" s="666">
        <f t="shared" si="50"/>
        <v>0.38646999999999998</v>
      </c>
      <c r="M164" s="666">
        <f t="shared" si="50"/>
        <v>0.38646999999999998</v>
      </c>
      <c r="N164" s="666">
        <f t="shared" si="50"/>
        <v>0.38646999999999998</v>
      </c>
      <c r="O164" s="666">
        <f t="shared" si="50"/>
        <v>0.38646999999999998</v>
      </c>
      <c r="P164" s="666">
        <f t="shared" si="50"/>
        <v>0.38646999999999998</v>
      </c>
      <c r="Q164" s="666">
        <f t="shared" si="50"/>
        <v>0.38646999999999998</v>
      </c>
      <c r="R164" s="666">
        <f t="shared" si="50"/>
        <v>0.38646999999999998</v>
      </c>
      <c r="S164" s="666">
        <f t="shared" si="50"/>
        <v>0.38646999999999998</v>
      </c>
      <c r="T164" s="666">
        <f t="shared" si="50"/>
        <v>0.38646999999999998</v>
      </c>
      <c r="U164" s="666">
        <f t="shared" si="50"/>
        <v>0.38646999999999998</v>
      </c>
      <c r="V164" s="666">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3">
      <c r="B165" s="191" t="s">
        <v>78</v>
      </c>
      <c r="C165" s="191" t="s">
        <v>350</v>
      </c>
      <c r="D165" s="191"/>
      <c r="E165" s="191"/>
      <c r="F165" s="191" t="s">
        <v>429</v>
      </c>
      <c r="G165" s="659">
        <f t="shared" si="45"/>
        <v>0.31873000000000001</v>
      </c>
      <c r="H165" s="666">
        <f t="shared" si="42"/>
        <v>0.31873000000000001</v>
      </c>
      <c r="I165" s="666">
        <f t="shared" si="49"/>
        <v>0.31873000000000001</v>
      </c>
      <c r="J165" s="666">
        <f t="shared" si="50"/>
        <v>0.31873000000000001</v>
      </c>
      <c r="K165" s="666">
        <f t="shared" si="50"/>
        <v>0.31873000000000001</v>
      </c>
      <c r="L165" s="666">
        <f t="shared" si="50"/>
        <v>0.31873000000000001</v>
      </c>
      <c r="M165" s="666">
        <f t="shared" ref="J165:V231" si="54">$H165</f>
        <v>0.31873000000000001</v>
      </c>
      <c r="N165" s="666">
        <f t="shared" si="54"/>
        <v>0.31873000000000001</v>
      </c>
      <c r="O165" s="666">
        <f t="shared" si="54"/>
        <v>0.31873000000000001</v>
      </c>
      <c r="P165" s="666">
        <f t="shared" si="54"/>
        <v>0.31873000000000001</v>
      </c>
      <c r="Q165" s="666">
        <f t="shared" si="54"/>
        <v>0.31873000000000001</v>
      </c>
      <c r="R165" s="666">
        <f t="shared" si="54"/>
        <v>0.31873000000000001</v>
      </c>
      <c r="S165" s="666">
        <f t="shared" si="54"/>
        <v>0.31873000000000001</v>
      </c>
      <c r="T165" s="666">
        <f t="shared" si="54"/>
        <v>0.31873000000000001</v>
      </c>
      <c r="U165" s="666">
        <f t="shared" si="54"/>
        <v>0.31873000000000001</v>
      </c>
      <c r="V165" s="666">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3">
      <c r="B166" s="191" t="s">
        <v>78</v>
      </c>
      <c r="C166" s="191" t="s">
        <v>351</v>
      </c>
      <c r="D166" s="191"/>
      <c r="E166" s="191"/>
      <c r="F166" s="191" t="s">
        <v>431</v>
      </c>
      <c r="G166" s="659">
        <f t="shared" si="45"/>
        <v>0.38646999999999998</v>
      </c>
      <c r="H166" s="666">
        <f t="shared" si="42"/>
        <v>0.38646999999999998</v>
      </c>
      <c r="I166" s="666">
        <f t="shared" si="49"/>
        <v>0.38646999999999998</v>
      </c>
      <c r="J166" s="666">
        <f t="shared" si="54"/>
        <v>0.38646999999999998</v>
      </c>
      <c r="K166" s="666">
        <f t="shared" si="54"/>
        <v>0.38646999999999998</v>
      </c>
      <c r="L166" s="666">
        <f t="shared" si="54"/>
        <v>0.38646999999999998</v>
      </c>
      <c r="M166" s="666">
        <f t="shared" si="54"/>
        <v>0.38646999999999998</v>
      </c>
      <c r="N166" s="666">
        <f t="shared" si="54"/>
        <v>0.38646999999999998</v>
      </c>
      <c r="O166" s="666">
        <f t="shared" si="54"/>
        <v>0.38646999999999998</v>
      </c>
      <c r="P166" s="666">
        <f t="shared" si="54"/>
        <v>0.38646999999999998</v>
      </c>
      <c r="Q166" s="666">
        <f t="shared" si="54"/>
        <v>0.38646999999999998</v>
      </c>
      <c r="R166" s="666">
        <f t="shared" si="54"/>
        <v>0.38646999999999998</v>
      </c>
      <c r="S166" s="666">
        <f t="shared" si="54"/>
        <v>0.38646999999999998</v>
      </c>
      <c r="T166" s="666">
        <f t="shared" si="54"/>
        <v>0.38646999999999998</v>
      </c>
      <c r="U166" s="666">
        <f t="shared" si="54"/>
        <v>0.38646999999999998</v>
      </c>
      <c r="V166" s="666">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3">
      <c r="B167" s="191" t="s">
        <v>78</v>
      </c>
      <c r="C167" s="191" t="s">
        <v>351</v>
      </c>
      <c r="D167" s="191"/>
      <c r="E167" s="191"/>
      <c r="F167" s="191" t="s">
        <v>429</v>
      </c>
      <c r="G167" s="659">
        <f t="shared" si="45"/>
        <v>0.31873000000000001</v>
      </c>
      <c r="H167" s="666">
        <f t="shared" si="42"/>
        <v>0.31873000000000001</v>
      </c>
      <c r="I167" s="666">
        <f t="shared" si="49"/>
        <v>0.31873000000000001</v>
      </c>
      <c r="J167" s="666">
        <f t="shared" si="54"/>
        <v>0.31873000000000001</v>
      </c>
      <c r="K167" s="666">
        <f t="shared" si="54"/>
        <v>0.31873000000000001</v>
      </c>
      <c r="L167" s="666">
        <f t="shared" si="54"/>
        <v>0.31873000000000001</v>
      </c>
      <c r="M167" s="666">
        <f t="shared" si="54"/>
        <v>0.31873000000000001</v>
      </c>
      <c r="N167" s="666">
        <f t="shared" si="54"/>
        <v>0.31873000000000001</v>
      </c>
      <c r="O167" s="666">
        <f t="shared" si="54"/>
        <v>0.31873000000000001</v>
      </c>
      <c r="P167" s="666">
        <f t="shared" si="54"/>
        <v>0.31873000000000001</v>
      </c>
      <c r="Q167" s="666">
        <f t="shared" si="54"/>
        <v>0.31873000000000001</v>
      </c>
      <c r="R167" s="666">
        <f t="shared" si="54"/>
        <v>0.31873000000000001</v>
      </c>
      <c r="S167" s="666">
        <f t="shared" si="54"/>
        <v>0.31873000000000001</v>
      </c>
      <c r="T167" s="666">
        <f t="shared" si="54"/>
        <v>0.31873000000000001</v>
      </c>
      <c r="U167" s="666">
        <f t="shared" si="54"/>
        <v>0.31873000000000001</v>
      </c>
      <c r="V167" s="666">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3">
      <c r="B168" s="191" t="s">
        <v>78</v>
      </c>
      <c r="C168" s="191" t="s">
        <v>352</v>
      </c>
      <c r="D168" s="191"/>
      <c r="E168" s="191"/>
      <c r="F168" s="191" t="s">
        <v>431</v>
      </c>
      <c r="G168" s="659">
        <f t="shared" si="45"/>
        <v>0.38646999999999998</v>
      </c>
      <c r="H168" s="666">
        <f t="shared" si="42"/>
        <v>0.38646999999999998</v>
      </c>
      <c r="I168" s="666">
        <f t="shared" si="49"/>
        <v>0.38646999999999998</v>
      </c>
      <c r="J168" s="666">
        <f t="shared" si="54"/>
        <v>0.38646999999999998</v>
      </c>
      <c r="K168" s="666">
        <f t="shared" si="54"/>
        <v>0.38646999999999998</v>
      </c>
      <c r="L168" s="666">
        <f t="shared" si="54"/>
        <v>0.38646999999999998</v>
      </c>
      <c r="M168" s="666">
        <f t="shared" si="54"/>
        <v>0.38646999999999998</v>
      </c>
      <c r="N168" s="666">
        <f t="shared" si="54"/>
        <v>0.38646999999999998</v>
      </c>
      <c r="O168" s="666">
        <f t="shared" si="54"/>
        <v>0.38646999999999998</v>
      </c>
      <c r="P168" s="666">
        <f t="shared" si="54"/>
        <v>0.38646999999999998</v>
      </c>
      <c r="Q168" s="666">
        <f t="shared" si="54"/>
        <v>0.38646999999999998</v>
      </c>
      <c r="R168" s="666">
        <f t="shared" si="54"/>
        <v>0.38646999999999998</v>
      </c>
      <c r="S168" s="666">
        <f t="shared" si="54"/>
        <v>0.38646999999999998</v>
      </c>
      <c r="T168" s="666">
        <f t="shared" si="54"/>
        <v>0.38646999999999998</v>
      </c>
      <c r="U168" s="666">
        <f t="shared" si="54"/>
        <v>0.38646999999999998</v>
      </c>
      <c r="V168" s="666">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3">
      <c r="B169" s="191" t="s">
        <v>78</v>
      </c>
      <c r="C169" s="191" t="s">
        <v>352</v>
      </c>
      <c r="D169" s="191"/>
      <c r="E169" s="191"/>
      <c r="F169" s="191" t="s">
        <v>429</v>
      </c>
      <c r="G169" s="659">
        <f t="shared" si="45"/>
        <v>0.31873000000000001</v>
      </c>
      <c r="H169" s="666">
        <f t="shared" si="42"/>
        <v>0.31873000000000001</v>
      </c>
      <c r="I169" s="666">
        <f t="shared" si="49"/>
        <v>0.31873000000000001</v>
      </c>
      <c r="J169" s="666">
        <f t="shared" si="54"/>
        <v>0.31873000000000001</v>
      </c>
      <c r="K169" s="666">
        <f t="shared" si="54"/>
        <v>0.31873000000000001</v>
      </c>
      <c r="L169" s="666">
        <f t="shared" si="54"/>
        <v>0.31873000000000001</v>
      </c>
      <c r="M169" s="666">
        <f t="shared" si="54"/>
        <v>0.31873000000000001</v>
      </c>
      <c r="N169" s="666">
        <f t="shared" si="54"/>
        <v>0.31873000000000001</v>
      </c>
      <c r="O169" s="666">
        <f t="shared" si="54"/>
        <v>0.31873000000000001</v>
      </c>
      <c r="P169" s="666">
        <f t="shared" si="54"/>
        <v>0.31873000000000001</v>
      </c>
      <c r="Q169" s="666">
        <f t="shared" si="54"/>
        <v>0.31873000000000001</v>
      </c>
      <c r="R169" s="666">
        <f t="shared" si="54"/>
        <v>0.31873000000000001</v>
      </c>
      <c r="S169" s="666">
        <f t="shared" si="54"/>
        <v>0.31873000000000001</v>
      </c>
      <c r="T169" s="666">
        <f t="shared" si="54"/>
        <v>0.31873000000000001</v>
      </c>
      <c r="U169" s="666">
        <f t="shared" si="54"/>
        <v>0.31873000000000001</v>
      </c>
      <c r="V169" s="666">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3">
      <c r="B170" s="191" t="s">
        <v>78</v>
      </c>
      <c r="C170" s="191" t="s">
        <v>353</v>
      </c>
      <c r="D170" s="191"/>
      <c r="E170" s="191"/>
      <c r="F170" s="191" t="s">
        <v>431</v>
      </c>
      <c r="G170" s="659">
        <f t="shared" si="45"/>
        <v>0.53332999999999997</v>
      </c>
      <c r="H170" s="666">
        <f t="shared" si="42"/>
        <v>0.53332999999999997</v>
      </c>
      <c r="I170" s="666">
        <f t="shared" ref="I170:V179" si="55">$H170</f>
        <v>0.53332999999999997</v>
      </c>
      <c r="J170" s="666">
        <f t="shared" si="54"/>
        <v>0.53332999999999997</v>
      </c>
      <c r="K170" s="666">
        <f t="shared" si="54"/>
        <v>0.53332999999999997</v>
      </c>
      <c r="L170" s="666">
        <f t="shared" si="54"/>
        <v>0.53332999999999997</v>
      </c>
      <c r="M170" s="666">
        <f t="shared" si="54"/>
        <v>0.53332999999999997</v>
      </c>
      <c r="N170" s="666">
        <f t="shared" si="54"/>
        <v>0.53332999999999997</v>
      </c>
      <c r="O170" s="666">
        <f t="shared" si="54"/>
        <v>0.53332999999999997</v>
      </c>
      <c r="P170" s="666">
        <f t="shared" si="54"/>
        <v>0.53332999999999997</v>
      </c>
      <c r="Q170" s="666">
        <f t="shared" si="54"/>
        <v>0.53332999999999997</v>
      </c>
      <c r="R170" s="666">
        <f t="shared" si="54"/>
        <v>0.53332999999999997</v>
      </c>
      <c r="S170" s="666">
        <f t="shared" si="54"/>
        <v>0.53332999999999997</v>
      </c>
      <c r="T170" s="666">
        <f t="shared" si="54"/>
        <v>0.53332999999999997</v>
      </c>
      <c r="U170" s="666">
        <f t="shared" si="54"/>
        <v>0.53332999999999997</v>
      </c>
      <c r="V170" s="666">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3">
      <c r="B171" s="191" t="s">
        <v>78</v>
      </c>
      <c r="C171" s="191" t="s">
        <v>353</v>
      </c>
      <c r="D171" s="191"/>
      <c r="E171" s="191"/>
      <c r="F171" s="191" t="s">
        <v>429</v>
      </c>
      <c r="G171" s="659">
        <f t="shared" si="45"/>
        <v>0.47059000000000001</v>
      </c>
      <c r="H171" s="666">
        <f t="shared" si="42"/>
        <v>0.47059000000000001</v>
      </c>
      <c r="I171" s="666">
        <f t="shared" si="55"/>
        <v>0.47059000000000001</v>
      </c>
      <c r="J171" s="666">
        <f t="shared" si="54"/>
        <v>0.47059000000000001</v>
      </c>
      <c r="K171" s="666">
        <f t="shared" si="54"/>
        <v>0.47059000000000001</v>
      </c>
      <c r="L171" s="666">
        <f t="shared" si="54"/>
        <v>0.47059000000000001</v>
      </c>
      <c r="M171" s="666">
        <f t="shared" si="54"/>
        <v>0.47059000000000001</v>
      </c>
      <c r="N171" s="666">
        <f t="shared" si="54"/>
        <v>0.47059000000000001</v>
      </c>
      <c r="O171" s="666">
        <f t="shared" si="54"/>
        <v>0.47059000000000001</v>
      </c>
      <c r="P171" s="666">
        <f t="shared" si="54"/>
        <v>0.47059000000000001</v>
      </c>
      <c r="Q171" s="666">
        <f t="shared" si="54"/>
        <v>0.47059000000000001</v>
      </c>
      <c r="R171" s="666">
        <f t="shared" si="54"/>
        <v>0.47059000000000001</v>
      </c>
      <c r="S171" s="666">
        <f t="shared" si="54"/>
        <v>0.47059000000000001</v>
      </c>
      <c r="T171" s="666">
        <f t="shared" si="54"/>
        <v>0.47059000000000001</v>
      </c>
      <c r="U171" s="666">
        <f t="shared" si="54"/>
        <v>0.47059000000000001</v>
      </c>
      <c r="V171" s="666">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3">
      <c r="B172" s="191" t="s">
        <v>78</v>
      </c>
      <c r="C172" s="191" t="s">
        <v>354</v>
      </c>
      <c r="D172" s="191"/>
      <c r="E172" s="191"/>
      <c r="F172" s="191" t="s">
        <v>431</v>
      </c>
      <c r="G172" s="659">
        <f t="shared" si="45"/>
        <v>0.47904000000000002</v>
      </c>
      <c r="H172" s="666">
        <f t="shared" si="42"/>
        <v>0.47904000000000002</v>
      </c>
      <c r="I172" s="666">
        <f t="shared" si="55"/>
        <v>0.47904000000000002</v>
      </c>
      <c r="J172" s="666">
        <f t="shared" si="55"/>
        <v>0.47904000000000002</v>
      </c>
      <c r="K172" s="666">
        <f t="shared" si="55"/>
        <v>0.47904000000000002</v>
      </c>
      <c r="L172" s="666">
        <f t="shared" si="55"/>
        <v>0.47904000000000002</v>
      </c>
      <c r="M172" s="666">
        <f t="shared" si="55"/>
        <v>0.47904000000000002</v>
      </c>
      <c r="N172" s="666">
        <f t="shared" si="55"/>
        <v>0.47904000000000002</v>
      </c>
      <c r="O172" s="666">
        <f t="shared" si="55"/>
        <v>0.47904000000000002</v>
      </c>
      <c r="P172" s="666">
        <f t="shared" si="55"/>
        <v>0.47904000000000002</v>
      </c>
      <c r="Q172" s="666">
        <f t="shared" si="55"/>
        <v>0.47904000000000002</v>
      </c>
      <c r="R172" s="666">
        <f t="shared" si="55"/>
        <v>0.47904000000000002</v>
      </c>
      <c r="S172" s="666">
        <f t="shared" si="55"/>
        <v>0.47904000000000002</v>
      </c>
      <c r="T172" s="666">
        <f t="shared" si="55"/>
        <v>0.47904000000000002</v>
      </c>
      <c r="U172" s="666">
        <f t="shared" si="55"/>
        <v>0.47904000000000002</v>
      </c>
      <c r="V172" s="666">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3">
      <c r="B173" s="191" t="s">
        <v>78</v>
      </c>
      <c r="C173" s="191" t="s">
        <v>354</v>
      </c>
      <c r="D173" s="191"/>
      <c r="E173" s="191"/>
      <c r="F173" s="191" t="s">
        <v>429</v>
      </c>
      <c r="G173" s="659">
        <f t="shared" si="45"/>
        <v>0.39604</v>
      </c>
      <c r="H173" s="666">
        <f t="shared" si="42"/>
        <v>0.39604</v>
      </c>
      <c r="I173" s="666">
        <f t="shared" si="55"/>
        <v>0.39604</v>
      </c>
      <c r="J173" s="666">
        <f t="shared" si="55"/>
        <v>0.39604</v>
      </c>
      <c r="K173" s="666">
        <f t="shared" si="55"/>
        <v>0.39604</v>
      </c>
      <c r="L173" s="666">
        <f t="shared" si="55"/>
        <v>0.39604</v>
      </c>
      <c r="M173" s="666">
        <f t="shared" si="55"/>
        <v>0.39604</v>
      </c>
      <c r="N173" s="666">
        <f t="shared" si="55"/>
        <v>0.39604</v>
      </c>
      <c r="O173" s="666">
        <f t="shared" si="55"/>
        <v>0.39604</v>
      </c>
      <c r="P173" s="666">
        <f t="shared" si="55"/>
        <v>0.39604</v>
      </c>
      <c r="Q173" s="666">
        <f t="shared" si="55"/>
        <v>0.39604</v>
      </c>
      <c r="R173" s="666">
        <f t="shared" si="55"/>
        <v>0.39604</v>
      </c>
      <c r="S173" s="666">
        <f t="shared" si="55"/>
        <v>0.39604</v>
      </c>
      <c r="T173" s="666">
        <f t="shared" si="55"/>
        <v>0.39604</v>
      </c>
      <c r="U173" s="666">
        <f t="shared" si="55"/>
        <v>0.39604</v>
      </c>
      <c r="V173" s="666">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3">
      <c r="B174" s="191" t="s">
        <v>78</v>
      </c>
      <c r="C174" s="191" t="s">
        <v>355</v>
      </c>
      <c r="D174" s="191"/>
      <c r="E174" s="191"/>
      <c r="F174" s="191" t="s">
        <v>431</v>
      </c>
      <c r="G174" s="659">
        <f t="shared" si="45"/>
        <v>0.38646999999999998</v>
      </c>
      <c r="H174" s="666">
        <f t="shared" si="42"/>
        <v>0.38646999999999998</v>
      </c>
      <c r="I174" s="666">
        <f t="shared" si="55"/>
        <v>0.38646999999999998</v>
      </c>
      <c r="J174" s="666">
        <f t="shared" si="55"/>
        <v>0.38646999999999998</v>
      </c>
      <c r="K174" s="666">
        <f t="shared" si="55"/>
        <v>0.38646999999999998</v>
      </c>
      <c r="L174" s="666">
        <f t="shared" si="55"/>
        <v>0.38646999999999998</v>
      </c>
      <c r="M174" s="666">
        <f t="shared" si="55"/>
        <v>0.38646999999999998</v>
      </c>
      <c r="N174" s="666">
        <f t="shared" si="55"/>
        <v>0.38646999999999998</v>
      </c>
      <c r="O174" s="666">
        <f t="shared" si="55"/>
        <v>0.38646999999999998</v>
      </c>
      <c r="P174" s="666">
        <f t="shared" si="55"/>
        <v>0.38646999999999998</v>
      </c>
      <c r="Q174" s="666">
        <f t="shared" si="55"/>
        <v>0.38646999999999998</v>
      </c>
      <c r="R174" s="666">
        <f t="shared" si="55"/>
        <v>0.38646999999999998</v>
      </c>
      <c r="S174" s="666">
        <f t="shared" si="55"/>
        <v>0.38646999999999998</v>
      </c>
      <c r="T174" s="666">
        <f t="shared" si="55"/>
        <v>0.38646999999999998</v>
      </c>
      <c r="U174" s="666">
        <f t="shared" si="55"/>
        <v>0.38646999999999998</v>
      </c>
      <c r="V174" s="666">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3">
      <c r="B175" s="191" t="s">
        <v>78</v>
      </c>
      <c r="C175" s="191" t="s">
        <v>355</v>
      </c>
      <c r="D175" s="191"/>
      <c r="E175" s="191"/>
      <c r="F175" s="191" t="s">
        <v>429</v>
      </c>
      <c r="G175" s="659">
        <f t="shared" si="45"/>
        <v>0.31873000000000001</v>
      </c>
      <c r="H175" s="666">
        <f t="shared" si="42"/>
        <v>0.31873000000000001</v>
      </c>
      <c r="I175" s="666">
        <f t="shared" si="55"/>
        <v>0.31873000000000001</v>
      </c>
      <c r="J175" s="666">
        <f t="shared" si="55"/>
        <v>0.31873000000000001</v>
      </c>
      <c r="K175" s="666">
        <f t="shared" si="55"/>
        <v>0.31873000000000001</v>
      </c>
      <c r="L175" s="666">
        <f t="shared" si="55"/>
        <v>0.31873000000000001</v>
      </c>
      <c r="M175" s="666">
        <f t="shared" si="55"/>
        <v>0.31873000000000001</v>
      </c>
      <c r="N175" s="666">
        <f t="shared" si="55"/>
        <v>0.31873000000000001</v>
      </c>
      <c r="O175" s="666">
        <f t="shared" si="55"/>
        <v>0.31873000000000001</v>
      </c>
      <c r="P175" s="666">
        <f t="shared" si="55"/>
        <v>0.31873000000000001</v>
      </c>
      <c r="Q175" s="666">
        <f t="shared" si="55"/>
        <v>0.31873000000000001</v>
      </c>
      <c r="R175" s="666">
        <f t="shared" si="55"/>
        <v>0.31873000000000001</v>
      </c>
      <c r="S175" s="666">
        <f t="shared" si="55"/>
        <v>0.31873000000000001</v>
      </c>
      <c r="T175" s="666">
        <f t="shared" si="55"/>
        <v>0.31873000000000001</v>
      </c>
      <c r="U175" s="666">
        <f t="shared" si="55"/>
        <v>0.31873000000000001</v>
      </c>
      <c r="V175" s="666">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3">
      <c r="B176" s="191" t="s">
        <v>78</v>
      </c>
      <c r="C176" s="191" t="s">
        <v>356</v>
      </c>
      <c r="D176" s="191"/>
      <c r="E176" s="191"/>
      <c r="F176" s="191" t="s">
        <v>431</v>
      </c>
      <c r="G176" s="659">
        <f t="shared" si="45"/>
        <v>0.68376000000000003</v>
      </c>
      <c r="H176" s="666">
        <f t="shared" si="42"/>
        <v>0.68376000000000003</v>
      </c>
      <c r="I176" s="666">
        <f t="shared" si="55"/>
        <v>0.68376000000000003</v>
      </c>
      <c r="J176" s="666">
        <f t="shared" si="55"/>
        <v>0.68376000000000003</v>
      </c>
      <c r="K176" s="666">
        <f t="shared" si="55"/>
        <v>0.68376000000000003</v>
      </c>
      <c r="L176" s="666">
        <f t="shared" si="55"/>
        <v>0.68376000000000003</v>
      </c>
      <c r="M176" s="666">
        <f t="shared" si="55"/>
        <v>0.68376000000000003</v>
      </c>
      <c r="N176" s="666">
        <f t="shared" si="55"/>
        <v>0.68376000000000003</v>
      </c>
      <c r="O176" s="666">
        <f t="shared" si="55"/>
        <v>0.68376000000000003</v>
      </c>
      <c r="P176" s="666">
        <f t="shared" si="55"/>
        <v>0.68376000000000003</v>
      </c>
      <c r="Q176" s="666">
        <f t="shared" si="55"/>
        <v>0.68376000000000003</v>
      </c>
      <c r="R176" s="666">
        <f t="shared" si="55"/>
        <v>0.68376000000000003</v>
      </c>
      <c r="S176" s="666">
        <f t="shared" si="55"/>
        <v>0.68376000000000003</v>
      </c>
      <c r="T176" s="666">
        <f t="shared" si="55"/>
        <v>0.68376000000000003</v>
      </c>
      <c r="U176" s="666">
        <f t="shared" si="55"/>
        <v>0.68376000000000003</v>
      </c>
      <c r="V176" s="666">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3">
      <c r="B177" s="191" t="s">
        <v>78</v>
      </c>
      <c r="C177" s="191" t="s">
        <v>356</v>
      </c>
      <c r="D177" s="191"/>
      <c r="E177" s="191"/>
      <c r="F177" s="191" t="s">
        <v>429</v>
      </c>
      <c r="G177" s="659">
        <f t="shared" si="45"/>
        <v>0.87912000000000001</v>
      </c>
      <c r="H177" s="666">
        <f t="shared" si="42"/>
        <v>0.87912000000000001</v>
      </c>
      <c r="I177" s="666">
        <f t="shared" si="55"/>
        <v>0.87912000000000001</v>
      </c>
      <c r="J177" s="666">
        <f t="shared" si="55"/>
        <v>0.87912000000000001</v>
      </c>
      <c r="K177" s="666">
        <f t="shared" si="55"/>
        <v>0.87912000000000001</v>
      </c>
      <c r="L177" s="666">
        <f t="shared" si="55"/>
        <v>0.87912000000000001</v>
      </c>
      <c r="M177" s="666">
        <f t="shared" si="55"/>
        <v>0.87912000000000001</v>
      </c>
      <c r="N177" s="666">
        <f t="shared" si="55"/>
        <v>0.87912000000000001</v>
      </c>
      <c r="O177" s="666">
        <f t="shared" si="55"/>
        <v>0.87912000000000001</v>
      </c>
      <c r="P177" s="666">
        <f t="shared" si="55"/>
        <v>0.87912000000000001</v>
      </c>
      <c r="Q177" s="666">
        <f t="shared" si="55"/>
        <v>0.87912000000000001</v>
      </c>
      <c r="R177" s="666">
        <f t="shared" si="55"/>
        <v>0.87912000000000001</v>
      </c>
      <c r="S177" s="666">
        <f t="shared" si="55"/>
        <v>0.87912000000000001</v>
      </c>
      <c r="T177" s="666">
        <f t="shared" si="55"/>
        <v>0.87912000000000001</v>
      </c>
      <c r="U177" s="666">
        <f t="shared" si="55"/>
        <v>0.87912000000000001</v>
      </c>
      <c r="V177" s="666">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3">
      <c r="B178" s="191" t="s">
        <v>78</v>
      </c>
      <c r="C178" s="191" t="s">
        <v>357</v>
      </c>
      <c r="D178" s="191"/>
      <c r="E178" s="191"/>
      <c r="F178" s="191" t="s">
        <v>431</v>
      </c>
      <c r="G178" s="659">
        <f t="shared" si="45"/>
        <v>0.72726999999999997</v>
      </c>
      <c r="H178" s="666">
        <f t="shared" si="42"/>
        <v>0.72726999999999997</v>
      </c>
      <c r="I178" s="666">
        <f t="shared" si="55"/>
        <v>0.72726999999999997</v>
      </c>
      <c r="J178" s="666">
        <f t="shared" si="55"/>
        <v>0.72726999999999997</v>
      </c>
      <c r="K178" s="666">
        <f t="shared" si="55"/>
        <v>0.72726999999999997</v>
      </c>
      <c r="L178" s="666">
        <f t="shared" si="55"/>
        <v>0.72726999999999997</v>
      </c>
      <c r="M178" s="666">
        <f t="shared" si="55"/>
        <v>0.72726999999999997</v>
      </c>
      <c r="N178" s="666">
        <f t="shared" si="55"/>
        <v>0.72726999999999997</v>
      </c>
      <c r="O178" s="666">
        <f t="shared" si="55"/>
        <v>0.72726999999999997</v>
      </c>
      <c r="P178" s="666">
        <f t="shared" si="55"/>
        <v>0.72726999999999997</v>
      </c>
      <c r="Q178" s="666">
        <f t="shared" si="55"/>
        <v>0.72726999999999997</v>
      </c>
      <c r="R178" s="666">
        <f t="shared" si="55"/>
        <v>0.72726999999999997</v>
      </c>
      <c r="S178" s="666">
        <f t="shared" si="55"/>
        <v>0.72726999999999997</v>
      </c>
      <c r="T178" s="666">
        <f t="shared" si="55"/>
        <v>0.72726999999999997</v>
      </c>
      <c r="U178" s="666">
        <f t="shared" si="55"/>
        <v>0.72726999999999997</v>
      </c>
      <c r="V178" s="666">
        <f t="shared" si="55"/>
        <v>0.72726999999999997</v>
      </c>
      <c r="X178" s="307" t="s">
        <v>698</v>
      </c>
      <c r="Y178" s="302">
        <v>110</v>
      </c>
      <c r="AA178" s="107"/>
      <c r="AB178" s="108"/>
    </row>
    <row r="179" spans="2:36" x14ac:dyDescent="0.3">
      <c r="B179" s="545" t="s">
        <v>78</v>
      </c>
      <c r="C179" s="545" t="s">
        <v>357</v>
      </c>
      <c r="D179" s="545"/>
      <c r="E179" s="545"/>
      <c r="F179" s="545" t="s">
        <v>429</v>
      </c>
      <c r="G179" s="668">
        <f t="shared" si="45"/>
        <v>0.82474000000000003</v>
      </c>
      <c r="H179" s="667">
        <f t="shared" si="42"/>
        <v>0.82474000000000003</v>
      </c>
      <c r="I179" s="661">
        <f t="shared" si="55"/>
        <v>0.82474000000000003</v>
      </c>
      <c r="J179" s="661">
        <f t="shared" si="55"/>
        <v>0.82474000000000003</v>
      </c>
      <c r="K179" s="661">
        <f t="shared" si="55"/>
        <v>0.82474000000000003</v>
      </c>
      <c r="L179" s="661">
        <f t="shared" si="55"/>
        <v>0.82474000000000003</v>
      </c>
      <c r="M179" s="661">
        <f t="shared" si="55"/>
        <v>0.82474000000000003</v>
      </c>
      <c r="N179" s="661">
        <f t="shared" si="55"/>
        <v>0.82474000000000003</v>
      </c>
      <c r="O179" s="661">
        <f t="shared" si="55"/>
        <v>0.82474000000000003</v>
      </c>
      <c r="P179" s="661">
        <f t="shared" si="55"/>
        <v>0.82474000000000003</v>
      </c>
      <c r="Q179" s="661">
        <f t="shared" si="55"/>
        <v>0.82474000000000003</v>
      </c>
      <c r="R179" s="661">
        <f t="shared" si="55"/>
        <v>0.82474000000000003</v>
      </c>
      <c r="S179" s="661">
        <f t="shared" si="55"/>
        <v>0.82474000000000003</v>
      </c>
      <c r="T179" s="661">
        <f t="shared" si="55"/>
        <v>0.82474000000000003</v>
      </c>
      <c r="U179" s="661">
        <f t="shared" si="55"/>
        <v>0.82474000000000003</v>
      </c>
      <c r="V179" s="661">
        <f t="shared" si="55"/>
        <v>0.82474000000000003</v>
      </c>
      <c r="X179" s="546" t="s">
        <v>698</v>
      </c>
      <c r="Y179" s="547">
        <v>97</v>
      </c>
      <c r="AA179" s="107"/>
      <c r="AB179" s="108"/>
    </row>
    <row r="180" spans="2:36" x14ac:dyDescent="0.3">
      <c r="B180" s="191" t="s">
        <v>78</v>
      </c>
      <c r="C180" s="191" t="s">
        <v>358</v>
      </c>
      <c r="D180" s="191"/>
      <c r="E180" s="191"/>
      <c r="F180" s="191" t="s">
        <v>435</v>
      </c>
      <c r="G180" s="659">
        <f>ROUND(10^2/(Y180*$G$154),5)</f>
        <v>7.0400000000000004E-2</v>
      </c>
      <c r="H180" s="666">
        <f t="shared" si="42"/>
        <v>7.0400000000000004E-2</v>
      </c>
      <c r="I180" s="666">
        <f t="shared" ref="I180:V198" si="56">$H180</f>
        <v>7.0400000000000004E-2</v>
      </c>
      <c r="J180" s="666">
        <f t="shared" si="56"/>
        <v>7.0400000000000004E-2</v>
      </c>
      <c r="K180" s="666">
        <f t="shared" si="56"/>
        <v>7.0400000000000004E-2</v>
      </c>
      <c r="L180" s="666">
        <f t="shared" si="56"/>
        <v>7.0400000000000004E-2</v>
      </c>
      <c r="M180" s="666">
        <f t="shared" si="56"/>
        <v>7.0400000000000004E-2</v>
      </c>
      <c r="N180" s="666">
        <f t="shared" si="56"/>
        <v>7.0400000000000004E-2</v>
      </c>
      <c r="O180" s="666">
        <f t="shared" si="56"/>
        <v>7.0400000000000004E-2</v>
      </c>
      <c r="P180" s="666">
        <f t="shared" si="56"/>
        <v>7.0400000000000004E-2</v>
      </c>
      <c r="Q180" s="666">
        <f t="shared" si="56"/>
        <v>7.0400000000000004E-2</v>
      </c>
      <c r="R180" s="666">
        <f t="shared" si="56"/>
        <v>7.0400000000000004E-2</v>
      </c>
      <c r="S180" s="666">
        <f t="shared" si="56"/>
        <v>7.0400000000000004E-2</v>
      </c>
      <c r="T180" s="666">
        <f t="shared" si="56"/>
        <v>7.0400000000000004E-2</v>
      </c>
      <c r="U180" s="666">
        <f t="shared" si="56"/>
        <v>7.0400000000000004E-2</v>
      </c>
      <c r="V180" s="666">
        <f t="shared" si="56"/>
        <v>7.0400000000000004E-2</v>
      </c>
      <c r="X180" s="307" t="s">
        <v>719</v>
      </c>
      <c r="Y180" s="359">
        <f>Y182</f>
        <v>1136.3636363636363</v>
      </c>
      <c r="AA180" s="107"/>
      <c r="AB180" s="108"/>
    </row>
    <row r="181" spans="2:36" x14ac:dyDescent="0.3">
      <c r="B181" s="191" t="s">
        <v>78</v>
      </c>
      <c r="C181" s="191" t="s">
        <v>358</v>
      </c>
      <c r="D181" s="191"/>
      <c r="E181" s="191"/>
      <c r="F181" s="191" t="s">
        <v>433</v>
      </c>
      <c r="G181" s="659">
        <f t="shared" ref="G181:G223" si="57">ROUND(10^2/(Y181*$G$154),5)</f>
        <v>5.6320000000000002E-2</v>
      </c>
      <c r="H181" s="666">
        <f t="shared" si="42"/>
        <v>5.6320000000000002E-2</v>
      </c>
      <c r="I181" s="666">
        <f t="shared" si="56"/>
        <v>5.6320000000000002E-2</v>
      </c>
      <c r="J181" s="666">
        <f t="shared" si="56"/>
        <v>5.6320000000000002E-2</v>
      </c>
      <c r="K181" s="666">
        <f t="shared" si="56"/>
        <v>5.6320000000000002E-2</v>
      </c>
      <c r="L181" s="666">
        <f t="shared" si="56"/>
        <v>5.6320000000000002E-2</v>
      </c>
      <c r="M181" s="666">
        <f t="shared" si="56"/>
        <v>5.6320000000000002E-2</v>
      </c>
      <c r="N181" s="666">
        <f t="shared" si="56"/>
        <v>5.6320000000000002E-2</v>
      </c>
      <c r="O181" s="666">
        <f t="shared" si="56"/>
        <v>5.6320000000000002E-2</v>
      </c>
      <c r="P181" s="666">
        <f t="shared" si="56"/>
        <v>5.6320000000000002E-2</v>
      </c>
      <c r="Q181" s="666">
        <f t="shared" si="56"/>
        <v>5.6320000000000002E-2</v>
      </c>
      <c r="R181" s="666">
        <f t="shared" si="56"/>
        <v>5.6320000000000002E-2</v>
      </c>
      <c r="S181" s="666">
        <f t="shared" si="56"/>
        <v>5.6320000000000002E-2</v>
      </c>
      <c r="T181" s="666">
        <f t="shared" si="56"/>
        <v>5.6320000000000002E-2</v>
      </c>
      <c r="U181" s="666">
        <f t="shared" si="56"/>
        <v>5.6320000000000002E-2</v>
      </c>
      <c r="V181" s="666">
        <f t="shared" si="56"/>
        <v>5.6320000000000002E-2</v>
      </c>
      <c r="X181" s="307" t="s">
        <v>719</v>
      </c>
      <c r="Y181" s="359">
        <f>Y183</f>
        <v>1420.4545454545453</v>
      </c>
      <c r="AA181" s="107"/>
      <c r="AB181" s="108"/>
    </row>
    <row r="182" spans="2:36" s="19" customFormat="1" x14ac:dyDescent="0.3">
      <c r="B182" s="191" t="s">
        <v>78</v>
      </c>
      <c r="C182" s="191" t="s">
        <v>359</v>
      </c>
      <c r="D182" s="191"/>
      <c r="E182" s="191"/>
      <c r="F182" s="191" t="s">
        <v>435</v>
      </c>
      <c r="G182" s="659">
        <f t="shared" si="57"/>
        <v>7.0400000000000004E-2</v>
      </c>
      <c r="H182" s="666">
        <f t="shared" si="42"/>
        <v>7.0400000000000004E-2</v>
      </c>
      <c r="I182" s="666">
        <f t="shared" si="56"/>
        <v>7.0400000000000004E-2</v>
      </c>
      <c r="J182" s="666">
        <f t="shared" si="56"/>
        <v>7.0400000000000004E-2</v>
      </c>
      <c r="K182" s="666">
        <f t="shared" si="56"/>
        <v>7.0400000000000004E-2</v>
      </c>
      <c r="L182" s="666">
        <f t="shared" si="56"/>
        <v>7.0400000000000004E-2</v>
      </c>
      <c r="M182" s="666">
        <f t="shared" si="56"/>
        <v>7.0400000000000004E-2</v>
      </c>
      <c r="N182" s="666">
        <f t="shared" si="56"/>
        <v>7.0400000000000004E-2</v>
      </c>
      <c r="O182" s="666">
        <f t="shared" si="56"/>
        <v>7.0400000000000004E-2</v>
      </c>
      <c r="P182" s="666">
        <f t="shared" si="56"/>
        <v>7.0400000000000004E-2</v>
      </c>
      <c r="Q182" s="666">
        <f t="shared" si="56"/>
        <v>7.0400000000000004E-2</v>
      </c>
      <c r="R182" s="666">
        <f t="shared" si="56"/>
        <v>7.0400000000000004E-2</v>
      </c>
      <c r="S182" s="666">
        <f t="shared" si="56"/>
        <v>7.0400000000000004E-2</v>
      </c>
      <c r="T182" s="666">
        <f t="shared" si="56"/>
        <v>7.0400000000000004E-2</v>
      </c>
      <c r="U182" s="666">
        <f t="shared" si="56"/>
        <v>7.0400000000000004E-2</v>
      </c>
      <c r="V182" s="666">
        <f t="shared" si="56"/>
        <v>7.0400000000000004E-2</v>
      </c>
      <c r="X182" s="307" t="s">
        <v>719</v>
      </c>
      <c r="Y182" s="359">
        <f>Y204/1.1</f>
        <v>1136.3636363636363</v>
      </c>
    </row>
    <row r="183" spans="2:36" s="19" customFormat="1" x14ac:dyDescent="0.3">
      <c r="B183" s="191" t="s">
        <v>78</v>
      </c>
      <c r="C183" s="191" t="s">
        <v>359</v>
      </c>
      <c r="D183" s="191"/>
      <c r="E183" s="191"/>
      <c r="F183" s="191" t="s">
        <v>433</v>
      </c>
      <c r="G183" s="659">
        <f t="shared" si="57"/>
        <v>5.6320000000000002E-2</v>
      </c>
      <c r="H183" s="666">
        <f t="shared" si="42"/>
        <v>5.6320000000000002E-2</v>
      </c>
      <c r="I183" s="666">
        <f t="shared" si="56"/>
        <v>5.6320000000000002E-2</v>
      </c>
      <c r="J183" s="666">
        <f t="shared" si="56"/>
        <v>5.6320000000000002E-2</v>
      </c>
      <c r="K183" s="666">
        <f t="shared" si="56"/>
        <v>5.6320000000000002E-2</v>
      </c>
      <c r="L183" s="666">
        <f t="shared" si="56"/>
        <v>5.6320000000000002E-2</v>
      </c>
      <c r="M183" s="666">
        <f t="shared" si="56"/>
        <v>5.6320000000000002E-2</v>
      </c>
      <c r="N183" s="666">
        <f t="shared" si="56"/>
        <v>5.6320000000000002E-2</v>
      </c>
      <c r="O183" s="666">
        <f t="shared" si="56"/>
        <v>5.6320000000000002E-2</v>
      </c>
      <c r="P183" s="666">
        <f t="shared" si="56"/>
        <v>5.6320000000000002E-2</v>
      </c>
      <c r="Q183" s="666">
        <f t="shared" si="56"/>
        <v>5.6320000000000002E-2</v>
      </c>
      <c r="R183" s="666">
        <f t="shared" si="56"/>
        <v>5.6320000000000002E-2</v>
      </c>
      <c r="S183" s="666">
        <f t="shared" si="56"/>
        <v>5.6320000000000002E-2</v>
      </c>
      <c r="T183" s="666">
        <f t="shared" si="56"/>
        <v>5.6320000000000002E-2</v>
      </c>
      <c r="U183" s="666">
        <f t="shared" si="56"/>
        <v>5.6320000000000002E-2</v>
      </c>
      <c r="V183" s="666">
        <f t="shared" si="56"/>
        <v>5.6320000000000002E-2</v>
      </c>
      <c r="X183" s="307" t="s">
        <v>719</v>
      </c>
      <c r="Y183" s="359">
        <f>Y205/1.1</f>
        <v>1420.4545454545453</v>
      </c>
    </row>
    <row r="184" spans="2:36" s="23" customFormat="1" x14ac:dyDescent="0.3">
      <c r="B184" s="420" t="s">
        <v>78</v>
      </c>
      <c r="C184" s="420" t="s">
        <v>360</v>
      </c>
      <c r="D184" s="420"/>
      <c r="E184" s="420"/>
      <c r="F184" s="420" t="s">
        <v>435</v>
      </c>
      <c r="G184" s="659">
        <f t="shared" si="57"/>
        <v>5.3330000000000002E-2</v>
      </c>
      <c r="H184" s="669">
        <f t="shared" si="42"/>
        <v>5.3330000000000002E-2</v>
      </c>
      <c r="I184" s="669">
        <f t="shared" si="56"/>
        <v>5.3330000000000002E-2</v>
      </c>
      <c r="J184" s="669">
        <f t="shared" si="56"/>
        <v>5.3330000000000002E-2</v>
      </c>
      <c r="K184" s="669">
        <f t="shared" si="56"/>
        <v>5.3330000000000002E-2</v>
      </c>
      <c r="L184" s="669">
        <f t="shared" si="56"/>
        <v>5.3330000000000002E-2</v>
      </c>
      <c r="M184" s="669">
        <f t="shared" si="56"/>
        <v>5.3330000000000002E-2</v>
      </c>
      <c r="N184" s="669">
        <f t="shared" si="56"/>
        <v>5.3330000000000002E-2</v>
      </c>
      <c r="O184" s="669">
        <f t="shared" si="56"/>
        <v>5.3330000000000002E-2</v>
      </c>
      <c r="P184" s="669">
        <f t="shared" si="56"/>
        <v>5.3330000000000002E-2</v>
      </c>
      <c r="Q184" s="669">
        <f t="shared" si="56"/>
        <v>5.3330000000000002E-2</v>
      </c>
      <c r="R184" s="669">
        <f t="shared" si="56"/>
        <v>5.3330000000000002E-2</v>
      </c>
      <c r="S184" s="669">
        <f t="shared" si="56"/>
        <v>5.3330000000000002E-2</v>
      </c>
      <c r="T184" s="669">
        <f t="shared" si="56"/>
        <v>5.3330000000000002E-2</v>
      </c>
      <c r="U184" s="669">
        <f t="shared" si="56"/>
        <v>5.3330000000000002E-2</v>
      </c>
      <c r="V184" s="669">
        <f t="shared" si="56"/>
        <v>5.3330000000000002E-2</v>
      </c>
      <c r="X184" s="643" t="s">
        <v>720</v>
      </c>
      <c r="Y184" s="415">
        <f>Y185*2.5</f>
        <v>1500</v>
      </c>
    </row>
    <row r="185" spans="2:36" s="19" customFormat="1" x14ac:dyDescent="0.3">
      <c r="B185" s="191" t="s">
        <v>78</v>
      </c>
      <c r="C185" s="191" t="s">
        <v>360</v>
      </c>
      <c r="D185" s="191"/>
      <c r="E185" s="191"/>
      <c r="F185" s="191" t="s">
        <v>433</v>
      </c>
      <c r="G185" s="659">
        <f t="shared" si="57"/>
        <v>0.13333</v>
      </c>
      <c r="H185" s="666">
        <f t="shared" si="42"/>
        <v>0.13333</v>
      </c>
      <c r="I185" s="666">
        <f t="shared" si="56"/>
        <v>0.13333</v>
      </c>
      <c r="J185" s="666">
        <f t="shared" si="56"/>
        <v>0.13333</v>
      </c>
      <c r="K185" s="666">
        <f t="shared" si="56"/>
        <v>0.13333</v>
      </c>
      <c r="L185" s="666">
        <f t="shared" si="56"/>
        <v>0.13333</v>
      </c>
      <c r="M185" s="666">
        <f t="shared" si="56"/>
        <v>0.13333</v>
      </c>
      <c r="N185" s="666">
        <f t="shared" si="56"/>
        <v>0.13333</v>
      </c>
      <c r="O185" s="666">
        <f t="shared" si="56"/>
        <v>0.13333</v>
      </c>
      <c r="P185" s="666">
        <f t="shared" si="56"/>
        <v>0.13333</v>
      </c>
      <c r="Q185" s="666">
        <f t="shared" si="56"/>
        <v>0.13333</v>
      </c>
      <c r="R185" s="666">
        <f t="shared" si="56"/>
        <v>0.13333</v>
      </c>
      <c r="S185" s="666">
        <f t="shared" si="56"/>
        <v>0.13333</v>
      </c>
      <c r="T185" s="666">
        <f t="shared" si="56"/>
        <v>0.13333</v>
      </c>
      <c r="U185" s="666">
        <f t="shared" si="56"/>
        <v>0.13333</v>
      </c>
      <c r="V185" s="666">
        <f t="shared" si="56"/>
        <v>0.13333</v>
      </c>
      <c r="X185" s="307" t="s">
        <v>721</v>
      </c>
      <c r="Y185" s="416">
        <f>Y111/2.5</f>
        <v>600</v>
      </c>
    </row>
    <row r="186" spans="2:36" s="19" customFormat="1" x14ac:dyDescent="0.3">
      <c r="B186" s="191" t="s">
        <v>78</v>
      </c>
      <c r="C186" s="191" t="s">
        <v>361</v>
      </c>
      <c r="D186" s="191"/>
      <c r="E186" s="191"/>
      <c r="F186" s="191" t="s">
        <v>435</v>
      </c>
      <c r="G186" s="659">
        <f t="shared" si="57"/>
        <v>7.0400000000000004E-2</v>
      </c>
      <c r="H186" s="666">
        <f t="shared" si="42"/>
        <v>7.0400000000000004E-2</v>
      </c>
      <c r="I186" s="666">
        <f t="shared" si="56"/>
        <v>7.0400000000000004E-2</v>
      </c>
      <c r="J186" s="666">
        <f t="shared" si="56"/>
        <v>7.0400000000000004E-2</v>
      </c>
      <c r="K186" s="666">
        <f t="shared" si="56"/>
        <v>7.0400000000000004E-2</v>
      </c>
      <c r="L186" s="666">
        <f t="shared" si="56"/>
        <v>7.0400000000000004E-2</v>
      </c>
      <c r="M186" s="666">
        <f t="shared" si="56"/>
        <v>7.0400000000000004E-2</v>
      </c>
      <c r="N186" s="666">
        <f t="shared" si="56"/>
        <v>7.0400000000000004E-2</v>
      </c>
      <c r="O186" s="666">
        <f t="shared" si="56"/>
        <v>7.0400000000000004E-2</v>
      </c>
      <c r="P186" s="666">
        <f t="shared" si="56"/>
        <v>7.0400000000000004E-2</v>
      </c>
      <c r="Q186" s="666">
        <f t="shared" si="56"/>
        <v>7.0400000000000004E-2</v>
      </c>
      <c r="R186" s="666">
        <f t="shared" si="56"/>
        <v>7.0400000000000004E-2</v>
      </c>
      <c r="S186" s="666">
        <f t="shared" si="56"/>
        <v>7.0400000000000004E-2</v>
      </c>
      <c r="T186" s="666">
        <f t="shared" si="56"/>
        <v>7.0400000000000004E-2</v>
      </c>
      <c r="U186" s="666">
        <f t="shared" si="56"/>
        <v>7.0400000000000004E-2</v>
      </c>
      <c r="V186" s="666">
        <f t="shared" si="56"/>
        <v>7.0400000000000004E-2</v>
      </c>
      <c r="X186" s="307" t="s">
        <v>719</v>
      </c>
      <c r="Y186" s="359">
        <f>Y182</f>
        <v>1136.3636363636363</v>
      </c>
    </row>
    <row r="187" spans="2:36" s="19" customFormat="1" x14ac:dyDescent="0.3">
      <c r="B187" s="191" t="s">
        <v>78</v>
      </c>
      <c r="C187" s="191" t="s">
        <v>361</v>
      </c>
      <c r="D187" s="191"/>
      <c r="E187" s="191"/>
      <c r="F187" s="191" t="s">
        <v>433</v>
      </c>
      <c r="G187" s="659">
        <f t="shared" si="57"/>
        <v>5.6320000000000002E-2</v>
      </c>
      <c r="H187" s="666">
        <f t="shared" si="42"/>
        <v>5.6320000000000002E-2</v>
      </c>
      <c r="I187" s="666">
        <f t="shared" si="56"/>
        <v>5.6320000000000002E-2</v>
      </c>
      <c r="J187" s="666">
        <f t="shared" si="56"/>
        <v>5.6320000000000002E-2</v>
      </c>
      <c r="K187" s="666">
        <f t="shared" si="56"/>
        <v>5.6320000000000002E-2</v>
      </c>
      <c r="L187" s="666">
        <f t="shared" si="56"/>
        <v>5.6320000000000002E-2</v>
      </c>
      <c r="M187" s="666">
        <f t="shared" si="56"/>
        <v>5.6320000000000002E-2</v>
      </c>
      <c r="N187" s="666">
        <f t="shared" si="56"/>
        <v>5.6320000000000002E-2</v>
      </c>
      <c r="O187" s="666">
        <f t="shared" si="56"/>
        <v>5.6320000000000002E-2</v>
      </c>
      <c r="P187" s="666">
        <f t="shared" si="56"/>
        <v>5.6320000000000002E-2</v>
      </c>
      <c r="Q187" s="666">
        <f t="shared" si="56"/>
        <v>5.6320000000000002E-2</v>
      </c>
      <c r="R187" s="666">
        <f t="shared" si="56"/>
        <v>5.6320000000000002E-2</v>
      </c>
      <c r="S187" s="666">
        <f t="shared" si="56"/>
        <v>5.6320000000000002E-2</v>
      </c>
      <c r="T187" s="666">
        <f t="shared" si="56"/>
        <v>5.6320000000000002E-2</v>
      </c>
      <c r="U187" s="666">
        <f t="shared" si="56"/>
        <v>5.6320000000000002E-2</v>
      </c>
      <c r="V187" s="666">
        <f t="shared" si="56"/>
        <v>5.6320000000000002E-2</v>
      </c>
      <c r="X187" s="307" t="s">
        <v>719</v>
      </c>
      <c r="Y187" s="359">
        <f>Y183</f>
        <v>1420.4545454545453</v>
      </c>
    </row>
    <row r="188" spans="2:36" s="19" customFormat="1" x14ac:dyDescent="0.3">
      <c r="B188" s="191" t="s">
        <v>78</v>
      </c>
      <c r="C188" s="191" t="s">
        <v>362</v>
      </c>
      <c r="D188" s="191"/>
      <c r="E188" s="191"/>
      <c r="F188" s="191" t="s">
        <v>435</v>
      </c>
      <c r="G188" s="659">
        <f t="shared" si="57"/>
        <v>6.2859999999999999E-2</v>
      </c>
      <c r="H188" s="666">
        <f t="shared" si="42"/>
        <v>6.2859999999999999E-2</v>
      </c>
      <c r="I188" s="666">
        <f t="shared" si="56"/>
        <v>6.2859999999999999E-2</v>
      </c>
      <c r="J188" s="666">
        <f t="shared" si="56"/>
        <v>6.2859999999999999E-2</v>
      </c>
      <c r="K188" s="666">
        <f t="shared" si="56"/>
        <v>6.2859999999999999E-2</v>
      </c>
      <c r="L188" s="666">
        <f t="shared" si="56"/>
        <v>6.2859999999999999E-2</v>
      </c>
      <c r="M188" s="666">
        <f t="shared" si="56"/>
        <v>6.2859999999999999E-2</v>
      </c>
      <c r="N188" s="666">
        <f t="shared" si="56"/>
        <v>6.2859999999999999E-2</v>
      </c>
      <c r="O188" s="666">
        <f t="shared" si="56"/>
        <v>6.2859999999999999E-2</v>
      </c>
      <c r="P188" s="666">
        <f t="shared" si="56"/>
        <v>6.2859999999999999E-2</v>
      </c>
      <c r="Q188" s="666">
        <f t="shared" si="56"/>
        <v>6.2859999999999999E-2</v>
      </c>
      <c r="R188" s="666">
        <f t="shared" si="56"/>
        <v>6.2859999999999999E-2</v>
      </c>
      <c r="S188" s="666">
        <f t="shared" si="56"/>
        <v>6.2859999999999999E-2</v>
      </c>
      <c r="T188" s="666">
        <f t="shared" si="56"/>
        <v>6.2859999999999999E-2</v>
      </c>
      <c r="U188" s="666">
        <f t="shared" si="56"/>
        <v>6.2859999999999999E-2</v>
      </c>
      <c r="V188" s="666">
        <f t="shared" si="56"/>
        <v>6.2859999999999999E-2</v>
      </c>
      <c r="X188" s="307" t="s">
        <v>719</v>
      </c>
      <c r="Y188" s="359">
        <f t="shared" ref="Y188:Y197" si="58">Y210/1.1</f>
        <v>1272.7272727272725</v>
      </c>
    </row>
    <row r="189" spans="2:36" s="19" customFormat="1" x14ac:dyDescent="0.3">
      <c r="B189" s="191" t="s">
        <v>78</v>
      </c>
      <c r="C189" s="191" t="s">
        <v>362</v>
      </c>
      <c r="D189" s="191"/>
      <c r="E189" s="191"/>
      <c r="F189" s="191" t="s">
        <v>433</v>
      </c>
      <c r="G189" s="659">
        <f t="shared" si="57"/>
        <v>5.0290000000000001E-2</v>
      </c>
      <c r="H189" s="666">
        <f t="shared" si="42"/>
        <v>5.0290000000000001E-2</v>
      </c>
      <c r="I189" s="666">
        <f t="shared" si="56"/>
        <v>5.0290000000000001E-2</v>
      </c>
      <c r="J189" s="666">
        <f t="shared" si="56"/>
        <v>5.0290000000000001E-2</v>
      </c>
      <c r="K189" s="666">
        <f t="shared" si="56"/>
        <v>5.0290000000000001E-2</v>
      </c>
      <c r="L189" s="666">
        <f t="shared" si="56"/>
        <v>5.0290000000000001E-2</v>
      </c>
      <c r="M189" s="666">
        <f t="shared" si="56"/>
        <v>5.0290000000000001E-2</v>
      </c>
      <c r="N189" s="666">
        <f t="shared" si="56"/>
        <v>5.0290000000000001E-2</v>
      </c>
      <c r="O189" s="666">
        <f t="shared" si="56"/>
        <v>5.0290000000000001E-2</v>
      </c>
      <c r="P189" s="666">
        <f t="shared" si="56"/>
        <v>5.0290000000000001E-2</v>
      </c>
      <c r="Q189" s="666">
        <f t="shared" si="56"/>
        <v>5.0290000000000001E-2</v>
      </c>
      <c r="R189" s="666">
        <f t="shared" si="56"/>
        <v>5.0290000000000001E-2</v>
      </c>
      <c r="S189" s="666">
        <f t="shared" si="56"/>
        <v>5.0290000000000001E-2</v>
      </c>
      <c r="T189" s="666">
        <f t="shared" si="56"/>
        <v>5.0290000000000001E-2</v>
      </c>
      <c r="U189" s="666">
        <f t="shared" si="56"/>
        <v>5.0290000000000001E-2</v>
      </c>
      <c r="V189" s="666">
        <f t="shared" si="56"/>
        <v>5.0290000000000001E-2</v>
      </c>
      <c r="X189" s="307" t="s">
        <v>719</v>
      </c>
      <c r="Y189" s="359">
        <f t="shared" si="58"/>
        <v>1590.9090909090908</v>
      </c>
    </row>
    <row r="190" spans="2:36" s="19" customFormat="1" x14ac:dyDescent="0.3">
      <c r="B190" s="191" t="s">
        <v>78</v>
      </c>
      <c r="C190" s="191" t="s">
        <v>363</v>
      </c>
      <c r="D190" s="191"/>
      <c r="E190" s="191"/>
      <c r="F190" s="191" t="s">
        <v>435</v>
      </c>
      <c r="G190" s="659">
        <f t="shared" si="57"/>
        <v>7.3950000000000002E-2</v>
      </c>
      <c r="H190" s="666">
        <f t="shared" si="42"/>
        <v>7.3950000000000002E-2</v>
      </c>
      <c r="I190" s="666">
        <f t="shared" si="56"/>
        <v>7.3950000000000002E-2</v>
      </c>
      <c r="J190" s="666">
        <f t="shared" si="56"/>
        <v>7.3950000000000002E-2</v>
      </c>
      <c r="K190" s="666">
        <f t="shared" si="56"/>
        <v>7.3950000000000002E-2</v>
      </c>
      <c r="L190" s="666">
        <f t="shared" si="56"/>
        <v>7.3950000000000002E-2</v>
      </c>
      <c r="M190" s="666">
        <f t="shared" si="56"/>
        <v>7.3950000000000002E-2</v>
      </c>
      <c r="N190" s="666">
        <f t="shared" si="56"/>
        <v>7.3950000000000002E-2</v>
      </c>
      <c r="O190" s="666">
        <f t="shared" si="56"/>
        <v>7.3950000000000002E-2</v>
      </c>
      <c r="P190" s="666">
        <f t="shared" si="56"/>
        <v>7.3950000000000002E-2</v>
      </c>
      <c r="Q190" s="666">
        <f t="shared" si="56"/>
        <v>7.3950000000000002E-2</v>
      </c>
      <c r="R190" s="666">
        <f t="shared" si="56"/>
        <v>7.3950000000000002E-2</v>
      </c>
      <c r="S190" s="666">
        <f t="shared" si="56"/>
        <v>7.3950000000000002E-2</v>
      </c>
      <c r="T190" s="666">
        <f t="shared" si="56"/>
        <v>7.3950000000000002E-2</v>
      </c>
      <c r="U190" s="666">
        <f t="shared" si="56"/>
        <v>7.3950000000000002E-2</v>
      </c>
      <c r="V190" s="666">
        <f t="shared" si="56"/>
        <v>7.3950000000000002E-2</v>
      </c>
      <c r="X190" s="307" t="s">
        <v>719</v>
      </c>
      <c r="Y190" s="359">
        <f t="shared" si="58"/>
        <v>1081.8181818181818</v>
      </c>
    </row>
    <row r="191" spans="2:36" s="19" customFormat="1" x14ac:dyDescent="0.3">
      <c r="B191" s="191" t="s">
        <v>78</v>
      </c>
      <c r="C191" s="191" t="s">
        <v>363</v>
      </c>
      <c r="D191" s="191"/>
      <c r="E191" s="191"/>
      <c r="F191" s="191" t="s">
        <v>433</v>
      </c>
      <c r="G191" s="659">
        <f t="shared" si="57"/>
        <v>5.9159999999999997E-2</v>
      </c>
      <c r="H191" s="666">
        <f t="shared" si="42"/>
        <v>5.9159999999999997E-2</v>
      </c>
      <c r="I191" s="666">
        <f t="shared" si="56"/>
        <v>5.9159999999999997E-2</v>
      </c>
      <c r="J191" s="666">
        <f t="shared" si="56"/>
        <v>5.9159999999999997E-2</v>
      </c>
      <c r="K191" s="666">
        <f t="shared" si="56"/>
        <v>5.9159999999999997E-2</v>
      </c>
      <c r="L191" s="666">
        <f t="shared" si="56"/>
        <v>5.9159999999999997E-2</v>
      </c>
      <c r="M191" s="666">
        <f t="shared" si="56"/>
        <v>5.9159999999999997E-2</v>
      </c>
      <c r="N191" s="666">
        <f t="shared" si="56"/>
        <v>5.9159999999999997E-2</v>
      </c>
      <c r="O191" s="666">
        <f t="shared" si="56"/>
        <v>5.9159999999999997E-2</v>
      </c>
      <c r="P191" s="666">
        <f t="shared" si="56"/>
        <v>5.9159999999999997E-2</v>
      </c>
      <c r="Q191" s="666">
        <f t="shared" si="56"/>
        <v>5.9159999999999997E-2</v>
      </c>
      <c r="R191" s="666">
        <f t="shared" si="56"/>
        <v>5.9159999999999997E-2</v>
      </c>
      <c r="S191" s="666">
        <f t="shared" si="56"/>
        <v>5.9159999999999997E-2</v>
      </c>
      <c r="T191" s="666">
        <f t="shared" si="56"/>
        <v>5.9159999999999997E-2</v>
      </c>
      <c r="U191" s="666">
        <f t="shared" si="56"/>
        <v>5.9159999999999997E-2</v>
      </c>
      <c r="V191" s="666">
        <f t="shared" si="56"/>
        <v>5.9159999999999997E-2</v>
      </c>
      <c r="X191" s="307" t="s">
        <v>719</v>
      </c>
      <c r="Y191" s="359">
        <f t="shared" si="58"/>
        <v>1352.2727272727273</v>
      </c>
    </row>
    <row r="192" spans="2:36" s="19" customFormat="1" x14ac:dyDescent="0.3">
      <c r="B192" s="191" t="s">
        <v>78</v>
      </c>
      <c r="C192" s="191" t="s">
        <v>364</v>
      </c>
      <c r="D192" s="191"/>
      <c r="E192" s="191"/>
      <c r="F192" s="191" t="s">
        <v>435</v>
      </c>
      <c r="G192" s="659">
        <f t="shared" si="57"/>
        <v>7.8219999999999998E-2</v>
      </c>
      <c r="H192" s="666">
        <f t="shared" si="42"/>
        <v>7.8219999999999998E-2</v>
      </c>
      <c r="I192" s="666">
        <f t="shared" si="56"/>
        <v>7.8219999999999998E-2</v>
      </c>
      <c r="J192" s="666">
        <f t="shared" si="56"/>
        <v>7.8219999999999998E-2</v>
      </c>
      <c r="K192" s="666">
        <f t="shared" si="56"/>
        <v>7.8219999999999998E-2</v>
      </c>
      <c r="L192" s="666">
        <f t="shared" si="56"/>
        <v>7.8219999999999998E-2</v>
      </c>
      <c r="M192" s="666">
        <f t="shared" si="56"/>
        <v>7.8219999999999998E-2</v>
      </c>
      <c r="N192" s="666">
        <f t="shared" si="56"/>
        <v>7.8219999999999998E-2</v>
      </c>
      <c r="O192" s="666">
        <f t="shared" si="56"/>
        <v>7.8219999999999998E-2</v>
      </c>
      <c r="P192" s="666">
        <f t="shared" si="56"/>
        <v>7.8219999999999998E-2</v>
      </c>
      <c r="Q192" s="666">
        <f t="shared" si="56"/>
        <v>7.8219999999999998E-2</v>
      </c>
      <c r="R192" s="666">
        <f t="shared" si="56"/>
        <v>7.8219999999999998E-2</v>
      </c>
      <c r="S192" s="666">
        <f t="shared" si="56"/>
        <v>7.8219999999999998E-2</v>
      </c>
      <c r="T192" s="666">
        <f t="shared" si="56"/>
        <v>7.8219999999999998E-2</v>
      </c>
      <c r="U192" s="666">
        <f t="shared" si="56"/>
        <v>7.8219999999999998E-2</v>
      </c>
      <c r="V192" s="666">
        <f t="shared" si="56"/>
        <v>7.8219999999999998E-2</v>
      </c>
      <c r="X192" s="307" t="s">
        <v>719</v>
      </c>
      <c r="Y192" s="359">
        <f t="shared" si="58"/>
        <v>1022.7272727272726</v>
      </c>
    </row>
    <row r="193" spans="2:36" s="19" customFormat="1" x14ac:dyDescent="0.3">
      <c r="B193" s="191" t="s">
        <v>78</v>
      </c>
      <c r="C193" s="191" t="s">
        <v>364</v>
      </c>
      <c r="D193" s="191"/>
      <c r="E193" s="191"/>
      <c r="F193" s="191" t="s">
        <v>433</v>
      </c>
      <c r="G193" s="659">
        <f t="shared" si="57"/>
        <v>6.2579999999999997E-2</v>
      </c>
      <c r="H193" s="666">
        <f t="shared" si="42"/>
        <v>6.2579999999999997E-2</v>
      </c>
      <c r="I193" s="666">
        <f t="shared" si="56"/>
        <v>6.2579999999999997E-2</v>
      </c>
      <c r="J193" s="666">
        <f t="shared" si="56"/>
        <v>6.2579999999999997E-2</v>
      </c>
      <c r="K193" s="666">
        <f t="shared" si="56"/>
        <v>6.2579999999999997E-2</v>
      </c>
      <c r="L193" s="666">
        <f t="shared" si="56"/>
        <v>6.2579999999999997E-2</v>
      </c>
      <c r="M193" s="666">
        <f t="shared" si="56"/>
        <v>6.2579999999999997E-2</v>
      </c>
      <c r="N193" s="666">
        <f t="shared" si="56"/>
        <v>6.2579999999999997E-2</v>
      </c>
      <c r="O193" s="666">
        <f t="shared" si="56"/>
        <v>6.2579999999999997E-2</v>
      </c>
      <c r="P193" s="666">
        <f t="shared" si="56"/>
        <v>6.2579999999999997E-2</v>
      </c>
      <c r="Q193" s="666">
        <f t="shared" si="56"/>
        <v>6.2579999999999997E-2</v>
      </c>
      <c r="R193" s="666">
        <f t="shared" si="56"/>
        <v>6.2579999999999997E-2</v>
      </c>
      <c r="S193" s="666">
        <f t="shared" si="56"/>
        <v>6.2579999999999997E-2</v>
      </c>
      <c r="T193" s="666">
        <f t="shared" si="56"/>
        <v>6.2579999999999997E-2</v>
      </c>
      <c r="U193" s="666">
        <f t="shared" si="56"/>
        <v>6.2579999999999997E-2</v>
      </c>
      <c r="V193" s="666">
        <f t="shared" si="56"/>
        <v>6.2579999999999997E-2</v>
      </c>
      <c r="X193" s="307" t="s">
        <v>719</v>
      </c>
      <c r="Y193" s="359">
        <f t="shared" si="58"/>
        <v>1278.4090909090908</v>
      </c>
    </row>
    <row r="194" spans="2:36" s="19" customFormat="1" x14ac:dyDescent="0.3">
      <c r="B194" s="191" t="s">
        <v>78</v>
      </c>
      <c r="C194" s="191" t="s">
        <v>365</v>
      </c>
      <c r="D194" s="191"/>
      <c r="E194" s="191"/>
      <c r="F194" s="191" t="s">
        <v>435</v>
      </c>
      <c r="G194" s="659">
        <f t="shared" si="57"/>
        <v>9.2630000000000004E-2</v>
      </c>
      <c r="H194" s="666">
        <f t="shared" si="42"/>
        <v>9.2630000000000004E-2</v>
      </c>
      <c r="I194" s="666">
        <f t="shared" si="56"/>
        <v>9.2630000000000004E-2</v>
      </c>
      <c r="J194" s="666">
        <f t="shared" si="56"/>
        <v>9.2630000000000004E-2</v>
      </c>
      <c r="K194" s="666">
        <f t="shared" si="56"/>
        <v>9.2630000000000004E-2</v>
      </c>
      <c r="L194" s="666">
        <f t="shared" si="56"/>
        <v>9.2630000000000004E-2</v>
      </c>
      <c r="M194" s="666">
        <f t="shared" si="56"/>
        <v>9.2630000000000004E-2</v>
      </c>
      <c r="N194" s="666">
        <f t="shared" si="56"/>
        <v>9.2630000000000004E-2</v>
      </c>
      <c r="O194" s="666">
        <f t="shared" si="56"/>
        <v>9.2630000000000004E-2</v>
      </c>
      <c r="P194" s="666">
        <f t="shared" si="56"/>
        <v>9.2630000000000004E-2</v>
      </c>
      <c r="Q194" s="666">
        <f t="shared" si="56"/>
        <v>9.2630000000000004E-2</v>
      </c>
      <c r="R194" s="666">
        <f t="shared" si="56"/>
        <v>9.2630000000000004E-2</v>
      </c>
      <c r="S194" s="666">
        <f t="shared" si="56"/>
        <v>9.2630000000000004E-2</v>
      </c>
      <c r="T194" s="666">
        <f t="shared" si="56"/>
        <v>9.2630000000000004E-2</v>
      </c>
      <c r="U194" s="666">
        <f t="shared" si="56"/>
        <v>9.2630000000000004E-2</v>
      </c>
      <c r="V194" s="666">
        <f t="shared" si="56"/>
        <v>9.2630000000000004E-2</v>
      </c>
      <c r="X194" s="307" t="s">
        <v>719</v>
      </c>
      <c r="Y194" s="359">
        <f t="shared" si="58"/>
        <v>863.63636363636351</v>
      </c>
    </row>
    <row r="195" spans="2:36" s="19" customFormat="1" x14ac:dyDescent="0.3">
      <c r="B195" s="191" t="s">
        <v>78</v>
      </c>
      <c r="C195" s="191" t="s">
        <v>365</v>
      </c>
      <c r="D195" s="191"/>
      <c r="E195" s="191"/>
      <c r="F195" s="191" t="s">
        <v>433</v>
      </c>
      <c r="G195" s="659">
        <f t="shared" si="57"/>
        <v>7.4109999999999995E-2</v>
      </c>
      <c r="H195" s="666">
        <f t="shared" si="42"/>
        <v>7.4109999999999995E-2</v>
      </c>
      <c r="I195" s="666">
        <f t="shared" si="56"/>
        <v>7.4109999999999995E-2</v>
      </c>
      <c r="J195" s="666">
        <f t="shared" si="56"/>
        <v>7.4109999999999995E-2</v>
      </c>
      <c r="K195" s="666">
        <f t="shared" si="56"/>
        <v>7.4109999999999995E-2</v>
      </c>
      <c r="L195" s="666">
        <f t="shared" si="56"/>
        <v>7.4109999999999995E-2</v>
      </c>
      <c r="M195" s="666">
        <f t="shared" si="56"/>
        <v>7.4109999999999995E-2</v>
      </c>
      <c r="N195" s="666">
        <f t="shared" si="56"/>
        <v>7.4109999999999995E-2</v>
      </c>
      <c r="O195" s="666">
        <f t="shared" si="56"/>
        <v>7.4109999999999995E-2</v>
      </c>
      <c r="P195" s="666">
        <f t="shared" si="56"/>
        <v>7.4109999999999995E-2</v>
      </c>
      <c r="Q195" s="666">
        <f t="shared" si="56"/>
        <v>7.4109999999999995E-2</v>
      </c>
      <c r="R195" s="666">
        <f t="shared" si="56"/>
        <v>7.4109999999999995E-2</v>
      </c>
      <c r="S195" s="666">
        <f t="shared" si="56"/>
        <v>7.4109999999999995E-2</v>
      </c>
      <c r="T195" s="666">
        <f t="shared" si="56"/>
        <v>7.4109999999999995E-2</v>
      </c>
      <c r="U195" s="666">
        <f t="shared" si="56"/>
        <v>7.4109999999999995E-2</v>
      </c>
      <c r="V195" s="666">
        <f t="shared" si="56"/>
        <v>7.4109999999999995E-2</v>
      </c>
      <c r="X195" s="307" t="s">
        <v>719</v>
      </c>
      <c r="Y195" s="359">
        <f t="shared" si="58"/>
        <v>1079.5454545454545</v>
      </c>
    </row>
    <row r="196" spans="2:36" s="19" customFormat="1" x14ac:dyDescent="0.3">
      <c r="B196" s="191" t="s">
        <v>78</v>
      </c>
      <c r="C196" s="191" t="s">
        <v>366</v>
      </c>
      <c r="D196" s="191"/>
      <c r="E196" s="191"/>
      <c r="F196" s="191" t="s">
        <v>435</v>
      </c>
      <c r="G196" s="659">
        <f t="shared" si="57"/>
        <v>7.3950000000000002E-2</v>
      </c>
      <c r="H196" s="666">
        <f t="shared" si="42"/>
        <v>7.3950000000000002E-2</v>
      </c>
      <c r="I196" s="666">
        <f t="shared" si="56"/>
        <v>7.3950000000000002E-2</v>
      </c>
      <c r="J196" s="666">
        <f t="shared" si="56"/>
        <v>7.3950000000000002E-2</v>
      </c>
      <c r="K196" s="666">
        <f t="shared" si="56"/>
        <v>7.3950000000000002E-2</v>
      </c>
      <c r="L196" s="666">
        <f t="shared" si="56"/>
        <v>7.3950000000000002E-2</v>
      </c>
      <c r="M196" s="666">
        <f t="shared" si="56"/>
        <v>7.3950000000000002E-2</v>
      </c>
      <c r="N196" s="666">
        <f t="shared" si="56"/>
        <v>7.3950000000000002E-2</v>
      </c>
      <c r="O196" s="666">
        <f t="shared" si="56"/>
        <v>7.3950000000000002E-2</v>
      </c>
      <c r="P196" s="666">
        <f t="shared" si="56"/>
        <v>7.3950000000000002E-2</v>
      </c>
      <c r="Q196" s="666">
        <f t="shared" si="56"/>
        <v>7.3950000000000002E-2</v>
      </c>
      <c r="R196" s="666">
        <f t="shared" si="56"/>
        <v>7.3950000000000002E-2</v>
      </c>
      <c r="S196" s="666">
        <f t="shared" si="56"/>
        <v>7.3950000000000002E-2</v>
      </c>
      <c r="T196" s="666">
        <f t="shared" si="56"/>
        <v>7.3950000000000002E-2</v>
      </c>
      <c r="U196" s="666">
        <f t="shared" si="56"/>
        <v>7.3950000000000002E-2</v>
      </c>
      <c r="V196" s="666">
        <f t="shared" si="56"/>
        <v>7.3950000000000002E-2</v>
      </c>
      <c r="X196" s="307" t="s">
        <v>719</v>
      </c>
      <c r="Y196" s="359">
        <f t="shared" si="58"/>
        <v>1081.8181818181818</v>
      </c>
    </row>
    <row r="197" spans="2:36" s="19" customFormat="1" x14ac:dyDescent="0.3">
      <c r="B197" s="191" t="s">
        <v>78</v>
      </c>
      <c r="C197" s="191" t="s">
        <v>366</v>
      </c>
      <c r="D197" s="191"/>
      <c r="E197" s="191"/>
      <c r="F197" s="191" t="s">
        <v>433</v>
      </c>
      <c r="G197" s="659">
        <f t="shared" si="57"/>
        <v>5.9159999999999997E-2</v>
      </c>
      <c r="H197" s="666">
        <f t="shared" si="42"/>
        <v>5.9159999999999997E-2</v>
      </c>
      <c r="I197" s="666">
        <f t="shared" si="56"/>
        <v>5.9159999999999997E-2</v>
      </c>
      <c r="J197" s="666">
        <f t="shared" si="56"/>
        <v>5.9159999999999997E-2</v>
      </c>
      <c r="K197" s="666">
        <f t="shared" si="56"/>
        <v>5.9159999999999997E-2</v>
      </c>
      <c r="L197" s="666">
        <f t="shared" si="56"/>
        <v>5.9159999999999997E-2</v>
      </c>
      <c r="M197" s="666">
        <f t="shared" si="56"/>
        <v>5.9159999999999997E-2</v>
      </c>
      <c r="N197" s="666">
        <f t="shared" si="56"/>
        <v>5.9159999999999997E-2</v>
      </c>
      <c r="O197" s="666">
        <f t="shared" si="56"/>
        <v>5.9159999999999997E-2</v>
      </c>
      <c r="P197" s="666">
        <f t="shared" si="56"/>
        <v>5.9159999999999997E-2</v>
      </c>
      <c r="Q197" s="666">
        <f t="shared" si="56"/>
        <v>5.9159999999999997E-2</v>
      </c>
      <c r="R197" s="666">
        <f t="shared" si="56"/>
        <v>5.9159999999999997E-2</v>
      </c>
      <c r="S197" s="666">
        <f t="shared" si="56"/>
        <v>5.9159999999999997E-2</v>
      </c>
      <c r="T197" s="666">
        <f t="shared" si="56"/>
        <v>5.9159999999999997E-2</v>
      </c>
      <c r="U197" s="666">
        <f t="shared" si="56"/>
        <v>5.9159999999999997E-2</v>
      </c>
      <c r="V197" s="666">
        <f t="shared" si="56"/>
        <v>5.9159999999999997E-2</v>
      </c>
      <c r="X197" s="307" t="s">
        <v>719</v>
      </c>
      <c r="Y197" s="359">
        <f t="shared" si="58"/>
        <v>1352.2727272727273</v>
      </c>
    </row>
    <row r="198" spans="2:36" s="19" customFormat="1" x14ac:dyDescent="0.3">
      <c r="B198" s="191" t="s">
        <v>78</v>
      </c>
      <c r="C198" s="191" t="s">
        <v>367</v>
      </c>
      <c r="D198" s="191"/>
      <c r="E198" s="191"/>
      <c r="F198" s="191" t="s">
        <v>435</v>
      </c>
      <c r="G198" s="659">
        <f t="shared" si="57"/>
        <v>8.2339999999999997E-2</v>
      </c>
      <c r="H198" s="666">
        <f t="shared" si="42"/>
        <v>8.2339999999999997E-2</v>
      </c>
      <c r="I198" s="666">
        <f t="shared" si="56"/>
        <v>8.2339999999999997E-2</v>
      </c>
      <c r="J198" s="666">
        <f t="shared" si="56"/>
        <v>8.2339999999999997E-2</v>
      </c>
      <c r="K198" s="666">
        <f t="shared" si="56"/>
        <v>8.2339999999999997E-2</v>
      </c>
      <c r="L198" s="666">
        <f t="shared" ref="I198:V203" si="59">$H198</f>
        <v>8.2339999999999997E-2</v>
      </c>
      <c r="M198" s="666">
        <f t="shared" si="59"/>
        <v>8.2339999999999997E-2</v>
      </c>
      <c r="N198" s="666">
        <f t="shared" si="59"/>
        <v>8.2339999999999997E-2</v>
      </c>
      <c r="O198" s="666">
        <f t="shared" si="59"/>
        <v>8.2339999999999997E-2</v>
      </c>
      <c r="P198" s="666">
        <f t="shared" si="59"/>
        <v>8.2339999999999997E-2</v>
      </c>
      <c r="Q198" s="666">
        <f t="shared" si="59"/>
        <v>8.2339999999999997E-2</v>
      </c>
      <c r="R198" s="666">
        <f t="shared" si="59"/>
        <v>8.2339999999999997E-2</v>
      </c>
      <c r="S198" s="666">
        <f t="shared" si="59"/>
        <v>8.2339999999999997E-2</v>
      </c>
      <c r="T198" s="666">
        <f t="shared" si="59"/>
        <v>8.2339999999999997E-2</v>
      </c>
      <c r="U198" s="666">
        <f t="shared" si="59"/>
        <v>8.2339999999999997E-2</v>
      </c>
      <c r="V198" s="666">
        <f t="shared" si="59"/>
        <v>8.2339999999999997E-2</v>
      </c>
      <c r="X198" s="307" t="s">
        <v>722</v>
      </c>
      <c r="Y198" s="416">
        <f>Y192*0.95</f>
        <v>971.59090909090901</v>
      </c>
    </row>
    <row r="199" spans="2:36" s="19" customFormat="1" x14ac:dyDescent="0.3">
      <c r="B199" s="191" t="s">
        <v>78</v>
      </c>
      <c r="C199" s="191" t="s">
        <v>367</v>
      </c>
      <c r="D199" s="191"/>
      <c r="E199" s="191"/>
      <c r="F199" s="191" t="s">
        <v>433</v>
      </c>
      <c r="G199" s="659">
        <f t="shared" si="57"/>
        <v>6.5869999999999998E-2</v>
      </c>
      <c r="H199" s="666">
        <f t="shared" si="42"/>
        <v>6.5869999999999998E-2</v>
      </c>
      <c r="I199" s="666">
        <f t="shared" si="59"/>
        <v>6.5869999999999998E-2</v>
      </c>
      <c r="J199" s="666">
        <f t="shared" si="59"/>
        <v>6.5869999999999998E-2</v>
      </c>
      <c r="K199" s="666">
        <f t="shared" si="59"/>
        <v>6.5869999999999998E-2</v>
      </c>
      <c r="L199" s="666">
        <f t="shared" si="59"/>
        <v>6.5869999999999998E-2</v>
      </c>
      <c r="M199" s="666">
        <f t="shared" si="59"/>
        <v>6.5869999999999998E-2</v>
      </c>
      <c r="N199" s="666">
        <f t="shared" si="59"/>
        <v>6.5869999999999998E-2</v>
      </c>
      <c r="O199" s="666">
        <f t="shared" si="59"/>
        <v>6.5869999999999998E-2</v>
      </c>
      <c r="P199" s="666">
        <f t="shared" si="59"/>
        <v>6.5869999999999998E-2</v>
      </c>
      <c r="Q199" s="666">
        <f t="shared" si="59"/>
        <v>6.5869999999999998E-2</v>
      </c>
      <c r="R199" s="666">
        <f t="shared" si="59"/>
        <v>6.5869999999999998E-2</v>
      </c>
      <c r="S199" s="666">
        <f t="shared" si="59"/>
        <v>6.5869999999999998E-2</v>
      </c>
      <c r="T199" s="666">
        <f t="shared" si="59"/>
        <v>6.5869999999999998E-2</v>
      </c>
      <c r="U199" s="666">
        <f t="shared" si="59"/>
        <v>6.5869999999999998E-2</v>
      </c>
      <c r="V199" s="666">
        <f t="shared" si="59"/>
        <v>6.5869999999999998E-2</v>
      </c>
      <c r="X199" s="307" t="s">
        <v>722</v>
      </c>
      <c r="Y199" s="416">
        <f>Y193*0.95</f>
        <v>1214.4886363636363</v>
      </c>
    </row>
    <row r="200" spans="2:36" s="19" customFormat="1" x14ac:dyDescent="0.3">
      <c r="B200" s="191" t="s">
        <v>78</v>
      </c>
      <c r="C200" s="191" t="s">
        <v>368</v>
      </c>
      <c r="D200" s="191"/>
      <c r="E200" s="191"/>
      <c r="F200" s="191" t="s">
        <v>435</v>
      </c>
      <c r="G200" s="659">
        <f t="shared" si="57"/>
        <v>72.727270000000004</v>
      </c>
      <c r="H200" s="666">
        <f t="shared" si="42"/>
        <v>72.727270000000004</v>
      </c>
      <c r="I200" s="666">
        <f t="shared" si="59"/>
        <v>72.727270000000004</v>
      </c>
      <c r="J200" s="666">
        <f t="shared" si="59"/>
        <v>72.727270000000004</v>
      </c>
      <c r="K200" s="666">
        <f t="shared" si="59"/>
        <v>72.727270000000004</v>
      </c>
      <c r="L200" s="666">
        <f t="shared" si="59"/>
        <v>72.727270000000004</v>
      </c>
      <c r="M200" s="666">
        <f t="shared" si="59"/>
        <v>72.727270000000004</v>
      </c>
      <c r="N200" s="666">
        <f t="shared" si="59"/>
        <v>72.727270000000004</v>
      </c>
      <c r="O200" s="666">
        <f t="shared" si="59"/>
        <v>72.727270000000004</v>
      </c>
      <c r="P200" s="666">
        <f t="shared" si="59"/>
        <v>72.727270000000004</v>
      </c>
      <c r="Q200" s="666">
        <f t="shared" si="59"/>
        <v>72.727270000000004</v>
      </c>
      <c r="R200" s="666">
        <f t="shared" si="59"/>
        <v>72.727270000000004</v>
      </c>
      <c r="S200" s="666">
        <f t="shared" si="59"/>
        <v>72.727270000000004</v>
      </c>
      <c r="T200" s="666">
        <f t="shared" si="59"/>
        <v>72.727270000000004</v>
      </c>
      <c r="U200" s="666">
        <f t="shared" si="59"/>
        <v>72.727270000000004</v>
      </c>
      <c r="V200" s="666">
        <f t="shared" si="59"/>
        <v>72.727270000000004</v>
      </c>
      <c r="X200" s="307" t="s">
        <v>723</v>
      </c>
      <c r="Y200" s="438">
        <v>1.1000000000000001</v>
      </c>
    </row>
    <row r="201" spans="2:36" s="19" customFormat="1" x14ac:dyDescent="0.3">
      <c r="B201" s="545" t="s">
        <v>78</v>
      </c>
      <c r="C201" s="545" t="s">
        <v>368</v>
      </c>
      <c r="D201" s="545"/>
      <c r="E201" s="545"/>
      <c r="F201" s="545" t="s">
        <v>433</v>
      </c>
      <c r="G201" s="668">
        <f t="shared" si="57"/>
        <v>72.727270000000004</v>
      </c>
      <c r="H201" s="667">
        <f t="shared" si="42"/>
        <v>72.727270000000004</v>
      </c>
      <c r="I201" s="661">
        <f t="shared" si="59"/>
        <v>72.727270000000004</v>
      </c>
      <c r="J201" s="661">
        <f t="shared" si="59"/>
        <v>72.727270000000004</v>
      </c>
      <c r="K201" s="661">
        <f t="shared" si="59"/>
        <v>72.727270000000004</v>
      </c>
      <c r="L201" s="661">
        <f t="shared" si="59"/>
        <v>72.727270000000004</v>
      </c>
      <c r="M201" s="661">
        <f t="shared" si="59"/>
        <v>72.727270000000004</v>
      </c>
      <c r="N201" s="661">
        <f t="shared" si="59"/>
        <v>72.727270000000004</v>
      </c>
      <c r="O201" s="661">
        <f t="shared" si="59"/>
        <v>72.727270000000004</v>
      </c>
      <c r="P201" s="661">
        <f t="shared" si="59"/>
        <v>72.727270000000004</v>
      </c>
      <c r="Q201" s="661">
        <f t="shared" si="59"/>
        <v>72.727270000000004</v>
      </c>
      <c r="R201" s="661">
        <f t="shared" si="59"/>
        <v>72.727270000000004</v>
      </c>
      <c r="S201" s="661">
        <f t="shared" si="59"/>
        <v>72.727270000000004</v>
      </c>
      <c r="T201" s="661">
        <f t="shared" si="59"/>
        <v>72.727270000000004</v>
      </c>
      <c r="U201" s="661">
        <f t="shared" si="59"/>
        <v>72.727270000000004</v>
      </c>
      <c r="V201" s="661">
        <f t="shared" si="59"/>
        <v>72.727270000000004</v>
      </c>
      <c r="X201" s="546" t="s">
        <v>723</v>
      </c>
      <c r="Y201" s="574">
        <v>1.1000000000000001</v>
      </c>
      <c r="AD201"/>
      <c r="AE201"/>
      <c r="AF201" t="s">
        <v>678</v>
      </c>
      <c r="AG201" t="s">
        <v>694</v>
      </c>
      <c r="AH201" t="s">
        <v>695</v>
      </c>
      <c r="AI201" t="s">
        <v>696</v>
      </c>
      <c r="AJ201" t="s">
        <v>697</v>
      </c>
    </row>
    <row r="202" spans="2:36" s="19" customFormat="1" x14ac:dyDescent="0.3">
      <c r="B202" s="191" t="s">
        <v>78</v>
      </c>
      <c r="C202" s="191" t="s">
        <v>369</v>
      </c>
      <c r="D202" s="191"/>
      <c r="E202" s="191"/>
      <c r="F202" s="191" t="s">
        <v>439</v>
      </c>
      <c r="G202" s="659">
        <f t="shared" si="57"/>
        <v>6.4000000000000001E-2</v>
      </c>
      <c r="H202" s="666">
        <f t="shared" si="42"/>
        <v>6.4000000000000001E-2</v>
      </c>
      <c r="I202" s="666">
        <f t="shared" si="59"/>
        <v>6.4000000000000001E-2</v>
      </c>
      <c r="J202" s="666">
        <f t="shared" si="59"/>
        <v>6.4000000000000001E-2</v>
      </c>
      <c r="K202" s="666">
        <f t="shared" si="59"/>
        <v>6.4000000000000001E-2</v>
      </c>
      <c r="L202" s="666">
        <f t="shared" si="59"/>
        <v>6.4000000000000001E-2</v>
      </c>
      <c r="M202" s="666">
        <f t="shared" si="59"/>
        <v>6.4000000000000001E-2</v>
      </c>
      <c r="N202" s="666">
        <f t="shared" si="59"/>
        <v>6.4000000000000001E-2</v>
      </c>
      <c r="O202" s="666">
        <f t="shared" si="59"/>
        <v>6.4000000000000001E-2</v>
      </c>
      <c r="P202" s="666">
        <f t="shared" si="59"/>
        <v>6.4000000000000001E-2</v>
      </c>
      <c r="Q202" s="666">
        <f t="shared" si="59"/>
        <v>6.4000000000000001E-2</v>
      </c>
      <c r="R202" s="666">
        <f t="shared" si="59"/>
        <v>6.4000000000000001E-2</v>
      </c>
      <c r="S202" s="666">
        <f t="shared" si="59"/>
        <v>6.4000000000000001E-2</v>
      </c>
      <c r="T202" s="666">
        <f t="shared" si="59"/>
        <v>6.4000000000000001E-2</v>
      </c>
      <c r="U202" s="666">
        <f t="shared" si="59"/>
        <v>6.4000000000000001E-2</v>
      </c>
      <c r="V202" s="666">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1">
        <f>AI202*$G$154</f>
        <v>4.428854875283446</v>
      </c>
    </row>
    <row r="203" spans="2:36" s="19" customFormat="1" x14ac:dyDescent="0.3">
      <c r="B203" s="191" t="s">
        <v>78</v>
      </c>
      <c r="C203" s="191" t="s">
        <v>369</v>
      </c>
      <c r="D203" s="191"/>
      <c r="E203" s="191"/>
      <c r="F203" s="191" t="s">
        <v>437</v>
      </c>
      <c r="G203" s="659">
        <f t="shared" si="57"/>
        <v>5.1200000000000002E-2</v>
      </c>
      <c r="H203" s="666">
        <f t="shared" si="42"/>
        <v>5.1200000000000002E-2</v>
      </c>
      <c r="I203" s="666">
        <f t="shared" si="59"/>
        <v>5.1200000000000002E-2</v>
      </c>
      <c r="J203" s="666">
        <f t="shared" si="59"/>
        <v>5.1200000000000002E-2</v>
      </c>
      <c r="K203" s="666">
        <f t="shared" si="59"/>
        <v>5.1200000000000002E-2</v>
      </c>
      <c r="L203" s="666">
        <f t="shared" si="59"/>
        <v>5.1200000000000002E-2</v>
      </c>
      <c r="M203" s="666">
        <f t="shared" si="59"/>
        <v>5.1200000000000002E-2</v>
      </c>
      <c r="N203" s="666">
        <f t="shared" si="59"/>
        <v>5.1200000000000002E-2</v>
      </c>
      <c r="O203" s="666">
        <f t="shared" si="59"/>
        <v>5.1200000000000002E-2</v>
      </c>
      <c r="P203" s="666">
        <f t="shared" si="59"/>
        <v>5.1200000000000002E-2</v>
      </c>
      <c r="Q203" s="666">
        <f t="shared" si="59"/>
        <v>5.1200000000000002E-2</v>
      </c>
      <c r="R203" s="666">
        <f t="shared" si="59"/>
        <v>5.1200000000000002E-2</v>
      </c>
      <c r="S203" s="666">
        <f t="shared" si="59"/>
        <v>5.1200000000000002E-2</v>
      </c>
      <c r="T203" s="666">
        <f t="shared" si="59"/>
        <v>5.1200000000000002E-2</v>
      </c>
      <c r="U203" s="666">
        <f t="shared" si="59"/>
        <v>5.1200000000000002E-2</v>
      </c>
      <c r="V203" s="666">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1">
        <f t="shared" ref="AJ203:AJ223" si="62">AI203*$G$154</f>
        <v>5.5360685941043091</v>
      </c>
    </row>
    <row r="204" spans="2:36" x14ac:dyDescent="0.3">
      <c r="B204" s="191" t="s">
        <v>78</v>
      </c>
      <c r="C204" s="191" t="s">
        <v>370</v>
      </c>
      <c r="D204" s="191"/>
      <c r="E204" s="191"/>
      <c r="F204" s="191" t="s">
        <v>439</v>
      </c>
      <c r="G204" s="664">
        <f t="shared" si="57"/>
        <v>6.4000000000000001E-2</v>
      </c>
      <c r="H204" s="666">
        <f t="shared" si="42"/>
        <v>6.4000000000000001E-2</v>
      </c>
      <c r="I204" s="666">
        <f t="shared" si="49"/>
        <v>6.4000000000000001E-2</v>
      </c>
      <c r="J204" s="666">
        <f t="shared" si="54"/>
        <v>6.4000000000000001E-2</v>
      </c>
      <c r="K204" s="666">
        <f t="shared" si="54"/>
        <v>6.4000000000000001E-2</v>
      </c>
      <c r="L204" s="666">
        <f t="shared" si="54"/>
        <v>6.4000000000000001E-2</v>
      </c>
      <c r="M204" s="666">
        <f t="shared" si="54"/>
        <v>6.4000000000000001E-2</v>
      </c>
      <c r="N204" s="666">
        <f t="shared" si="54"/>
        <v>6.4000000000000001E-2</v>
      </c>
      <c r="O204" s="666">
        <f t="shared" si="54"/>
        <v>6.4000000000000001E-2</v>
      </c>
      <c r="P204" s="666">
        <f t="shared" si="54"/>
        <v>6.4000000000000001E-2</v>
      </c>
      <c r="Q204" s="666">
        <f t="shared" si="54"/>
        <v>6.4000000000000001E-2</v>
      </c>
      <c r="R204" s="666">
        <f t="shared" si="54"/>
        <v>6.4000000000000001E-2</v>
      </c>
      <c r="S204" s="666">
        <f t="shared" si="54"/>
        <v>6.4000000000000001E-2</v>
      </c>
      <c r="T204" s="666">
        <f t="shared" si="54"/>
        <v>6.4000000000000001E-2</v>
      </c>
      <c r="U204" s="666">
        <f t="shared" si="54"/>
        <v>6.4000000000000001E-2</v>
      </c>
      <c r="V204" s="666">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1">
        <f t="shared" si="62"/>
        <v>4.428854875283446</v>
      </c>
    </row>
    <row r="205" spans="2:36" ht="14.25" customHeight="1" x14ac:dyDescent="0.3">
      <c r="B205" s="191" t="s">
        <v>78</v>
      </c>
      <c r="C205" s="191" t="s">
        <v>370</v>
      </c>
      <c r="D205" s="191"/>
      <c r="E205" s="191"/>
      <c r="F205" s="191" t="s">
        <v>437</v>
      </c>
      <c r="G205" s="664">
        <f t="shared" si="57"/>
        <v>5.1200000000000002E-2</v>
      </c>
      <c r="H205" s="666">
        <f t="shared" si="42"/>
        <v>5.1200000000000002E-2</v>
      </c>
      <c r="I205" s="666">
        <f t="shared" si="49"/>
        <v>5.1200000000000002E-2</v>
      </c>
      <c r="J205" s="666">
        <f t="shared" si="54"/>
        <v>5.1200000000000002E-2</v>
      </c>
      <c r="K205" s="666">
        <f t="shared" si="54"/>
        <v>5.1200000000000002E-2</v>
      </c>
      <c r="L205" s="666">
        <f t="shared" si="54"/>
        <v>5.1200000000000002E-2</v>
      </c>
      <c r="M205" s="666">
        <f t="shared" si="54"/>
        <v>5.1200000000000002E-2</v>
      </c>
      <c r="N205" s="666">
        <f t="shared" si="54"/>
        <v>5.1200000000000002E-2</v>
      </c>
      <c r="O205" s="666">
        <f t="shared" si="54"/>
        <v>5.1200000000000002E-2</v>
      </c>
      <c r="P205" s="666">
        <f t="shared" si="54"/>
        <v>5.1200000000000002E-2</v>
      </c>
      <c r="Q205" s="666">
        <f t="shared" si="54"/>
        <v>5.1200000000000002E-2</v>
      </c>
      <c r="R205" s="666">
        <f t="shared" si="54"/>
        <v>5.1200000000000002E-2</v>
      </c>
      <c r="S205" s="666">
        <f t="shared" si="54"/>
        <v>5.1200000000000002E-2</v>
      </c>
      <c r="T205" s="666">
        <f t="shared" si="54"/>
        <v>5.1200000000000002E-2</v>
      </c>
      <c r="U205" s="666">
        <f t="shared" si="54"/>
        <v>5.1200000000000002E-2</v>
      </c>
      <c r="V205" s="666">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1">
        <f t="shared" si="62"/>
        <v>5.5360685941043091</v>
      </c>
    </row>
    <row r="206" spans="2:36" s="23" customFormat="1" x14ac:dyDescent="0.3">
      <c r="B206" s="420" t="s">
        <v>78</v>
      </c>
      <c r="C206" s="420" t="s">
        <v>371</v>
      </c>
      <c r="D206" s="420"/>
      <c r="E206" s="420"/>
      <c r="F206" s="420" t="s">
        <v>439</v>
      </c>
      <c r="G206" s="659">
        <f t="shared" si="57"/>
        <v>72.727270000000004</v>
      </c>
      <c r="H206" s="669">
        <f t="shared" si="42"/>
        <v>72.727270000000004</v>
      </c>
      <c r="I206" s="669">
        <f t="shared" ref="I206:V207" si="66">$H206</f>
        <v>72.727270000000004</v>
      </c>
      <c r="J206" s="669">
        <f t="shared" si="66"/>
        <v>72.727270000000004</v>
      </c>
      <c r="K206" s="669">
        <f t="shared" si="66"/>
        <v>72.727270000000004</v>
      </c>
      <c r="L206" s="669">
        <f t="shared" si="66"/>
        <v>72.727270000000004</v>
      </c>
      <c r="M206" s="669">
        <f t="shared" si="66"/>
        <v>72.727270000000004</v>
      </c>
      <c r="N206" s="669">
        <f t="shared" si="66"/>
        <v>72.727270000000004</v>
      </c>
      <c r="O206" s="669">
        <f t="shared" si="66"/>
        <v>72.727270000000004</v>
      </c>
      <c r="P206" s="669">
        <f t="shared" si="66"/>
        <v>72.727270000000004</v>
      </c>
      <c r="Q206" s="669">
        <f t="shared" si="66"/>
        <v>72.727270000000004</v>
      </c>
      <c r="R206" s="669">
        <f t="shared" si="66"/>
        <v>72.727270000000004</v>
      </c>
      <c r="S206" s="669">
        <f t="shared" si="66"/>
        <v>72.727270000000004</v>
      </c>
      <c r="T206" s="669">
        <f t="shared" si="66"/>
        <v>72.727270000000004</v>
      </c>
      <c r="U206" s="669">
        <f t="shared" si="66"/>
        <v>72.727270000000004</v>
      </c>
      <c r="V206" s="669">
        <f t="shared" si="66"/>
        <v>72.727270000000004</v>
      </c>
      <c r="X206" s="643" t="s">
        <v>714</v>
      </c>
      <c r="Y206" s="415">
        <v>1.1000000000000001</v>
      </c>
      <c r="AA206" s="646"/>
      <c r="AB206" s="647"/>
      <c r="AD206" t="str">
        <f t="shared" si="63"/>
        <v>TFREELC</v>
      </c>
      <c r="AE206" t="str">
        <f t="shared" si="60"/>
        <v>TFRL</v>
      </c>
      <c r="AF206">
        <f t="shared" si="64"/>
        <v>1.1000000000000001</v>
      </c>
      <c r="AG206" s="105">
        <f t="shared" si="61"/>
        <v>3.0555555555555558E-2</v>
      </c>
      <c r="AI206" s="105"/>
      <c r="AJ206" s="731"/>
    </row>
    <row r="207" spans="2:36" s="23" customFormat="1" x14ac:dyDescent="0.3">
      <c r="B207" s="420" t="s">
        <v>78</v>
      </c>
      <c r="C207" s="420" t="s">
        <v>371</v>
      </c>
      <c r="D207" s="420"/>
      <c r="E207" s="420"/>
      <c r="F207" s="420" t="s">
        <v>437</v>
      </c>
      <c r="G207" s="659">
        <f t="shared" si="57"/>
        <v>72.727270000000004</v>
      </c>
      <c r="H207" s="669">
        <f t="shared" si="42"/>
        <v>72.727270000000004</v>
      </c>
      <c r="I207" s="669">
        <f t="shared" si="66"/>
        <v>72.727270000000004</v>
      </c>
      <c r="J207" s="669">
        <f t="shared" si="66"/>
        <v>72.727270000000004</v>
      </c>
      <c r="K207" s="669">
        <f t="shared" si="66"/>
        <v>72.727270000000004</v>
      </c>
      <c r="L207" s="669">
        <f t="shared" si="66"/>
        <v>72.727270000000004</v>
      </c>
      <c r="M207" s="669">
        <f t="shared" si="66"/>
        <v>72.727270000000004</v>
      </c>
      <c r="N207" s="669">
        <f t="shared" si="66"/>
        <v>72.727270000000004</v>
      </c>
      <c r="O207" s="669">
        <f t="shared" si="66"/>
        <v>72.727270000000004</v>
      </c>
      <c r="P207" s="669">
        <f t="shared" si="66"/>
        <v>72.727270000000004</v>
      </c>
      <c r="Q207" s="669">
        <f t="shared" si="66"/>
        <v>72.727270000000004</v>
      </c>
      <c r="R207" s="669">
        <f t="shared" si="66"/>
        <v>72.727270000000004</v>
      </c>
      <c r="S207" s="669">
        <f t="shared" si="66"/>
        <v>72.727270000000004</v>
      </c>
      <c r="T207" s="669">
        <f t="shared" si="66"/>
        <v>72.727270000000004</v>
      </c>
      <c r="U207" s="669">
        <f t="shared" si="66"/>
        <v>72.727270000000004</v>
      </c>
      <c r="V207" s="669">
        <f t="shared" si="66"/>
        <v>72.727270000000004</v>
      </c>
      <c r="X207" s="643" t="s">
        <v>714</v>
      </c>
      <c r="Y207" s="415">
        <v>1.1000000000000001</v>
      </c>
      <c r="AA207" s="646"/>
      <c r="AB207" s="647"/>
      <c r="AD207" t="str">
        <f t="shared" si="63"/>
        <v>TFREELC</v>
      </c>
      <c r="AE207" t="str">
        <f t="shared" si="60"/>
        <v>TFRS</v>
      </c>
      <c r="AF207">
        <f t="shared" si="64"/>
        <v>1.1000000000000001</v>
      </c>
      <c r="AG207" s="105">
        <f t="shared" si="61"/>
        <v>3.0555555555555558E-2</v>
      </c>
      <c r="AI207" s="105"/>
      <c r="AJ207" s="731"/>
    </row>
    <row r="208" spans="2:36" x14ac:dyDescent="0.3">
      <c r="B208" s="191" t="s">
        <v>78</v>
      </c>
      <c r="C208" s="191" t="s">
        <v>372</v>
      </c>
      <c r="D208" s="191"/>
      <c r="E208" s="191"/>
      <c r="F208" s="191" t="s">
        <v>439</v>
      </c>
      <c r="G208" s="659">
        <f t="shared" si="57"/>
        <v>6.4000000000000001E-2</v>
      </c>
      <c r="H208" s="666">
        <f t="shared" si="42"/>
        <v>6.4000000000000001E-2</v>
      </c>
      <c r="I208" s="666">
        <f t="shared" si="49"/>
        <v>6.4000000000000001E-2</v>
      </c>
      <c r="J208" s="666">
        <f t="shared" si="54"/>
        <v>6.4000000000000001E-2</v>
      </c>
      <c r="K208" s="666">
        <f t="shared" si="54"/>
        <v>6.4000000000000001E-2</v>
      </c>
      <c r="L208" s="666">
        <f t="shared" si="54"/>
        <v>6.4000000000000001E-2</v>
      </c>
      <c r="M208" s="666">
        <f t="shared" si="54"/>
        <v>6.4000000000000001E-2</v>
      </c>
      <c r="N208" s="666">
        <f t="shared" si="54"/>
        <v>6.4000000000000001E-2</v>
      </c>
      <c r="O208" s="666">
        <f t="shared" si="54"/>
        <v>6.4000000000000001E-2</v>
      </c>
      <c r="P208" s="666">
        <f t="shared" si="54"/>
        <v>6.4000000000000001E-2</v>
      </c>
      <c r="Q208" s="666">
        <f t="shared" si="54"/>
        <v>6.4000000000000001E-2</v>
      </c>
      <c r="R208" s="666">
        <f t="shared" si="54"/>
        <v>6.4000000000000001E-2</v>
      </c>
      <c r="S208" s="666">
        <f t="shared" si="54"/>
        <v>6.4000000000000001E-2</v>
      </c>
      <c r="T208" s="666">
        <f t="shared" si="54"/>
        <v>6.4000000000000001E-2</v>
      </c>
      <c r="U208" s="666">
        <f t="shared" si="54"/>
        <v>6.4000000000000001E-2</v>
      </c>
      <c r="V208" s="666">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1">
        <f t="shared" si="62"/>
        <v>7.4447303220888124</v>
      </c>
    </row>
    <row r="209" spans="2:36" x14ac:dyDescent="0.3">
      <c r="B209" s="191" t="s">
        <v>78</v>
      </c>
      <c r="C209" s="191" t="s">
        <v>372</v>
      </c>
      <c r="D209" s="191"/>
      <c r="E209" s="191"/>
      <c r="F209" s="191" t="s">
        <v>437</v>
      </c>
      <c r="G209" s="659">
        <f t="shared" si="57"/>
        <v>5.1200000000000002E-2</v>
      </c>
      <c r="H209" s="666">
        <f t="shared" si="42"/>
        <v>5.1200000000000002E-2</v>
      </c>
      <c r="I209" s="666">
        <f t="shared" si="49"/>
        <v>5.1200000000000002E-2</v>
      </c>
      <c r="J209" s="666">
        <f t="shared" si="54"/>
        <v>5.1200000000000002E-2</v>
      </c>
      <c r="K209" s="666">
        <f t="shared" si="54"/>
        <v>5.1200000000000002E-2</v>
      </c>
      <c r="L209" s="666">
        <f t="shared" si="54"/>
        <v>5.1200000000000002E-2</v>
      </c>
      <c r="M209" s="666">
        <f t="shared" si="54"/>
        <v>5.1200000000000002E-2</v>
      </c>
      <c r="N209" s="666">
        <f t="shared" si="54"/>
        <v>5.1200000000000002E-2</v>
      </c>
      <c r="O209" s="666">
        <f t="shared" si="54"/>
        <v>5.1200000000000002E-2</v>
      </c>
      <c r="P209" s="666">
        <f t="shared" si="54"/>
        <v>5.1200000000000002E-2</v>
      </c>
      <c r="Q209" s="666">
        <f t="shared" si="54"/>
        <v>5.1200000000000002E-2</v>
      </c>
      <c r="R209" s="666">
        <f t="shared" si="54"/>
        <v>5.1200000000000002E-2</v>
      </c>
      <c r="S209" s="666">
        <f t="shared" si="54"/>
        <v>5.1200000000000002E-2</v>
      </c>
      <c r="T209" s="666">
        <f t="shared" si="54"/>
        <v>5.1200000000000002E-2</v>
      </c>
      <c r="U209" s="666">
        <f t="shared" si="54"/>
        <v>5.1200000000000002E-2</v>
      </c>
      <c r="V209" s="666">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1">
        <f t="shared" si="62"/>
        <v>9.3059129026110163</v>
      </c>
    </row>
    <row r="210" spans="2:36" x14ac:dyDescent="0.3">
      <c r="B210" s="191" t="s">
        <v>78</v>
      </c>
      <c r="C210" s="191" t="s">
        <v>373</v>
      </c>
      <c r="D210" s="191"/>
      <c r="E210" s="191"/>
      <c r="F210" s="191" t="s">
        <v>439</v>
      </c>
      <c r="G210" s="659">
        <f t="shared" si="57"/>
        <v>5.7140000000000003E-2</v>
      </c>
      <c r="H210" s="666">
        <f t="shared" si="42"/>
        <v>5.7140000000000003E-2</v>
      </c>
      <c r="I210" s="666">
        <f t="shared" si="49"/>
        <v>5.7140000000000003E-2</v>
      </c>
      <c r="J210" s="666">
        <f t="shared" si="54"/>
        <v>5.7140000000000003E-2</v>
      </c>
      <c r="K210" s="666">
        <f t="shared" si="54"/>
        <v>5.7140000000000003E-2</v>
      </c>
      <c r="L210" s="666">
        <f t="shared" si="54"/>
        <v>5.7140000000000003E-2</v>
      </c>
      <c r="M210" s="666">
        <f t="shared" si="54"/>
        <v>5.7140000000000003E-2</v>
      </c>
      <c r="N210" s="666">
        <f t="shared" si="54"/>
        <v>5.7140000000000003E-2</v>
      </c>
      <c r="O210" s="666">
        <f t="shared" si="54"/>
        <v>5.7140000000000003E-2</v>
      </c>
      <c r="P210" s="666">
        <f t="shared" si="54"/>
        <v>5.7140000000000003E-2</v>
      </c>
      <c r="Q210" s="666">
        <f t="shared" si="54"/>
        <v>5.7140000000000003E-2</v>
      </c>
      <c r="R210" s="666">
        <f t="shared" si="54"/>
        <v>5.7140000000000003E-2</v>
      </c>
      <c r="S210" s="666">
        <f t="shared" si="54"/>
        <v>5.7140000000000003E-2</v>
      </c>
      <c r="T210" s="666">
        <f t="shared" si="54"/>
        <v>5.7140000000000003E-2</v>
      </c>
      <c r="U210" s="666">
        <f t="shared" si="54"/>
        <v>5.7140000000000003E-2</v>
      </c>
      <c r="V210" s="666">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1">
        <f t="shared" si="62"/>
        <v>5.0114547537227949</v>
      </c>
    </row>
    <row r="211" spans="2:36" x14ac:dyDescent="0.3">
      <c r="B211" s="191" t="s">
        <v>78</v>
      </c>
      <c r="C211" s="191" t="s">
        <v>373</v>
      </c>
      <c r="D211" s="191"/>
      <c r="E211" s="191"/>
      <c r="F211" s="191" t="s">
        <v>437</v>
      </c>
      <c r="G211" s="659">
        <f t="shared" si="57"/>
        <v>4.5710000000000001E-2</v>
      </c>
      <c r="H211" s="666">
        <f t="shared" si="42"/>
        <v>4.5710000000000001E-2</v>
      </c>
      <c r="I211" s="666">
        <f t="shared" si="49"/>
        <v>4.5710000000000001E-2</v>
      </c>
      <c r="J211" s="666">
        <f t="shared" si="54"/>
        <v>4.5710000000000001E-2</v>
      </c>
      <c r="K211" s="666">
        <f t="shared" si="54"/>
        <v>4.5710000000000001E-2</v>
      </c>
      <c r="L211" s="666">
        <f t="shared" si="54"/>
        <v>4.5710000000000001E-2</v>
      </c>
      <c r="M211" s="666">
        <f t="shared" si="54"/>
        <v>4.5710000000000001E-2</v>
      </c>
      <c r="N211" s="666">
        <f t="shared" si="54"/>
        <v>4.5710000000000001E-2</v>
      </c>
      <c r="O211" s="666">
        <f t="shared" si="54"/>
        <v>4.5710000000000001E-2</v>
      </c>
      <c r="P211" s="666">
        <f t="shared" si="54"/>
        <v>4.5710000000000001E-2</v>
      </c>
      <c r="Q211" s="666">
        <f t="shared" si="54"/>
        <v>4.5710000000000001E-2</v>
      </c>
      <c r="R211" s="666">
        <f t="shared" si="54"/>
        <v>4.5710000000000001E-2</v>
      </c>
      <c r="S211" s="666">
        <f t="shared" si="54"/>
        <v>4.5710000000000001E-2</v>
      </c>
      <c r="T211" s="666">
        <f t="shared" si="54"/>
        <v>4.5710000000000001E-2</v>
      </c>
      <c r="U211" s="666">
        <f t="shared" si="54"/>
        <v>4.5710000000000001E-2</v>
      </c>
      <c r="V211" s="666">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1">
        <f t="shared" si="62"/>
        <v>6.2643184421534936</v>
      </c>
    </row>
    <row r="212" spans="2:36" x14ac:dyDescent="0.3">
      <c r="B212" s="191" t="s">
        <v>78</v>
      </c>
      <c r="C212" s="191" t="s">
        <v>374</v>
      </c>
      <c r="D212" s="191"/>
      <c r="E212" s="191"/>
      <c r="F212" s="191" t="s">
        <v>439</v>
      </c>
      <c r="G212" s="659">
        <f t="shared" si="57"/>
        <v>6.7229999999999998E-2</v>
      </c>
      <c r="H212" s="666">
        <f t="shared" si="42"/>
        <v>6.7229999999999998E-2</v>
      </c>
      <c r="I212" s="666">
        <f t="shared" si="49"/>
        <v>6.7229999999999998E-2</v>
      </c>
      <c r="J212" s="666">
        <f t="shared" si="54"/>
        <v>6.7229999999999998E-2</v>
      </c>
      <c r="K212" s="666">
        <f t="shared" si="54"/>
        <v>6.7229999999999998E-2</v>
      </c>
      <c r="L212" s="666">
        <f t="shared" si="54"/>
        <v>6.7229999999999998E-2</v>
      </c>
      <c r="M212" s="666">
        <f t="shared" si="54"/>
        <v>6.7229999999999998E-2</v>
      </c>
      <c r="N212" s="666">
        <f t="shared" si="54"/>
        <v>6.7229999999999998E-2</v>
      </c>
      <c r="O212" s="666">
        <f t="shared" si="54"/>
        <v>6.7229999999999998E-2</v>
      </c>
      <c r="P212" s="666">
        <f t="shared" si="54"/>
        <v>6.7229999999999998E-2</v>
      </c>
      <c r="Q212" s="666">
        <f t="shared" si="54"/>
        <v>6.7229999999999998E-2</v>
      </c>
      <c r="R212" s="666">
        <f t="shared" si="54"/>
        <v>6.7229999999999998E-2</v>
      </c>
      <c r="S212" s="666">
        <f t="shared" si="54"/>
        <v>6.7229999999999998E-2</v>
      </c>
      <c r="T212" s="666">
        <f t="shared" si="54"/>
        <v>6.7229999999999998E-2</v>
      </c>
      <c r="U212" s="666">
        <f t="shared" si="54"/>
        <v>6.7229999999999998E-2</v>
      </c>
      <c r="V212" s="666">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1">
        <f t="shared" si="62"/>
        <v>4.5405982905982913</v>
      </c>
    </row>
    <row r="213" spans="2:36" x14ac:dyDescent="0.3">
      <c r="B213" s="191" t="s">
        <v>78</v>
      </c>
      <c r="C213" s="191" t="s">
        <v>374</v>
      </c>
      <c r="D213" s="191"/>
      <c r="E213" s="191"/>
      <c r="F213" s="191" t="s">
        <v>437</v>
      </c>
      <c r="G213" s="659">
        <f t="shared" si="57"/>
        <v>5.3780000000000001E-2</v>
      </c>
      <c r="H213" s="666">
        <f t="shared" si="42"/>
        <v>5.3780000000000001E-2</v>
      </c>
      <c r="I213" s="666">
        <f t="shared" si="49"/>
        <v>5.3780000000000001E-2</v>
      </c>
      <c r="J213" s="666">
        <f t="shared" si="54"/>
        <v>5.3780000000000001E-2</v>
      </c>
      <c r="K213" s="666">
        <f t="shared" si="54"/>
        <v>5.3780000000000001E-2</v>
      </c>
      <c r="L213" s="666">
        <f t="shared" si="54"/>
        <v>5.3780000000000001E-2</v>
      </c>
      <c r="M213" s="666">
        <f t="shared" si="54"/>
        <v>5.3780000000000001E-2</v>
      </c>
      <c r="N213" s="666">
        <f t="shared" si="54"/>
        <v>5.3780000000000001E-2</v>
      </c>
      <c r="O213" s="666">
        <f t="shared" si="54"/>
        <v>5.3780000000000001E-2</v>
      </c>
      <c r="P213" s="666">
        <f t="shared" si="54"/>
        <v>5.3780000000000001E-2</v>
      </c>
      <c r="Q213" s="666">
        <f t="shared" si="54"/>
        <v>5.3780000000000001E-2</v>
      </c>
      <c r="R213" s="666">
        <f t="shared" si="54"/>
        <v>5.3780000000000001E-2</v>
      </c>
      <c r="S213" s="666">
        <f t="shared" si="54"/>
        <v>5.3780000000000001E-2</v>
      </c>
      <c r="T213" s="666">
        <f t="shared" si="54"/>
        <v>5.3780000000000001E-2</v>
      </c>
      <c r="U213" s="666">
        <f t="shared" si="54"/>
        <v>5.3780000000000001E-2</v>
      </c>
      <c r="V213" s="666">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1">
        <f t="shared" si="62"/>
        <v>5.6757478632478628</v>
      </c>
    </row>
    <row r="214" spans="2:36" s="360" customFormat="1" x14ac:dyDescent="0.3">
      <c r="B214" s="191" t="s">
        <v>78</v>
      </c>
      <c r="C214" s="191" t="s">
        <v>375</v>
      </c>
      <c r="D214" s="191"/>
      <c r="E214" s="191"/>
      <c r="F214" s="191" t="s">
        <v>439</v>
      </c>
      <c r="G214" s="659">
        <f t="shared" si="57"/>
        <v>7.1110000000000007E-2</v>
      </c>
      <c r="H214" s="666">
        <f t="shared" si="42"/>
        <v>7.1110000000000007E-2</v>
      </c>
      <c r="I214" s="666">
        <f t="shared" ref="I214:V228" si="69">$H214</f>
        <v>7.1110000000000007E-2</v>
      </c>
      <c r="J214" s="666">
        <f t="shared" si="69"/>
        <v>7.1110000000000007E-2</v>
      </c>
      <c r="K214" s="666">
        <f t="shared" si="69"/>
        <v>7.1110000000000007E-2</v>
      </c>
      <c r="L214" s="666">
        <f t="shared" si="69"/>
        <v>7.1110000000000007E-2</v>
      </c>
      <c r="M214" s="666">
        <f t="shared" si="69"/>
        <v>7.1110000000000007E-2</v>
      </c>
      <c r="N214" s="666">
        <f t="shared" si="69"/>
        <v>7.1110000000000007E-2</v>
      </c>
      <c r="O214" s="666">
        <f t="shared" si="69"/>
        <v>7.1110000000000007E-2</v>
      </c>
      <c r="P214" s="666">
        <f t="shared" si="69"/>
        <v>7.1110000000000007E-2</v>
      </c>
      <c r="Q214" s="666">
        <f t="shared" si="69"/>
        <v>7.1110000000000007E-2</v>
      </c>
      <c r="R214" s="666">
        <f t="shared" si="69"/>
        <v>7.1110000000000007E-2</v>
      </c>
      <c r="S214" s="666">
        <f t="shared" si="69"/>
        <v>7.1110000000000007E-2</v>
      </c>
      <c r="T214" s="666">
        <f t="shared" si="69"/>
        <v>7.1110000000000007E-2</v>
      </c>
      <c r="U214" s="666">
        <f t="shared" si="69"/>
        <v>7.1110000000000007E-2</v>
      </c>
      <c r="V214" s="666">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1">
        <f t="shared" si="62"/>
        <v>3.9859693877551017</v>
      </c>
    </row>
    <row r="215" spans="2:36" s="360" customFormat="1" x14ac:dyDescent="0.3">
      <c r="B215" s="191" t="s">
        <v>78</v>
      </c>
      <c r="C215" s="191" t="s">
        <v>375</v>
      </c>
      <c r="D215" s="191"/>
      <c r="E215" s="191"/>
      <c r="F215" s="191" t="s">
        <v>437</v>
      </c>
      <c r="G215" s="659">
        <f t="shared" si="57"/>
        <v>5.6890000000000003E-2</v>
      </c>
      <c r="H215" s="666">
        <f t="shared" si="42"/>
        <v>5.6890000000000003E-2</v>
      </c>
      <c r="I215" s="666">
        <f t="shared" si="69"/>
        <v>5.6890000000000003E-2</v>
      </c>
      <c r="J215" s="666">
        <f t="shared" si="69"/>
        <v>5.6890000000000003E-2</v>
      </c>
      <c r="K215" s="666">
        <f t="shared" si="69"/>
        <v>5.6890000000000003E-2</v>
      </c>
      <c r="L215" s="666">
        <f t="shared" si="69"/>
        <v>5.6890000000000003E-2</v>
      </c>
      <c r="M215" s="666">
        <f t="shared" si="69"/>
        <v>5.6890000000000003E-2</v>
      </c>
      <c r="N215" s="666">
        <f t="shared" si="69"/>
        <v>5.6890000000000003E-2</v>
      </c>
      <c r="O215" s="666">
        <f t="shared" si="69"/>
        <v>5.6890000000000003E-2</v>
      </c>
      <c r="P215" s="666">
        <f t="shared" si="69"/>
        <v>5.6890000000000003E-2</v>
      </c>
      <c r="Q215" s="666">
        <f t="shared" si="69"/>
        <v>5.6890000000000003E-2</v>
      </c>
      <c r="R215" s="666">
        <f t="shared" si="69"/>
        <v>5.6890000000000003E-2</v>
      </c>
      <c r="S215" s="666">
        <f t="shared" si="69"/>
        <v>5.6890000000000003E-2</v>
      </c>
      <c r="T215" s="666">
        <f t="shared" si="69"/>
        <v>5.6890000000000003E-2</v>
      </c>
      <c r="U215" s="666">
        <f t="shared" si="69"/>
        <v>5.6890000000000003E-2</v>
      </c>
      <c r="V215" s="666">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1">
        <f t="shared" si="62"/>
        <v>4.9824617346938771</v>
      </c>
    </row>
    <row r="216" spans="2:36" s="360" customFormat="1" x14ac:dyDescent="0.3">
      <c r="B216" s="191" t="s">
        <v>78</v>
      </c>
      <c r="C216" s="191" t="s">
        <v>376</v>
      </c>
      <c r="D216" s="191"/>
      <c r="E216" s="191"/>
      <c r="F216" s="191" t="s">
        <v>439</v>
      </c>
      <c r="G216" s="659">
        <f t="shared" si="57"/>
        <v>8.4209999999999993E-2</v>
      </c>
      <c r="H216" s="666">
        <f t="shared" si="42"/>
        <v>8.4209999999999993E-2</v>
      </c>
      <c r="I216" s="666">
        <f t="shared" si="69"/>
        <v>8.4209999999999993E-2</v>
      </c>
      <c r="J216" s="666">
        <f t="shared" si="69"/>
        <v>8.4209999999999993E-2</v>
      </c>
      <c r="K216" s="666">
        <f t="shared" si="69"/>
        <v>8.4209999999999993E-2</v>
      </c>
      <c r="L216" s="666">
        <f t="shared" si="69"/>
        <v>8.4209999999999993E-2</v>
      </c>
      <c r="M216" s="666">
        <f t="shared" si="69"/>
        <v>8.4209999999999993E-2</v>
      </c>
      <c r="N216" s="666">
        <f t="shared" si="69"/>
        <v>8.4209999999999993E-2</v>
      </c>
      <c r="O216" s="666">
        <f t="shared" si="69"/>
        <v>8.4209999999999993E-2</v>
      </c>
      <c r="P216" s="666">
        <f t="shared" si="69"/>
        <v>8.4209999999999993E-2</v>
      </c>
      <c r="Q216" s="666">
        <f t="shared" si="69"/>
        <v>8.4209999999999993E-2</v>
      </c>
      <c r="R216" s="666">
        <f t="shared" si="69"/>
        <v>8.4209999999999993E-2</v>
      </c>
      <c r="S216" s="666">
        <f t="shared" si="69"/>
        <v>8.4209999999999993E-2</v>
      </c>
      <c r="T216" s="666">
        <f t="shared" si="69"/>
        <v>8.4209999999999993E-2</v>
      </c>
      <c r="U216" s="666">
        <f t="shared" si="69"/>
        <v>8.4209999999999993E-2</v>
      </c>
      <c r="V216" s="666">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1">
        <f t="shared" si="62"/>
        <v>3.6248473748473753</v>
      </c>
    </row>
    <row r="217" spans="2:36" s="360" customFormat="1" x14ac:dyDescent="0.3">
      <c r="B217" s="191" t="s">
        <v>78</v>
      </c>
      <c r="C217" s="191" t="s">
        <v>376</v>
      </c>
      <c r="D217" s="191"/>
      <c r="E217" s="191"/>
      <c r="F217" s="191" t="s">
        <v>437</v>
      </c>
      <c r="G217" s="659">
        <f t="shared" si="57"/>
        <v>6.7369999999999999E-2</v>
      </c>
      <c r="H217" s="666">
        <f t="shared" si="42"/>
        <v>6.7369999999999999E-2</v>
      </c>
      <c r="I217" s="666">
        <f t="shared" si="69"/>
        <v>6.7369999999999999E-2</v>
      </c>
      <c r="J217" s="666">
        <f t="shared" si="69"/>
        <v>6.7369999999999999E-2</v>
      </c>
      <c r="K217" s="666">
        <f t="shared" si="69"/>
        <v>6.7369999999999999E-2</v>
      </c>
      <c r="L217" s="666">
        <f t="shared" si="69"/>
        <v>6.7369999999999999E-2</v>
      </c>
      <c r="M217" s="666">
        <f t="shared" si="69"/>
        <v>6.7369999999999999E-2</v>
      </c>
      <c r="N217" s="666">
        <f t="shared" si="69"/>
        <v>6.7369999999999999E-2</v>
      </c>
      <c r="O217" s="666">
        <f t="shared" si="69"/>
        <v>6.7369999999999999E-2</v>
      </c>
      <c r="P217" s="666">
        <f t="shared" si="69"/>
        <v>6.7369999999999999E-2</v>
      </c>
      <c r="Q217" s="666">
        <f t="shared" si="69"/>
        <v>6.7369999999999999E-2</v>
      </c>
      <c r="R217" s="666">
        <f t="shared" si="69"/>
        <v>6.7369999999999999E-2</v>
      </c>
      <c r="S217" s="666">
        <f t="shared" si="69"/>
        <v>6.7369999999999999E-2</v>
      </c>
      <c r="T217" s="666">
        <f t="shared" si="69"/>
        <v>6.7369999999999999E-2</v>
      </c>
      <c r="U217" s="666">
        <f t="shared" si="69"/>
        <v>6.7369999999999999E-2</v>
      </c>
      <c r="V217" s="666">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1">
        <f t="shared" si="62"/>
        <v>4.5310592185592178</v>
      </c>
    </row>
    <row r="218" spans="2:36" s="360" customFormat="1" x14ac:dyDescent="0.3">
      <c r="B218" s="191" t="s">
        <v>78</v>
      </c>
      <c r="C218" s="191" t="s">
        <v>377</v>
      </c>
      <c r="D218" s="191"/>
      <c r="E218" s="191"/>
      <c r="F218" s="191" t="s">
        <v>439</v>
      </c>
      <c r="G218" s="659">
        <f t="shared" si="57"/>
        <v>6.7229999999999998E-2</v>
      </c>
      <c r="H218" s="666">
        <f t="shared" si="42"/>
        <v>6.7229999999999998E-2</v>
      </c>
      <c r="I218" s="666">
        <f t="shared" si="69"/>
        <v>6.7229999999999998E-2</v>
      </c>
      <c r="J218" s="666">
        <f t="shared" si="69"/>
        <v>6.7229999999999998E-2</v>
      </c>
      <c r="K218" s="666">
        <f t="shared" si="69"/>
        <v>6.7229999999999998E-2</v>
      </c>
      <c r="L218" s="666">
        <f t="shared" si="69"/>
        <v>6.7229999999999998E-2</v>
      </c>
      <c r="M218" s="666">
        <f t="shared" si="69"/>
        <v>6.7229999999999998E-2</v>
      </c>
      <c r="N218" s="666">
        <f t="shared" si="69"/>
        <v>6.7229999999999998E-2</v>
      </c>
      <c r="O218" s="666">
        <f t="shared" si="69"/>
        <v>6.7229999999999998E-2</v>
      </c>
      <c r="P218" s="666">
        <f t="shared" si="69"/>
        <v>6.7229999999999998E-2</v>
      </c>
      <c r="Q218" s="666">
        <f t="shared" si="69"/>
        <v>6.7229999999999998E-2</v>
      </c>
      <c r="R218" s="666">
        <f t="shared" si="69"/>
        <v>6.7229999999999998E-2</v>
      </c>
      <c r="S218" s="666">
        <f t="shared" si="69"/>
        <v>6.7229999999999998E-2</v>
      </c>
      <c r="T218" s="666">
        <f t="shared" si="69"/>
        <v>6.7229999999999998E-2</v>
      </c>
      <c r="U218" s="666">
        <f t="shared" si="69"/>
        <v>6.7229999999999998E-2</v>
      </c>
      <c r="V218" s="666">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1">
        <f t="shared" si="62"/>
        <v>3.2306055077751723</v>
      </c>
    </row>
    <row r="219" spans="2:36" s="360" customFormat="1" x14ac:dyDescent="0.3">
      <c r="B219" s="191" t="s">
        <v>78</v>
      </c>
      <c r="C219" s="191" t="s">
        <v>377</v>
      </c>
      <c r="D219" s="191"/>
      <c r="E219" s="191"/>
      <c r="F219" s="191" t="s">
        <v>437</v>
      </c>
      <c r="G219" s="659">
        <f t="shared" si="57"/>
        <v>5.3780000000000001E-2</v>
      </c>
      <c r="H219" s="666">
        <f t="shared" si="42"/>
        <v>5.3780000000000001E-2</v>
      </c>
      <c r="I219" s="666">
        <f t="shared" si="69"/>
        <v>5.3780000000000001E-2</v>
      </c>
      <c r="J219" s="666">
        <f t="shared" si="69"/>
        <v>5.3780000000000001E-2</v>
      </c>
      <c r="K219" s="666">
        <f t="shared" si="69"/>
        <v>5.3780000000000001E-2</v>
      </c>
      <c r="L219" s="666">
        <f t="shared" si="69"/>
        <v>5.3780000000000001E-2</v>
      </c>
      <c r="M219" s="666">
        <f t="shared" si="69"/>
        <v>5.3780000000000001E-2</v>
      </c>
      <c r="N219" s="666">
        <f t="shared" si="69"/>
        <v>5.3780000000000001E-2</v>
      </c>
      <c r="O219" s="666">
        <f t="shared" si="69"/>
        <v>5.3780000000000001E-2</v>
      </c>
      <c r="P219" s="666">
        <f t="shared" si="69"/>
        <v>5.3780000000000001E-2</v>
      </c>
      <c r="Q219" s="666">
        <f t="shared" si="69"/>
        <v>5.3780000000000001E-2</v>
      </c>
      <c r="R219" s="666">
        <f t="shared" si="69"/>
        <v>5.3780000000000001E-2</v>
      </c>
      <c r="S219" s="666">
        <f t="shared" si="69"/>
        <v>5.3780000000000001E-2</v>
      </c>
      <c r="T219" s="666">
        <f t="shared" si="69"/>
        <v>5.3780000000000001E-2</v>
      </c>
      <c r="U219" s="666">
        <f t="shared" si="69"/>
        <v>5.3780000000000001E-2</v>
      </c>
      <c r="V219" s="666">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1">
        <f t="shared" si="62"/>
        <v>4.0382568847189653</v>
      </c>
    </row>
    <row r="220" spans="2:36" s="360" customFormat="1" x14ac:dyDescent="0.3">
      <c r="B220" s="191" t="s">
        <v>78</v>
      </c>
      <c r="C220" s="191" t="s">
        <v>378</v>
      </c>
      <c r="D220" s="191"/>
      <c r="E220" s="191"/>
      <c r="F220" s="191" t="s">
        <v>439</v>
      </c>
      <c r="G220" s="659">
        <f t="shared" si="57"/>
        <v>7.485E-2</v>
      </c>
      <c r="H220" s="666">
        <f t="shared" si="42"/>
        <v>7.485E-2</v>
      </c>
      <c r="I220" s="666">
        <f t="shared" si="69"/>
        <v>7.485E-2</v>
      </c>
      <c r="J220" s="666">
        <f t="shared" si="69"/>
        <v>7.485E-2</v>
      </c>
      <c r="K220" s="666">
        <f t="shared" si="69"/>
        <v>7.485E-2</v>
      </c>
      <c r="L220" s="666">
        <f t="shared" si="69"/>
        <v>7.485E-2</v>
      </c>
      <c r="M220" s="666">
        <f t="shared" si="69"/>
        <v>7.485E-2</v>
      </c>
      <c r="N220" s="666">
        <f t="shared" si="69"/>
        <v>7.485E-2</v>
      </c>
      <c r="O220" s="666">
        <f t="shared" si="69"/>
        <v>7.485E-2</v>
      </c>
      <c r="P220" s="666">
        <f t="shared" si="69"/>
        <v>7.485E-2</v>
      </c>
      <c r="Q220" s="666">
        <f t="shared" si="69"/>
        <v>7.485E-2</v>
      </c>
      <c r="R220" s="666">
        <f t="shared" si="69"/>
        <v>7.485E-2</v>
      </c>
      <c r="S220" s="666">
        <f t="shared" si="69"/>
        <v>7.485E-2</v>
      </c>
      <c r="T220" s="666">
        <f t="shared" si="69"/>
        <v>7.485E-2</v>
      </c>
      <c r="U220" s="666">
        <f t="shared" si="69"/>
        <v>7.485E-2</v>
      </c>
      <c r="V220" s="666">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1">
        <f t="shared" si="62"/>
        <v>3.786670918367347</v>
      </c>
    </row>
    <row r="221" spans="2:36" s="360" customFormat="1" x14ac:dyDescent="0.3">
      <c r="B221" s="191" t="s">
        <v>78</v>
      </c>
      <c r="C221" s="191" t="s">
        <v>378</v>
      </c>
      <c r="D221" s="191"/>
      <c r="E221" s="191"/>
      <c r="F221" s="191" t="s">
        <v>437</v>
      </c>
      <c r="G221" s="659">
        <f t="shared" si="57"/>
        <v>5.9880000000000003E-2</v>
      </c>
      <c r="H221" s="666">
        <f t="shared" si="42"/>
        <v>5.9880000000000003E-2</v>
      </c>
      <c r="I221" s="666">
        <f t="shared" si="69"/>
        <v>5.9880000000000003E-2</v>
      </c>
      <c r="J221" s="666">
        <f t="shared" si="69"/>
        <v>5.9880000000000003E-2</v>
      </c>
      <c r="K221" s="666">
        <f t="shared" si="69"/>
        <v>5.9880000000000003E-2</v>
      </c>
      <c r="L221" s="666">
        <f t="shared" si="69"/>
        <v>5.9880000000000003E-2</v>
      </c>
      <c r="M221" s="666">
        <f t="shared" si="69"/>
        <v>5.9880000000000003E-2</v>
      </c>
      <c r="N221" s="666">
        <f t="shared" si="69"/>
        <v>5.9880000000000003E-2</v>
      </c>
      <c r="O221" s="666">
        <f t="shared" si="69"/>
        <v>5.9880000000000003E-2</v>
      </c>
      <c r="P221" s="666">
        <f t="shared" si="69"/>
        <v>5.9880000000000003E-2</v>
      </c>
      <c r="Q221" s="666">
        <f t="shared" si="69"/>
        <v>5.9880000000000003E-2</v>
      </c>
      <c r="R221" s="666">
        <f t="shared" si="69"/>
        <v>5.9880000000000003E-2</v>
      </c>
      <c r="S221" s="666">
        <f t="shared" si="69"/>
        <v>5.9880000000000003E-2</v>
      </c>
      <c r="T221" s="666">
        <f t="shared" si="69"/>
        <v>5.9880000000000003E-2</v>
      </c>
      <c r="U221" s="666">
        <f t="shared" si="69"/>
        <v>5.9880000000000003E-2</v>
      </c>
      <c r="V221" s="666">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1">
        <f t="shared" si="62"/>
        <v>4.733338647959183</v>
      </c>
    </row>
    <row r="222" spans="2:36" s="642" customFormat="1" x14ac:dyDescent="0.3">
      <c r="B222" s="420" t="s">
        <v>78</v>
      </c>
      <c r="C222" s="420" t="s">
        <v>379</v>
      </c>
      <c r="D222" s="420"/>
      <c r="E222" s="420"/>
      <c r="F222" s="420" t="s">
        <v>439</v>
      </c>
      <c r="G222" s="659">
        <f t="shared" si="57"/>
        <v>72.727270000000004</v>
      </c>
      <c r="H222" s="669">
        <f t="shared" si="42"/>
        <v>72.727270000000004</v>
      </c>
      <c r="I222" s="669">
        <f t="shared" si="69"/>
        <v>72.727270000000004</v>
      </c>
      <c r="J222" s="669">
        <f t="shared" si="69"/>
        <v>72.727270000000004</v>
      </c>
      <c r="K222" s="669">
        <f t="shared" si="69"/>
        <v>72.727270000000004</v>
      </c>
      <c r="L222" s="669">
        <f t="shared" si="69"/>
        <v>72.727270000000004</v>
      </c>
      <c r="M222" s="669">
        <f t="shared" si="69"/>
        <v>72.727270000000004</v>
      </c>
      <c r="N222" s="669">
        <f t="shared" si="69"/>
        <v>72.727270000000004</v>
      </c>
      <c r="O222" s="669">
        <f t="shared" si="69"/>
        <v>72.727270000000004</v>
      </c>
      <c r="P222" s="669">
        <f t="shared" si="69"/>
        <v>72.727270000000004</v>
      </c>
      <c r="Q222" s="669">
        <f t="shared" si="69"/>
        <v>72.727270000000004</v>
      </c>
      <c r="R222" s="669">
        <f t="shared" si="69"/>
        <v>72.727270000000004</v>
      </c>
      <c r="S222" s="669">
        <f t="shared" si="69"/>
        <v>72.727270000000004</v>
      </c>
      <c r="T222" s="669">
        <f t="shared" si="69"/>
        <v>72.727270000000004</v>
      </c>
      <c r="U222" s="669">
        <f t="shared" si="69"/>
        <v>72.727270000000004</v>
      </c>
      <c r="V222" s="669">
        <f t="shared" si="69"/>
        <v>72.727270000000004</v>
      </c>
      <c r="X222" s="643"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1">
        <f t="shared" si="62"/>
        <v>4.1971916971916979E-3</v>
      </c>
    </row>
    <row r="223" spans="2:36" s="642" customFormat="1" x14ac:dyDescent="0.3">
      <c r="B223" s="644" t="s">
        <v>78</v>
      </c>
      <c r="C223" s="644" t="s">
        <v>379</v>
      </c>
      <c r="D223" s="644"/>
      <c r="E223" s="644"/>
      <c r="F223" s="644" t="s">
        <v>437</v>
      </c>
      <c r="G223" s="668">
        <f t="shared" si="57"/>
        <v>72.727270000000004</v>
      </c>
      <c r="H223" s="670">
        <f t="shared" si="42"/>
        <v>72.727270000000004</v>
      </c>
      <c r="I223" s="670">
        <f t="shared" si="69"/>
        <v>72.727270000000004</v>
      </c>
      <c r="J223" s="670">
        <f t="shared" si="69"/>
        <v>72.727270000000004</v>
      </c>
      <c r="K223" s="670">
        <f t="shared" si="69"/>
        <v>72.727270000000004</v>
      </c>
      <c r="L223" s="670">
        <f t="shared" si="69"/>
        <v>72.727270000000004</v>
      </c>
      <c r="M223" s="670">
        <f t="shared" si="69"/>
        <v>72.727270000000004</v>
      </c>
      <c r="N223" s="670">
        <f t="shared" si="69"/>
        <v>72.727270000000004</v>
      </c>
      <c r="O223" s="670">
        <f t="shared" si="69"/>
        <v>72.727270000000004</v>
      </c>
      <c r="P223" s="670">
        <f t="shared" si="69"/>
        <v>72.727270000000004</v>
      </c>
      <c r="Q223" s="670">
        <f t="shared" si="69"/>
        <v>72.727270000000004</v>
      </c>
      <c r="R223" s="670">
        <f t="shared" si="69"/>
        <v>72.727270000000004</v>
      </c>
      <c r="S223" s="670">
        <f t="shared" si="69"/>
        <v>72.727270000000004</v>
      </c>
      <c r="T223" s="670">
        <f t="shared" si="69"/>
        <v>72.727270000000004</v>
      </c>
      <c r="U223" s="670">
        <f t="shared" si="69"/>
        <v>72.727270000000004</v>
      </c>
      <c r="V223" s="670">
        <f t="shared" si="69"/>
        <v>72.727270000000004</v>
      </c>
      <c r="X223" s="645"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1">
        <f t="shared" si="62"/>
        <v>4.1971916971916979E-3</v>
      </c>
    </row>
    <row r="224" spans="2:36" s="360" customFormat="1" x14ac:dyDescent="0.3">
      <c r="B224" s="191" t="s">
        <v>78</v>
      </c>
      <c r="C224" s="191" t="s">
        <v>564</v>
      </c>
      <c r="D224" s="191"/>
      <c r="E224" s="191"/>
      <c r="F224" s="191" t="s">
        <v>425</v>
      </c>
      <c r="G224" s="659">
        <f t="shared" ref="G224:G284" si="74">ROUND(10^2/Y224,5)</f>
        <v>4.5454499999999998</v>
      </c>
      <c r="H224" s="666">
        <f t="shared" si="42"/>
        <v>4.5454499999999998</v>
      </c>
      <c r="I224" s="666">
        <f t="shared" si="69"/>
        <v>4.5454499999999998</v>
      </c>
      <c r="J224" s="666">
        <f t="shared" si="69"/>
        <v>4.5454499999999998</v>
      </c>
      <c r="K224" s="666">
        <f t="shared" si="69"/>
        <v>4.5454499999999998</v>
      </c>
      <c r="L224" s="666">
        <f t="shared" si="69"/>
        <v>4.5454499999999998</v>
      </c>
      <c r="M224" s="666">
        <f t="shared" si="69"/>
        <v>4.5454499999999998</v>
      </c>
      <c r="N224" s="666">
        <f t="shared" si="69"/>
        <v>4.5454499999999998</v>
      </c>
      <c r="O224" s="666">
        <f t="shared" si="69"/>
        <v>4.5454499999999998</v>
      </c>
      <c r="P224" s="666">
        <f t="shared" si="69"/>
        <v>4.5454499999999998</v>
      </c>
      <c r="Q224" s="666">
        <f t="shared" si="69"/>
        <v>4.5454499999999998</v>
      </c>
      <c r="R224" s="666">
        <f t="shared" si="69"/>
        <v>4.5454499999999998</v>
      </c>
      <c r="S224" s="666">
        <f t="shared" si="69"/>
        <v>4.5454499999999998</v>
      </c>
      <c r="T224" s="666">
        <f t="shared" si="69"/>
        <v>4.5454499999999998</v>
      </c>
      <c r="U224" s="666">
        <f t="shared" si="69"/>
        <v>4.5454499999999998</v>
      </c>
      <c r="V224" s="666">
        <f t="shared" si="69"/>
        <v>4.5454499999999998</v>
      </c>
      <c r="X224" s="575"/>
      <c r="Y224" s="576">
        <v>22</v>
      </c>
    </row>
    <row r="225" spans="2:28" s="360" customFormat="1" x14ac:dyDescent="0.3">
      <c r="B225" s="545" t="s">
        <v>78</v>
      </c>
      <c r="C225" s="545" t="s">
        <v>565</v>
      </c>
      <c r="D225" s="545"/>
      <c r="E225" s="545"/>
      <c r="F225" s="545" t="s">
        <v>423</v>
      </c>
      <c r="G225" s="668">
        <f t="shared" si="74"/>
        <v>100</v>
      </c>
      <c r="H225" s="667">
        <f t="shared" si="42"/>
        <v>100</v>
      </c>
      <c r="I225" s="661">
        <f t="shared" si="69"/>
        <v>100</v>
      </c>
      <c r="J225" s="661">
        <f t="shared" si="69"/>
        <v>100</v>
      </c>
      <c r="K225" s="661">
        <f t="shared" si="69"/>
        <v>100</v>
      </c>
      <c r="L225" s="661">
        <f t="shared" si="69"/>
        <v>100</v>
      </c>
      <c r="M225" s="661">
        <f t="shared" si="69"/>
        <v>100</v>
      </c>
      <c r="N225" s="661">
        <f t="shared" si="69"/>
        <v>100</v>
      </c>
      <c r="O225" s="661">
        <f t="shared" si="69"/>
        <v>100</v>
      </c>
      <c r="P225" s="661">
        <f t="shared" si="69"/>
        <v>100</v>
      </c>
      <c r="Q225" s="661">
        <f t="shared" si="69"/>
        <v>100</v>
      </c>
      <c r="R225" s="661">
        <f t="shared" si="69"/>
        <v>100</v>
      </c>
      <c r="S225" s="661">
        <f t="shared" si="69"/>
        <v>100</v>
      </c>
      <c r="T225" s="661">
        <f t="shared" si="69"/>
        <v>100</v>
      </c>
      <c r="U225" s="661">
        <f t="shared" si="69"/>
        <v>100</v>
      </c>
      <c r="V225" s="661">
        <f t="shared" si="69"/>
        <v>100</v>
      </c>
      <c r="X225" s="546"/>
      <c r="Y225" s="574">
        <v>1</v>
      </c>
    </row>
    <row r="226" spans="2:28" s="360" customFormat="1" x14ac:dyDescent="0.3">
      <c r="B226" s="577" t="s">
        <v>506</v>
      </c>
      <c r="C226" s="578" t="s">
        <v>558</v>
      </c>
      <c r="D226" s="577"/>
      <c r="E226" s="577"/>
      <c r="F226" s="577" t="s">
        <v>633</v>
      </c>
      <c r="G226" s="668">
        <f t="shared" si="74"/>
        <v>3.0303</v>
      </c>
      <c r="H226" s="671">
        <f t="shared" si="42"/>
        <v>3.0303</v>
      </c>
      <c r="I226" s="671">
        <f t="shared" si="69"/>
        <v>3.0303</v>
      </c>
      <c r="J226" s="671">
        <f t="shared" si="69"/>
        <v>3.0303</v>
      </c>
      <c r="K226" s="671">
        <f t="shared" si="69"/>
        <v>3.0303</v>
      </c>
      <c r="L226" s="671">
        <f t="shared" si="69"/>
        <v>3.0303</v>
      </c>
      <c r="M226" s="671">
        <f t="shared" si="69"/>
        <v>3.0303</v>
      </c>
      <c r="N226" s="671">
        <f t="shared" si="69"/>
        <v>3.0303</v>
      </c>
      <c r="O226" s="671">
        <f t="shared" si="69"/>
        <v>3.0303</v>
      </c>
      <c r="P226" s="671">
        <f t="shared" si="69"/>
        <v>3.0303</v>
      </c>
      <c r="Q226" s="671">
        <f t="shared" si="69"/>
        <v>3.0303</v>
      </c>
      <c r="R226" s="671">
        <f t="shared" si="69"/>
        <v>3.0303</v>
      </c>
      <c r="S226" s="671">
        <f t="shared" si="69"/>
        <v>3.0303</v>
      </c>
      <c r="T226" s="671">
        <f t="shared" si="69"/>
        <v>3.0303</v>
      </c>
      <c r="U226" s="671">
        <f t="shared" si="69"/>
        <v>3.0303</v>
      </c>
      <c r="V226" s="671">
        <f t="shared" si="69"/>
        <v>3.0303</v>
      </c>
      <c r="X226" s="546"/>
      <c r="Y226" s="574">
        <v>33</v>
      </c>
    </row>
    <row r="227" spans="2:28" x14ac:dyDescent="0.3">
      <c r="B227" s="191" t="s">
        <v>506</v>
      </c>
      <c r="C227" s="186" t="s">
        <v>127</v>
      </c>
      <c r="D227" s="186"/>
      <c r="E227" s="186"/>
      <c r="F227" s="191" t="s">
        <v>636</v>
      </c>
      <c r="G227" s="659">
        <f t="shared" si="74"/>
        <v>0.53476000000000001</v>
      </c>
      <c r="H227" s="666">
        <f t="shared" si="42"/>
        <v>0.53476000000000001</v>
      </c>
      <c r="I227" s="666">
        <f t="shared" si="69"/>
        <v>0.53476000000000001</v>
      </c>
      <c r="J227" s="666">
        <f t="shared" si="69"/>
        <v>0.53476000000000001</v>
      </c>
      <c r="K227" s="666">
        <f t="shared" si="69"/>
        <v>0.53476000000000001</v>
      </c>
      <c r="L227" s="666">
        <f t="shared" si="69"/>
        <v>0.53476000000000001</v>
      </c>
      <c r="M227" s="666">
        <f t="shared" si="69"/>
        <v>0.53476000000000001</v>
      </c>
      <c r="N227" s="666">
        <f t="shared" si="69"/>
        <v>0.53476000000000001</v>
      </c>
      <c r="O227" s="666">
        <f t="shared" si="69"/>
        <v>0.53476000000000001</v>
      </c>
      <c r="P227" s="666">
        <f t="shared" si="69"/>
        <v>0.53476000000000001</v>
      </c>
      <c r="Q227" s="666">
        <f t="shared" si="69"/>
        <v>0.53476000000000001</v>
      </c>
      <c r="R227" s="666">
        <f t="shared" si="69"/>
        <v>0.53476000000000001</v>
      </c>
      <c r="S227" s="666">
        <f t="shared" si="69"/>
        <v>0.53476000000000001</v>
      </c>
      <c r="T227" s="666">
        <f t="shared" si="69"/>
        <v>0.53476000000000001</v>
      </c>
      <c r="U227" s="666">
        <f t="shared" si="69"/>
        <v>0.53476000000000001</v>
      </c>
      <c r="V227" s="666">
        <f t="shared" si="69"/>
        <v>0.53476000000000001</v>
      </c>
      <c r="X227" s="307" t="str">
        <f>X158</f>
        <v>JRC-EU-TIMES; data for 2010</v>
      </c>
      <c r="Y227" s="302">
        <f>Y229</f>
        <v>187</v>
      </c>
      <c r="AA227" s="107"/>
      <c r="AB227" s="108"/>
    </row>
    <row r="228" spans="2:28" x14ac:dyDescent="0.3">
      <c r="B228" s="191" t="s">
        <v>506</v>
      </c>
      <c r="C228" s="186" t="s">
        <v>127</v>
      </c>
      <c r="D228" s="186"/>
      <c r="E228" s="186"/>
      <c r="F228" s="191" t="s">
        <v>639</v>
      </c>
      <c r="G228" s="659">
        <f t="shared" si="74"/>
        <v>0.46948000000000001</v>
      </c>
      <c r="H228" s="666">
        <f t="shared" si="42"/>
        <v>0.46948000000000001</v>
      </c>
      <c r="I228" s="666">
        <f t="shared" si="69"/>
        <v>0.46948000000000001</v>
      </c>
      <c r="J228" s="666">
        <f t="shared" si="69"/>
        <v>0.46948000000000001</v>
      </c>
      <c r="K228" s="666">
        <f t="shared" si="69"/>
        <v>0.46948000000000001</v>
      </c>
      <c r="L228" s="666">
        <f t="shared" si="69"/>
        <v>0.46948000000000001</v>
      </c>
      <c r="M228" s="666">
        <f t="shared" si="69"/>
        <v>0.46948000000000001</v>
      </c>
      <c r="N228" s="666">
        <f t="shared" si="69"/>
        <v>0.46948000000000001</v>
      </c>
      <c r="O228" s="666">
        <f t="shared" si="69"/>
        <v>0.46948000000000001</v>
      </c>
      <c r="P228" s="666">
        <f t="shared" si="69"/>
        <v>0.46948000000000001</v>
      </c>
      <c r="Q228" s="666">
        <f t="shared" si="69"/>
        <v>0.46948000000000001</v>
      </c>
      <c r="R228" s="666">
        <f t="shared" si="69"/>
        <v>0.46948000000000001</v>
      </c>
      <c r="S228" s="666">
        <f t="shared" si="69"/>
        <v>0.46948000000000001</v>
      </c>
      <c r="T228" s="666">
        <f t="shared" si="69"/>
        <v>0.46948000000000001</v>
      </c>
      <c r="U228" s="666">
        <f t="shared" si="69"/>
        <v>0.46948000000000001</v>
      </c>
      <c r="V228" s="666">
        <f t="shared" si="69"/>
        <v>0.46948000000000001</v>
      </c>
      <c r="X228" s="307" t="str">
        <f t="shared" ref="X228:X291" si="75">X159</f>
        <v>JRC-EU-TIMES; data for 2010</v>
      </c>
      <c r="Y228" s="302">
        <f>Y230</f>
        <v>213</v>
      </c>
      <c r="AA228" s="107"/>
      <c r="AB228" s="108"/>
    </row>
    <row r="229" spans="2:28" x14ac:dyDescent="0.3">
      <c r="B229" s="191" t="s">
        <v>506</v>
      </c>
      <c r="C229" s="191" t="s">
        <v>128</v>
      </c>
      <c r="D229" s="191"/>
      <c r="E229" s="191"/>
      <c r="F229" s="191" t="s">
        <v>636</v>
      </c>
      <c r="G229" s="659">
        <f t="shared" si="74"/>
        <v>0.53476000000000001</v>
      </c>
      <c r="H229" s="666">
        <f t="shared" si="42"/>
        <v>0.53476000000000001</v>
      </c>
      <c r="I229" s="666">
        <f t="shared" si="49"/>
        <v>0.53476000000000001</v>
      </c>
      <c r="J229" s="666">
        <f t="shared" si="54"/>
        <v>0.53476000000000001</v>
      </c>
      <c r="K229" s="666">
        <f t="shared" si="54"/>
        <v>0.53476000000000001</v>
      </c>
      <c r="L229" s="666">
        <f t="shared" si="54"/>
        <v>0.53476000000000001</v>
      </c>
      <c r="M229" s="666">
        <f t="shared" si="54"/>
        <v>0.53476000000000001</v>
      </c>
      <c r="N229" s="666">
        <f t="shared" si="54"/>
        <v>0.53476000000000001</v>
      </c>
      <c r="O229" s="666">
        <f t="shared" si="54"/>
        <v>0.53476000000000001</v>
      </c>
      <c r="P229" s="666">
        <f t="shared" si="54"/>
        <v>0.53476000000000001</v>
      </c>
      <c r="Q229" s="666">
        <f t="shared" si="54"/>
        <v>0.53476000000000001</v>
      </c>
      <c r="R229" s="666">
        <f t="shared" si="54"/>
        <v>0.53476000000000001</v>
      </c>
      <c r="S229" s="666">
        <f t="shared" si="54"/>
        <v>0.53476000000000001</v>
      </c>
      <c r="T229" s="666">
        <f t="shared" si="54"/>
        <v>0.53476000000000001</v>
      </c>
      <c r="U229" s="666">
        <f t="shared" si="54"/>
        <v>0.53476000000000001</v>
      </c>
      <c r="V229" s="666">
        <f t="shared" si="54"/>
        <v>0.53476000000000001</v>
      </c>
      <c r="X229" s="307" t="str">
        <f t="shared" si="75"/>
        <v>JRC-EU-TIMES; data for 2010</v>
      </c>
      <c r="Y229" s="302">
        <v>187</v>
      </c>
      <c r="AA229" s="107" t="s">
        <v>699</v>
      </c>
      <c r="AB229" s="108">
        <v>174</v>
      </c>
    </row>
    <row r="230" spans="2:28" x14ac:dyDescent="0.3">
      <c r="B230" s="191" t="s">
        <v>506</v>
      </c>
      <c r="C230" s="191" t="s">
        <v>128</v>
      </c>
      <c r="D230" s="191"/>
      <c r="E230" s="191"/>
      <c r="F230" s="191" t="s">
        <v>639</v>
      </c>
      <c r="G230" s="659">
        <f t="shared" si="74"/>
        <v>0.46948000000000001</v>
      </c>
      <c r="H230" s="666">
        <f t="shared" si="42"/>
        <v>0.46948000000000001</v>
      </c>
      <c r="I230" s="666">
        <f t="shared" si="49"/>
        <v>0.46948000000000001</v>
      </c>
      <c r="J230" s="666">
        <f t="shared" si="54"/>
        <v>0.46948000000000001</v>
      </c>
      <c r="K230" s="666">
        <f t="shared" si="54"/>
        <v>0.46948000000000001</v>
      </c>
      <c r="L230" s="666">
        <f t="shared" si="54"/>
        <v>0.46948000000000001</v>
      </c>
      <c r="M230" s="666">
        <f t="shared" si="54"/>
        <v>0.46948000000000001</v>
      </c>
      <c r="N230" s="666">
        <f t="shared" si="54"/>
        <v>0.46948000000000001</v>
      </c>
      <c r="O230" s="666">
        <f t="shared" si="54"/>
        <v>0.46948000000000001</v>
      </c>
      <c r="P230" s="666">
        <f t="shared" si="54"/>
        <v>0.46948000000000001</v>
      </c>
      <c r="Q230" s="666">
        <f t="shared" si="54"/>
        <v>0.46948000000000001</v>
      </c>
      <c r="R230" s="666">
        <f t="shared" si="54"/>
        <v>0.46948000000000001</v>
      </c>
      <c r="S230" s="666">
        <f t="shared" si="54"/>
        <v>0.46948000000000001</v>
      </c>
      <c r="T230" s="666">
        <f t="shared" si="54"/>
        <v>0.46948000000000001</v>
      </c>
      <c r="U230" s="666">
        <f t="shared" si="54"/>
        <v>0.46948000000000001</v>
      </c>
      <c r="V230" s="666">
        <f t="shared" si="54"/>
        <v>0.46948000000000001</v>
      </c>
      <c r="X230" s="307" t="str">
        <f t="shared" si="75"/>
        <v>JRC-EU-TIMES; data for 2010</v>
      </c>
      <c r="Y230" s="302">
        <v>213</v>
      </c>
      <c r="AA230" s="107" t="s">
        <v>699</v>
      </c>
      <c r="AB230" s="108">
        <v>199</v>
      </c>
    </row>
    <row r="231" spans="2:28" x14ac:dyDescent="0.3">
      <c r="B231" s="191" t="s">
        <v>506</v>
      </c>
      <c r="C231" s="191" t="s">
        <v>129</v>
      </c>
      <c r="D231" s="191"/>
      <c r="E231" s="191"/>
      <c r="F231" s="191" t="s">
        <v>636</v>
      </c>
      <c r="G231" s="659">
        <f t="shared" si="74"/>
        <v>1.2987</v>
      </c>
      <c r="H231" s="666">
        <f t="shared" si="42"/>
        <v>1.2987</v>
      </c>
      <c r="I231" s="666">
        <f t="shared" si="49"/>
        <v>1.2987</v>
      </c>
      <c r="J231" s="666">
        <f t="shared" si="54"/>
        <v>1.2987</v>
      </c>
      <c r="K231" s="666">
        <f t="shared" si="54"/>
        <v>1.2987</v>
      </c>
      <c r="L231" s="666">
        <f t="shared" si="54"/>
        <v>1.2987</v>
      </c>
      <c r="M231" s="666">
        <f t="shared" si="54"/>
        <v>1.2987</v>
      </c>
      <c r="N231" s="666">
        <f t="shared" si="54"/>
        <v>1.2987</v>
      </c>
      <c r="O231" s="666">
        <f t="shared" si="54"/>
        <v>1.2987</v>
      </c>
      <c r="P231" s="666">
        <f t="shared" si="54"/>
        <v>1.2987</v>
      </c>
      <c r="Q231" s="666">
        <f t="shared" si="54"/>
        <v>1.2987</v>
      </c>
      <c r="R231" s="666">
        <f t="shared" si="54"/>
        <v>1.2987</v>
      </c>
      <c r="S231" s="666">
        <f t="shared" si="54"/>
        <v>1.2987</v>
      </c>
      <c r="T231" s="666">
        <f t="shared" si="54"/>
        <v>1.2987</v>
      </c>
      <c r="U231" s="666">
        <f t="shared" ref="J231:V282" si="76">$H231</f>
        <v>1.2987</v>
      </c>
      <c r="V231" s="666">
        <f t="shared" si="76"/>
        <v>1.2987</v>
      </c>
      <c r="X231" s="307" t="str">
        <f t="shared" si="75"/>
        <v>JRC-EU-TIMES; data for 2010</v>
      </c>
      <c r="Y231" s="302">
        <v>77</v>
      </c>
      <c r="AA231" s="107" t="s">
        <v>699</v>
      </c>
      <c r="AB231" s="108">
        <v>77</v>
      </c>
    </row>
    <row r="232" spans="2:28" x14ac:dyDescent="0.3">
      <c r="B232" s="191" t="s">
        <v>506</v>
      </c>
      <c r="C232" s="191" t="s">
        <v>129</v>
      </c>
      <c r="D232" s="191"/>
      <c r="E232" s="191"/>
      <c r="F232" s="191" t="s">
        <v>639</v>
      </c>
      <c r="G232" s="659">
        <f t="shared" si="74"/>
        <v>1.6129</v>
      </c>
      <c r="H232" s="666">
        <f t="shared" si="42"/>
        <v>1.6129</v>
      </c>
      <c r="I232" s="666">
        <f t="shared" si="49"/>
        <v>1.6129</v>
      </c>
      <c r="J232" s="666">
        <f t="shared" si="76"/>
        <v>1.6129</v>
      </c>
      <c r="K232" s="666">
        <f t="shared" si="76"/>
        <v>1.6129</v>
      </c>
      <c r="L232" s="666">
        <f t="shared" si="76"/>
        <v>1.6129</v>
      </c>
      <c r="M232" s="666">
        <f t="shared" si="76"/>
        <v>1.6129</v>
      </c>
      <c r="N232" s="666">
        <f t="shared" si="76"/>
        <v>1.6129</v>
      </c>
      <c r="O232" s="666">
        <f t="shared" si="76"/>
        <v>1.6129</v>
      </c>
      <c r="P232" s="666">
        <f t="shared" si="76"/>
        <v>1.6129</v>
      </c>
      <c r="Q232" s="666">
        <f t="shared" si="76"/>
        <v>1.6129</v>
      </c>
      <c r="R232" s="666">
        <f t="shared" si="76"/>
        <v>1.6129</v>
      </c>
      <c r="S232" s="666">
        <f t="shared" si="76"/>
        <v>1.6129</v>
      </c>
      <c r="T232" s="666">
        <f t="shared" si="76"/>
        <v>1.6129</v>
      </c>
      <c r="U232" s="666">
        <f t="shared" si="76"/>
        <v>1.6129</v>
      </c>
      <c r="V232" s="666">
        <f t="shared" si="76"/>
        <v>1.6129</v>
      </c>
      <c r="X232" s="307" t="str">
        <f t="shared" si="75"/>
        <v>JRC-EU-TIMES; data for 2010</v>
      </c>
      <c r="Y232" s="302">
        <v>62</v>
      </c>
      <c r="AA232" s="107" t="s">
        <v>699</v>
      </c>
      <c r="AB232" s="108">
        <v>62</v>
      </c>
    </row>
    <row r="233" spans="2:28" x14ac:dyDescent="0.3">
      <c r="B233" s="191" t="s">
        <v>506</v>
      </c>
      <c r="C233" s="191" t="s">
        <v>130</v>
      </c>
      <c r="D233" s="191"/>
      <c r="E233" s="191"/>
      <c r="F233" s="191" t="s">
        <v>636</v>
      </c>
      <c r="G233" s="659">
        <f t="shared" si="74"/>
        <v>0.48309000000000002</v>
      </c>
      <c r="H233" s="666">
        <f t="shared" si="42"/>
        <v>0.48309000000000002</v>
      </c>
      <c r="I233" s="666">
        <f t="shared" si="49"/>
        <v>0.48309000000000002</v>
      </c>
      <c r="J233" s="666">
        <f>$H233</f>
        <v>0.48309000000000002</v>
      </c>
      <c r="K233" s="666">
        <f t="shared" si="76"/>
        <v>0.48309000000000002</v>
      </c>
      <c r="L233" s="666">
        <f t="shared" si="76"/>
        <v>0.48309000000000002</v>
      </c>
      <c r="M233" s="666">
        <f t="shared" si="76"/>
        <v>0.48309000000000002</v>
      </c>
      <c r="N233" s="666">
        <f t="shared" si="76"/>
        <v>0.48309000000000002</v>
      </c>
      <c r="O233" s="666">
        <f t="shared" si="76"/>
        <v>0.48309000000000002</v>
      </c>
      <c r="P233" s="666">
        <f t="shared" si="76"/>
        <v>0.48309000000000002</v>
      </c>
      <c r="Q233" s="666">
        <f t="shared" si="76"/>
        <v>0.48309000000000002</v>
      </c>
      <c r="R233" s="666">
        <f t="shared" si="76"/>
        <v>0.48309000000000002</v>
      </c>
      <c r="S233" s="666">
        <f t="shared" si="76"/>
        <v>0.48309000000000002</v>
      </c>
      <c r="T233" s="666">
        <f t="shared" si="76"/>
        <v>0.48309000000000002</v>
      </c>
      <c r="U233" s="666">
        <f t="shared" si="76"/>
        <v>0.48309000000000002</v>
      </c>
      <c r="V233" s="666">
        <f t="shared" si="76"/>
        <v>0.48309000000000002</v>
      </c>
      <c r="X233" s="307" t="str">
        <f t="shared" si="75"/>
        <v>Assumed same as GSL</v>
      </c>
      <c r="Y233" s="302">
        <v>207</v>
      </c>
      <c r="AA233" s="107" t="s">
        <v>699</v>
      </c>
      <c r="AB233" s="108">
        <v>193</v>
      </c>
    </row>
    <row r="234" spans="2:28" x14ac:dyDescent="0.3">
      <c r="B234" s="191" t="s">
        <v>506</v>
      </c>
      <c r="C234" s="191" t="s">
        <v>130</v>
      </c>
      <c r="D234" s="191"/>
      <c r="E234" s="191"/>
      <c r="F234" s="191" t="s">
        <v>639</v>
      </c>
      <c r="G234" s="659">
        <f t="shared" si="74"/>
        <v>0.39840999999999999</v>
      </c>
      <c r="H234" s="666">
        <f t="shared" si="42"/>
        <v>0.39840999999999999</v>
      </c>
      <c r="I234" s="666">
        <f t="shared" si="49"/>
        <v>0.39840999999999999</v>
      </c>
      <c r="J234" s="666">
        <f t="shared" si="76"/>
        <v>0.39840999999999999</v>
      </c>
      <c r="K234" s="666">
        <f t="shared" si="76"/>
        <v>0.39840999999999999</v>
      </c>
      <c r="L234" s="666">
        <f t="shared" si="76"/>
        <v>0.39840999999999999</v>
      </c>
      <c r="M234" s="666">
        <f t="shared" si="76"/>
        <v>0.39840999999999999</v>
      </c>
      <c r="N234" s="666">
        <f t="shared" si="76"/>
        <v>0.39840999999999999</v>
      </c>
      <c r="O234" s="666">
        <f t="shared" si="76"/>
        <v>0.39840999999999999</v>
      </c>
      <c r="P234" s="666">
        <f t="shared" si="76"/>
        <v>0.39840999999999999</v>
      </c>
      <c r="Q234" s="666">
        <f t="shared" si="76"/>
        <v>0.39840999999999999</v>
      </c>
      <c r="R234" s="666">
        <f t="shared" si="76"/>
        <v>0.39840999999999999</v>
      </c>
      <c r="S234" s="666">
        <f t="shared" si="76"/>
        <v>0.39840999999999999</v>
      </c>
      <c r="T234" s="666">
        <f t="shared" si="76"/>
        <v>0.39840999999999999</v>
      </c>
      <c r="U234" s="666">
        <f t="shared" si="76"/>
        <v>0.39840999999999999</v>
      </c>
      <c r="V234" s="666">
        <f t="shared" si="76"/>
        <v>0.39840999999999999</v>
      </c>
      <c r="X234" s="307" t="str">
        <f t="shared" si="75"/>
        <v>Assumed same as GSL</v>
      </c>
      <c r="Y234" s="302">
        <v>251</v>
      </c>
      <c r="AA234" s="107" t="s">
        <v>699</v>
      </c>
      <c r="AB234" s="108">
        <v>235</v>
      </c>
    </row>
    <row r="235" spans="2:28" x14ac:dyDescent="0.3">
      <c r="B235" s="191" t="s">
        <v>506</v>
      </c>
      <c r="C235" s="191" t="s">
        <v>131</v>
      </c>
      <c r="D235" s="191"/>
      <c r="E235" s="191"/>
      <c r="F235" s="191" t="s">
        <v>636</v>
      </c>
      <c r="G235" s="659">
        <f t="shared" si="74"/>
        <v>0.48309000000000002</v>
      </c>
      <c r="H235" s="666">
        <f t="shared" si="42"/>
        <v>0.48309000000000002</v>
      </c>
      <c r="I235" s="666">
        <f t="shared" si="49"/>
        <v>0.48309000000000002</v>
      </c>
      <c r="J235" s="666">
        <f t="shared" si="76"/>
        <v>0.48309000000000002</v>
      </c>
      <c r="K235" s="666">
        <f t="shared" si="76"/>
        <v>0.48309000000000002</v>
      </c>
      <c r="L235" s="666">
        <f t="shared" si="76"/>
        <v>0.48309000000000002</v>
      </c>
      <c r="M235" s="666">
        <f t="shared" si="76"/>
        <v>0.48309000000000002</v>
      </c>
      <c r="N235" s="666">
        <f t="shared" si="76"/>
        <v>0.48309000000000002</v>
      </c>
      <c r="O235" s="666">
        <f t="shared" si="76"/>
        <v>0.48309000000000002</v>
      </c>
      <c r="P235" s="666">
        <f t="shared" si="76"/>
        <v>0.48309000000000002</v>
      </c>
      <c r="Q235" s="666">
        <f t="shared" si="76"/>
        <v>0.48309000000000002</v>
      </c>
      <c r="R235" s="666">
        <f t="shared" si="76"/>
        <v>0.48309000000000002</v>
      </c>
      <c r="S235" s="666">
        <f t="shared" si="76"/>
        <v>0.48309000000000002</v>
      </c>
      <c r="T235" s="666">
        <f t="shared" si="76"/>
        <v>0.48309000000000002</v>
      </c>
      <c r="U235" s="666">
        <f t="shared" si="76"/>
        <v>0.48309000000000002</v>
      </c>
      <c r="V235" s="666">
        <f t="shared" si="76"/>
        <v>0.48309000000000002</v>
      </c>
      <c r="X235" s="307" t="str">
        <f t="shared" si="75"/>
        <v>Assumed same as GSL</v>
      </c>
      <c r="Y235" s="302">
        <v>207</v>
      </c>
      <c r="AA235" s="107" t="s">
        <v>699</v>
      </c>
      <c r="AB235" s="108">
        <v>193</v>
      </c>
    </row>
    <row r="236" spans="2:28" x14ac:dyDescent="0.3">
      <c r="B236" s="191" t="s">
        <v>506</v>
      </c>
      <c r="C236" s="191" t="s">
        <v>131</v>
      </c>
      <c r="D236" s="191"/>
      <c r="E236" s="191"/>
      <c r="F236" s="191" t="s">
        <v>639</v>
      </c>
      <c r="G236" s="659">
        <f t="shared" si="74"/>
        <v>0.39840999999999999</v>
      </c>
      <c r="H236" s="666">
        <f t="shared" si="42"/>
        <v>0.39840999999999999</v>
      </c>
      <c r="I236" s="666">
        <f t="shared" si="49"/>
        <v>0.39840999999999999</v>
      </c>
      <c r="J236" s="666">
        <f t="shared" si="76"/>
        <v>0.39840999999999999</v>
      </c>
      <c r="K236" s="666">
        <f t="shared" si="76"/>
        <v>0.39840999999999999</v>
      </c>
      <c r="L236" s="666">
        <f t="shared" si="76"/>
        <v>0.39840999999999999</v>
      </c>
      <c r="M236" s="666">
        <f t="shared" si="76"/>
        <v>0.39840999999999999</v>
      </c>
      <c r="N236" s="666">
        <f t="shared" si="76"/>
        <v>0.39840999999999999</v>
      </c>
      <c r="O236" s="666">
        <f t="shared" si="76"/>
        <v>0.39840999999999999</v>
      </c>
      <c r="P236" s="666">
        <f t="shared" si="76"/>
        <v>0.39840999999999999</v>
      </c>
      <c r="Q236" s="666">
        <f t="shared" si="76"/>
        <v>0.39840999999999999</v>
      </c>
      <c r="R236" s="666">
        <f t="shared" si="76"/>
        <v>0.39840999999999999</v>
      </c>
      <c r="S236" s="666">
        <f t="shared" si="76"/>
        <v>0.39840999999999999</v>
      </c>
      <c r="T236" s="666">
        <f t="shared" si="76"/>
        <v>0.39840999999999999</v>
      </c>
      <c r="U236" s="666">
        <f t="shared" si="76"/>
        <v>0.39840999999999999</v>
      </c>
      <c r="V236" s="666">
        <f t="shared" si="76"/>
        <v>0.39840999999999999</v>
      </c>
      <c r="X236" s="307" t="str">
        <f t="shared" si="75"/>
        <v>Assumed same as GSL</v>
      </c>
      <c r="Y236" s="302">
        <v>251</v>
      </c>
      <c r="AA236" s="107" t="s">
        <v>699</v>
      </c>
      <c r="AB236" s="108">
        <v>235</v>
      </c>
    </row>
    <row r="237" spans="2:28" x14ac:dyDescent="0.3">
      <c r="B237" s="191" t="s">
        <v>506</v>
      </c>
      <c r="C237" s="191" t="s">
        <v>132</v>
      </c>
      <c r="D237" s="191"/>
      <c r="E237" s="191"/>
      <c r="F237" s="191" t="s">
        <v>636</v>
      </c>
      <c r="G237" s="659">
        <f t="shared" si="74"/>
        <v>0.48309000000000002</v>
      </c>
      <c r="H237" s="666">
        <f t="shared" si="42"/>
        <v>0.48309000000000002</v>
      </c>
      <c r="I237" s="666">
        <f t="shared" si="49"/>
        <v>0.48309000000000002</v>
      </c>
      <c r="J237" s="666">
        <f t="shared" si="76"/>
        <v>0.48309000000000002</v>
      </c>
      <c r="K237" s="666">
        <f t="shared" si="76"/>
        <v>0.48309000000000002</v>
      </c>
      <c r="L237" s="666">
        <f t="shared" si="76"/>
        <v>0.48309000000000002</v>
      </c>
      <c r="M237" s="666">
        <f t="shared" si="76"/>
        <v>0.48309000000000002</v>
      </c>
      <c r="N237" s="666">
        <f t="shared" si="76"/>
        <v>0.48309000000000002</v>
      </c>
      <c r="O237" s="666">
        <f t="shared" si="76"/>
        <v>0.48309000000000002</v>
      </c>
      <c r="P237" s="666">
        <f t="shared" si="76"/>
        <v>0.48309000000000002</v>
      </c>
      <c r="Q237" s="666">
        <f t="shared" si="76"/>
        <v>0.48309000000000002</v>
      </c>
      <c r="R237" s="666">
        <f t="shared" si="76"/>
        <v>0.48309000000000002</v>
      </c>
      <c r="S237" s="666">
        <f t="shared" si="76"/>
        <v>0.48309000000000002</v>
      </c>
      <c r="T237" s="666">
        <f t="shared" si="76"/>
        <v>0.48309000000000002</v>
      </c>
      <c r="U237" s="666">
        <f t="shared" si="76"/>
        <v>0.48309000000000002</v>
      </c>
      <c r="V237" s="666">
        <f t="shared" si="76"/>
        <v>0.48309000000000002</v>
      </c>
      <c r="X237" s="307" t="str">
        <f t="shared" si="75"/>
        <v>JRC-EU-TIMES; data for 2010</v>
      </c>
      <c r="Y237" s="302">
        <v>207</v>
      </c>
      <c r="AA237" s="107" t="s">
        <v>699</v>
      </c>
      <c r="AB237" s="108">
        <v>193</v>
      </c>
    </row>
    <row r="238" spans="2:28" x14ac:dyDescent="0.3">
      <c r="B238" s="191" t="s">
        <v>506</v>
      </c>
      <c r="C238" s="191" t="s">
        <v>132</v>
      </c>
      <c r="D238" s="191"/>
      <c r="E238" s="191"/>
      <c r="F238" s="191" t="s">
        <v>639</v>
      </c>
      <c r="G238" s="659">
        <f t="shared" si="74"/>
        <v>0.39840999999999999</v>
      </c>
      <c r="H238" s="666">
        <f t="shared" si="42"/>
        <v>0.39840999999999999</v>
      </c>
      <c r="I238" s="666">
        <f t="shared" si="49"/>
        <v>0.39840999999999999</v>
      </c>
      <c r="J238" s="666">
        <f t="shared" si="76"/>
        <v>0.39840999999999999</v>
      </c>
      <c r="K238" s="666">
        <f t="shared" si="76"/>
        <v>0.39840999999999999</v>
      </c>
      <c r="L238" s="666">
        <f t="shared" si="76"/>
        <v>0.39840999999999999</v>
      </c>
      <c r="M238" s="666">
        <f t="shared" si="76"/>
        <v>0.39840999999999999</v>
      </c>
      <c r="N238" s="666">
        <f t="shared" si="76"/>
        <v>0.39840999999999999</v>
      </c>
      <c r="O238" s="666">
        <f t="shared" si="76"/>
        <v>0.39840999999999999</v>
      </c>
      <c r="P238" s="666">
        <f t="shared" si="76"/>
        <v>0.39840999999999999</v>
      </c>
      <c r="Q238" s="666">
        <f t="shared" si="76"/>
        <v>0.39840999999999999</v>
      </c>
      <c r="R238" s="666">
        <f t="shared" si="76"/>
        <v>0.39840999999999999</v>
      </c>
      <c r="S238" s="666">
        <f t="shared" si="76"/>
        <v>0.39840999999999999</v>
      </c>
      <c r="T238" s="666">
        <f t="shared" si="76"/>
        <v>0.39840999999999999</v>
      </c>
      <c r="U238" s="666">
        <f t="shared" si="76"/>
        <v>0.39840999999999999</v>
      </c>
      <c r="V238" s="666">
        <f t="shared" si="76"/>
        <v>0.39840999999999999</v>
      </c>
      <c r="X238" s="307" t="str">
        <f t="shared" si="75"/>
        <v>JRC-EU-TIMES; data for 2010</v>
      </c>
      <c r="Y238" s="302">
        <v>251</v>
      </c>
      <c r="AA238" s="107" t="s">
        <v>699</v>
      </c>
      <c r="AB238" s="108">
        <v>235</v>
      </c>
    </row>
    <row r="239" spans="2:28" x14ac:dyDescent="0.3">
      <c r="B239" s="191" t="s">
        <v>506</v>
      </c>
      <c r="C239" s="191" t="s">
        <v>133</v>
      </c>
      <c r="D239" s="191"/>
      <c r="E239" s="191"/>
      <c r="F239" s="191" t="s">
        <v>636</v>
      </c>
      <c r="G239" s="659">
        <f t="shared" si="74"/>
        <v>0.66666999999999998</v>
      </c>
      <c r="H239" s="666">
        <f t="shared" si="42"/>
        <v>0.66666999999999998</v>
      </c>
      <c r="I239" s="666">
        <f t="shared" si="49"/>
        <v>0.66666999999999998</v>
      </c>
      <c r="J239" s="666">
        <f t="shared" si="76"/>
        <v>0.66666999999999998</v>
      </c>
      <c r="K239" s="666">
        <f t="shared" si="76"/>
        <v>0.66666999999999998</v>
      </c>
      <c r="L239" s="666">
        <f t="shared" si="76"/>
        <v>0.66666999999999998</v>
      </c>
      <c r="M239" s="666">
        <f t="shared" si="76"/>
        <v>0.66666999999999998</v>
      </c>
      <c r="N239" s="666">
        <f t="shared" si="76"/>
        <v>0.66666999999999998</v>
      </c>
      <c r="O239" s="666">
        <f t="shared" si="76"/>
        <v>0.66666999999999998</v>
      </c>
      <c r="P239" s="666">
        <f t="shared" si="76"/>
        <v>0.66666999999999998</v>
      </c>
      <c r="Q239" s="666">
        <f t="shared" si="76"/>
        <v>0.66666999999999998</v>
      </c>
      <c r="R239" s="666">
        <f t="shared" si="76"/>
        <v>0.66666999999999998</v>
      </c>
      <c r="S239" s="666">
        <f t="shared" si="76"/>
        <v>0.66666999999999998</v>
      </c>
      <c r="T239" s="666">
        <f t="shared" si="76"/>
        <v>0.66666999999999998</v>
      </c>
      <c r="U239" s="666">
        <f t="shared" si="76"/>
        <v>0.66666999999999998</v>
      </c>
      <c r="V239" s="666">
        <f t="shared" si="76"/>
        <v>0.66666999999999998</v>
      </c>
      <c r="X239" s="307" t="str">
        <f t="shared" si="75"/>
        <v>JRC-EU-TIMES; data for 2010</v>
      </c>
      <c r="Y239" s="302">
        <v>150</v>
      </c>
      <c r="AA239" s="107"/>
      <c r="AB239" s="108"/>
    </row>
    <row r="240" spans="2:28" x14ac:dyDescent="0.3">
      <c r="B240" s="191" t="s">
        <v>506</v>
      </c>
      <c r="C240" s="191" t="s">
        <v>133</v>
      </c>
      <c r="D240" s="191"/>
      <c r="E240" s="191"/>
      <c r="F240" s="191" t="s">
        <v>639</v>
      </c>
      <c r="G240" s="659">
        <f t="shared" si="74"/>
        <v>0.58823999999999999</v>
      </c>
      <c r="H240" s="666">
        <f t="shared" si="42"/>
        <v>0.58823999999999999</v>
      </c>
      <c r="I240" s="666">
        <f t="shared" si="49"/>
        <v>0.58823999999999999</v>
      </c>
      <c r="J240" s="666">
        <f t="shared" si="76"/>
        <v>0.58823999999999999</v>
      </c>
      <c r="K240" s="666">
        <f t="shared" si="76"/>
        <v>0.58823999999999999</v>
      </c>
      <c r="L240" s="666">
        <f t="shared" si="76"/>
        <v>0.58823999999999999</v>
      </c>
      <c r="M240" s="666">
        <f t="shared" si="76"/>
        <v>0.58823999999999999</v>
      </c>
      <c r="N240" s="666">
        <f t="shared" si="76"/>
        <v>0.58823999999999999</v>
      </c>
      <c r="O240" s="666">
        <f t="shared" si="76"/>
        <v>0.58823999999999999</v>
      </c>
      <c r="P240" s="666">
        <f t="shared" si="76"/>
        <v>0.58823999999999999</v>
      </c>
      <c r="Q240" s="666">
        <f t="shared" si="76"/>
        <v>0.58823999999999999</v>
      </c>
      <c r="R240" s="666">
        <f t="shared" si="76"/>
        <v>0.58823999999999999</v>
      </c>
      <c r="S240" s="666">
        <f t="shared" si="76"/>
        <v>0.58823999999999999</v>
      </c>
      <c r="T240" s="666">
        <f t="shared" si="76"/>
        <v>0.58823999999999999</v>
      </c>
      <c r="U240" s="666">
        <f t="shared" si="76"/>
        <v>0.58823999999999999</v>
      </c>
      <c r="V240" s="666">
        <f t="shared" si="76"/>
        <v>0.58823999999999999</v>
      </c>
      <c r="X240" s="307" t="str">
        <f t="shared" si="75"/>
        <v>JRC-EU-TIMES; data for 2010</v>
      </c>
      <c r="Y240" s="302">
        <v>170</v>
      </c>
      <c r="AA240" s="107"/>
      <c r="AB240" s="108"/>
    </row>
    <row r="241" spans="1:28" x14ac:dyDescent="0.3">
      <c r="B241" s="191" t="s">
        <v>506</v>
      </c>
      <c r="C241" s="191" t="s">
        <v>134</v>
      </c>
      <c r="D241" s="191"/>
      <c r="E241" s="191"/>
      <c r="F241" s="191" t="s">
        <v>636</v>
      </c>
      <c r="G241" s="659">
        <f t="shared" si="74"/>
        <v>0.5988</v>
      </c>
      <c r="H241" s="666">
        <f t="shared" si="42"/>
        <v>0.5988</v>
      </c>
      <c r="I241" s="666">
        <f t="shared" si="49"/>
        <v>0.5988</v>
      </c>
      <c r="J241" s="666">
        <f t="shared" si="49"/>
        <v>0.5988</v>
      </c>
      <c r="K241" s="666">
        <f t="shared" si="49"/>
        <v>0.5988</v>
      </c>
      <c r="L241" s="666">
        <f t="shared" si="49"/>
        <v>0.5988</v>
      </c>
      <c r="M241" s="666">
        <f t="shared" si="49"/>
        <v>0.5988</v>
      </c>
      <c r="N241" s="666">
        <f t="shared" si="49"/>
        <v>0.5988</v>
      </c>
      <c r="O241" s="666">
        <f t="shared" si="49"/>
        <v>0.5988</v>
      </c>
      <c r="P241" s="666">
        <f t="shared" si="49"/>
        <v>0.5988</v>
      </c>
      <c r="Q241" s="666">
        <f t="shared" si="49"/>
        <v>0.5988</v>
      </c>
      <c r="R241" s="666">
        <f t="shared" si="49"/>
        <v>0.5988</v>
      </c>
      <c r="S241" s="666">
        <f t="shared" si="49"/>
        <v>0.5988</v>
      </c>
      <c r="T241" s="666">
        <f t="shared" si="49"/>
        <v>0.5988</v>
      </c>
      <c r="U241" s="666">
        <f t="shared" si="49"/>
        <v>0.5988</v>
      </c>
      <c r="V241" s="666">
        <f t="shared" si="49"/>
        <v>0.5988</v>
      </c>
      <c r="X241" s="307" t="str">
        <f t="shared" si="75"/>
        <v>JRC-EU-TIMES; data for 2010</v>
      </c>
      <c r="Y241" s="302">
        <v>167</v>
      </c>
      <c r="AA241" s="107"/>
      <c r="AB241" s="108"/>
    </row>
    <row r="242" spans="1:28" x14ac:dyDescent="0.3">
      <c r="B242" s="191" t="s">
        <v>506</v>
      </c>
      <c r="C242" s="191" t="s">
        <v>134</v>
      </c>
      <c r="D242" s="191"/>
      <c r="E242" s="191"/>
      <c r="F242" s="191" t="s">
        <v>639</v>
      </c>
      <c r="G242" s="659">
        <f t="shared" si="74"/>
        <v>0.49504999999999999</v>
      </c>
      <c r="H242" s="666">
        <f t="shared" si="42"/>
        <v>0.49504999999999999</v>
      </c>
      <c r="I242" s="666">
        <f t="shared" si="49"/>
        <v>0.49504999999999999</v>
      </c>
      <c r="J242" s="666">
        <f t="shared" si="49"/>
        <v>0.49504999999999999</v>
      </c>
      <c r="K242" s="666">
        <f t="shared" si="49"/>
        <v>0.49504999999999999</v>
      </c>
      <c r="L242" s="666">
        <f t="shared" si="49"/>
        <v>0.49504999999999999</v>
      </c>
      <c r="M242" s="666">
        <f t="shared" si="49"/>
        <v>0.49504999999999999</v>
      </c>
      <c r="N242" s="666">
        <f t="shared" si="49"/>
        <v>0.49504999999999999</v>
      </c>
      <c r="O242" s="666">
        <f t="shared" si="49"/>
        <v>0.49504999999999999</v>
      </c>
      <c r="P242" s="666">
        <f t="shared" si="49"/>
        <v>0.49504999999999999</v>
      </c>
      <c r="Q242" s="666">
        <f t="shared" si="49"/>
        <v>0.49504999999999999</v>
      </c>
      <c r="R242" s="666">
        <f t="shared" si="49"/>
        <v>0.49504999999999999</v>
      </c>
      <c r="S242" s="666">
        <f t="shared" si="49"/>
        <v>0.49504999999999999</v>
      </c>
      <c r="T242" s="666">
        <f t="shared" si="49"/>
        <v>0.49504999999999999</v>
      </c>
      <c r="U242" s="666">
        <f t="shared" si="49"/>
        <v>0.49504999999999999</v>
      </c>
      <c r="V242" s="666">
        <f t="shared" si="49"/>
        <v>0.49504999999999999</v>
      </c>
      <c r="X242" s="307" t="str">
        <f t="shared" si="75"/>
        <v>JRC-EU-TIMES; data for 2010</v>
      </c>
      <c r="Y242" s="302">
        <v>202</v>
      </c>
      <c r="AA242" s="107"/>
      <c r="AB242" s="108"/>
    </row>
    <row r="243" spans="1:28" x14ac:dyDescent="0.3">
      <c r="B243" s="191" t="s">
        <v>506</v>
      </c>
      <c r="C243" s="191" t="s">
        <v>135</v>
      </c>
      <c r="D243" s="191"/>
      <c r="E243" s="191"/>
      <c r="F243" s="191" t="s">
        <v>636</v>
      </c>
      <c r="G243" s="659">
        <f t="shared" si="74"/>
        <v>0.48309000000000002</v>
      </c>
      <c r="H243" s="666">
        <f t="shared" si="42"/>
        <v>0.48309000000000002</v>
      </c>
      <c r="I243" s="666">
        <f t="shared" si="49"/>
        <v>0.48309000000000002</v>
      </c>
      <c r="J243" s="666">
        <f t="shared" si="76"/>
        <v>0.48309000000000002</v>
      </c>
      <c r="K243" s="666">
        <f t="shared" si="76"/>
        <v>0.48309000000000002</v>
      </c>
      <c r="L243" s="666">
        <f t="shared" si="76"/>
        <v>0.48309000000000002</v>
      </c>
      <c r="M243" s="666">
        <f t="shared" si="76"/>
        <v>0.48309000000000002</v>
      </c>
      <c r="N243" s="666">
        <f t="shared" si="76"/>
        <v>0.48309000000000002</v>
      </c>
      <c r="O243" s="666">
        <f t="shared" si="76"/>
        <v>0.48309000000000002</v>
      </c>
      <c r="P243" s="666">
        <f t="shared" si="76"/>
        <v>0.48309000000000002</v>
      </c>
      <c r="Q243" s="666">
        <f t="shared" si="76"/>
        <v>0.48309000000000002</v>
      </c>
      <c r="R243" s="666">
        <f t="shared" si="76"/>
        <v>0.48309000000000002</v>
      </c>
      <c r="S243" s="666">
        <f t="shared" si="76"/>
        <v>0.48309000000000002</v>
      </c>
      <c r="T243" s="666">
        <f t="shared" si="76"/>
        <v>0.48309000000000002</v>
      </c>
      <c r="U243" s="666">
        <f t="shared" si="76"/>
        <v>0.48309000000000002</v>
      </c>
      <c r="V243" s="666">
        <f t="shared" si="76"/>
        <v>0.48309000000000002</v>
      </c>
      <c r="X243" s="307" t="str">
        <f t="shared" si="75"/>
        <v>Assumed same as GSL</v>
      </c>
      <c r="Y243" s="302">
        <v>207</v>
      </c>
      <c r="AA243" s="107" t="s">
        <v>699</v>
      </c>
      <c r="AB243" s="108">
        <v>193</v>
      </c>
    </row>
    <row r="244" spans="1:28" x14ac:dyDescent="0.3">
      <c r="B244" s="191" t="s">
        <v>506</v>
      </c>
      <c r="C244" s="191" t="s">
        <v>135</v>
      </c>
      <c r="D244" s="191"/>
      <c r="E244" s="191"/>
      <c r="F244" s="191" t="s">
        <v>639</v>
      </c>
      <c r="G244" s="659">
        <f t="shared" si="74"/>
        <v>0.39840999999999999</v>
      </c>
      <c r="H244" s="666">
        <f t="shared" si="42"/>
        <v>0.39840999999999999</v>
      </c>
      <c r="I244" s="666">
        <f t="shared" si="49"/>
        <v>0.39840999999999999</v>
      </c>
      <c r="J244" s="666">
        <f t="shared" si="76"/>
        <v>0.39840999999999999</v>
      </c>
      <c r="K244" s="666">
        <f t="shared" si="76"/>
        <v>0.39840999999999999</v>
      </c>
      <c r="L244" s="666">
        <f t="shared" si="76"/>
        <v>0.39840999999999999</v>
      </c>
      <c r="M244" s="666">
        <f t="shared" si="76"/>
        <v>0.39840999999999999</v>
      </c>
      <c r="N244" s="666">
        <f t="shared" si="76"/>
        <v>0.39840999999999999</v>
      </c>
      <c r="O244" s="666">
        <f t="shared" si="76"/>
        <v>0.39840999999999999</v>
      </c>
      <c r="P244" s="666">
        <f t="shared" si="76"/>
        <v>0.39840999999999999</v>
      </c>
      <c r="Q244" s="666">
        <f t="shared" si="76"/>
        <v>0.39840999999999999</v>
      </c>
      <c r="R244" s="666">
        <f t="shared" si="76"/>
        <v>0.39840999999999999</v>
      </c>
      <c r="S244" s="666">
        <f t="shared" si="76"/>
        <v>0.39840999999999999</v>
      </c>
      <c r="T244" s="666">
        <f t="shared" si="76"/>
        <v>0.39840999999999999</v>
      </c>
      <c r="U244" s="666">
        <f t="shared" si="76"/>
        <v>0.39840999999999999</v>
      </c>
      <c r="V244" s="666">
        <f t="shared" si="76"/>
        <v>0.39840999999999999</v>
      </c>
      <c r="X244" s="307" t="str">
        <f t="shared" si="75"/>
        <v>Assumed same as GSL</v>
      </c>
      <c r="Y244" s="302">
        <v>251</v>
      </c>
      <c r="AA244" s="107" t="s">
        <v>699</v>
      </c>
      <c r="AB244" s="108">
        <v>235</v>
      </c>
    </row>
    <row r="245" spans="1:28" x14ac:dyDescent="0.3">
      <c r="B245" s="191" t="s">
        <v>506</v>
      </c>
      <c r="C245" s="191" t="s">
        <v>136</v>
      </c>
      <c r="D245" s="191"/>
      <c r="E245" s="191"/>
      <c r="F245" s="191" t="s">
        <v>636</v>
      </c>
      <c r="G245" s="659">
        <f t="shared" si="74"/>
        <v>0.85470000000000002</v>
      </c>
      <c r="H245" s="666">
        <f t="shared" si="42"/>
        <v>0.85470000000000002</v>
      </c>
      <c r="I245" s="666">
        <f t="shared" si="49"/>
        <v>0.85470000000000002</v>
      </c>
      <c r="J245" s="666">
        <f t="shared" si="49"/>
        <v>0.85470000000000002</v>
      </c>
      <c r="K245" s="666">
        <f t="shared" si="49"/>
        <v>0.85470000000000002</v>
      </c>
      <c r="L245" s="666">
        <f t="shared" si="49"/>
        <v>0.85470000000000002</v>
      </c>
      <c r="M245" s="666">
        <f t="shared" si="49"/>
        <v>0.85470000000000002</v>
      </c>
      <c r="N245" s="666">
        <f t="shared" si="49"/>
        <v>0.85470000000000002</v>
      </c>
      <c r="O245" s="666">
        <f t="shared" si="49"/>
        <v>0.85470000000000002</v>
      </c>
      <c r="P245" s="666">
        <f t="shared" si="49"/>
        <v>0.85470000000000002</v>
      </c>
      <c r="Q245" s="666">
        <f t="shared" si="49"/>
        <v>0.85470000000000002</v>
      </c>
      <c r="R245" s="666">
        <f t="shared" si="49"/>
        <v>0.85470000000000002</v>
      </c>
      <c r="S245" s="666">
        <f t="shared" si="49"/>
        <v>0.85470000000000002</v>
      </c>
      <c r="T245" s="666">
        <f t="shared" si="49"/>
        <v>0.85470000000000002</v>
      </c>
      <c r="U245" s="666">
        <f t="shared" si="49"/>
        <v>0.85470000000000002</v>
      </c>
      <c r="V245" s="666">
        <f t="shared" si="49"/>
        <v>0.85470000000000002</v>
      </c>
      <c r="X245" s="307" t="str">
        <f t="shared" si="75"/>
        <v>JRC-EU-TIMES; data for 2010</v>
      </c>
      <c r="Y245" s="302">
        <v>117</v>
      </c>
      <c r="AA245" s="107"/>
      <c r="AB245" s="108"/>
    </row>
    <row r="246" spans="1:28" x14ac:dyDescent="0.3">
      <c r="B246" s="191" t="s">
        <v>506</v>
      </c>
      <c r="C246" s="191" t="s">
        <v>136</v>
      </c>
      <c r="D246" s="191"/>
      <c r="E246" s="191"/>
      <c r="F246" s="191" t="s">
        <v>639</v>
      </c>
      <c r="G246" s="659">
        <f t="shared" si="74"/>
        <v>1.0989</v>
      </c>
      <c r="H246" s="666">
        <f t="shared" si="42"/>
        <v>1.0989</v>
      </c>
      <c r="I246" s="666">
        <f t="shared" si="49"/>
        <v>1.0989</v>
      </c>
      <c r="J246" s="666">
        <f t="shared" si="49"/>
        <v>1.0989</v>
      </c>
      <c r="K246" s="666">
        <f t="shared" si="49"/>
        <v>1.0989</v>
      </c>
      <c r="L246" s="666">
        <f t="shared" si="49"/>
        <v>1.0989</v>
      </c>
      <c r="M246" s="666">
        <f t="shared" si="49"/>
        <v>1.0989</v>
      </c>
      <c r="N246" s="666">
        <f t="shared" si="49"/>
        <v>1.0989</v>
      </c>
      <c r="O246" s="666">
        <f t="shared" si="49"/>
        <v>1.0989</v>
      </c>
      <c r="P246" s="666">
        <f t="shared" si="49"/>
        <v>1.0989</v>
      </c>
      <c r="Q246" s="666">
        <f t="shared" si="49"/>
        <v>1.0989</v>
      </c>
      <c r="R246" s="666">
        <f t="shared" si="49"/>
        <v>1.0989</v>
      </c>
      <c r="S246" s="666">
        <f t="shared" si="49"/>
        <v>1.0989</v>
      </c>
      <c r="T246" s="666">
        <f t="shared" si="49"/>
        <v>1.0989</v>
      </c>
      <c r="U246" s="666">
        <f t="shared" si="49"/>
        <v>1.0989</v>
      </c>
      <c r="V246" s="666">
        <f t="shared" si="49"/>
        <v>1.0989</v>
      </c>
      <c r="X246" s="307" t="str">
        <f t="shared" si="75"/>
        <v>JRC-EU-TIMES; data for 2010</v>
      </c>
      <c r="Y246" s="302">
        <v>91</v>
      </c>
      <c r="AA246" s="107"/>
      <c r="AB246" s="108"/>
    </row>
    <row r="247" spans="1:28" x14ac:dyDescent="0.3">
      <c r="B247" s="191" t="s">
        <v>506</v>
      </c>
      <c r="C247" s="191" t="s">
        <v>137</v>
      </c>
      <c r="D247" s="191"/>
      <c r="E247" s="191"/>
      <c r="F247" s="191" t="s">
        <v>636</v>
      </c>
      <c r="G247" s="659">
        <f t="shared" si="74"/>
        <v>0.90908999999999995</v>
      </c>
      <c r="H247" s="666">
        <f t="shared" si="42"/>
        <v>0.90908999999999995</v>
      </c>
      <c r="I247" s="666">
        <f t="shared" si="49"/>
        <v>0.90908999999999995</v>
      </c>
      <c r="J247" s="666">
        <f t="shared" si="49"/>
        <v>0.90908999999999995</v>
      </c>
      <c r="K247" s="666">
        <f t="shared" si="49"/>
        <v>0.90908999999999995</v>
      </c>
      <c r="L247" s="666">
        <f t="shared" si="49"/>
        <v>0.90908999999999995</v>
      </c>
      <c r="M247" s="666">
        <f t="shared" si="49"/>
        <v>0.90908999999999995</v>
      </c>
      <c r="N247" s="666">
        <f t="shared" si="49"/>
        <v>0.90908999999999995</v>
      </c>
      <c r="O247" s="666">
        <f t="shared" si="49"/>
        <v>0.90908999999999995</v>
      </c>
      <c r="P247" s="666">
        <f t="shared" si="49"/>
        <v>0.90908999999999995</v>
      </c>
      <c r="Q247" s="666">
        <f t="shared" si="49"/>
        <v>0.90908999999999995</v>
      </c>
      <c r="R247" s="666">
        <f t="shared" si="49"/>
        <v>0.90908999999999995</v>
      </c>
      <c r="S247" s="666">
        <f t="shared" si="49"/>
        <v>0.90908999999999995</v>
      </c>
      <c r="T247" s="666">
        <f t="shared" si="49"/>
        <v>0.90908999999999995</v>
      </c>
      <c r="U247" s="666">
        <f t="shared" si="49"/>
        <v>0.90908999999999995</v>
      </c>
      <c r="V247" s="666">
        <f t="shared" si="49"/>
        <v>0.90908999999999995</v>
      </c>
      <c r="X247" s="307" t="str">
        <f t="shared" si="75"/>
        <v>JRC-EU-TIMES; data for 2010</v>
      </c>
      <c r="Y247" s="302">
        <v>110</v>
      </c>
      <c r="AA247" s="107"/>
      <c r="AB247" s="108"/>
    </row>
    <row r="248" spans="1:28" x14ac:dyDescent="0.3">
      <c r="B248" s="545" t="s">
        <v>506</v>
      </c>
      <c r="C248" s="545" t="s">
        <v>137</v>
      </c>
      <c r="D248" s="545"/>
      <c r="E248" s="545"/>
      <c r="F248" s="545" t="s">
        <v>639</v>
      </c>
      <c r="G248" s="668">
        <f t="shared" si="74"/>
        <v>1.0309299999999999</v>
      </c>
      <c r="H248" s="667">
        <f t="shared" si="42"/>
        <v>1.0309299999999999</v>
      </c>
      <c r="I248" s="661">
        <f t="shared" si="49"/>
        <v>1.0309299999999999</v>
      </c>
      <c r="J248" s="661">
        <f t="shared" si="49"/>
        <v>1.0309299999999999</v>
      </c>
      <c r="K248" s="661">
        <f t="shared" si="49"/>
        <v>1.0309299999999999</v>
      </c>
      <c r="L248" s="661">
        <f t="shared" si="49"/>
        <v>1.0309299999999999</v>
      </c>
      <c r="M248" s="661">
        <f t="shared" si="49"/>
        <v>1.0309299999999999</v>
      </c>
      <c r="N248" s="661">
        <f t="shared" si="49"/>
        <v>1.0309299999999999</v>
      </c>
      <c r="O248" s="661">
        <f t="shared" si="49"/>
        <v>1.0309299999999999</v>
      </c>
      <c r="P248" s="661">
        <f t="shared" si="49"/>
        <v>1.0309299999999999</v>
      </c>
      <c r="Q248" s="661">
        <f t="shared" si="49"/>
        <v>1.0309299999999999</v>
      </c>
      <c r="R248" s="661">
        <f t="shared" si="49"/>
        <v>1.0309299999999999</v>
      </c>
      <c r="S248" s="661">
        <f t="shared" si="49"/>
        <v>1.0309299999999999</v>
      </c>
      <c r="T248" s="661">
        <f t="shared" si="49"/>
        <v>1.0309299999999999</v>
      </c>
      <c r="U248" s="661">
        <f t="shared" si="49"/>
        <v>1.0309299999999999</v>
      </c>
      <c r="V248" s="661">
        <f t="shared" si="49"/>
        <v>1.0309299999999999</v>
      </c>
      <c r="X248" s="546" t="str">
        <f t="shared" si="75"/>
        <v>JRC-EU-TIMES; data for 2010</v>
      </c>
      <c r="Y248" s="547">
        <v>97</v>
      </c>
      <c r="AA248" s="107"/>
      <c r="AB248" s="108"/>
    </row>
    <row r="249" spans="1:28" x14ac:dyDescent="0.3">
      <c r="B249" s="191" t="s">
        <v>506</v>
      </c>
      <c r="C249" s="191" t="s">
        <v>139</v>
      </c>
      <c r="D249" s="191"/>
      <c r="E249" s="191"/>
      <c r="F249" s="191" t="s">
        <v>642</v>
      </c>
      <c r="G249" s="659">
        <f t="shared" si="74"/>
        <v>0.10185</v>
      </c>
      <c r="H249" s="666">
        <f t="shared" si="42"/>
        <v>0.10185</v>
      </c>
      <c r="I249" s="666">
        <f t="shared" si="49"/>
        <v>0.10185</v>
      </c>
      <c r="J249" s="666">
        <f t="shared" si="49"/>
        <v>0.10185</v>
      </c>
      <c r="K249" s="666">
        <f t="shared" si="49"/>
        <v>0.10185</v>
      </c>
      <c r="L249" s="666">
        <f t="shared" si="49"/>
        <v>0.10185</v>
      </c>
      <c r="M249" s="666">
        <f t="shared" si="49"/>
        <v>0.10185</v>
      </c>
      <c r="N249" s="666">
        <f t="shared" si="49"/>
        <v>0.10185</v>
      </c>
      <c r="O249" s="666">
        <f t="shared" si="49"/>
        <v>0.10185</v>
      </c>
      <c r="P249" s="666">
        <f t="shared" si="49"/>
        <v>0.10185</v>
      </c>
      <c r="Q249" s="666">
        <f t="shared" si="49"/>
        <v>0.10185</v>
      </c>
      <c r="R249" s="666">
        <f t="shared" si="49"/>
        <v>0.10185</v>
      </c>
      <c r="S249" s="666">
        <f t="shared" si="49"/>
        <v>0.10185</v>
      </c>
      <c r="T249" s="666">
        <f t="shared" si="49"/>
        <v>0.10185</v>
      </c>
      <c r="U249" s="666">
        <f t="shared" si="49"/>
        <v>0.10185</v>
      </c>
      <c r="V249" s="666">
        <f t="shared" si="49"/>
        <v>0.10185</v>
      </c>
      <c r="X249" s="307" t="str">
        <f t="shared" si="75"/>
        <v>10% lower than TFR</v>
      </c>
      <c r="Y249" s="359">
        <f>Y251</f>
        <v>981.81818181818176</v>
      </c>
      <c r="AA249" s="107"/>
      <c r="AB249" s="108"/>
    </row>
    <row r="250" spans="1:28" x14ac:dyDescent="0.3">
      <c r="B250" s="191" t="s">
        <v>506</v>
      </c>
      <c r="C250" s="191" t="s">
        <v>139</v>
      </c>
      <c r="D250" s="191"/>
      <c r="E250" s="191"/>
      <c r="F250" s="191" t="s">
        <v>645</v>
      </c>
      <c r="G250" s="659">
        <f t="shared" si="74"/>
        <v>8.1479999999999997E-2</v>
      </c>
      <c r="H250" s="666">
        <f t="shared" si="42"/>
        <v>8.1479999999999997E-2</v>
      </c>
      <c r="I250" s="666">
        <f t="shared" si="49"/>
        <v>8.1479999999999997E-2</v>
      </c>
      <c r="J250" s="666">
        <f t="shared" si="49"/>
        <v>8.1479999999999997E-2</v>
      </c>
      <c r="K250" s="666">
        <f t="shared" si="49"/>
        <v>8.1479999999999997E-2</v>
      </c>
      <c r="L250" s="666">
        <f t="shared" si="49"/>
        <v>8.1479999999999997E-2</v>
      </c>
      <c r="M250" s="666">
        <f t="shared" si="49"/>
        <v>8.1479999999999997E-2</v>
      </c>
      <c r="N250" s="666">
        <f t="shared" si="49"/>
        <v>8.1479999999999997E-2</v>
      </c>
      <c r="O250" s="666">
        <f t="shared" si="49"/>
        <v>8.1479999999999997E-2</v>
      </c>
      <c r="P250" s="666">
        <f t="shared" si="49"/>
        <v>8.1479999999999997E-2</v>
      </c>
      <c r="Q250" s="666">
        <f t="shared" si="49"/>
        <v>8.1479999999999997E-2</v>
      </c>
      <c r="R250" s="666">
        <f t="shared" si="49"/>
        <v>8.1479999999999997E-2</v>
      </c>
      <c r="S250" s="666">
        <f t="shared" si="49"/>
        <v>8.1479999999999997E-2</v>
      </c>
      <c r="T250" s="666">
        <f t="shared" si="49"/>
        <v>8.1479999999999997E-2</v>
      </c>
      <c r="U250" s="666">
        <f t="shared" si="49"/>
        <v>8.1479999999999997E-2</v>
      </c>
      <c r="V250" s="666">
        <f t="shared" si="49"/>
        <v>8.1479999999999997E-2</v>
      </c>
      <c r="X250" s="307" t="str">
        <f t="shared" si="75"/>
        <v>10% lower than TFR</v>
      </c>
      <c r="Y250" s="359">
        <f>Y252</f>
        <v>1227.2727272727273</v>
      </c>
      <c r="AA250" s="107"/>
      <c r="AB250" s="108"/>
    </row>
    <row r="251" spans="1:28" s="358" customFormat="1" x14ac:dyDescent="0.3">
      <c r="A251" s="361"/>
      <c r="B251" s="191" t="s">
        <v>506</v>
      </c>
      <c r="C251" s="191" t="s">
        <v>140</v>
      </c>
      <c r="D251" s="191"/>
      <c r="E251" s="191"/>
      <c r="F251" s="191" t="s">
        <v>642</v>
      </c>
      <c r="G251" s="659">
        <f t="shared" si="74"/>
        <v>0.10185</v>
      </c>
      <c r="H251" s="666">
        <f t="shared" si="42"/>
        <v>0.10185</v>
      </c>
      <c r="I251" s="666">
        <f t="shared" ref="I251:V268" si="77">$H251</f>
        <v>0.10185</v>
      </c>
      <c r="J251" s="666">
        <f t="shared" si="77"/>
        <v>0.10185</v>
      </c>
      <c r="K251" s="666">
        <f t="shared" si="77"/>
        <v>0.10185</v>
      </c>
      <c r="L251" s="666">
        <f t="shared" si="77"/>
        <v>0.10185</v>
      </c>
      <c r="M251" s="666">
        <f t="shared" si="77"/>
        <v>0.10185</v>
      </c>
      <c r="N251" s="666">
        <f t="shared" si="77"/>
        <v>0.10185</v>
      </c>
      <c r="O251" s="666">
        <f t="shared" si="77"/>
        <v>0.10185</v>
      </c>
      <c r="P251" s="666">
        <f t="shared" si="77"/>
        <v>0.10185</v>
      </c>
      <c r="Q251" s="666">
        <f t="shared" si="77"/>
        <v>0.10185</v>
      </c>
      <c r="R251" s="666">
        <f t="shared" si="77"/>
        <v>0.10185</v>
      </c>
      <c r="S251" s="666">
        <f t="shared" si="77"/>
        <v>0.10185</v>
      </c>
      <c r="T251" s="666">
        <f t="shared" si="77"/>
        <v>0.10185</v>
      </c>
      <c r="U251" s="666">
        <f t="shared" si="77"/>
        <v>0.10185</v>
      </c>
      <c r="V251" s="666">
        <f t="shared" si="77"/>
        <v>0.10185</v>
      </c>
      <c r="X251" s="307" t="str">
        <f t="shared" si="75"/>
        <v>10% lower than TFR</v>
      </c>
      <c r="Y251" s="359">
        <f>Y273/1.1</f>
        <v>981.81818181818176</v>
      </c>
    </row>
    <row r="252" spans="1:28" s="358" customFormat="1" x14ac:dyDescent="0.3">
      <c r="A252" s="361"/>
      <c r="B252" s="191" t="s">
        <v>506</v>
      </c>
      <c r="C252" s="191" t="s">
        <v>140</v>
      </c>
      <c r="D252" s="191"/>
      <c r="E252" s="191"/>
      <c r="F252" s="191" t="s">
        <v>645</v>
      </c>
      <c r="G252" s="659">
        <f t="shared" si="74"/>
        <v>8.1479999999999997E-2</v>
      </c>
      <c r="H252" s="666">
        <f t="shared" si="42"/>
        <v>8.1479999999999997E-2</v>
      </c>
      <c r="I252" s="666">
        <f t="shared" si="77"/>
        <v>8.1479999999999997E-2</v>
      </c>
      <c r="J252" s="666">
        <f t="shared" si="77"/>
        <v>8.1479999999999997E-2</v>
      </c>
      <c r="K252" s="666">
        <f t="shared" si="77"/>
        <v>8.1479999999999997E-2</v>
      </c>
      <c r="L252" s="666">
        <f t="shared" si="77"/>
        <v>8.1479999999999997E-2</v>
      </c>
      <c r="M252" s="666">
        <f t="shared" si="77"/>
        <v>8.1479999999999997E-2</v>
      </c>
      <c r="N252" s="666">
        <f t="shared" si="77"/>
        <v>8.1479999999999997E-2</v>
      </c>
      <c r="O252" s="666">
        <f t="shared" si="77"/>
        <v>8.1479999999999997E-2</v>
      </c>
      <c r="P252" s="666">
        <f t="shared" si="77"/>
        <v>8.1479999999999997E-2</v>
      </c>
      <c r="Q252" s="666">
        <f t="shared" si="77"/>
        <v>8.1479999999999997E-2</v>
      </c>
      <c r="R252" s="666">
        <f t="shared" si="77"/>
        <v>8.1479999999999997E-2</v>
      </c>
      <c r="S252" s="666">
        <f t="shared" si="77"/>
        <v>8.1479999999999997E-2</v>
      </c>
      <c r="T252" s="666">
        <f t="shared" si="77"/>
        <v>8.1479999999999997E-2</v>
      </c>
      <c r="U252" s="666">
        <f t="shared" si="77"/>
        <v>8.1479999999999997E-2</v>
      </c>
      <c r="V252" s="666">
        <f t="shared" si="77"/>
        <v>8.1479999999999997E-2</v>
      </c>
      <c r="X252" s="307" t="str">
        <f t="shared" si="75"/>
        <v>10% lower than TFR</v>
      </c>
      <c r="Y252" s="359">
        <f>Y274/1.1</f>
        <v>1227.2727272727273</v>
      </c>
    </row>
    <row r="253" spans="1:28" s="358" customFormat="1" x14ac:dyDescent="0.3">
      <c r="A253" s="361"/>
      <c r="B253" s="191" t="s">
        <v>506</v>
      </c>
      <c r="C253" s="191" t="s">
        <v>141</v>
      </c>
      <c r="D253" s="191"/>
      <c r="E253" s="191"/>
      <c r="F253" s="191" t="s">
        <v>642</v>
      </c>
      <c r="G253" s="659">
        <f t="shared" si="74"/>
        <v>2.5773199999999998</v>
      </c>
      <c r="H253" s="666">
        <f t="shared" si="42"/>
        <v>2.5773199999999998</v>
      </c>
      <c r="I253" s="666">
        <f t="shared" si="77"/>
        <v>2.5773199999999998</v>
      </c>
      <c r="J253" s="666">
        <f t="shared" si="77"/>
        <v>2.5773199999999998</v>
      </c>
      <c r="K253" s="666">
        <f t="shared" si="77"/>
        <v>2.5773199999999998</v>
      </c>
      <c r="L253" s="666">
        <f t="shared" si="77"/>
        <v>2.5773199999999998</v>
      </c>
      <c r="M253" s="666">
        <f t="shared" si="77"/>
        <v>2.5773199999999998</v>
      </c>
      <c r="N253" s="666">
        <f t="shared" si="77"/>
        <v>2.5773199999999998</v>
      </c>
      <c r="O253" s="666">
        <f t="shared" si="77"/>
        <v>2.5773199999999998</v>
      </c>
      <c r="P253" s="666">
        <f t="shared" si="77"/>
        <v>2.5773199999999998</v>
      </c>
      <c r="Q253" s="666">
        <f t="shared" si="77"/>
        <v>2.5773199999999998</v>
      </c>
      <c r="R253" s="666">
        <f t="shared" si="77"/>
        <v>2.5773199999999998</v>
      </c>
      <c r="S253" s="666">
        <f t="shared" si="77"/>
        <v>2.5773199999999998</v>
      </c>
      <c r="T253" s="666">
        <f t="shared" si="77"/>
        <v>2.5773199999999998</v>
      </c>
      <c r="U253" s="666">
        <f t="shared" si="77"/>
        <v>2.5773199999999998</v>
      </c>
      <c r="V253" s="666">
        <f t="shared" si="77"/>
        <v>2.5773199999999998</v>
      </c>
      <c r="X253" s="307" t="str">
        <f t="shared" si="75"/>
        <v>n.a.???</v>
      </c>
      <c r="Y253" s="359">
        <f>Y179/2.5</f>
        <v>38.799999999999997</v>
      </c>
    </row>
    <row r="254" spans="1:28" s="358" customFormat="1" x14ac:dyDescent="0.3">
      <c r="A254" s="361"/>
      <c r="B254" s="191" t="s">
        <v>506</v>
      </c>
      <c r="C254" s="191" t="s">
        <v>141</v>
      </c>
      <c r="D254" s="191"/>
      <c r="E254" s="191"/>
      <c r="F254" s="191" t="s">
        <v>645</v>
      </c>
      <c r="G254" s="659">
        <f t="shared" si="74"/>
        <v>0.22</v>
      </c>
      <c r="H254" s="666">
        <f t="shared" si="42"/>
        <v>0.22</v>
      </c>
      <c r="I254" s="666">
        <f t="shared" si="77"/>
        <v>0.22</v>
      </c>
      <c r="J254" s="666">
        <f t="shared" si="77"/>
        <v>0.22</v>
      </c>
      <c r="K254" s="666">
        <f t="shared" si="77"/>
        <v>0.22</v>
      </c>
      <c r="L254" s="666">
        <f t="shared" si="77"/>
        <v>0.22</v>
      </c>
      <c r="M254" s="666">
        <f t="shared" si="77"/>
        <v>0.22</v>
      </c>
      <c r="N254" s="666">
        <f t="shared" si="77"/>
        <v>0.22</v>
      </c>
      <c r="O254" s="666">
        <f t="shared" si="77"/>
        <v>0.22</v>
      </c>
      <c r="P254" s="666">
        <f t="shared" si="77"/>
        <v>0.22</v>
      </c>
      <c r="Q254" s="666">
        <f t="shared" si="77"/>
        <v>0.22</v>
      </c>
      <c r="R254" s="666">
        <f t="shared" si="77"/>
        <v>0.22</v>
      </c>
      <c r="S254" s="666">
        <f t="shared" si="77"/>
        <v>0.22</v>
      </c>
      <c r="T254" s="666">
        <f t="shared" si="77"/>
        <v>0.22</v>
      </c>
      <c r="U254" s="666">
        <f t="shared" si="77"/>
        <v>0.22</v>
      </c>
      <c r="V254" s="666">
        <f t="shared" si="77"/>
        <v>0.22</v>
      </c>
      <c r="X254" s="307" t="str">
        <f t="shared" si="75"/>
        <v>Assumed equal to ELC BUS</v>
      </c>
      <c r="Y254" s="359">
        <f>Y180/2.5</f>
        <v>454.5454545454545</v>
      </c>
    </row>
    <row r="255" spans="1:28" s="358" customFormat="1" x14ac:dyDescent="0.3">
      <c r="A255" s="361"/>
      <c r="B255" s="191" t="s">
        <v>506</v>
      </c>
      <c r="C255" s="191" t="s">
        <v>142</v>
      </c>
      <c r="D255" s="191"/>
      <c r="E255" s="191"/>
      <c r="F255" s="191" t="s">
        <v>642</v>
      </c>
      <c r="G255" s="659">
        <f t="shared" si="74"/>
        <v>9.2439999999999994E-2</v>
      </c>
      <c r="H255" s="666">
        <f t="shared" si="42"/>
        <v>9.2439999999999994E-2</v>
      </c>
      <c r="I255" s="666">
        <f t="shared" si="77"/>
        <v>9.2439999999999994E-2</v>
      </c>
      <c r="J255" s="666">
        <f t="shared" si="77"/>
        <v>9.2439999999999994E-2</v>
      </c>
      <c r="K255" s="666">
        <f t="shared" si="77"/>
        <v>9.2439999999999994E-2</v>
      </c>
      <c r="L255" s="666">
        <f t="shared" si="77"/>
        <v>9.2439999999999994E-2</v>
      </c>
      <c r="M255" s="666">
        <f t="shared" si="77"/>
        <v>9.2439999999999994E-2</v>
      </c>
      <c r="N255" s="666">
        <f t="shared" si="77"/>
        <v>9.2439999999999994E-2</v>
      </c>
      <c r="O255" s="666">
        <f t="shared" si="77"/>
        <v>9.2439999999999994E-2</v>
      </c>
      <c r="P255" s="666">
        <f t="shared" si="77"/>
        <v>9.2439999999999994E-2</v>
      </c>
      <c r="Q255" s="666">
        <f t="shared" si="77"/>
        <v>9.2439999999999994E-2</v>
      </c>
      <c r="R255" s="666">
        <f t="shared" si="77"/>
        <v>9.2439999999999994E-2</v>
      </c>
      <c r="S255" s="666">
        <f t="shared" si="77"/>
        <v>9.2439999999999994E-2</v>
      </c>
      <c r="T255" s="666">
        <f t="shared" si="77"/>
        <v>9.2439999999999994E-2</v>
      </c>
      <c r="U255" s="666">
        <f t="shared" si="77"/>
        <v>9.2439999999999994E-2</v>
      </c>
      <c r="V255" s="666">
        <f t="shared" si="77"/>
        <v>9.2439999999999994E-2</v>
      </c>
      <c r="X255" s="307" t="str">
        <f t="shared" si="75"/>
        <v>10% lower than TFR</v>
      </c>
      <c r="Y255" s="359">
        <f t="shared" ref="Y255:Y266" si="78">Y277/1.1</f>
        <v>1081.8181818181818</v>
      </c>
    </row>
    <row r="256" spans="1:28" s="358" customFormat="1" x14ac:dyDescent="0.3">
      <c r="A256" s="361"/>
      <c r="B256" s="191" t="s">
        <v>506</v>
      </c>
      <c r="C256" s="191" t="s">
        <v>142</v>
      </c>
      <c r="D256" s="191"/>
      <c r="E256" s="191"/>
      <c r="F256" s="191" t="s">
        <v>645</v>
      </c>
      <c r="G256" s="659">
        <f t="shared" si="74"/>
        <v>7.3950000000000002E-2</v>
      </c>
      <c r="H256" s="666">
        <f t="shared" si="42"/>
        <v>7.3950000000000002E-2</v>
      </c>
      <c r="I256" s="666">
        <f t="shared" si="77"/>
        <v>7.3950000000000002E-2</v>
      </c>
      <c r="J256" s="666">
        <f t="shared" si="77"/>
        <v>7.3950000000000002E-2</v>
      </c>
      <c r="K256" s="666">
        <f t="shared" si="77"/>
        <v>7.3950000000000002E-2</v>
      </c>
      <c r="L256" s="666">
        <f t="shared" si="77"/>
        <v>7.3950000000000002E-2</v>
      </c>
      <c r="M256" s="666">
        <f t="shared" si="77"/>
        <v>7.3950000000000002E-2</v>
      </c>
      <c r="N256" s="666">
        <f t="shared" si="77"/>
        <v>7.3950000000000002E-2</v>
      </c>
      <c r="O256" s="666">
        <f t="shared" si="77"/>
        <v>7.3950000000000002E-2</v>
      </c>
      <c r="P256" s="666">
        <f t="shared" si="77"/>
        <v>7.3950000000000002E-2</v>
      </c>
      <c r="Q256" s="666">
        <f t="shared" si="77"/>
        <v>7.3950000000000002E-2</v>
      </c>
      <c r="R256" s="666">
        <f t="shared" si="77"/>
        <v>7.3950000000000002E-2</v>
      </c>
      <c r="S256" s="666">
        <f t="shared" si="77"/>
        <v>7.3950000000000002E-2</v>
      </c>
      <c r="T256" s="666">
        <f t="shared" si="77"/>
        <v>7.3950000000000002E-2</v>
      </c>
      <c r="U256" s="666">
        <f t="shared" si="77"/>
        <v>7.3950000000000002E-2</v>
      </c>
      <c r="V256" s="666">
        <f t="shared" si="77"/>
        <v>7.3950000000000002E-2</v>
      </c>
      <c r="X256" s="307" t="str">
        <f t="shared" si="75"/>
        <v>10% lower than TFR</v>
      </c>
      <c r="Y256" s="359">
        <f t="shared" si="78"/>
        <v>1352.2727272727273</v>
      </c>
    </row>
    <row r="257" spans="1:25" s="358" customFormat="1" x14ac:dyDescent="0.3">
      <c r="A257" s="361"/>
      <c r="B257" s="191" t="s">
        <v>506</v>
      </c>
      <c r="C257" s="191" t="s">
        <v>143</v>
      </c>
      <c r="D257" s="191"/>
      <c r="E257" s="191"/>
      <c r="F257" s="191" t="s">
        <v>642</v>
      </c>
      <c r="G257" s="659">
        <f t="shared" si="74"/>
        <v>8.4620000000000001E-2</v>
      </c>
      <c r="H257" s="666">
        <f t="shared" si="42"/>
        <v>8.4620000000000001E-2</v>
      </c>
      <c r="I257" s="666">
        <f t="shared" si="77"/>
        <v>8.4620000000000001E-2</v>
      </c>
      <c r="J257" s="666">
        <f t="shared" si="77"/>
        <v>8.4620000000000001E-2</v>
      </c>
      <c r="K257" s="666">
        <f t="shared" si="77"/>
        <v>8.4620000000000001E-2</v>
      </c>
      <c r="L257" s="666">
        <f t="shared" si="77"/>
        <v>8.4620000000000001E-2</v>
      </c>
      <c r="M257" s="666">
        <f t="shared" si="77"/>
        <v>8.4620000000000001E-2</v>
      </c>
      <c r="N257" s="666">
        <f t="shared" si="77"/>
        <v>8.4620000000000001E-2</v>
      </c>
      <c r="O257" s="666">
        <f t="shared" si="77"/>
        <v>8.4620000000000001E-2</v>
      </c>
      <c r="P257" s="666">
        <f t="shared" si="77"/>
        <v>8.4620000000000001E-2</v>
      </c>
      <c r="Q257" s="666">
        <f t="shared" si="77"/>
        <v>8.4620000000000001E-2</v>
      </c>
      <c r="R257" s="666">
        <f t="shared" si="77"/>
        <v>8.4620000000000001E-2</v>
      </c>
      <c r="S257" s="666">
        <f t="shared" si="77"/>
        <v>8.4620000000000001E-2</v>
      </c>
      <c r="T257" s="666">
        <f t="shared" si="77"/>
        <v>8.4620000000000001E-2</v>
      </c>
      <c r="U257" s="666">
        <f t="shared" si="77"/>
        <v>8.4620000000000001E-2</v>
      </c>
      <c r="V257" s="666">
        <f t="shared" si="77"/>
        <v>8.4620000000000001E-2</v>
      </c>
      <c r="X257" s="307" t="str">
        <f t="shared" si="75"/>
        <v>10% lower than TFR</v>
      </c>
      <c r="Y257" s="359">
        <f t="shared" si="78"/>
        <v>1181.8181818181818</v>
      </c>
    </row>
    <row r="258" spans="1:25" s="358" customFormat="1" x14ac:dyDescent="0.3">
      <c r="A258" s="361"/>
      <c r="B258" s="191" t="s">
        <v>506</v>
      </c>
      <c r="C258" s="191" t="s">
        <v>143</v>
      </c>
      <c r="D258" s="191"/>
      <c r="E258" s="191"/>
      <c r="F258" s="191" t="s">
        <v>645</v>
      </c>
      <c r="G258" s="659">
        <f t="shared" si="74"/>
        <v>6.769E-2</v>
      </c>
      <c r="H258" s="666">
        <f t="shared" si="42"/>
        <v>6.769E-2</v>
      </c>
      <c r="I258" s="666">
        <f t="shared" si="77"/>
        <v>6.769E-2</v>
      </c>
      <c r="J258" s="666">
        <f t="shared" si="77"/>
        <v>6.769E-2</v>
      </c>
      <c r="K258" s="666">
        <f t="shared" si="77"/>
        <v>6.769E-2</v>
      </c>
      <c r="L258" s="666">
        <f t="shared" si="77"/>
        <v>6.769E-2</v>
      </c>
      <c r="M258" s="666">
        <f t="shared" si="77"/>
        <v>6.769E-2</v>
      </c>
      <c r="N258" s="666">
        <f t="shared" si="77"/>
        <v>6.769E-2</v>
      </c>
      <c r="O258" s="666">
        <f t="shared" si="77"/>
        <v>6.769E-2</v>
      </c>
      <c r="P258" s="666">
        <f t="shared" si="77"/>
        <v>6.769E-2</v>
      </c>
      <c r="Q258" s="666">
        <f t="shared" si="77"/>
        <v>6.769E-2</v>
      </c>
      <c r="R258" s="666">
        <f t="shared" si="77"/>
        <v>6.769E-2</v>
      </c>
      <c r="S258" s="666">
        <f t="shared" si="77"/>
        <v>6.769E-2</v>
      </c>
      <c r="T258" s="666">
        <f t="shared" si="77"/>
        <v>6.769E-2</v>
      </c>
      <c r="U258" s="666">
        <f t="shared" si="77"/>
        <v>6.769E-2</v>
      </c>
      <c r="V258" s="666">
        <f t="shared" si="77"/>
        <v>6.769E-2</v>
      </c>
      <c r="X258" s="307" t="str">
        <f t="shared" si="75"/>
        <v>10% lower than TFR</v>
      </c>
      <c r="Y258" s="359">
        <f t="shared" si="78"/>
        <v>1477.2727272727273</v>
      </c>
    </row>
    <row r="259" spans="1:25" s="358" customFormat="1" x14ac:dyDescent="0.3">
      <c r="A259" s="361"/>
      <c r="B259" s="191" t="s">
        <v>506</v>
      </c>
      <c r="C259" s="191" t="s">
        <v>144</v>
      </c>
      <c r="D259" s="191"/>
      <c r="E259" s="191"/>
      <c r="F259" s="191" t="s">
        <v>642</v>
      </c>
      <c r="G259" s="659">
        <f t="shared" si="74"/>
        <v>9.2439999999999994E-2</v>
      </c>
      <c r="H259" s="666">
        <f t="shared" si="42"/>
        <v>9.2439999999999994E-2</v>
      </c>
      <c r="I259" s="666">
        <f t="shared" si="77"/>
        <v>9.2439999999999994E-2</v>
      </c>
      <c r="J259" s="666">
        <f t="shared" si="77"/>
        <v>9.2439999999999994E-2</v>
      </c>
      <c r="K259" s="666">
        <f t="shared" si="77"/>
        <v>9.2439999999999994E-2</v>
      </c>
      <c r="L259" s="666">
        <f t="shared" si="77"/>
        <v>9.2439999999999994E-2</v>
      </c>
      <c r="M259" s="666">
        <f t="shared" si="77"/>
        <v>9.2439999999999994E-2</v>
      </c>
      <c r="N259" s="666">
        <f t="shared" si="77"/>
        <v>9.2439999999999994E-2</v>
      </c>
      <c r="O259" s="666">
        <f t="shared" si="77"/>
        <v>9.2439999999999994E-2</v>
      </c>
      <c r="P259" s="666">
        <f t="shared" si="77"/>
        <v>9.2439999999999994E-2</v>
      </c>
      <c r="Q259" s="666">
        <f t="shared" si="77"/>
        <v>9.2439999999999994E-2</v>
      </c>
      <c r="R259" s="666">
        <f t="shared" si="77"/>
        <v>9.2439999999999994E-2</v>
      </c>
      <c r="S259" s="666">
        <f t="shared" si="77"/>
        <v>9.2439999999999994E-2</v>
      </c>
      <c r="T259" s="666">
        <f t="shared" si="77"/>
        <v>9.2439999999999994E-2</v>
      </c>
      <c r="U259" s="666">
        <f t="shared" si="77"/>
        <v>9.2439999999999994E-2</v>
      </c>
      <c r="V259" s="666">
        <f t="shared" si="77"/>
        <v>9.2439999999999994E-2</v>
      </c>
      <c r="X259" s="307" t="str">
        <f t="shared" si="75"/>
        <v>10% lower than TFR</v>
      </c>
      <c r="Y259" s="359">
        <f t="shared" si="78"/>
        <v>1081.8181818181818</v>
      </c>
    </row>
    <row r="260" spans="1:25" s="358" customFormat="1" x14ac:dyDescent="0.3">
      <c r="A260" s="361"/>
      <c r="B260" s="191" t="s">
        <v>506</v>
      </c>
      <c r="C260" s="191" t="s">
        <v>144</v>
      </c>
      <c r="D260" s="191"/>
      <c r="E260" s="191"/>
      <c r="F260" s="191" t="s">
        <v>645</v>
      </c>
      <c r="G260" s="659">
        <f t="shared" si="74"/>
        <v>7.3950000000000002E-2</v>
      </c>
      <c r="H260" s="666">
        <f t="shared" si="42"/>
        <v>7.3950000000000002E-2</v>
      </c>
      <c r="I260" s="666">
        <f t="shared" si="77"/>
        <v>7.3950000000000002E-2</v>
      </c>
      <c r="J260" s="666">
        <f t="shared" si="77"/>
        <v>7.3950000000000002E-2</v>
      </c>
      <c r="K260" s="666">
        <f t="shared" si="77"/>
        <v>7.3950000000000002E-2</v>
      </c>
      <c r="L260" s="666">
        <f t="shared" si="77"/>
        <v>7.3950000000000002E-2</v>
      </c>
      <c r="M260" s="666">
        <f t="shared" si="77"/>
        <v>7.3950000000000002E-2</v>
      </c>
      <c r="N260" s="666">
        <f t="shared" si="77"/>
        <v>7.3950000000000002E-2</v>
      </c>
      <c r="O260" s="666">
        <f t="shared" si="77"/>
        <v>7.3950000000000002E-2</v>
      </c>
      <c r="P260" s="666">
        <f t="shared" si="77"/>
        <v>7.3950000000000002E-2</v>
      </c>
      <c r="Q260" s="666">
        <f t="shared" si="77"/>
        <v>7.3950000000000002E-2</v>
      </c>
      <c r="R260" s="666">
        <f t="shared" si="77"/>
        <v>7.3950000000000002E-2</v>
      </c>
      <c r="S260" s="666">
        <f t="shared" si="77"/>
        <v>7.3950000000000002E-2</v>
      </c>
      <c r="T260" s="666">
        <f t="shared" si="77"/>
        <v>7.3950000000000002E-2</v>
      </c>
      <c r="U260" s="666">
        <f t="shared" si="77"/>
        <v>7.3950000000000002E-2</v>
      </c>
      <c r="V260" s="666">
        <f t="shared" si="77"/>
        <v>7.3950000000000002E-2</v>
      </c>
      <c r="X260" s="307" t="str">
        <f t="shared" si="75"/>
        <v>10% lower than TFR</v>
      </c>
      <c r="Y260" s="359">
        <f t="shared" si="78"/>
        <v>1352.2727272727273</v>
      </c>
    </row>
    <row r="261" spans="1:25" s="358" customFormat="1" x14ac:dyDescent="0.3">
      <c r="A261" s="361"/>
      <c r="B261" s="191" t="s">
        <v>506</v>
      </c>
      <c r="C261" s="191" t="s">
        <v>145</v>
      </c>
      <c r="D261" s="191"/>
      <c r="E261" s="191"/>
      <c r="F261" s="191" t="s">
        <v>642</v>
      </c>
      <c r="G261" s="659">
        <f t="shared" si="74"/>
        <v>0.1134</v>
      </c>
      <c r="H261" s="666">
        <f t="shared" si="42"/>
        <v>0.1134</v>
      </c>
      <c r="I261" s="666">
        <f t="shared" si="77"/>
        <v>0.1134</v>
      </c>
      <c r="J261" s="666">
        <f t="shared" si="77"/>
        <v>0.1134</v>
      </c>
      <c r="K261" s="666">
        <f t="shared" si="77"/>
        <v>0.1134</v>
      </c>
      <c r="L261" s="666">
        <f t="shared" si="77"/>
        <v>0.1134</v>
      </c>
      <c r="M261" s="666">
        <f t="shared" si="77"/>
        <v>0.1134</v>
      </c>
      <c r="N261" s="666">
        <f t="shared" si="77"/>
        <v>0.1134</v>
      </c>
      <c r="O261" s="666">
        <f t="shared" si="77"/>
        <v>0.1134</v>
      </c>
      <c r="P261" s="666">
        <f t="shared" si="77"/>
        <v>0.1134</v>
      </c>
      <c r="Q261" s="666">
        <f t="shared" si="77"/>
        <v>0.1134</v>
      </c>
      <c r="R261" s="666">
        <f t="shared" si="77"/>
        <v>0.1134</v>
      </c>
      <c r="S261" s="666">
        <f t="shared" si="77"/>
        <v>0.1134</v>
      </c>
      <c r="T261" s="666">
        <f t="shared" si="77"/>
        <v>0.1134</v>
      </c>
      <c r="U261" s="666">
        <f t="shared" si="77"/>
        <v>0.1134</v>
      </c>
      <c r="V261" s="666">
        <f t="shared" si="77"/>
        <v>0.1134</v>
      </c>
      <c r="X261" s="307" t="str">
        <f t="shared" si="75"/>
        <v>10% lower than TFR</v>
      </c>
      <c r="Y261" s="359">
        <f t="shared" si="78"/>
        <v>881.81818181818176</v>
      </c>
    </row>
    <row r="262" spans="1:25" s="358" customFormat="1" x14ac:dyDescent="0.3">
      <c r="A262" s="361"/>
      <c r="B262" s="191" t="s">
        <v>506</v>
      </c>
      <c r="C262" s="191" t="s">
        <v>145</v>
      </c>
      <c r="D262" s="191"/>
      <c r="E262" s="191"/>
      <c r="F262" s="191" t="s">
        <v>645</v>
      </c>
      <c r="G262" s="659">
        <f t="shared" si="74"/>
        <v>9.0719999999999995E-2</v>
      </c>
      <c r="H262" s="666">
        <f t="shared" si="42"/>
        <v>9.0719999999999995E-2</v>
      </c>
      <c r="I262" s="666">
        <f t="shared" si="77"/>
        <v>9.0719999999999995E-2</v>
      </c>
      <c r="J262" s="666">
        <f t="shared" si="77"/>
        <v>9.0719999999999995E-2</v>
      </c>
      <c r="K262" s="666">
        <f t="shared" si="77"/>
        <v>9.0719999999999995E-2</v>
      </c>
      <c r="L262" s="666">
        <f t="shared" si="77"/>
        <v>9.0719999999999995E-2</v>
      </c>
      <c r="M262" s="666">
        <f t="shared" si="77"/>
        <v>9.0719999999999995E-2</v>
      </c>
      <c r="N262" s="666">
        <f t="shared" si="77"/>
        <v>9.0719999999999995E-2</v>
      </c>
      <c r="O262" s="666">
        <f t="shared" si="77"/>
        <v>9.0719999999999995E-2</v>
      </c>
      <c r="P262" s="666">
        <f t="shared" si="77"/>
        <v>9.0719999999999995E-2</v>
      </c>
      <c r="Q262" s="666">
        <f t="shared" si="77"/>
        <v>9.0719999999999995E-2</v>
      </c>
      <c r="R262" s="666">
        <f t="shared" si="77"/>
        <v>9.0719999999999995E-2</v>
      </c>
      <c r="S262" s="666">
        <f t="shared" si="77"/>
        <v>9.0719999999999995E-2</v>
      </c>
      <c r="T262" s="666">
        <f t="shared" si="77"/>
        <v>9.0719999999999995E-2</v>
      </c>
      <c r="U262" s="666">
        <f t="shared" si="77"/>
        <v>9.0719999999999995E-2</v>
      </c>
      <c r="V262" s="666">
        <f t="shared" si="77"/>
        <v>9.0719999999999995E-2</v>
      </c>
      <c r="X262" s="307" t="str">
        <f t="shared" si="75"/>
        <v>10% lower than TFR</v>
      </c>
      <c r="Y262" s="359">
        <f t="shared" si="78"/>
        <v>1102.2727272727273</v>
      </c>
    </row>
    <row r="263" spans="1:25" s="358" customFormat="1" x14ac:dyDescent="0.3">
      <c r="A263" s="361"/>
      <c r="B263" s="191" t="s">
        <v>506</v>
      </c>
      <c r="C263" s="191" t="s">
        <v>146</v>
      </c>
      <c r="D263" s="191"/>
      <c r="E263" s="191"/>
      <c r="F263" s="191" t="s">
        <v>642</v>
      </c>
      <c r="G263" s="659">
        <f t="shared" si="74"/>
        <v>0.11579</v>
      </c>
      <c r="H263" s="666">
        <f t="shared" si="42"/>
        <v>0.11579</v>
      </c>
      <c r="I263" s="666">
        <f t="shared" si="77"/>
        <v>0.11579</v>
      </c>
      <c r="J263" s="666">
        <f t="shared" si="77"/>
        <v>0.11579</v>
      </c>
      <c r="K263" s="666">
        <f t="shared" si="77"/>
        <v>0.11579</v>
      </c>
      <c r="L263" s="666">
        <f t="shared" si="77"/>
        <v>0.11579</v>
      </c>
      <c r="M263" s="666">
        <f t="shared" si="77"/>
        <v>0.11579</v>
      </c>
      <c r="N263" s="666">
        <f t="shared" si="77"/>
        <v>0.11579</v>
      </c>
      <c r="O263" s="666">
        <f t="shared" si="77"/>
        <v>0.11579</v>
      </c>
      <c r="P263" s="666">
        <f t="shared" si="77"/>
        <v>0.11579</v>
      </c>
      <c r="Q263" s="666">
        <f t="shared" si="77"/>
        <v>0.11579</v>
      </c>
      <c r="R263" s="666">
        <f t="shared" si="77"/>
        <v>0.11579</v>
      </c>
      <c r="S263" s="666">
        <f t="shared" si="77"/>
        <v>0.11579</v>
      </c>
      <c r="T263" s="666">
        <f t="shared" si="77"/>
        <v>0.11579</v>
      </c>
      <c r="U263" s="666">
        <f t="shared" si="77"/>
        <v>0.11579</v>
      </c>
      <c r="V263" s="666">
        <f t="shared" si="77"/>
        <v>0.11579</v>
      </c>
      <c r="X263" s="307" t="str">
        <f t="shared" si="75"/>
        <v>10% lower than TFR</v>
      </c>
      <c r="Y263" s="359">
        <f t="shared" si="78"/>
        <v>863.63636363636351</v>
      </c>
    </row>
    <row r="264" spans="1:25" s="358" customFormat="1" x14ac:dyDescent="0.3">
      <c r="A264" s="361"/>
      <c r="B264" s="191" t="s">
        <v>506</v>
      </c>
      <c r="C264" s="191" t="s">
        <v>146</v>
      </c>
      <c r="D264" s="191"/>
      <c r="E264" s="191"/>
      <c r="F264" s="191" t="s">
        <v>645</v>
      </c>
      <c r="G264" s="659">
        <f t="shared" si="74"/>
        <v>9.2630000000000004E-2</v>
      </c>
      <c r="H264" s="666">
        <f t="shared" si="42"/>
        <v>9.2630000000000004E-2</v>
      </c>
      <c r="I264" s="666">
        <f t="shared" si="77"/>
        <v>9.2630000000000004E-2</v>
      </c>
      <c r="J264" s="666">
        <f t="shared" ref="J264:V264" si="79">$H264</f>
        <v>9.2630000000000004E-2</v>
      </c>
      <c r="K264" s="666">
        <f t="shared" si="79"/>
        <v>9.2630000000000004E-2</v>
      </c>
      <c r="L264" s="666">
        <f t="shared" si="79"/>
        <v>9.2630000000000004E-2</v>
      </c>
      <c r="M264" s="666">
        <f t="shared" si="79"/>
        <v>9.2630000000000004E-2</v>
      </c>
      <c r="N264" s="666">
        <f t="shared" si="79"/>
        <v>9.2630000000000004E-2</v>
      </c>
      <c r="O264" s="666">
        <f t="shared" si="79"/>
        <v>9.2630000000000004E-2</v>
      </c>
      <c r="P264" s="666">
        <f t="shared" si="79"/>
        <v>9.2630000000000004E-2</v>
      </c>
      <c r="Q264" s="666">
        <f t="shared" si="79"/>
        <v>9.2630000000000004E-2</v>
      </c>
      <c r="R264" s="666">
        <f t="shared" si="79"/>
        <v>9.2630000000000004E-2</v>
      </c>
      <c r="S264" s="666">
        <f t="shared" si="79"/>
        <v>9.2630000000000004E-2</v>
      </c>
      <c r="T264" s="666">
        <f t="shared" si="79"/>
        <v>9.2630000000000004E-2</v>
      </c>
      <c r="U264" s="666">
        <f t="shared" si="79"/>
        <v>9.2630000000000004E-2</v>
      </c>
      <c r="V264" s="666">
        <f t="shared" si="79"/>
        <v>9.2630000000000004E-2</v>
      </c>
      <c r="X264" s="307" t="str">
        <f t="shared" si="75"/>
        <v>10% lower than TFR</v>
      </c>
      <c r="Y264" s="359">
        <f t="shared" si="78"/>
        <v>1079.5454545454545</v>
      </c>
    </row>
    <row r="265" spans="1:25" s="358" customFormat="1" x14ac:dyDescent="0.3">
      <c r="A265" s="361"/>
      <c r="B265" s="191" t="s">
        <v>506</v>
      </c>
      <c r="C265" s="191" t="s">
        <v>147</v>
      </c>
      <c r="D265" s="191"/>
      <c r="E265" s="191"/>
      <c r="F265" s="191" t="s">
        <v>642</v>
      </c>
      <c r="G265" s="659">
        <f t="shared" si="74"/>
        <v>9.2439999999999994E-2</v>
      </c>
      <c r="H265" s="666">
        <f t="shared" si="42"/>
        <v>9.2439999999999994E-2</v>
      </c>
      <c r="I265" s="666">
        <f t="shared" si="77"/>
        <v>9.2439999999999994E-2</v>
      </c>
      <c r="J265" s="666">
        <f t="shared" si="77"/>
        <v>9.2439999999999994E-2</v>
      </c>
      <c r="K265" s="666">
        <f t="shared" si="77"/>
        <v>9.2439999999999994E-2</v>
      </c>
      <c r="L265" s="666">
        <f t="shared" si="77"/>
        <v>9.2439999999999994E-2</v>
      </c>
      <c r="M265" s="666">
        <f t="shared" si="77"/>
        <v>9.2439999999999994E-2</v>
      </c>
      <c r="N265" s="666">
        <f t="shared" si="77"/>
        <v>9.2439999999999994E-2</v>
      </c>
      <c r="O265" s="666">
        <f t="shared" si="77"/>
        <v>9.2439999999999994E-2</v>
      </c>
      <c r="P265" s="666">
        <f t="shared" si="77"/>
        <v>9.2439999999999994E-2</v>
      </c>
      <c r="Q265" s="666">
        <f t="shared" si="77"/>
        <v>9.2439999999999994E-2</v>
      </c>
      <c r="R265" s="666">
        <f t="shared" si="77"/>
        <v>9.2439999999999994E-2</v>
      </c>
      <c r="S265" s="666">
        <f t="shared" si="77"/>
        <v>9.2439999999999994E-2</v>
      </c>
      <c r="T265" s="666">
        <f t="shared" si="77"/>
        <v>9.2439999999999994E-2</v>
      </c>
      <c r="U265" s="666">
        <f t="shared" si="77"/>
        <v>9.2439999999999994E-2</v>
      </c>
      <c r="V265" s="666">
        <f t="shared" si="77"/>
        <v>9.2439999999999994E-2</v>
      </c>
      <c r="X265" s="307" t="str">
        <f t="shared" si="75"/>
        <v>10% lower than TFR</v>
      </c>
      <c r="Y265" s="359">
        <f t="shared" si="78"/>
        <v>1081.8181818181818</v>
      </c>
    </row>
    <row r="266" spans="1:25" s="358" customFormat="1" x14ac:dyDescent="0.3">
      <c r="A266" s="361"/>
      <c r="B266" s="191" t="s">
        <v>506</v>
      </c>
      <c r="C266" s="191" t="s">
        <v>147</v>
      </c>
      <c r="D266" s="191"/>
      <c r="E266" s="191"/>
      <c r="F266" s="191" t="s">
        <v>645</v>
      </c>
      <c r="G266" s="659">
        <f t="shared" si="74"/>
        <v>7.3950000000000002E-2</v>
      </c>
      <c r="H266" s="666">
        <f t="shared" si="42"/>
        <v>7.3950000000000002E-2</v>
      </c>
      <c r="I266" s="666">
        <f t="shared" si="77"/>
        <v>7.3950000000000002E-2</v>
      </c>
      <c r="J266" s="666">
        <f t="shared" si="77"/>
        <v>7.3950000000000002E-2</v>
      </c>
      <c r="K266" s="666">
        <f t="shared" si="77"/>
        <v>7.3950000000000002E-2</v>
      </c>
      <c r="L266" s="666">
        <f t="shared" si="77"/>
        <v>7.3950000000000002E-2</v>
      </c>
      <c r="M266" s="666">
        <f t="shared" si="77"/>
        <v>7.3950000000000002E-2</v>
      </c>
      <c r="N266" s="666">
        <f t="shared" si="77"/>
        <v>7.3950000000000002E-2</v>
      </c>
      <c r="O266" s="666">
        <f t="shared" si="77"/>
        <v>7.3950000000000002E-2</v>
      </c>
      <c r="P266" s="666">
        <f t="shared" si="77"/>
        <v>7.3950000000000002E-2</v>
      </c>
      <c r="Q266" s="666">
        <f t="shared" si="77"/>
        <v>7.3950000000000002E-2</v>
      </c>
      <c r="R266" s="666">
        <f t="shared" si="77"/>
        <v>7.3950000000000002E-2</v>
      </c>
      <c r="S266" s="666">
        <f t="shared" si="77"/>
        <v>7.3950000000000002E-2</v>
      </c>
      <c r="T266" s="666">
        <f t="shared" si="77"/>
        <v>7.3950000000000002E-2</v>
      </c>
      <c r="U266" s="666">
        <f t="shared" si="77"/>
        <v>7.3950000000000002E-2</v>
      </c>
      <c r="V266" s="666">
        <f t="shared" si="77"/>
        <v>7.3950000000000002E-2</v>
      </c>
      <c r="X266" s="307" t="str">
        <f t="shared" si="75"/>
        <v>10% lower than TFR</v>
      </c>
      <c r="Y266" s="359">
        <f t="shared" si="78"/>
        <v>1352.2727272727273</v>
      </c>
    </row>
    <row r="267" spans="1:25" s="19" customFormat="1" x14ac:dyDescent="0.3">
      <c r="B267" s="191" t="s">
        <v>506</v>
      </c>
      <c r="C267" s="191" t="s">
        <v>148</v>
      </c>
      <c r="D267" s="191"/>
      <c r="E267" s="191"/>
      <c r="F267" s="191" t="s">
        <v>642</v>
      </c>
      <c r="G267" s="659">
        <f t="shared" si="74"/>
        <v>0.11937</v>
      </c>
      <c r="H267" s="666">
        <f t="shared" si="42"/>
        <v>0.11937</v>
      </c>
      <c r="I267" s="666">
        <f t="shared" si="77"/>
        <v>0.11937</v>
      </c>
      <c r="J267" s="666">
        <f t="shared" si="77"/>
        <v>0.11937</v>
      </c>
      <c r="K267" s="666">
        <f t="shared" si="77"/>
        <v>0.11937</v>
      </c>
      <c r="L267" s="666">
        <f t="shared" si="77"/>
        <v>0.11937</v>
      </c>
      <c r="M267" s="666">
        <f t="shared" si="77"/>
        <v>0.11937</v>
      </c>
      <c r="N267" s="666">
        <f t="shared" si="77"/>
        <v>0.11937</v>
      </c>
      <c r="O267" s="666">
        <f t="shared" si="77"/>
        <v>0.11937</v>
      </c>
      <c r="P267" s="666">
        <f t="shared" si="77"/>
        <v>0.11937</v>
      </c>
      <c r="Q267" s="666">
        <f t="shared" si="77"/>
        <v>0.11937</v>
      </c>
      <c r="R267" s="666">
        <f t="shared" si="77"/>
        <v>0.11937</v>
      </c>
      <c r="S267" s="666">
        <f t="shared" si="77"/>
        <v>0.11937</v>
      </c>
      <c r="T267" s="666">
        <f t="shared" si="77"/>
        <v>0.11937</v>
      </c>
      <c r="U267" s="666">
        <f t="shared" si="77"/>
        <v>0.11937</v>
      </c>
      <c r="V267" s="666">
        <f t="shared" si="77"/>
        <v>0.11937</v>
      </c>
      <c r="X267" s="307" t="s">
        <v>722</v>
      </c>
      <c r="Y267" s="416">
        <f>Y261*0.95</f>
        <v>837.72727272727263</v>
      </c>
    </row>
    <row r="268" spans="1:25" s="19" customFormat="1" x14ac:dyDescent="0.3">
      <c r="B268" s="191" t="s">
        <v>506</v>
      </c>
      <c r="C268" s="191" t="s">
        <v>148</v>
      </c>
      <c r="D268" s="191"/>
      <c r="E268" s="191"/>
      <c r="F268" s="191" t="s">
        <v>645</v>
      </c>
      <c r="G268" s="659">
        <f t="shared" si="74"/>
        <v>9.5500000000000002E-2</v>
      </c>
      <c r="H268" s="666">
        <f t="shared" si="42"/>
        <v>9.5500000000000002E-2</v>
      </c>
      <c r="I268" s="666">
        <f t="shared" si="77"/>
        <v>9.5500000000000002E-2</v>
      </c>
      <c r="J268" s="666">
        <f t="shared" si="77"/>
        <v>9.5500000000000002E-2</v>
      </c>
      <c r="K268" s="666">
        <f t="shared" si="77"/>
        <v>9.5500000000000002E-2</v>
      </c>
      <c r="L268" s="666">
        <f t="shared" si="77"/>
        <v>9.5500000000000002E-2</v>
      </c>
      <c r="M268" s="666">
        <f t="shared" si="77"/>
        <v>9.5500000000000002E-2</v>
      </c>
      <c r="N268" s="666">
        <f t="shared" si="77"/>
        <v>9.5500000000000002E-2</v>
      </c>
      <c r="O268" s="666">
        <f t="shared" si="77"/>
        <v>9.5500000000000002E-2</v>
      </c>
      <c r="P268" s="666">
        <f t="shared" si="77"/>
        <v>9.5500000000000002E-2</v>
      </c>
      <c r="Q268" s="666">
        <f t="shared" si="77"/>
        <v>9.5500000000000002E-2</v>
      </c>
      <c r="R268" s="666">
        <f t="shared" si="77"/>
        <v>9.5500000000000002E-2</v>
      </c>
      <c r="S268" s="666">
        <f t="shared" si="77"/>
        <v>9.5500000000000002E-2</v>
      </c>
      <c r="T268" s="666">
        <f t="shared" si="77"/>
        <v>9.5500000000000002E-2</v>
      </c>
      <c r="U268" s="666">
        <f t="shared" si="77"/>
        <v>9.5500000000000002E-2</v>
      </c>
      <c r="V268" s="666">
        <f t="shared" si="77"/>
        <v>9.5500000000000002E-2</v>
      </c>
      <c r="X268" s="307" t="s">
        <v>722</v>
      </c>
      <c r="Y268" s="416">
        <f>Y262*0.95</f>
        <v>1047.1590909090908</v>
      </c>
    </row>
    <row r="269" spans="1:25" s="23" customFormat="1" x14ac:dyDescent="0.3">
      <c r="B269" s="420" t="s">
        <v>506</v>
      </c>
      <c r="C269" s="420" t="s">
        <v>149</v>
      </c>
      <c r="D269" s="420"/>
      <c r="E269" s="420"/>
      <c r="F269" s="420" t="s">
        <v>642</v>
      </c>
      <c r="G269" s="659">
        <f t="shared" si="74"/>
        <v>90.909090000000006</v>
      </c>
      <c r="H269" s="669">
        <f t="shared" si="42"/>
        <v>90.909090000000006</v>
      </c>
      <c r="I269" s="669">
        <f t="shared" ref="I269:V272" si="80">$H269</f>
        <v>90.909090000000006</v>
      </c>
      <c r="J269" s="669">
        <f t="shared" si="80"/>
        <v>90.909090000000006</v>
      </c>
      <c r="K269" s="669">
        <f t="shared" si="80"/>
        <v>90.909090000000006</v>
      </c>
      <c r="L269" s="669">
        <f t="shared" si="80"/>
        <v>90.909090000000006</v>
      </c>
      <c r="M269" s="669">
        <f t="shared" si="80"/>
        <v>90.909090000000006</v>
      </c>
      <c r="N269" s="669">
        <f t="shared" si="80"/>
        <v>90.909090000000006</v>
      </c>
      <c r="O269" s="669">
        <f t="shared" si="80"/>
        <v>90.909090000000006</v>
      </c>
      <c r="P269" s="669">
        <f t="shared" si="80"/>
        <v>90.909090000000006</v>
      </c>
      <c r="Q269" s="669">
        <f t="shared" si="80"/>
        <v>90.909090000000006</v>
      </c>
      <c r="R269" s="669">
        <f t="shared" si="80"/>
        <v>90.909090000000006</v>
      </c>
      <c r="S269" s="669">
        <f t="shared" si="80"/>
        <v>90.909090000000006</v>
      </c>
      <c r="T269" s="669">
        <f t="shared" si="80"/>
        <v>90.909090000000006</v>
      </c>
      <c r="U269" s="669">
        <f t="shared" si="80"/>
        <v>90.909090000000006</v>
      </c>
      <c r="V269" s="669">
        <f t="shared" si="80"/>
        <v>90.909090000000006</v>
      </c>
      <c r="X269" s="643" t="str">
        <f t="shared" si="75"/>
        <v>??</v>
      </c>
      <c r="Y269" s="438">
        <v>1.1000000000000001</v>
      </c>
    </row>
    <row r="270" spans="1:25" s="23" customFormat="1" x14ac:dyDescent="0.3">
      <c r="B270" s="644" t="s">
        <v>506</v>
      </c>
      <c r="C270" s="644" t="s">
        <v>149</v>
      </c>
      <c r="D270" s="644"/>
      <c r="E270" s="644"/>
      <c r="F270" s="644" t="s">
        <v>645</v>
      </c>
      <c r="G270" s="668">
        <f t="shared" si="74"/>
        <v>90.909090000000006</v>
      </c>
      <c r="H270" s="670">
        <f t="shared" si="42"/>
        <v>90.909090000000006</v>
      </c>
      <c r="I270" s="670">
        <f t="shared" si="80"/>
        <v>90.909090000000006</v>
      </c>
      <c r="J270" s="670">
        <f t="shared" si="80"/>
        <v>90.909090000000006</v>
      </c>
      <c r="K270" s="670">
        <f t="shared" si="80"/>
        <v>90.909090000000006</v>
      </c>
      <c r="L270" s="670">
        <f t="shared" si="80"/>
        <v>90.909090000000006</v>
      </c>
      <c r="M270" s="670">
        <f t="shared" si="80"/>
        <v>90.909090000000006</v>
      </c>
      <c r="N270" s="670">
        <f t="shared" si="80"/>
        <v>90.909090000000006</v>
      </c>
      <c r="O270" s="670">
        <f t="shared" si="80"/>
        <v>90.909090000000006</v>
      </c>
      <c r="P270" s="670">
        <f t="shared" si="80"/>
        <v>90.909090000000006</v>
      </c>
      <c r="Q270" s="670">
        <f t="shared" si="80"/>
        <v>90.909090000000006</v>
      </c>
      <c r="R270" s="670">
        <f t="shared" si="80"/>
        <v>90.909090000000006</v>
      </c>
      <c r="S270" s="670">
        <f t="shared" si="80"/>
        <v>90.909090000000006</v>
      </c>
      <c r="T270" s="670">
        <f t="shared" si="80"/>
        <v>90.909090000000006</v>
      </c>
      <c r="U270" s="670">
        <f t="shared" si="80"/>
        <v>90.909090000000006</v>
      </c>
      <c r="V270" s="670">
        <f t="shared" si="80"/>
        <v>90.909090000000006</v>
      </c>
      <c r="X270" s="645" t="str">
        <f t="shared" si="75"/>
        <v>??</v>
      </c>
      <c r="Y270" s="574">
        <v>1.1000000000000001</v>
      </c>
    </row>
    <row r="271" spans="1:25" s="19" customFormat="1" x14ac:dyDescent="0.3">
      <c r="B271" s="191" t="s">
        <v>506</v>
      </c>
      <c r="C271" s="191" t="s">
        <v>151</v>
      </c>
      <c r="D271" s="191"/>
      <c r="E271" s="191"/>
      <c r="F271" s="191" t="s">
        <v>648</v>
      </c>
      <c r="G271" s="659">
        <f t="shared" si="74"/>
        <v>9.2590000000000006E-2</v>
      </c>
      <c r="H271" s="666">
        <f t="shared" si="42"/>
        <v>9.2590000000000006E-2</v>
      </c>
      <c r="I271" s="666">
        <f t="shared" si="80"/>
        <v>9.2590000000000006E-2</v>
      </c>
      <c r="J271" s="666">
        <f t="shared" si="80"/>
        <v>9.2590000000000006E-2</v>
      </c>
      <c r="K271" s="666">
        <f t="shared" si="80"/>
        <v>9.2590000000000006E-2</v>
      </c>
      <c r="L271" s="666">
        <f t="shared" si="80"/>
        <v>9.2590000000000006E-2</v>
      </c>
      <c r="M271" s="666">
        <f t="shared" si="80"/>
        <v>9.2590000000000006E-2</v>
      </c>
      <c r="N271" s="666">
        <f t="shared" si="80"/>
        <v>9.2590000000000006E-2</v>
      </c>
      <c r="O271" s="666">
        <f t="shared" si="80"/>
        <v>9.2590000000000006E-2</v>
      </c>
      <c r="P271" s="666">
        <f t="shared" si="80"/>
        <v>9.2590000000000006E-2</v>
      </c>
      <c r="Q271" s="666">
        <f t="shared" si="80"/>
        <v>9.2590000000000006E-2</v>
      </c>
      <c r="R271" s="666">
        <f t="shared" si="80"/>
        <v>9.2590000000000006E-2</v>
      </c>
      <c r="S271" s="666">
        <f t="shared" si="80"/>
        <v>9.2590000000000006E-2</v>
      </c>
      <c r="T271" s="666">
        <f t="shared" si="80"/>
        <v>9.2590000000000006E-2</v>
      </c>
      <c r="U271" s="666">
        <f t="shared" si="80"/>
        <v>9.2590000000000006E-2</v>
      </c>
      <c r="V271" s="666">
        <f t="shared" si="80"/>
        <v>9.2590000000000006E-2</v>
      </c>
      <c r="X271" s="307" t="str">
        <f t="shared" si="75"/>
        <v>JRC-EU-TIMES; data for 2010</v>
      </c>
      <c r="Y271" s="359">
        <f>Y273</f>
        <v>1080</v>
      </c>
    </row>
    <row r="272" spans="1:25" s="19" customFormat="1" x14ac:dyDescent="0.3">
      <c r="B272" s="191" t="s">
        <v>506</v>
      </c>
      <c r="C272" s="191" t="s">
        <v>151</v>
      </c>
      <c r="D272" s="191"/>
      <c r="E272" s="191"/>
      <c r="F272" s="191" t="s">
        <v>651</v>
      </c>
      <c r="G272" s="659">
        <f t="shared" si="74"/>
        <v>7.4069999999999997E-2</v>
      </c>
      <c r="H272" s="666">
        <f t="shared" si="42"/>
        <v>7.4069999999999997E-2</v>
      </c>
      <c r="I272" s="666">
        <f t="shared" si="80"/>
        <v>7.4069999999999997E-2</v>
      </c>
      <c r="J272" s="666">
        <f t="shared" si="80"/>
        <v>7.4069999999999997E-2</v>
      </c>
      <c r="K272" s="666">
        <f t="shared" si="80"/>
        <v>7.4069999999999997E-2</v>
      </c>
      <c r="L272" s="666">
        <f t="shared" si="80"/>
        <v>7.4069999999999997E-2</v>
      </c>
      <c r="M272" s="666">
        <f t="shared" si="80"/>
        <v>7.4069999999999997E-2</v>
      </c>
      <c r="N272" s="666">
        <f t="shared" si="80"/>
        <v>7.4069999999999997E-2</v>
      </c>
      <c r="O272" s="666">
        <f t="shared" si="80"/>
        <v>7.4069999999999997E-2</v>
      </c>
      <c r="P272" s="666">
        <f t="shared" si="80"/>
        <v>7.4069999999999997E-2</v>
      </c>
      <c r="Q272" s="666">
        <f t="shared" si="80"/>
        <v>7.4069999999999997E-2</v>
      </c>
      <c r="R272" s="666">
        <f t="shared" si="80"/>
        <v>7.4069999999999997E-2</v>
      </c>
      <c r="S272" s="666">
        <f t="shared" si="80"/>
        <v>7.4069999999999997E-2</v>
      </c>
      <c r="T272" s="666">
        <f t="shared" si="80"/>
        <v>7.4069999999999997E-2</v>
      </c>
      <c r="U272" s="666">
        <f t="shared" si="80"/>
        <v>7.4069999999999997E-2</v>
      </c>
      <c r="V272" s="666">
        <f t="shared" si="80"/>
        <v>7.4069999999999997E-2</v>
      </c>
      <c r="X272" s="307" t="str">
        <f t="shared" si="75"/>
        <v>Assumed 25% higher than long-distance</v>
      </c>
      <c r="Y272" s="359">
        <f>Y271*1.25</f>
        <v>1350</v>
      </c>
    </row>
    <row r="273" spans="2:28" x14ac:dyDescent="0.3">
      <c r="B273" s="191" t="s">
        <v>506</v>
      </c>
      <c r="C273" s="191" t="s">
        <v>152</v>
      </c>
      <c r="D273" s="191"/>
      <c r="E273" s="191"/>
      <c r="F273" s="191" t="s">
        <v>648</v>
      </c>
      <c r="G273" s="659">
        <f t="shared" si="74"/>
        <v>9.2590000000000006E-2</v>
      </c>
      <c r="H273" s="666">
        <f t="shared" si="42"/>
        <v>9.2590000000000006E-2</v>
      </c>
      <c r="I273" s="666">
        <f t="shared" si="49"/>
        <v>9.2590000000000006E-2</v>
      </c>
      <c r="J273" s="666">
        <f t="shared" si="76"/>
        <v>9.2590000000000006E-2</v>
      </c>
      <c r="K273" s="666">
        <f t="shared" si="76"/>
        <v>9.2590000000000006E-2</v>
      </c>
      <c r="L273" s="666">
        <f t="shared" si="76"/>
        <v>9.2590000000000006E-2</v>
      </c>
      <c r="M273" s="666">
        <f t="shared" si="76"/>
        <v>9.2590000000000006E-2</v>
      </c>
      <c r="N273" s="666">
        <f t="shared" si="76"/>
        <v>9.2590000000000006E-2</v>
      </c>
      <c r="O273" s="666">
        <f t="shared" si="76"/>
        <v>9.2590000000000006E-2</v>
      </c>
      <c r="P273" s="666">
        <f t="shared" si="76"/>
        <v>9.2590000000000006E-2</v>
      </c>
      <c r="Q273" s="666">
        <f t="shared" si="76"/>
        <v>9.2590000000000006E-2</v>
      </c>
      <c r="R273" s="666">
        <f t="shared" si="76"/>
        <v>9.2590000000000006E-2</v>
      </c>
      <c r="S273" s="666">
        <f t="shared" si="76"/>
        <v>9.2590000000000006E-2</v>
      </c>
      <c r="T273" s="666">
        <f t="shared" si="76"/>
        <v>9.2590000000000006E-2</v>
      </c>
      <c r="U273" s="666">
        <f t="shared" si="76"/>
        <v>9.2590000000000006E-2</v>
      </c>
      <c r="V273" s="666">
        <f t="shared" si="76"/>
        <v>9.2590000000000006E-2</v>
      </c>
      <c r="X273" s="307" t="str">
        <f t="shared" si="75"/>
        <v>JRC-EU-TIMES; data for 2010</v>
      </c>
      <c r="Y273" s="359">
        <v>1080</v>
      </c>
      <c r="AA273" s="107" t="s">
        <v>699</v>
      </c>
      <c r="AB273" s="108">
        <v>1080</v>
      </c>
    </row>
    <row r="274" spans="2:28" x14ac:dyDescent="0.3">
      <c r="B274" s="191" t="s">
        <v>506</v>
      </c>
      <c r="C274" s="191" t="s">
        <v>152</v>
      </c>
      <c r="D274" s="191"/>
      <c r="E274" s="191"/>
      <c r="F274" s="191" t="s">
        <v>651</v>
      </c>
      <c r="G274" s="659">
        <f t="shared" si="74"/>
        <v>7.4069999999999997E-2</v>
      </c>
      <c r="H274" s="666">
        <f t="shared" si="42"/>
        <v>7.4069999999999997E-2</v>
      </c>
      <c r="I274" s="666">
        <f t="shared" si="49"/>
        <v>7.4069999999999997E-2</v>
      </c>
      <c r="J274" s="666">
        <f t="shared" si="76"/>
        <v>7.4069999999999997E-2</v>
      </c>
      <c r="K274" s="666">
        <f t="shared" si="76"/>
        <v>7.4069999999999997E-2</v>
      </c>
      <c r="L274" s="666">
        <f t="shared" si="76"/>
        <v>7.4069999999999997E-2</v>
      </c>
      <c r="M274" s="666">
        <f t="shared" si="76"/>
        <v>7.4069999999999997E-2</v>
      </c>
      <c r="N274" s="666">
        <f t="shared" si="76"/>
        <v>7.4069999999999997E-2</v>
      </c>
      <c r="O274" s="666">
        <f t="shared" si="76"/>
        <v>7.4069999999999997E-2</v>
      </c>
      <c r="P274" s="666">
        <f t="shared" si="76"/>
        <v>7.4069999999999997E-2</v>
      </c>
      <c r="Q274" s="666">
        <f t="shared" si="76"/>
        <v>7.4069999999999997E-2</v>
      </c>
      <c r="R274" s="666">
        <f t="shared" si="76"/>
        <v>7.4069999999999997E-2</v>
      </c>
      <c r="S274" s="666">
        <f t="shared" si="76"/>
        <v>7.4069999999999997E-2</v>
      </c>
      <c r="T274" s="666">
        <f t="shared" si="76"/>
        <v>7.4069999999999997E-2</v>
      </c>
      <c r="U274" s="666">
        <f t="shared" si="76"/>
        <v>7.4069999999999997E-2</v>
      </c>
      <c r="V274" s="666">
        <f t="shared" si="76"/>
        <v>7.4069999999999997E-2</v>
      </c>
      <c r="X274" s="307" t="str">
        <f t="shared" si="75"/>
        <v>Assumed 25% higher than long-distance</v>
      </c>
      <c r="Y274" s="359">
        <f>Y273*1.25</f>
        <v>1350</v>
      </c>
      <c r="AA274" s="107" t="s">
        <v>699</v>
      </c>
      <c r="AB274" s="108">
        <v>1080</v>
      </c>
    </row>
    <row r="275" spans="2:28" x14ac:dyDescent="0.3">
      <c r="B275" s="191" t="s">
        <v>506</v>
      </c>
      <c r="C275" s="191" t="s">
        <v>153</v>
      </c>
      <c r="D275" s="191"/>
      <c r="E275" s="191"/>
      <c r="F275" s="191" t="s">
        <v>648</v>
      </c>
      <c r="G275" s="659">
        <f t="shared" si="74"/>
        <v>90.909090000000006</v>
      </c>
      <c r="H275" s="666">
        <f t="shared" si="42"/>
        <v>90.909090000000006</v>
      </c>
      <c r="I275" s="666">
        <f t="shared" si="49"/>
        <v>90.909090000000006</v>
      </c>
      <c r="J275" s="666">
        <f t="shared" si="49"/>
        <v>90.909090000000006</v>
      </c>
      <c r="K275" s="666">
        <f t="shared" si="49"/>
        <v>90.909090000000006</v>
      </c>
      <c r="L275" s="666">
        <f t="shared" si="49"/>
        <v>90.909090000000006</v>
      </c>
      <c r="M275" s="666">
        <f t="shared" si="49"/>
        <v>90.909090000000006</v>
      </c>
      <c r="N275" s="666">
        <f t="shared" si="49"/>
        <v>90.909090000000006</v>
      </c>
      <c r="O275" s="666">
        <f t="shared" si="49"/>
        <v>90.909090000000006</v>
      </c>
      <c r="P275" s="666">
        <f t="shared" si="49"/>
        <v>90.909090000000006</v>
      </c>
      <c r="Q275" s="666">
        <f t="shared" si="49"/>
        <v>90.909090000000006</v>
      </c>
      <c r="R275" s="666">
        <f t="shared" si="49"/>
        <v>90.909090000000006</v>
      </c>
      <c r="S275" s="666">
        <f t="shared" si="49"/>
        <v>90.909090000000006</v>
      </c>
      <c r="T275" s="666">
        <f t="shared" si="49"/>
        <v>90.909090000000006</v>
      </c>
      <c r="U275" s="666">
        <f t="shared" si="49"/>
        <v>90.909090000000006</v>
      </c>
      <c r="V275" s="666">
        <f t="shared" si="49"/>
        <v>90.909090000000006</v>
      </c>
      <c r="X275" s="307" t="str">
        <f t="shared" si="75"/>
        <v>ERASE TECHNOLOGY?</v>
      </c>
      <c r="Y275" s="415">
        <v>1.1000000000000001</v>
      </c>
      <c r="AA275" s="107"/>
      <c r="AB275" s="108"/>
    </row>
    <row r="276" spans="2:28" x14ac:dyDescent="0.3">
      <c r="B276" s="191" t="s">
        <v>506</v>
      </c>
      <c r="C276" s="191" t="s">
        <v>153</v>
      </c>
      <c r="D276" s="191"/>
      <c r="E276" s="191"/>
      <c r="F276" s="191" t="s">
        <v>651</v>
      </c>
      <c r="G276" s="659">
        <f t="shared" si="74"/>
        <v>90.909090000000006</v>
      </c>
      <c r="H276" s="666">
        <f t="shared" si="42"/>
        <v>90.909090000000006</v>
      </c>
      <c r="I276" s="666">
        <f t="shared" si="49"/>
        <v>90.909090000000006</v>
      </c>
      <c r="J276" s="666">
        <f t="shared" si="49"/>
        <v>90.909090000000006</v>
      </c>
      <c r="K276" s="666">
        <f t="shared" si="49"/>
        <v>90.909090000000006</v>
      </c>
      <c r="L276" s="666">
        <f t="shared" si="49"/>
        <v>90.909090000000006</v>
      </c>
      <c r="M276" s="666">
        <f t="shared" si="49"/>
        <v>90.909090000000006</v>
      </c>
      <c r="N276" s="666">
        <f t="shared" si="49"/>
        <v>90.909090000000006</v>
      </c>
      <c r="O276" s="666">
        <f t="shared" si="49"/>
        <v>90.909090000000006</v>
      </c>
      <c r="P276" s="666">
        <f t="shared" si="49"/>
        <v>90.909090000000006</v>
      </c>
      <c r="Q276" s="666">
        <f t="shared" si="49"/>
        <v>90.909090000000006</v>
      </c>
      <c r="R276" s="666">
        <f t="shared" si="49"/>
        <v>90.909090000000006</v>
      </c>
      <c r="S276" s="666">
        <f t="shared" si="49"/>
        <v>90.909090000000006</v>
      </c>
      <c r="T276" s="666">
        <f t="shared" si="49"/>
        <v>90.909090000000006</v>
      </c>
      <c r="U276" s="666">
        <f t="shared" si="49"/>
        <v>90.909090000000006</v>
      </c>
      <c r="V276" s="666">
        <f t="shared" si="49"/>
        <v>90.909090000000006</v>
      </c>
      <c r="X276" s="307" t="str">
        <f t="shared" si="75"/>
        <v>ERASE TECHNOLOGY?</v>
      </c>
      <c r="Y276" s="415">
        <v>1.1000000000000001</v>
      </c>
      <c r="AA276" s="107"/>
      <c r="AB276" s="108"/>
    </row>
    <row r="277" spans="2:28" x14ac:dyDescent="0.3">
      <c r="B277" s="191" t="s">
        <v>506</v>
      </c>
      <c r="C277" s="191" t="s">
        <v>154</v>
      </c>
      <c r="D277" s="191"/>
      <c r="E277" s="191"/>
      <c r="F277" s="191" t="s">
        <v>648</v>
      </c>
      <c r="G277" s="659">
        <f t="shared" si="74"/>
        <v>8.4029999999999994E-2</v>
      </c>
      <c r="H277" s="666">
        <f t="shared" si="42"/>
        <v>8.4029999999999994E-2</v>
      </c>
      <c r="I277" s="666">
        <f t="shared" si="49"/>
        <v>8.4029999999999994E-2</v>
      </c>
      <c r="J277" s="666">
        <f t="shared" si="76"/>
        <v>8.4029999999999994E-2</v>
      </c>
      <c r="K277" s="666">
        <f t="shared" si="76"/>
        <v>8.4029999999999994E-2</v>
      </c>
      <c r="L277" s="666">
        <f t="shared" si="76"/>
        <v>8.4029999999999994E-2</v>
      </c>
      <c r="M277" s="666">
        <f t="shared" si="76"/>
        <v>8.4029999999999994E-2</v>
      </c>
      <c r="N277" s="666">
        <f t="shared" si="76"/>
        <v>8.4029999999999994E-2</v>
      </c>
      <c r="O277" s="666">
        <f t="shared" si="76"/>
        <v>8.4029999999999994E-2</v>
      </c>
      <c r="P277" s="666">
        <f t="shared" si="76"/>
        <v>8.4029999999999994E-2</v>
      </c>
      <c r="Q277" s="666">
        <f t="shared" si="76"/>
        <v>8.4029999999999994E-2</v>
      </c>
      <c r="R277" s="666">
        <f t="shared" si="76"/>
        <v>8.4029999999999994E-2</v>
      </c>
      <c r="S277" s="666">
        <f t="shared" si="76"/>
        <v>8.4029999999999994E-2</v>
      </c>
      <c r="T277" s="666">
        <f t="shared" si="76"/>
        <v>8.4029999999999994E-2</v>
      </c>
      <c r="U277" s="666">
        <f t="shared" si="76"/>
        <v>8.4029999999999994E-2</v>
      </c>
      <c r="V277" s="666">
        <f t="shared" si="76"/>
        <v>8.4029999999999994E-2</v>
      </c>
      <c r="X277" s="307" t="str">
        <f t="shared" si="75"/>
        <v>Assumed equal to DST</v>
      </c>
      <c r="Y277" s="359">
        <v>1190</v>
      </c>
      <c r="AA277" s="107" t="s">
        <v>699</v>
      </c>
      <c r="AB277" s="108">
        <v>1190</v>
      </c>
    </row>
    <row r="278" spans="2:28" x14ac:dyDescent="0.3">
      <c r="B278" s="191" t="s">
        <v>506</v>
      </c>
      <c r="C278" s="191" t="s">
        <v>154</v>
      </c>
      <c r="D278" s="191"/>
      <c r="E278" s="191"/>
      <c r="F278" s="191" t="s">
        <v>651</v>
      </c>
      <c r="G278" s="659">
        <f t="shared" si="74"/>
        <v>6.7229999999999998E-2</v>
      </c>
      <c r="H278" s="666">
        <f t="shared" si="42"/>
        <v>6.7229999999999998E-2</v>
      </c>
      <c r="I278" s="666">
        <f t="shared" si="49"/>
        <v>6.7229999999999998E-2</v>
      </c>
      <c r="J278" s="666">
        <f t="shared" si="76"/>
        <v>6.7229999999999998E-2</v>
      </c>
      <c r="K278" s="666">
        <f t="shared" si="76"/>
        <v>6.7229999999999998E-2</v>
      </c>
      <c r="L278" s="666">
        <f t="shared" si="76"/>
        <v>6.7229999999999998E-2</v>
      </c>
      <c r="M278" s="666">
        <f t="shared" si="76"/>
        <v>6.7229999999999998E-2</v>
      </c>
      <c r="N278" s="666">
        <f t="shared" si="76"/>
        <v>6.7229999999999998E-2</v>
      </c>
      <c r="O278" s="666">
        <f t="shared" si="76"/>
        <v>6.7229999999999998E-2</v>
      </c>
      <c r="P278" s="666">
        <f t="shared" si="76"/>
        <v>6.7229999999999998E-2</v>
      </c>
      <c r="Q278" s="666">
        <f t="shared" si="76"/>
        <v>6.7229999999999998E-2</v>
      </c>
      <c r="R278" s="666">
        <f t="shared" si="76"/>
        <v>6.7229999999999998E-2</v>
      </c>
      <c r="S278" s="666">
        <f t="shared" si="76"/>
        <v>6.7229999999999998E-2</v>
      </c>
      <c r="T278" s="666">
        <f t="shared" si="76"/>
        <v>6.7229999999999998E-2</v>
      </c>
      <c r="U278" s="666">
        <f t="shared" si="76"/>
        <v>6.7229999999999998E-2</v>
      </c>
      <c r="V278" s="666">
        <f t="shared" si="76"/>
        <v>6.7229999999999998E-2</v>
      </c>
      <c r="X278" s="307" t="str">
        <f t="shared" si="75"/>
        <v>Assumed 25% higher than long-distance</v>
      </c>
      <c r="Y278" s="359">
        <f>Y277*1.25</f>
        <v>1487.5</v>
      </c>
      <c r="AA278" s="107" t="s">
        <v>699</v>
      </c>
      <c r="AB278" s="108">
        <v>1190</v>
      </c>
    </row>
    <row r="279" spans="2:28" x14ac:dyDescent="0.3">
      <c r="B279" s="191" t="s">
        <v>506</v>
      </c>
      <c r="C279" s="191" t="s">
        <v>155</v>
      </c>
      <c r="D279" s="191"/>
      <c r="E279" s="191"/>
      <c r="F279" s="191" t="s">
        <v>648</v>
      </c>
      <c r="G279" s="659">
        <f t="shared" si="74"/>
        <v>7.6920000000000002E-2</v>
      </c>
      <c r="H279" s="666">
        <f t="shared" ref="H279:H294" si="81">$G279</f>
        <v>7.6920000000000002E-2</v>
      </c>
      <c r="I279" s="666">
        <f t="shared" si="49"/>
        <v>7.6920000000000002E-2</v>
      </c>
      <c r="J279" s="666">
        <f t="shared" si="76"/>
        <v>7.6920000000000002E-2</v>
      </c>
      <c r="K279" s="666">
        <f t="shared" si="76"/>
        <v>7.6920000000000002E-2</v>
      </c>
      <c r="L279" s="666">
        <f t="shared" si="76"/>
        <v>7.6920000000000002E-2</v>
      </c>
      <c r="M279" s="666">
        <f t="shared" si="76"/>
        <v>7.6920000000000002E-2</v>
      </c>
      <c r="N279" s="666">
        <f t="shared" si="76"/>
        <v>7.6920000000000002E-2</v>
      </c>
      <c r="O279" s="666">
        <f t="shared" si="76"/>
        <v>7.6920000000000002E-2</v>
      </c>
      <c r="P279" s="666">
        <f t="shared" si="76"/>
        <v>7.6920000000000002E-2</v>
      </c>
      <c r="Q279" s="666">
        <f t="shared" si="76"/>
        <v>7.6920000000000002E-2</v>
      </c>
      <c r="R279" s="666">
        <f t="shared" si="76"/>
        <v>7.6920000000000002E-2</v>
      </c>
      <c r="S279" s="666">
        <f t="shared" si="76"/>
        <v>7.6920000000000002E-2</v>
      </c>
      <c r="T279" s="666">
        <f t="shared" si="76"/>
        <v>7.6920000000000002E-2</v>
      </c>
      <c r="U279" s="666">
        <f t="shared" si="76"/>
        <v>7.6920000000000002E-2</v>
      </c>
      <c r="V279" s="666">
        <f t="shared" si="76"/>
        <v>7.6920000000000002E-2</v>
      </c>
      <c r="X279" s="307" t="str">
        <f t="shared" si="75"/>
        <v>JRC-EU-TIMES; data for 2010</v>
      </c>
      <c r="Y279" s="359">
        <v>1300</v>
      </c>
      <c r="AA279" s="107" t="s">
        <v>699</v>
      </c>
      <c r="AB279" s="108">
        <v>1300</v>
      </c>
    </row>
    <row r="280" spans="2:28" x14ac:dyDescent="0.3">
      <c r="B280" s="191" t="s">
        <v>506</v>
      </c>
      <c r="C280" s="191" t="s">
        <v>155</v>
      </c>
      <c r="D280" s="191"/>
      <c r="E280" s="191"/>
      <c r="F280" s="191" t="s">
        <v>651</v>
      </c>
      <c r="G280" s="659">
        <f t="shared" si="74"/>
        <v>6.1539999999999997E-2</v>
      </c>
      <c r="H280" s="666">
        <f t="shared" si="81"/>
        <v>6.1539999999999997E-2</v>
      </c>
      <c r="I280" s="666">
        <f t="shared" si="49"/>
        <v>6.1539999999999997E-2</v>
      </c>
      <c r="J280" s="666">
        <f t="shared" si="76"/>
        <v>6.1539999999999997E-2</v>
      </c>
      <c r="K280" s="666">
        <f t="shared" si="76"/>
        <v>6.1539999999999997E-2</v>
      </c>
      <c r="L280" s="666">
        <f t="shared" si="76"/>
        <v>6.1539999999999997E-2</v>
      </c>
      <c r="M280" s="666">
        <f t="shared" si="76"/>
        <v>6.1539999999999997E-2</v>
      </c>
      <c r="N280" s="666">
        <f t="shared" si="76"/>
        <v>6.1539999999999997E-2</v>
      </c>
      <c r="O280" s="666">
        <f t="shared" si="76"/>
        <v>6.1539999999999997E-2</v>
      </c>
      <c r="P280" s="666">
        <f t="shared" si="76"/>
        <v>6.1539999999999997E-2</v>
      </c>
      <c r="Q280" s="666">
        <f t="shared" si="76"/>
        <v>6.1539999999999997E-2</v>
      </c>
      <c r="R280" s="666">
        <f t="shared" si="76"/>
        <v>6.1539999999999997E-2</v>
      </c>
      <c r="S280" s="666">
        <f t="shared" si="76"/>
        <v>6.1539999999999997E-2</v>
      </c>
      <c r="T280" s="666">
        <f t="shared" si="76"/>
        <v>6.1539999999999997E-2</v>
      </c>
      <c r="U280" s="666">
        <f t="shared" si="76"/>
        <v>6.1539999999999997E-2</v>
      </c>
      <c r="V280" s="666">
        <f t="shared" si="76"/>
        <v>6.1539999999999997E-2</v>
      </c>
      <c r="X280" s="307" t="str">
        <f t="shared" si="75"/>
        <v>Assumed 25% higher than long-distance</v>
      </c>
      <c r="Y280" s="359">
        <f>Y279*1.25</f>
        <v>1625</v>
      </c>
      <c r="AA280" s="107" t="s">
        <v>699</v>
      </c>
      <c r="AB280" s="108">
        <v>1300</v>
      </c>
    </row>
    <row r="281" spans="2:28" x14ac:dyDescent="0.3">
      <c r="B281" s="191" t="s">
        <v>506</v>
      </c>
      <c r="C281" s="191" t="s">
        <v>156</v>
      </c>
      <c r="D281" s="191"/>
      <c r="E281" s="191"/>
      <c r="F281" s="191" t="s">
        <v>648</v>
      </c>
      <c r="G281" s="659">
        <f t="shared" si="74"/>
        <v>8.4029999999999994E-2</v>
      </c>
      <c r="H281" s="666">
        <f t="shared" si="81"/>
        <v>8.4029999999999994E-2</v>
      </c>
      <c r="I281" s="666">
        <f t="shared" si="49"/>
        <v>8.4029999999999994E-2</v>
      </c>
      <c r="J281" s="666">
        <f t="shared" si="76"/>
        <v>8.4029999999999994E-2</v>
      </c>
      <c r="K281" s="666">
        <f t="shared" si="76"/>
        <v>8.4029999999999994E-2</v>
      </c>
      <c r="L281" s="666">
        <f t="shared" si="76"/>
        <v>8.4029999999999994E-2</v>
      </c>
      <c r="M281" s="666">
        <f t="shared" si="76"/>
        <v>8.4029999999999994E-2</v>
      </c>
      <c r="N281" s="666">
        <f t="shared" si="76"/>
        <v>8.4029999999999994E-2</v>
      </c>
      <c r="O281" s="666">
        <f t="shared" si="76"/>
        <v>8.4029999999999994E-2</v>
      </c>
      <c r="P281" s="666">
        <f t="shared" si="76"/>
        <v>8.4029999999999994E-2</v>
      </c>
      <c r="Q281" s="666">
        <f t="shared" si="76"/>
        <v>8.4029999999999994E-2</v>
      </c>
      <c r="R281" s="666">
        <f t="shared" si="76"/>
        <v>8.4029999999999994E-2</v>
      </c>
      <c r="S281" s="666">
        <f t="shared" si="76"/>
        <v>8.4029999999999994E-2</v>
      </c>
      <c r="T281" s="666">
        <f t="shared" si="76"/>
        <v>8.4029999999999994E-2</v>
      </c>
      <c r="U281" s="666">
        <f t="shared" si="76"/>
        <v>8.4029999999999994E-2</v>
      </c>
      <c r="V281" s="666">
        <f t="shared" si="76"/>
        <v>8.4029999999999994E-2</v>
      </c>
      <c r="X281" s="307" t="str">
        <f t="shared" si="75"/>
        <v>JRC-EU-TIMES; data for 2010</v>
      </c>
      <c r="Y281" s="359">
        <v>1190</v>
      </c>
      <c r="AA281" s="107" t="s">
        <v>699</v>
      </c>
      <c r="AB281" s="108">
        <v>1190</v>
      </c>
    </row>
    <row r="282" spans="2:28" x14ac:dyDescent="0.3">
      <c r="B282" s="191" t="s">
        <v>506</v>
      </c>
      <c r="C282" s="191" t="s">
        <v>156</v>
      </c>
      <c r="D282" s="191"/>
      <c r="E282" s="191"/>
      <c r="F282" s="191" t="s">
        <v>651</v>
      </c>
      <c r="G282" s="659">
        <f t="shared" si="74"/>
        <v>6.7229999999999998E-2</v>
      </c>
      <c r="H282" s="666">
        <f t="shared" si="81"/>
        <v>6.7229999999999998E-2</v>
      </c>
      <c r="I282" s="666">
        <f t="shared" si="49"/>
        <v>6.7229999999999998E-2</v>
      </c>
      <c r="J282" s="666">
        <f t="shared" si="76"/>
        <v>6.7229999999999998E-2</v>
      </c>
      <c r="K282" s="666">
        <f t="shared" si="76"/>
        <v>6.7229999999999998E-2</v>
      </c>
      <c r="L282" s="666">
        <f t="shared" si="76"/>
        <v>6.7229999999999998E-2</v>
      </c>
      <c r="M282" s="666">
        <f t="shared" si="76"/>
        <v>6.7229999999999998E-2</v>
      </c>
      <c r="N282" s="666">
        <f t="shared" si="76"/>
        <v>6.7229999999999998E-2</v>
      </c>
      <c r="O282" s="666">
        <f t="shared" si="76"/>
        <v>6.7229999999999998E-2</v>
      </c>
      <c r="P282" s="666">
        <f t="shared" si="76"/>
        <v>6.7229999999999998E-2</v>
      </c>
      <c r="Q282" s="666">
        <f t="shared" si="76"/>
        <v>6.7229999999999998E-2</v>
      </c>
      <c r="R282" s="666">
        <f t="shared" si="76"/>
        <v>6.7229999999999998E-2</v>
      </c>
      <c r="S282" s="666">
        <f t="shared" si="76"/>
        <v>6.7229999999999998E-2</v>
      </c>
      <c r="T282" s="666">
        <f t="shared" si="76"/>
        <v>6.7229999999999998E-2</v>
      </c>
      <c r="U282" s="666">
        <f t="shared" si="76"/>
        <v>6.7229999999999998E-2</v>
      </c>
      <c r="V282" s="666">
        <f t="shared" si="76"/>
        <v>6.7229999999999998E-2</v>
      </c>
      <c r="X282" s="307" t="str">
        <f t="shared" si="75"/>
        <v>Assumed 25% higher than long-distance</v>
      </c>
      <c r="Y282" s="359">
        <f>Y281*1.25</f>
        <v>1487.5</v>
      </c>
      <c r="AA282" s="107" t="s">
        <v>699</v>
      </c>
      <c r="AB282" s="108">
        <v>1190</v>
      </c>
    </row>
    <row r="283" spans="2:28" s="360" customFormat="1" x14ac:dyDescent="0.3">
      <c r="B283" s="191" t="s">
        <v>506</v>
      </c>
      <c r="C283" s="191" t="s">
        <v>157</v>
      </c>
      <c r="D283" s="191"/>
      <c r="E283" s="191"/>
      <c r="F283" s="191" t="s">
        <v>648</v>
      </c>
      <c r="G283" s="659">
        <f t="shared" si="74"/>
        <v>0.10309</v>
      </c>
      <c r="H283" s="666">
        <f t="shared" si="81"/>
        <v>0.10309</v>
      </c>
      <c r="I283" s="666">
        <f t="shared" ref="I283:V294" si="82">$H283</f>
        <v>0.10309</v>
      </c>
      <c r="J283" s="666">
        <f t="shared" si="82"/>
        <v>0.10309</v>
      </c>
      <c r="K283" s="666">
        <f t="shared" si="82"/>
        <v>0.10309</v>
      </c>
      <c r="L283" s="666">
        <f t="shared" si="82"/>
        <v>0.10309</v>
      </c>
      <c r="M283" s="666">
        <f t="shared" si="82"/>
        <v>0.10309</v>
      </c>
      <c r="N283" s="666">
        <f t="shared" si="82"/>
        <v>0.10309</v>
      </c>
      <c r="O283" s="666">
        <f t="shared" si="82"/>
        <v>0.10309</v>
      </c>
      <c r="P283" s="666">
        <f t="shared" si="82"/>
        <v>0.10309</v>
      </c>
      <c r="Q283" s="666">
        <f t="shared" si="82"/>
        <v>0.10309</v>
      </c>
      <c r="R283" s="666">
        <f t="shared" si="82"/>
        <v>0.10309</v>
      </c>
      <c r="S283" s="666">
        <f t="shared" si="82"/>
        <v>0.10309</v>
      </c>
      <c r="T283" s="666">
        <f t="shared" si="82"/>
        <v>0.10309</v>
      </c>
      <c r="U283" s="666">
        <f t="shared" si="82"/>
        <v>0.10309</v>
      </c>
      <c r="V283" s="666">
        <f t="shared" si="82"/>
        <v>0.10309</v>
      </c>
      <c r="X283" s="307" t="str">
        <f t="shared" si="75"/>
        <v>JRC-EU-TIMES; data for 2010</v>
      </c>
      <c r="Y283" s="302">
        <v>970</v>
      </c>
    </row>
    <row r="284" spans="2:28" s="360" customFormat="1" x14ac:dyDescent="0.3">
      <c r="B284" s="191" t="s">
        <v>506</v>
      </c>
      <c r="C284" s="191" t="s">
        <v>157</v>
      </c>
      <c r="D284" s="191"/>
      <c r="E284" s="191"/>
      <c r="F284" s="191" t="s">
        <v>651</v>
      </c>
      <c r="G284" s="659">
        <f t="shared" si="74"/>
        <v>8.2470000000000002E-2</v>
      </c>
      <c r="H284" s="666">
        <f t="shared" si="81"/>
        <v>8.2470000000000002E-2</v>
      </c>
      <c r="I284" s="666">
        <f t="shared" si="82"/>
        <v>8.2470000000000002E-2</v>
      </c>
      <c r="J284" s="666">
        <f t="shared" si="82"/>
        <v>8.2470000000000002E-2</v>
      </c>
      <c r="K284" s="666">
        <f t="shared" si="82"/>
        <v>8.2470000000000002E-2</v>
      </c>
      <c r="L284" s="666">
        <f t="shared" si="82"/>
        <v>8.2470000000000002E-2</v>
      </c>
      <c r="M284" s="666">
        <f t="shared" si="82"/>
        <v>8.2470000000000002E-2</v>
      </c>
      <c r="N284" s="666">
        <f t="shared" si="82"/>
        <v>8.2470000000000002E-2</v>
      </c>
      <c r="O284" s="666">
        <f t="shared" si="82"/>
        <v>8.2470000000000002E-2</v>
      </c>
      <c r="P284" s="666">
        <f t="shared" si="82"/>
        <v>8.2470000000000002E-2</v>
      </c>
      <c r="Q284" s="666">
        <f t="shared" si="82"/>
        <v>8.2470000000000002E-2</v>
      </c>
      <c r="R284" s="666">
        <f t="shared" si="82"/>
        <v>8.2470000000000002E-2</v>
      </c>
      <c r="S284" s="666">
        <f t="shared" si="82"/>
        <v>8.2470000000000002E-2</v>
      </c>
      <c r="T284" s="666">
        <f t="shared" si="82"/>
        <v>8.2470000000000002E-2</v>
      </c>
      <c r="U284" s="666">
        <f t="shared" si="82"/>
        <v>8.2470000000000002E-2</v>
      </c>
      <c r="V284" s="666">
        <f t="shared" si="82"/>
        <v>8.2470000000000002E-2</v>
      </c>
      <c r="X284" s="307" t="str">
        <f t="shared" si="75"/>
        <v>Assumed 25% higher than long-distance</v>
      </c>
      <c r="Y284" s="359">
        <f>Y283*1.25</f>
        <v>1212.5</v>
      </c>
    </row>
    <row r="285" spans="2:28" s="360" customFormat="1" x14ac:dyDescent="0.3">
      <c r="B285" s="191" t="s">
        <v>506</v>
      </c>
      <c r="C285" s="191" t="s">
        <v>158</v>
      </c>
      <c r="D285" s="191"/>
      <c r="E285" s="191"/>
      <c r="F285" s="191" t="s">
        <v>648</v>
      </c>
      <c r="G285" s="659">
        <f t="shared" ref="G285:G294" si="83">ROUND(10^2/Y285,5)</f>
        <v>0.10526000000000001</v>
      </c>
      <c r="H285" s="666">
        <f t="shared" si="81"/>
        <v>0.10526000000000001</v>
      </c>
      <c r="I285" s="666">
        <f t="shared" si="82"/>
        <v>0.10526000000000001</v>
      </c>
      <c r="J285" s="666">
        <f t="shared" si="82"/>
        <v>0.10526000000000001</v>
      </c>
      <c r="K285" s="666">
        <f t="shared" si="82"/>
        <v>0.10526000000000001</v>
      </c>
      <c r="L285" s="666">
        <f t="shared" si="82"/>
        <v>0.10526000000000001</v>
      </c>
      <c r="M285" s="666">
        <f t="shared" si="82"/>
        <v>0.10526000000000001</v>
      </c>
      <c r="N285" s="666">
        <f t="shared" si="82"/>
        <v>0.10526000000000001</v>
      </c>
      <c r="O285" s="666">
        <f t="shared" si="82"/>
        <v>0.10526000000000001</v>
      </c>
      <c r="P285" s="666">
        <f t="shared" si="82"/>
        <v>0.10526000000000001</v>
      </c>
      <c r="Q285" s="666">
        <f t="shared" si="82"/>
        <v>0.10526000000000001</v>
      </c>
      <c r="R285" s="666">
        <f t="shared" si="82"/>
        <v>0.10526000000000001</v>
      </c>
      <c r="S285" s="666">
        <f t="shared" si="82"/>
        <v>0.10526000000000001</v>
      </c>
      <c r="T285" s="666">
        <f t="shared" si="82"/>
        <v>0.10526000000000001</v>
      </c>
      <c r="U285" s="666">
        <f t="shared" si="82"/>
        <v>0.10526000000000001</v>
      </c>
      <c r="V285" s="666">
        <f t="shared" si="82"/>
        <v>0.10526000000000001</v>
      </c>
      <c r="X285" s="307" t="str">
        <f t="shared" si="75"/>
        <v>JRC-EU-TIMES; data for 2010</v>
      </c>
      <c r="Y285" s="462">
        <v>950</v>
      </c>
    </row>
    <row r="286" spans="2:28" s="360" customFormat="1" x14ac:dyDescent="0.3">
      <c r="B286" s="191" t="s">
        <v>506</v>
      </c>
      <c r="C286" s="191" t="s">
        <v>158</v>
      </c>
      <c r="D286" s="191"/>
      <c r="E286" s="191"/>
      <c r="F286" s="191" t="s">
        <v>651</v>
      </c>
      <c r="G286" s="659">
        <f t="shared" si="83"/>
        <v>8.4209999999999993E-2</v>
      </c>
      <c r="H286" s="666">
        <f t="shared" si="81"/>
        <v>8.4209999999999993E-2</v>
      </c>
      <c r="I286" s="666">
        <f t="shared" si="82"/>
        <v>8.4209999999999993E-2</v>
      </c>
      <c r="J286" s="666">
        <f t="shared" si="82"/>
        <v>8.4209999999999993E-2</v>
      </c>
      <c r="K286" s="666">
        <f t="shared" si="82"/>
        <v>8.4209999999999993E-2</v>
      </c>
      <c r="L286" s="666">
        <f t="shared" si="82"/>
        <v>8.4209999999999993E-2</v>
      </c>
      <c r="M286" s="666">
        <f t="shared" si="82"/>
        <v>8.4209999999999993E-2</v>
      </c>
      <c r="N286" s="666">
        <f t="shared" si="82"/>
        <v>8.4209999999999993E-2</v>
      </c>
      <c r="O286" s="666">
        <f t="shared" si="82"/>
        <v>8.4209999999999993E-2</v>
      </c>
      <c r="P286" s="666">
        <f t="shared" si="82"/>
        <v>8.4209999999999993E-2</v>
      </c>
      <c r="Q286" s="666">
        <f t="shared" si="82"/>
        <v>8.4209999999999993E-2</v>
      </c>
      <c r="R286" s="666">
        <f t="shared" si="82"/>
        <v>8.4209999999999993E-2</v>
      </c>
      <c r="S286" s="666">
        <f t="shared" si="82"/>
        <v>8.4209999999999993E-2</v>
      </c>
      <c r="T286" s="666">
        <f t="shared" si="82"/>
        <v>8.4209999999999993E-2</v>
      </c>
      <c r="U286" s="666">
        <f t="shared" si="82"/>
        <v>8.4209999999999993E-2</v>
      </c>
      <c r="V286" s="666">
        <f t="shared" si="82"/>
        <v>8.4209999999999993E-2</v>
      </c>
      <c r="X286" s="307" t="str">
        <f t="shared" si="75"/>
        <v>Assumed 25% higher than long-distance</v>
      </c>
      <c r="Y286" s="462">
        <f>Y285*1.25</f>
        <v>1187.5</v>
      </c>
    </row>
    <row r="287" spans="2:28" s="360" customFormat="1" x14ac:dyDescent="0.3">
      <c r="B287" s="191" t="s">
        <v>506</v>
      </c>
      <c r="C287" s="191" t="s">
        <v>159</v>
      </c>
      <c r="D287" s="191"/>
      <c r="E287" s="191"/>
      <c r="F287" s="191" t="s">
        <v>648</v>
      </c>
      <c r="G287" s="659">
        <f t="shared" si="83"/>
        <v>8.4029999999999994E-2</v>
      </c>
      <c r="H287" s="666">
        <f t="shared" si="81"/>
        <v>8.4029999999999994E-2</v>
      </c>
      <c r="I287" s="666">
        <f t="shared" si="82"/>
        <v>8.4029999999999994E-2</v>
      </c>
      <c r="J287" s="666">
        <f t="shared" si="82"/>
        <v>8.4029999999999994E-2</v>
      </c>
      <c r="K287" s="666">
        <f t="shared" si="82"/>
        <v>8.4029999999999994E-2</v>
      </c>
      <c r="L287" s="666">
        <f t="shared" si="82"/>
        <v>8.4029999999999994E-2</v>
      </c>
      <c r="M287" s="666">
        <f t="shared" si="82"/>
        <v>8.4029999999999994E-2</v>
      </c>
      <c r="N287" s="666">
        <f t="shared" si="82"/>
        <v>8.4029999999999994E-2</v>
      </c>
      <c r="O287" s="666">
        <f t="shared" si="82"/>
        <v>8.4029999999999994E-2</v>
      </c>
      <c r="P287" s="666">
        <f t="shared" si="82"/>
        <v>8.4029999999999994E-2</v>
      </c>
      <c r="Q287" s="666">
        <f t="shared" si="82"/>
        <v>8.4029999999999994E-2</v>
      </c>
      <c r="R287" s="666">
        <f t="shared" si="82"/>
        <v>8.4029999999999994E-2</v>
      </c>
      <c r="S287" s="666">
        <f t="shared" si="82"/>
        <v>8.4029999999999994E-2</v>
      </c>
      <c r="T287" s="666">
        <f t="shared" si="82"/>
        <v>8.4029999999999994E-2</v>
      </c>
      <c r="U287" s="666">
        <f t="shared" si="82"/>
        <v>8.4029999999999994E-2</v>
      </c>
      <c r="V287" s="666">
        <f t="shared" si="82"/>
        <v>8.4029999999999994E-2</v>
      </c>
      <c r="X287" s="307" t="str">
        <f t="shared" si="75"/>
        <v>Assumed same as GSL/ETH</v>
      </c>
      <c r="Y287" s="359">
        <f>Y281</f>
        <v>1190</v>
      </c>
    </row>
    <row r="288" spans="2:28" s="360" customFormat="1" x14ac:dyDescent="0.3">
      <c r="B288" s="191" t="s">
        <v>506</v>
      </c>
      <c r="C288" s="191" t="s">
        <v>159</v>
      </c>
      <c r="D288" s="191"/>
      <c r="E288" s="191"/>
      <c r="F288" s="191" t="s">
        <v>651</v>
      </c>
      <c r="G288" s="659">
        <f t="shared" si="83"/>
        <v>6.7229999999999998E-2</v>
      </c>
      <c r="H288" s="666">
        <f t="shared" si="81"/>
        <v>6.7229999999999998E-2</v>
      </c>
      <c r="I288" s="666">
        <f t="shared" si="82"/>
        <v>6.7229999999999998E-2</v>
      </c>
      <c r="J288" s="666">
        <f t="shared" si="82"/>
        <v>6.7229999999999998E-2</v>
      </c>
      <c r="K288" s="666">
        <f t="shared" si="82"/>
        <v>6.7229999999999998E-2</v>
      </c>
      <c r="L288" s="666">
        <f t="shared" si="82"/>
        <v>6.7229999999999998E-2</v>
      </c>
      <c r="M288" s="666">
        <f t="shared" si="82"/>
        <v>6.7229999999999998E-2</v>
      </c>
      <c r="N288" s="666">
        <f t="shared" si="82"/>
        <v>6.7229999999999998E-2</v>
      </c>
      <c r="O288" s="666">
        <f t="shared" si="82"/>
        <v>6.7229999999999998E-2</v>
      </c>
      <c r="P288" s="666">
        <f t="shared" si="82"/>
        <v>6.7229999999999998E-2</v>
      </c>
      <c r="Q288" s="666">
        <f t="shared" si="82"/>
        <v>6.7229999999999998E-2</v>
      </c>
      <c r="R288" s="666">
        <f t="shared" si="82"/>
        <v>6.7229999999999998E-2</v>
      </c>
      <c r="S288" s="666">
        <f t="shared" si="82"/>
        <v>6.7229999999999998E-2</v>
      </c>
      <c r="T288" s="666">
        <f t="shared" si="82"/>
        <v>6.7229999999999998E-2</v>
      </c>
      <c r="U288" s="666">
        <f t="shared" si="82"/>
        <v>6.7229999999999998E-2</v>
      </c>
      <c r="V288" s="666">
        <f t="shared" si="82"/>
        <v>6.7229999999999998E-2</v>
      </c>
      <c r="X288" s="307" t="str">
        <f t="shared" si="75"/>
        <v>Assumed same as GSL/ETH</v>
      </c>
      <c r="Y288" s="359">
        <f>Y287*1.25</f>
        <v>1487.5</v>
      </c>
    </row>
    <row r="289" spans="2:25" s="360" customFormat="1" x14ac:dyDescent="0.3">
      <c r="B289" s="191" t="s">
        <v>506</v>
      </c>
      <c r="C289" s="191" t="s">
        <v>160</v>
      </c>
      <c r="D289" s="191"/>
      <c r="E289" s="191"/>
      <c r="F289" s="191" t="s">
        <v>648</v>
      </c>
      <c r="G289" s="659">
        <f t="shared" si="83"/>
        <v>0.10852000000000001</v>
      </c>
      <c r="H289" s="666">
        <f t="shared" si="81"/>
        <v>0.10852000000000001</v>
      </c>
      <c r="I289" s="666">
        <f t="shared" si="82"/>
        <v>0.10852000000000001</v>
      </c>
      <c r="J289" s="666">
        <f t="shared" si="82"/>
        <v>0.10852000000000001</v>
      </c>
      <c r="K289" s="666">
        <f t="shared" si="82"/>
        <v>0.10852000000000001</v>
      </c>
      <c r="L289" s="666">
        <f t="shared" si="82"/>
        <v>0.10852000000000001</v>
      </c>
      <c r="M289" s="666">
        <f t="shared" si="82"/>
        <v>0.10852000000000001</v>
      </c>
      <c r="N289" s="666">
        <f t="shared" si="82"/>
        <v>0.10852000000000001</v>
      </c>
      <c r="O289" s="666">
        <f t="shared" si="82"/>
        <v>0.10852000000000001</v>
      </c>
      <c r="P289" s="666">
        <f t="shared" si="82"/>
        <v>0.10852000000000001</v>
      </c>
      <c r="Q289" s="666">
        <f t="shared" si="82"/>
        <v>0.10852000000000001</v>
      </c>
      <c r="R289" s="666">
        <f t="shared" si="82"/>
        <v>0.10852000000000001</v>
      </c>
      <c r="S289" s="666">
        <f t="shared" si="82"/>
        <v>0.10852000000000001</v>
      </c>
      <c r="T289" s="666">
        <f t="shared" si="82"/>
        <v>0.10852000000000001</v>
      </c>
      <c r="U289" s="666">
        <f t="shared" si="82"/>
        <v>0.10852000000000001</v>
      </c>
      <c r="V289" s="666">
        <f t="shared" si="82"/>
        <v>0.10852000000000001</v>
      </c>
      <c r="X289" s="307" t="s">
        <v>722</v>
      </c>
      <c r="Y289" s="417">
        <f>Y283*0.95</f>
        <v>921.5</v>
      </c>
    </row>
    <row r="290" spans="2:25" s="360" customFormat="1" x14ac:dyDescent="0.3">
      <c r="B290" s="191" t="s">
        <v>506</v>
      </c>
      <c r="C290" s="191" t="s">
        <v>160</v>
      </c>
      <c r="D290" s="191"/>
      <c r="E290" s="191"/>
      <c r="F290" s="191" t="s">
        <v>651</v>
      </c>
      <c r="G290" s="659">
        <f t="shared" si="83"/>
        <v>8.6809999999999998E-2</v>
      </c>
      <c r="H290" s="666">
        <f t="shared" si="81"/>
        <v>8.6809999999999998E-2</v>
      </c>
      <c r="I290" s="666">
        <f t="shared" si="82"/>
        <v>8.6809999999999998E-2</v>
      </c>
      <c r="J290" s="666">
        <f t="shared" si="82"/>
        <v>8.6809999999999998E-2</v>
      </c>
      <c r="K290" s="666">
        <f t="shared" si="82"/>
        <v>8.6809999999999998E-2</v>
      </c>
      <c r="L290" s="666">
        <f t="shared" si="82"/>
        <v>8.6809999999999998E-2</v>
      </c>
      <c r="M290" s="666">
        <f t="shared" si="82"/>
        <v>8.6809999999999998E-2</v>
      </c>
      <c r="N290" s="666">
        <f t="shared" si="82"/>
        <v>8.6809999999999998E-2</v>
      </c>
      <c r="O290" s="666">
        <f t="shared" si="82"/>
        <v>8.6809999999999998E-2</v>
      </c>
      <c r="P290" s="666">
        <f t="shared" si="82"/>
        <v>8.6809999999999998E-2</v>
      </c>
      <c r="Q290" s="666">
        <f t="shared" si="82"/>
        <v>8.6809999999999998E-2</v>
      </c>
      <c r="R290" s="666">
        <f t="shared" si="82"/>
        <v>8.6809999999999998E-2</v>
      </c>
      <c r="S290" s="666">
        <f t="shared" si="82"/>
        <v>8.6809999999999998E-2</v>
      </c>
      <c r="T290" s="666">
        <f t="shared" si="82"/>
        <v>8.6809999999999998E-2</v>
      </c>
      <c r="U290" s="666">
        <f t="shared" si="82"/>
        <v>8.6809999999999998E-2</v>
      </c>
      <c r="V290" s="666">
        <f t="shared" si="82"/>
        <v>8.6809999999999998E-2</v>
      </c>
      <c r="X290" s="307" t="s">
        <v>722</v>
      </c>
      <c r="Y290" s="417">
        <f>Y284*0.95</f>
        <v>1151.875</v>
      </c>
    </row>
    <row r="291" spans="2:25" s="642" customFormat="1" x14ac:dyDescent="0.3">
      <c r="B291" s="420" t="s">
        <v>506</v>
      </c>
      <c r="C291" s="420" t="s">
        <v>161</v>
      </c>
      <c r="D291" s="420"/>
      <c r="E291" s="420"/>
      <c r="F291" s="420" t="s">
        <v>648</v>
      </c>
      <c r="G291" s="659">
        <f t="shared" si="83"/>
        <v>90.909090000000006</v>
      </c>
      <c r="H291" s="669">
        <f t="shared" si="81"/>
        <v>90.909090000000006</v>
      </c>
      <c r="I291" s="669">
        <f t="shared" si="82"/>
        <v>90.909090000000006</v>
      </c>
      <c r="J291" s="669">
        <f t="shared" si="82"/>
        <v>90.909090000000006</v>
      </c>
      <c r="K291" s="669">
        <f t="shared" si="82"/>
        <v>90.909090000000006</v>
      </c>
      <c r="L291" s="669">
        <f t="shared" si="82"/>
        <v>90.909090000000006</v>
      </c>
      <c r="M291" s="669">
        <f t="shared" si="82"/>
        <v>90.909090000000006</v>
      </c>
      <c r="N291" s="669">
        <f t="shared" si="82"/>
        <v>90.909090000000006</v>
      </c>
      <c r="O291" s="669">
        <f t="shared" si="82"/>
        <v>90.909090000000006</v>
      </c>
      <c r="P291" s="669">
        <f t="shared" si="82"/>
        <v>90.909090000000006</v>
      </c>
      <c r="Q291" s="669">
        <f t="shared" si="82"/>
        <v>90.909090000000006</v>
      </c>
      <c r="R291" s="669">
        <f t="shared" si="82"/>
        <v>90.909090000000006</v>
      </c>
      <c r="S291" s="669">
        <f t="shared" si="82"/>
        <v>90.909090000000006</v>
      </c>
      <c r="T291" s="669">
        <f t="shared" si="82"/>
        <v>90.909090000000006</v>
      </c>
      <c r="U291" s="669">
        <f t="shared" si="82"/>
        <v>90.909090000000006</v>
      </c>
      <c r="V291" s="669">
        <f t="shared" si="82"/>
        <v>90.909090000000006</v>
      </c>
      <c r="X291" s="643" t="str">
        <f t="shared" si="75"/>
        <v>??</v>
      </c>
      <c r="Y291" s="415">
        <v>1.1000000000000001</v>
      </c>
    </row>
    <row r="292" spans="2:25" s="642" customFormat="1" x14ac:dyDescent="0.3">
      <c r="B292" s="644" t="s">
        <v>506</v>
      </c>
      <c r="C292" s="644" t="s">
        <v>161</v>
      </c>
      <c r="D292" s="644"/>
      <c r="E292" s="644"/>
      <c r="F292" s="644" t="s">
        <v>651</v>
      </c>
      <c r="G292" s="668">
        <f t="shared" si="83"/>
        <v>90.909090000000006</v>
      </c>
      <c r="H292" s="670">
        <f t="shared" si="81"/>
        <v>90.909090000000006</v>
      </c>
      <c r="I292" s="670">
        <f t="shared" si="82"/>
        <v>90.909090000000006</v>
      </c>
      <c r="J292" s="670">
        <f t="shared" si="82"/>
        <v>90.909090000000006</v>
      </c>
      <c r="K292" s="670">
        <f t="shared" si="82"/>
        <v>90.909090000000006</v>
      </c>
      <c r="L292" s="670">
        <f t="shared" si="82"/>
        <v>90.909090000000006</v>
      </c>
      <c r="M292" s="670">
        <f t="shared" si="82"/>
        <v>90.909090000000006</v>
      </c>
      <c r="N292" s="670">
        <f t="shared" si="82"/>
        <v>90.909090000000006</v>
      </c>
      <c r="O292" s="670">
        <f t="shared" si="82"/>
        <v>90.909090000000006</v>
      </c>
      <c r="P292" s="670">
        <f t="shared" si="82"/>
        <v>90.909090000000006</v>
      </c>
      <c r="Q292" s="670">
        <f t="shared" si="82"/>
        <v>90.909090000000006</v>
      </c>
      <c r="R292" s="670">
        <f t="shared" si="82"/>
        <v>90.909090000000006</v>
      </c>
      <c r="S292" s="670">
        <f t="shared" si="82"/>
        <v>90.909090000000006</v>
      </c>
      <c r="T292" s="670">
        <f t="shared" si="82"/>
        <v>90.909090000000006</v>
      </c>
      <c r="U292" s="670">
        <f t="shared" si="82"/>
        <v>90.909090000000006</v>
      </c>
      <c r="V292" s="670">
        <f t="shared" si="82"/>
        <v>90.909090000000006</v>
      </c>
      <c r="X292" s="645" t="str">
        <f t="shared" ref="X292" si="84">X223</f>
        <v>??</v>
      </c>
      <c r="Y292" s="574">
        <v>1.1000000000000001</v>
      </c>
    </row>
    <row r="293" spans="2:25" s="360" customFormat="1" x14ac:dyDescent="0.3">
      <c r="B293" s="191" t="s">
        <v>506</v>
      </c>
      <c r="C293" s="191" t="s">
        <v>166</v>
      </c>
      <c r="D293" s="191"/>
      <c r="E293" s="191"/>
      <c r="F293" s="191" t="s">
        <v>509</v>
      </c>
      <c r="G293" s="659">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3">
      <c r="B294" s="191" t="s">
        <v>506</v>
      </c>
      <c r="C294" s="191" t="s">
        <v>167</v>
      </c>
      <c r="D294" s="191"/>
      <c r="E294" s="191"/>
      <c r="F294" s="191" t="s">
        <v>508</v>
      </c>
      <c r="G294" s="659">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hidden="1" x14ac:dyDescent="0.3">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6" spans="2:25" hidden="1" x14ac:dyDescent="0.3"/>
    <row r="297" spans="2:25" hidden="1" x14ac:dyDescent="0.3">
      <c r="B297" s="466" t="s">
        <v>727</v>
      </c>
      <c r="G297" s="457"/>
    </row>
    <row r="298" spans="2:25" s="3" customFormat="1" hidden="1" x14ac:dyDescent="0.3">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hidden="1" x14ac:dyDescent="0.3">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hidden="1" x14ac:dyDescent="0.3">
      <c r="B300" s="186" t="s">
        <v>80</v>
      </c>
      <c r="C300" s="186" t="s">
        <v>216</v>
      </c>
      <c r="D300" s="169" t="s">
        <v>178</v>
      </c>
      <c r="E300" s="186"/>
      <c r="F300" s="186" t="s">
        <v>441</v>
      </c>
      <c r="G300" s="659">
        <f t="shared" ref="G300:G305" si="85">ROUND(10^2/Y300,5)</f>
        <v>5.2500000000000003E-3</v>
      </c>
      <c r="H300" s="660">
        <f t="shared" ref="H300:V305" si="86">$G300</f>
        <v>5.2500000000000003E-3</v>
      </c>
      <c r="I300" s="660">
        <f t="shared" si="86"/>
        <v>5.2500000000000003E-3</v>
      </c>
      <c r="J300" s="660">
        <f t="shared" si="86"/>
        <v>5.2500000000000003E-3</v>
      </c>
      <c r="K300" s="660">
        <f t="shared" si="86"/>
        <v>5.2500000000000003E-3</v>
      </c>
      <c r="L300" s="660">
        <f t="shared" si="86"/>
        <v>5.2500000000000003E-3</v>
      </c>
      <c r="M300" s="660">
        <f t="shared" si="86"/>
        <v>5.2500000000000003E-3</v>
      </c>
      <c r="N300" s="660">
        <f t="shared" si="86"/>
        <v>5.2500000000000003E-3</v>
      </c>
      <c r="O300" s="660">
        <f t="shared" si="86"/>
        <v>5.2500000000000003E-3</v>
      </c>
      <c r="P300" s="660">
        <f t="shared" si="86"/>
        <v>5.2500000000000003E-3</v>
      </c>
      <c r="Q300" s="660">
        <f t="shared" si="86"/>
        <v>5.2500000000000003E-3</v>
      </c>
      <c r="R300" s="660">
        <f t="shared" si="86"/>
        <v>5.2500000000000003E-3</v>
      </c>
      <c r="S300" s="660">
        <f t="shared" si="86"/>
        <v>5.2500000000000003E-3</v>
      </c>
      <c r="T300" s="660">
        <f t="shared" si="86"/>
        <v>5.2500000000000003E-3</v>
      </c>
      <c r="U300" s="660">
        <f t="shared" si="86"/>
        <v>5.2500000000000003E-3</v>
      </c>
      <c r="V300" s="660">
        <f t="shared" si="86"/>
        <v>5.2500000000000003E-3</v>
      </c>
      <c r="X300" s="461" t="s">
        <v>728</v>
      </c>
      <c r="Y300" s="462">
        <f>3.6*118172064/22334.6506570564</f>
        <v>19047.507701473412</v>
      </c>
    </row>
    <row r="301" spans="2:25" hidden="1" x14ac:dyDescent="0.3">
      <c r="B301" s="186" t="s">
        <v>80</v>
      </c>
      <c r="C301" s="186" t="s">
        <v>217</v>
      </c>
      <c r="D301" s="169" t="s">
        <v>179</v>
      </c>
      <c r="E301" s="186"/>
      <c r="F301" s="186" t="s">
        <v>441</v>
      </c>
      <c r="G301" s="659">
        <f t="shared" si="85"/>
        <v>1.1350000000000001E-2</v>
      </c>
      <c r="H301" s="660">
        <f t="shared" si="86"/>
        <v>1.1350000000000001E-2</v>
      </c>
      <c r="I301" s="660">
        <f t="shared" si="86"/>
        <v>1.1350000000000001E-2</v>
      </c>
      <c r="J301" s="660">
        <f t="shared" si="86"/>
        <v>1.1350000000000001E-2</v>
      </c>
      <c r="K301" s="660">
        <f t="shared" si="86"/>
        <v>1.1350000000000001E-2</v>
      </c>
      <c r="L301" s="660">
        <f t="shared" si="86"/>
        <v>1.1350000000000001E-2</v>
      </c>
      <c r="M301" s="660">
        <f t="shared" si="86"/>
        <v>1.1350000000000001E-2</v>
      </c>
      <c r="N301" s="660">
        <f t="shared" si="86"/>
        <v>1.1350000000000001E-2</v>
      </c>
      <c r="O301" s="660">
        <f t="shared" si="86"/>
        <v>1.1350000000000001E-2</v>
      </c>
      <c r="P301" s="660">
        <f t="shared" si="86"/>
        <v>1.1350000000000001E-2</v>
      </c>
      <c r="Q301" s="660">
        <f t="shared" si="86"/>
        <v>1.1350000000000001E-2</v>
      </c>
      <c r="R301" s="660">
        <f t="shared" si="86"/>
        <v>1.1350000000000001E-2</v>
      </c>
      <c r="S301" s="660">
        <f t="shared" si="86"/>
        <v>1.1350000000000001E-2</v>
      </c>
      <c r="T301" s="660">
        <f t="shared" si="86"/>
        <v>1.1350000000000001E-2</v>
      </c>
      <c r="U301" s="660">
        <f t="shared" si="86"/>
        <v>1.1350000000000001E-2</v>
      </c>
      <c r="V301" s="660">
        <f t="shared" si="86"/>
        <v>1.1350000000000001E-2</v>
      </c>
      <c r="X301" s="461" t="s">
        <v>728</v>
      </c>
      <c r="Y301" s="462">
        <f>3.6*812787000/332247.996132791</f>
        <v>8806.7745601407314</v>
      </c>
    </row>
    <row r="302" spans="2:25" hidden="1" x14ac:dyDescent="0.3">
      <c r="B302" s="186" t="s">
        <v>80</v>
      </c>
      <c r="C302" s="186" t="s">
        <v>218</v>
      </c>
      <c r="D302" s="271" t="s">
        <v>173</v>
      </c>
      <c r="E302" s="186"/>
      <c r="F302" s="186" t="s">
        <v>510</v>
      </c>
      <c r="G302" s="659">
        <f t="shared" si="85"/>
        <v>6.5689999999999998E-2</v>
      </c>
      <c r="H302" s="660">
        <f t="shared" si="86"/>
        <v>6.5689999999999998E-2</v>
      </c>
      <c r="I302" s="660">
        <f t="shared" si="86"/>
        <v>6.5689999999999998E-2</v>
      </c>
      <c r="J302" s="660">
        <f t="shared" si="86"/>
        <v>6.5689999999999998E-2</v>
      </c>
      <c r="K302" s="660">
        <f t="shared" si="86"/>
        <v>6.5689999999999998E-2</v>
      </c>
      <c r="L302" s="660">
        <f t="shared" si="86"/>
        <v>6.5689999999999998E-2</v>
      </c>
      <c r="M302" s="660">
        <f t="shared" si="86"/>
        <v>6.5689999999999998E-2</v>
      </c>
      <c r="N302" s="660">
        <f t="shared" si="86"/>
        <v>6.5689999999999998E-2</v>
      </c>
      <c r="O302" s="660">
        <f t="shared" si="86"/>
        <v>6.5689999999999998E-2</v>
      </c>
      <c r="P302" s="660">
        <f t="shared" si="86"/>
        <v>6.5689999999999998E-2</v>
      </c>
      <c r="Q302" s="660">
        <f t="shared" si="86"/>
        <v>6.5689999999999998E-2</v>
      </c>
      <c r="R302" s="660">
        <f t="shared" si="86"/>
        <v>6.5689999999999998E-2</v>
      </c>
      <c r="S302" s="660">
        <f t="shared" si="86"/>
        <v>6.5689999999999998E-2</v>
      </c>
      <c r="T302" s="660">
        <f t="shared" si="86"/>
        <v>6.5689999999999998E-2</v>
      </c>
      <c r="U302" s="660">
        <f t="shared" si="86"/>
        <v>6.5689999999999998E-2</v>
      </c>
      <c r="V302" s="660">
        <f t="shared" si="86"/>
        <v>6.5689999999999998E-2</v>
      </c>
      <c r="X302" s="461" t="s">
        <v>728</v>
      </c>
      <c r="Y302" s="462">
        <f>3.6*74697000/176652.59</f>
        <v>1522.2488388084205</v>
      </c>
    </row>
    <row r="303" spans="2:25" hidden="1" x14ac:dyDescent="0.3">
      <c r="B303" s="186" t="s">
        <v>80</v>
      </c>
      <c r="C303" s="186" t="s">
        <v>219</v>
      </c>
      <c r="D303" s="169" t="s">
        <v>174</v>
      </c>
      <c r="E303" s="186"/>
      <c r="F303" s="186" t="s">
        <v>512</v>
      </c>
      <c r="G303" s="659">
        <f t="shared" si="85"/>
        <v>1.7610000000000001E-2</v>
      </c>
      <c r="H303" s="660">
        <f t="shared" si="86"/>
        <v>1.7610000000000001E-2</v>
      </c>
      <c r="I303" s="660">
        <f t="shared" si="86"/>
        <v>1.7610000000000001E-2</v>
      </c>
      <c r="J303" s="660">
        <f t="shared" si="86"/>
        <v>1.7610000000000001E-2</v>
      </c>
      <c r="K303" s="660">
        <f t="shared" si="86"/>
        <v>1.7610000000000001E-2</v>
      </c>
      <c r="L303" s="660">
        <f t="shared" si="86"/>
        <v>1.7610000000000001E-2</v>
      </c>
      <c r="M303" s="660">
        <f t="shared" si="86"/>
        <v>1.7610000000000001E-2</v>
      </c>
      <c r="N303" s="660">
        <f t="shared" si="86"/>
        <v>1.7610000000000001E-2</v>
      </c>
      <c r="O303" s="660">
        <f t="shared" si="86"/>
        <v>1.7610000000000001E-2</v>
      </c>
      <c r="P303" s="660">
        <f t="shared" si="86"/>
        <v>1.7610000000000001E-2</v>
      </c>
      <c r="Q303" s="660">
        <f t="shared" si="86"/>
        <v>1.7610000000000001E-2</v>
      </c>
      <c r="R303" s="660">
        <f t="shared" si="86"/>
        <v>1.7610000000000001E-2</v>
      </c>
      <c r="S303" s="660">
        <f t="shared" si="86"/>
        <v>1.7610000000000001E-2</v>
      </c>
      <c r="T303" s="660">
        <f t="shared" si="86"/>
        <v>1.7610000000000001E-2</v>
      </c>
      <c r="U303" s="660">
        <f t="shared" si="86"/>
        <v>1.7610000000000001E-2</v>
      </c>
      <c r="V303" s="660">
        <f t="shared" si="86"/>
        <v>1.7610000000000001E-2</v>
      </c>
      <c r="X303" s="461" t="s">
        <v>728</v>
      </c>
      <c r="Y303" s="462">
        <f>3.6*206929000/131218.71</f>
        <v>5677.1202826182334</v>
      </c>
    </row>
    <row r="304" spans="2:25" hidden="1" x14ac:dyDescent="0.3">
      <c r="B304" s="186" t="s">
        <v>80</v>
      </c>
      <c r="C304" s="186" t="s">
        <v>221</v>
      </c>
      <c r="D304" s="169" t="s">
        <v>220</v>
      </c>
      <c r="E304" s="186"/>
      <c r="F304" s="186" t="s">
        <v>417</v>
      </c>
      <c r="G304" s="659">
        <f>ROUND(10^2/Y304,5)</f>
        <v>0.1</v>
      </c>
      <c r="H304" s="660">
        <f t="shared" si="86"/>
        <v>0.1</v>
      </c>
      <c r="I304" s="660">
        <f t="shared" si="86"/>
        <v>0.1</v>
      </c>
      <c r="J304" s="660">
        <f t="shared" si="86"/>
        <v>0.1</v>
      </c>
      <c r="K304" s="660">
        <f t="shared" si="86"/>
        <v>0.1</v>
      </c>
      <c r="L304" s="660">
        <f t="shared" si="86"/>
        <v>0.1</v>
      </c>
      <c r="M304" s="660">
        <f t="shared" si="86"/>
        <v>0.1</v>
      </c>
      <c r="N304" s="660">
        <f t="shared" si="86"/>
        <v>0.1</v>
      </c>
      <c r="O304" s="660">
        <f t="shared" si="86"/>
        <v>0.1</v>
      </c>
      <c r="P304" s="660">
        <f t="shared" si="86"/>
        <v>0.1</v>
      </c>
      <c r="Q304" s="660">
        <f t="shared" si="86"/>
        <v>0.1</v>
      </c>
      <c r="R304" s="660">
        <f t="shared" si="86"/>
        <v>0.1</v>
      </c>
      <c r="S304" s="660">
        <f t="shared" si="86"/>
        <v>0.1</v>
      </c>
      <c r="T304" s="660">
        <f t="shared" si="86"/>
        <v>0.1</v>
      </c>
      <c r="U304" s="660">
        <f t="shared" si="86"/>
        <v>0.1</v>
      </c>
      <c r="V304" s="660">
        <f t="shared" si="86"/>
        <v>0.1</v>
      </c>
      <c r="X304" s="461" t="s">
        <v>729</v>
      </c>
      <c r="Y304" s="416">
        <v>1000</v>
      </c>
    </row>
    <row r="305" spans="2:27" hidden="1" x14ac:dyDescent="0.3">
      <c r="B305" s="186" t="s">
        <v>80</v>
      </c>
      <c r="C305" s="186" t="s">
        <v>223</v>
      </c>
      <c r="D305" s="169" t="s">
        <v>222</v>
      </c>
      <c r="E305" s="186"/>
      <c r="F305" s="186" t="s">
        <v>417</v>
      </c>
      <c r="G305" s="659">
        <f t="shared" si="85"/>
        <v>0.2</v>
      </c>
      <c r="H305" s="660">
        <f t="shared" si="86"/>
        <v>0.2</v>
      </c>
      <c r="I305" s="660">
        <f t="shared" si="86"/>
        <v>0.2</v>
      </c>
      <c r="J305" s="660">
        <f t="shared" si="86"/>
        <v>0.2</v>
      </c>
      <c r="K305" s="660">
        <f t="shared" si="86"/>
        <v>0.2</v>
      </c>
      <c r="L305" s="660">
        <f t="shared" si="86"/>
        <v>0.2</v>
      </c>
      <c r="M305" s="660">
        <f t="shared" si="86"/>
        <v>0.2</v>
      </c>
      <c r="N305" s="660">
        <f t="shared" si="86"/>
        <v>0.2</v>
      </c>
      <c r="O305" s="660">
        <f t="shared" si="86"/>
        <v>0.2</v>
      </c>
      <c r="P305" s="660">
        <f t="shared" si="86"/>
        <v>0.2</v>
      </c>
      <c r="Q305" s="660">
        <f t="shared" si="86"/>
        <v>0.2</v>
      </c>
      <c r="R305" s="660">
        <f t="shared" si="86"/>
        <v>0.2</v>
      </c>
      <c r="S305" s="660">
        <f t="shared" si="86"/>
        <v>0.2</v>
      </c>
      <c r="T305" s="660">
        <f t="shared" si="86"/>
        <v>0.2</v>
      </c>
      <c r="U305" s="660">
        <f t="shared" si="86"/>
        <v>0.2</v>
      </c>
      <c r="V305" s="660">
        <f t="shared" si="86"/>
        <v>0.2</v>
      </c>
      <c r="X305" s="461" t="s">
        <v>729</v>
      </c>
      <c r="Y305" s="416">
        <v>500</v>
      </c>
    </row>
    <row r="306" spans="2:27" hidden="1" x14ac:dyDescent="0.3">
      <c r="B306" s="186" t="s">
        <v>80</v>
      </c>
      <c r="C306" s="186" t="s">
        <v>224</v>
      </c>
      <c r="D306" s="169" t="s">
        <v>177</v>
      </c>
      <c r="E306" s="186"/>
      <c r="F306" s="186" t="s">
        <v>417</v>
      </c>
      <c r="G306" s="659">
        <f>ROUND(10^2/Y306,5)</f>
        <v>2.0889999999999999E-2</v>
      </c>
      <c r="H306" s="660">
        <f t="shared" ref="H306:V306" si="87">$G306</f>
        <v>2.0889999999999999E-2</v>
      </c>
      <c r="I306" s="660">
        <f t="shared" si="87"/>
        <v>2.0889999999999999E-2</v>
      </c>
      <c r="J306" s="660">
        <f t="shared" si="87"/>
        <v>2.0889999999999999E-2</v>
      </c>
      <c r="K306" s="660">
        <f t="shared" si="87"/>
        <v>2.0889999999999999E-2</v>
      </c>
      <c r="L306" s="660">
        <f t="shared" si="87"/>
        <v>2.0889999999999999E-2</v>
      </c>
      <c r="M306" s="660">
        <f t="shared" si="87"/>
        <v>2.0889999999999999E-2</v>
      </c>
      <c r="N306" s="660">
        <f t="shared" si="87"/>
        <v>2.0889999999999999E-2</v>
      </c>
      <c r="O306" s="660">
        <f t="shared" si="87"/>
        <v>2.0889999999999999E-2</v>
      </c>
      <c r="P306" s="660">
        <f t="shared" si="87"/>
        <v>2.0889999999999999E-2</v>
      </c>
      <c r="Q306" s="660">
        <f t="shared" si="87"/>
        <v>2.0889999999999999E-2</v>
      </c>
      <c r="R306" s="660">
        <f t="shared" si="87"/>
        <v>2.0889999999999999E-2</v>
      </c>
      <c r="S306" s="660">
        <f t="shared" si="87"/>
        <v>2.0889999999999999E-2</v>
      </c>
      <c r="T306" s="660">
        <f t="shared" si="87"/>
        <v>2.0889999999999999E-2</v>
      </c>
      <c r="U306" s="660">
        <f t="shared" si="87"/>
        <v>2.0889999999999999E-2</v>
      </c>
      <c r="V306" s="660">
        <f t="shared" si="87"/>
        <v>2.0889999999999999E-2</v>
      </c>
      <c r="X306" s="461" t="s">
        <v>728</v>
      </c>
      <c r="Y306" s="462">
        <f>3.6*1481502000/1114315.34857937</f>
        <v>4786.2637868171787</v>
      </c>
    </row>
    <row r="307" spans="2:27" hidden="1" x14ac:dyDescent="0.3">
      <c r="B307" s="22"/>
      <c r="C307" s="22"/>
      <c r="D307" s="14"/>
      <c r="E307" s="22"/>
      <c r="F307" s="22"/>
      <c r="G307" s="454"/>
      <c r="H307" s="15"/>
      <c r="I307" s="15"/>
      <c r="J307" s="15"/>
      <c r="K307" s="15"/>
      <c r="L307" s="15"/>
      <c r="M307" s="15"/>
      <c r="N307" s="15"/>
      <c r="O307" s="15"/>
      <c r="P307" s="15"/>
      <c r="Q307" s="15"/>
      <c r="R307" s="15"/>
      <c r="S307" s="15"/>
      <c r="T307" s="15"/>
      <c r="U307" s="15"/>
      <c r="V307" s="15"/>
      <c r="X307" s="492"/>
      <c r="Y307" s="493"/>
    </row>
    <row r="308" spans="2:27" s="360" customFormat="1" hidden="1" x14ac:dyDescent="0.3">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hidden="1" x14ac:dyDescent="0.3">
      <c r="B309" s="466" t="s">
        <v>730</v>
      </c>
      <c r="G309" s="457"/>
    </row>
    <row r="310" spans="2:27" hidden="1" x14ac:dyDescent="0.3">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hidden="1" x14ac:dyDescent="0.3">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hidden="1" x14ac:dyDescent="0.3">
      <c r="B312" s="191" t="s">
        <v>81</v>
      </c>
      <c r="C312" s="191" t="s">
        <v>571</v>
      </c>
      <c r="D312" s="191" t="s">
        <v>518</v>
      </c>
      <c r="E312" s="191"/>
      <c r="F312" s="191" t="s">
        <v>228</v>
      </c>
      <c r="G312" s="664">
        <f t="shared" ref="G312:G314" si="88">ROUND(10^2/Y312,5)</f>
        <v>1.7000000000000001E-4</v>
      </c>
      <c r="H312" s="665">
        <f t="shared" ref="H312:H314" si="89">G312</f>
        <v>1.7000000000000001E-4</v>
      </c>
      <c r="I312" s="665">
        <f t="shared" ref="I312:V312" si="90">$H$312</f>
        <v>1.7000000000000001E-4</v>
      </c>
      <c r="J312" s="665">
        <f t="shared" si="90"/>
        <v>1.7000000000000001E-4</v>
      </c>
      <c r="K312" s="665">
        <f t="shared" si="90"/>
        <v>1.7000000000000001E-4</v>
      </c>
      <c r="L312" s="665">
        <f t="shared" si="90"/>
        <v>1.7000000000000001E-4</v>
      </c>
      <c r="M312" s="665">
        <f t="shared" si="90"/>
        <v>1.7000000000000001E-4</v>
      </c>
      <c r="N312" s="665">
        <f t="shared" si="90"/>
        <v>1.7000000000000001E-4</v>
      </c>
      <c r="O312" s="665">
        <f t="shared" si="90"/>
        <v>1.7000000000000001E-4</v>
      </c>
      <c r="P312" s="665">
        <f t="shared" si="90"/>
        <v>1.7000000000000001E-4</v>
      </c>
      <c r="Q312" s="665">
        <f t="shared" si="90"/>
        <v>1.7000000000000001E-4</v>
      </c>
      <c r="R312" s="665">
        <f t="shared" si="90"/>
        <v>1.7000000000000001E-4</v>
      </c>
      <c r="S312" s="665">
        <f t="shared" si="90"/>
        <v>1.7000000000000001E-4</v>
      </c>
      <c r="T312" s="665">
        <f t="shared" si="90"/>
        <v>1.7000000000000001E-4</v>
      </c>
      <c r="U312" s="665">
        <f t="shared" si="90"/>
        <v>1.7000000000000001E-4</v>
      </c>
      <c r="V312" s="665">
        <f t="shared" si="90"/>
        <v>1.7000000000000001E-4</v>
      </c>
      <c r="X312" s="453"/>
      <c r="Y312" s="302">
        <v>600000</v>
      </c>
    </row>
    <row r="313" spans="2:27" hidden="1" x14ac:dyDescent="0.3">
      <c r="B313" s="191" t="s">
        <v>81</v>
      </c>
      <c r="C313" s="191" t="s">
        <v>186</v>
      </c>
      <c r="D313" s="191" t="s">
        <v>732</v>
      </c>
      <c r="E313" s="191" t="s">
        <v>185</v>
      </c>
      <c r="F313" s="191" t="s">
        <v>230</v>
      </c>
      <c r="G313" s="664">
        <f t="shared" si="88"/>
        <v>1.125E-2</v>
      </c>
      <c r="H313" s="665">
        <f t="shared" si="89"/>
        <v>1.125E-2</v>
      </c>
      <c r="I313" s="665">
        <f t="shared" ref="I313:V313" si="91">$H$313</f>
        <v>1.125E-2</v>
      </c>
      <c r="J313" s="665">
        <f t="shared" si="91"/>
        <v>1.125E-2</v>
      </c>
      <c r="K313" s="665">
        <f t="shared" si="91"/>
        <v>1.125E-2</v>
      </c>
      <c r="L313" s="665">
        <f t="shared" si="91"/>
        <v>1.125E-2</v>
      </c>
      <c r="M313" s="665">
        <f t="shared" si="91"/>
        <v>1.125E-2</v>
      </c>
      <c r="N313" s="665">
        <f t="shared" si="91"/>
        <v>1.125E-2</v>
      </c>
      <c r="O313" s="665">
        <f t="shared" si="91"/>
        <v>1.125E-2</v>
      </c>
      <c r="P313" s="665">
        <f t="shared" si="91"/>
        <v>1.125E-2</v>
      </c>
      <c r="Q313" s="665">
        <f t="shared" si="91"/>
        <v>1.125E-2</v>
      </c>
      <c r="R313" s="665">
        <f t="shared" si="91"/>
        <v>1.125E-2</v>
      </c>
      <c r="S313" s="665">
        <f t="shared" si="91"/>
        <v>1.125E-2</v>
      </c>
      <c r="T313" s="665">
        <f t="shared" si="91"/>
        <v>1.125E-2</v>
      </c>
      <c r="U313" s="665">
        <f t="shared" si="91"/>
        <v>1.125E-2</v>
      </c>
      <c r="V313" s="665">
        <f t="shared" si="91"/>
        <v>1.125E-2</v>
      </c>
      <c r="X313" s="453"/>
      <c r="Y313" s="302">
        <v>8888</v>
      </c>
    </row>
    <row r="314" spans="2:27" hidden="1" x14ac:dyDescent="0.3">
      <c r="B314" s="191" t="s">
        <v>81</v>
      </c>
      <c r="C314" s="191" t="s">
        <v>574</v>
      </c>
      <c r="D314" s="191" t="s">
        <v>519</v>
      </c>
      <c r="E314" s="191"/>
      <c r="F314" s="191" t="s">
        <v>232</v>
      </c>
      <c r="G314" s="664">
        <f t="shared" si="88"/>
        <v>1.7000000000000001E-4</v>
      </c>
      <c r="H314" s="665">
        <f t="shared" si="89"/>
        <v>1.7000000000000001E-4</v>
      </c>
      <c r="I314" s="665">
        <f t="shared" ref="I314:V314" si="92">$H$314</f>
        <v>1.7000000000000001E-4</v>
      </c>
      <c r="J314" s="665">
        <f t="shared" si="92"/>
        <v>1.7000000000000001E-4</v>
      </c>
      <c r="K314" s="665">
        <f t="shared" si="92"/>
        <v>1.7000000000000001E-4</v>
      </c>
      <c r="L314" s="665">
        <f t="shared" si="92"/>
        <v>1.7000000000000001E-4</v>
      </c>
      <c r="M314" s="665">
        <f t="shared" si="92"/>
        <v>1.7000000000000001E-4</v>
      </c>
      <c r="N314" s="665">
        <f t="shared" si="92"/>
        <v>1.7000000000000001E-4</v>
      </c>
      <c r="O314" s="665">
        <f t="shared" si="92"/>
        <v>1.7000000000000001E-4</v>
      </c>
      <c r="P314" s="665">
        <f t="shared" si="92"/>
        <v>1.7000000000000001E-4</v>
      </c>
      <c r="Q314" s="665">
        <f t="shared" si="92"/>
        <v>1.7000000000000001E-4</v>
      </c>
      <c r="R314" s="665">
        <f t="shared" si="92"/>
        <v>1.7000000000000001E-4</v>
      </c>
      <c r="S314" s="665">
        <f t="shared" si="92"/>
        <v>1.7000000000000001E-4</v>
      </c>
      <c r="T314" s="665">
        <f t="shared" si="92"/>
        <v>1.7000000000000001E-4</v>
      </c>
      <c r="U314" s="665">
        <f t="shared" si="92"/>
        <v>1.7000000000000001E-4</v>
      </c>
      <c r="V314" s="665">
        <f t="shared" si="92"/>
        <v>1.7000000000000001E-4</v>
      </c>
      <c r="X314" s="8"/>
      <c r="Y314" s="302">
        <v>600000</v>
      </c>
    </row>
    <row r="315" spans="2:27" s="360" customFormat="1" hidden="1" x14ac:dyDescent="0.3">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hidden="1" x14ac:dyDescent="0.3">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hidden="1" x14ac:dyDescent="0.3">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hidden="1" x14ac:dyDescent="0.3">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hidden="1" x14ac:dyDescent="0.3">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hidden="1" x14ac:dyDescent="0.3">
      <c r="B320" s="191" t="s">
        <v>82</v>
      </c>
      <c r="C320" s="191" t="s">
        <v>234</v>
      </c>
      <c r="D320" s="191" t="s">
        <v>524</v>
      </c>
      <c r="E320" s="420"/>
      <c r="F320" s="191" t="s">
        <v>734</v>
      </c>
      <c r="G320" s="662">
        <f t="shared" ref="G320:G321" si="93">ROUND(10^2/Y320,5)</f>
        <v>5.0000000000000001E-3</v>
      </c>
      <c r="H320" s="663">
        <f t="shared" ref="H320:H321" si="94">G320</f>
        <v>5.0000000000000001E-3</v>
      </c>
      <c r="I320" s="663">
        <f t="shared" ref="I320:V320" si="95">$H$320</f>
        <v>5.0000000000000001E-3</v>
      </c>
      <c r="J320" s="663">
        <f t="shared" si="95"/>
        <v>5.0000000000000001E-3</v>
      </c>
      <c r="K320" s="663">
        <f t="shared" si="95"/>
        <v>5.0000000000000001E-3</v>
      </c>
      <c r="L320" s="663">
        <f t="shared" si="95"/>
        <v>5.0000000000000001E-3</v>
      </c>
      <c r="M320" s="663">
        <f t="shared" si="95"/>
        <v>5.0000000000000001E-3</v>
      </c>
      <c r="N320" s="663">
        <f t="shared" si="95"/>
        <v>5.0000000000000001E-3</v>
      </c>
      <c r="O320" s="663">
        <f t="shared" si="95"/>
        <v>5.0000000000000001E-3</v>
      </c>
      <c r="P320" s="663">
        <f t="shared" si="95"/>
        <v>5.0000000000000001E-3</v>
      </c>
      <c r="Q320" s="663">
        <f t="shared" si="95"/>
        <v>5.0000000000000001E-3</v>
      </c>
      <c r="R320" s="663">
        <f t="shared" si="95"/>
        <v>5.0000000000000001E-3</v>
      </c>
      <c r="S320" s="663">
        <f t="shared" si="95"/>
        <v>5.0000000000000001E-3</v>
      </c>
      <c r="T320" s="663">
        <f t="shared" si="95"/>
        <v>5.0000000000000001E-3</v>
      </c>
      <c r="U320" s="663">
        <f t="shared" si="95"/>
        <v>5.0000000000000001E-3</v>
      </c>
      <c r="V320" s="663">
        <f t="shared" si="95"/>
        <v>5.0000000000000001E-3</v>
      </c>
      <c r="W320" s="309"/>
      <c r="X320" s="307"/>
      <c r="Y320" s="359">
        <v>20000</v>
      </c>
      <c r="AA320" s="455" t="s">
        <v>735</v>
      </c>
    </row>
    <row r="321" spans="2:33" hidden="1" x14ac:dyDescent="0.3">
      <c r="B321" s="191" t="s">
        <v>522</v>
      </c>
      <c r="C321" s="191" t="s">
        <v>236</v>
      </c>
      <c r="D321" s="191" t="s">
        <v>523</v>
      </c>
      <c r="E321" s="420"/>
      <c r="F321" s="191" t="s">
        <v>736</v>
      </c>
      <c r="G321" s="662">
        <f t="shared" si="93"/>
        <v>8.0000000000000002E-3</v>
      </c>
      <c r="H321" s="663">
        <f t="shared" si="94"/>
        <v>8.0000000000000002E-3</v>
      </c>
      <c r="I321" s="663">
        <f t="shared" ref="I321:V321" si="96">$H$321</f>
        <v>8.0000000000000002E-3</v>
      </c>
      <c r="J321" s="663">
        <f t="shared" si="96"/>
        <v>8.0000000000000002E-3</v>
      </c>
      <c r="K321" s="663">
        <f t="shared" si="96"/>
        <v>8.0000000000000002E-3</v>
      </c>
      <c r="L321" s="663">
        <f t="shared" si="96"/>
        <v>8.0000000000000002E-3</v>
      </c>
      <c r="M321" s="663">
        <f t="shared" si="96"/>
        <v>8.0000000000000002E-3</v>
      </c>
      <c r="N321" s="663">
        <f t="shared" si="96"/>
        <v>8.0000000000000002E-3</v>
      </c>
      <c r="O321" s="663">
        <f t="shared" si="96"/>
        <v>8.0000000000000002E-3</v>
      </c>
      <c r="P321" s="663">
        <f t="shared" si="96"/>
        <v>8.0000000000000002E-3</v>
      </c>
      <c r="Q321" s="663">
        <f t="shared" si="96"/>
        <v>8.0000000000000002E-3</v>
      </c>
      <c r="R321" s="663">
        <f t="shared" si="96"/>
        <v>8.0000000000000002E-3</v>
      </c>
      <c r="S321" s="663">
        <f t="shared" si="96"/>
        <v>8.0000000000000002E-3</v>
      </c>
      <c r="T321" s="663">
        <f t="shared" si="96"/>
        <v>8.0000000000000002E-3</v>
      </c>
      <c r="U321" s="663">
        <f t="shared" si="96"/>
        <v>8.0000000000000002E-3</v>
      </c>
      <c r="V321" s="663">
        <f t="shared" si="96"/>
        <v>8.0000000000000002E-3</v>
      </c>
      <c r="W321" s="309"/>
      <c r="X321" s="307"/>
      <c r="Y321" s="359">
        <v>12500</v>
      </c>
      <c r="AA321" s="455" t="s">
        <v>735</v>
      </c>
    </row>
    <row r="323" spans="2:33" s="1" customFormat="1" x14ac:dyDescent="0.3">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zoomScale="80" zoomScaleNormal="80" workbookViewId="0">
      <selection activeCell="E27" sqref="E27"/>
    </sheetView>
  </sheetViews>
  <sheetFormatPr defaultColWidth="9.33203125" defaultRowHeight="14.4" x14ac:dyDescent="0.3"/>
  <cols>
    <col min="2" max="2" width="16" bestFit="1" customWidth="1"/>
    <col min="3" max="3" width="18" customWidth="1"/>
    <col min="4" max="4" width="62.33203125" bestFit="1" customWidth="1"/>
    <col min="5" max="5" width="16.6640625" customWidth="1"/>
    <col min="6" max="6" width="13.5546875" customWidth="1"/>
    <col min="7" max="7" width="5.6640625" bestFit="1" customWidth="1"/>
    <col min="8" max="8" width="12.44140625" bestFit="1" customWidth="1"/>
    <col min="9" max="9" width="8.6640625" bestFit="1" customWidth="1"/>
    <col min="12" max="12" width="11.6640625" bestFit="1" customWidth="1"/>
    <col min="13" max="13" width="38.33203125" bestFit="1" customWidth="1"/>
  </cols>
  <sheetData>
    <row r="1" spans="2:9" s="14" customFormat="1" x14ac:dyDescent="0.3"/>
    <row r="2" spans="2:9" s="14" customFormat="1" x14ac:dyDescent="0.3"/>
    <row r="3" spans="2:9" s="14" customFormat="1" x14ac:dyDescent="0.3">
      <c r="B3" s="24" t="s">
        <v>737</v>
      </c>
      <c r="C3" s="25"/>
      <c r="D3" s="25"/>
      <c r="E3" s="25"/>
      <c r="F3" s="25"/>
      <c r="G3" s="25"/>
      <c r="H3" s="25"/>
      <c r="I3" s="25"/>
    </row>
    <row r="4" spans="2:9" s="14" customFormat="1" ht="21" customHeight="1" thickBot="1" x14ac:dyDescent="0.35">
      <c r="B4" s="261" t="s">
        <v>738</v>
      </c>
      <c r="C4" s="261" t="s">
        <v>104</v>
      </c>
      <c r="D4" s="261" t="s">
        <v>739</v>
      </c>
      <c r="E4" s="261" t="s">
        <v>740</v>
      </c>
      <c r="F4" s="262" t="s">
        <v>741</v>
      </c>
      <c r="G4" s="262" t="s">
        <v>742</v>
      </c>
      <c r="H4" s="262" t="s">
        <v>743</v>
      </c>
      <c r="I4" s="262" t="s">
        <v>744</v>
      </c>
    </row>
    <row r="5" spans="2:9" s="14" customFormat="1" ht="15" customHeight="1" x14ac:dyDescent="0.3">
      <c r="B5" s="254" t="str">
        <f>IF(TAV!K42="not in use","\I:","DMD")</f>
        <v>\I:</v>
      </c>
      <c r="C5" s="144" t="s">
        <v>236</v>
      </c>
      <c r="D5" s="144" t="s">
        <v>745</v>
      </c>
      <c r="E5" s="254" t="s">
        <v>746</v>
      </c>
      <c r="F5" s="254" t="s">
        <v>747</v>
      </c>
      <c r="G5" s="253"/>
      <c r="H5" s="252" t="s">
        <v>748</v>
      </c>
      <c r="I5" s="252" t="s">
        <v>749</v>
      </c>
    </row>
    <row r="6" spans="2:9" s="14" customFormat="1" ht="15" customHeight="1" x14ac:dyDescent="0.3">
      <c r="B6" s="254" t="str">
        <f>IF(TAV!K22="not in use","\I:","DMD")</f>
        <v>\I:</v>
      </c>
      <c r="C6" s="144" t="s">
        <v>234</v>
      </c>
      <c r="D6" s="144" t="s">
        <v>750</v>
      </c>
      <c r="E6" s="254" t="s">
        <v>746</v>
      </c>
      <c r="F6" s="254" t="s">
        <v>747</v>
      </c>
      <c r="G6" s="253"/>
      <c r="H6" s="252" t="s">
        <v>748</v>
      </c>
      <c r="I6" s="252" t="s">
        <v>749</v>
      </c>
    </row>
    <row r="7" spans="2:9" s="14" customFormat="1" ht="15" customHeight="1" x14ac:dyDescent="0.3">
      <c r="B7" s="254" t="str">
        <f>IF(TB!$L$182="not in use","\I:","DMD")</f>
        <v>DMD</v>
      </c>
      <c r="C7" s="144" t="s">
        <v>336</v>
      </c>
      <c r="D7" s="145" t="s">
        <v>751</v>
      </c>
      <c r="E7" s="254" t="s">
        <v>746</v>
      </c>
      <c r="F7" s="254" t="s">
        <v>747</v>
      </c>
      <c r="G7" s="254"/>
      <c r="H7" s="254" t="s">
        <v>748</v>
      </c>
      <c r="I7" s="255" t="s">
        <v>749</v>
      </c>
    </row>
    <row r="8" spans="2:9" s="14" customFormat="1" ht="15" customHeight="1" x14ac:dyDescent="0.3">
      <c r="B8" s="254" t="str">
        <f>IF(TB!$L$182="not in use","\I:","DMD")</f>
        <v>DMD</v>
      </c>
      <c r="C8" s="145" t="s">
        <v>337</v>
      </c>
      <c r="D8" s="145" t="s">
        <v>752</v>
      </c>
      <c r="E8" s="254" t="s">
        <v>746</v>
      </c>
      <c r="F8" s="254" t="s">
        <v>747</v>
      </c>
      <c r="G8" s="254"/>
      <c r="H8" s="254" t="s">
        <v>748</v>
      </c>
      <c r="I8" s="255" t="s">
        <v>749</v>
      </c>
    </row>
    <row r="9" spans="2:9" s="14" customFormat="1" ht="15" customHeight="1" x14ac:dyDescent="0.3">
      <c r="B9" s="254" t="str">
        <f>IF(TB!$L$182="not in use","\I:","DMD")</f>
        <v>DMD</v>
      </c>
      <c r="C9" s="145" t="s">
        <v>338</v>
      </c>
      <c r="D9" s="146" t="s">
        <v>753</v>
      </c>
      <c r="E9" s="254" t="s">
        <v>746</v>
      </c>
      <c r="F9" s="254" t="s">
        <v>747</v>
      </c>
      <c r="G9" s="254"/>
      <c r="H9" s="254" t="s">
        <v>748</v>
      </c>
      <c r="I9" s="255" t="s">
        <v>749</v>
      </c>
    </row>
    <row r="10" spans="2:9" s="14" customFormat="1" ht="15" customHeight="1" x14ac:dyDescent="0.3">
      <c r="B10" s="254" t="str">
        <f>IF(TB!$L$182="not in use","\I:","DMD")</f>
        <v>DMD</v>
      </c>
      <c r="C10" s="145" t="s">
        <v>339</v>
      </c>
      <c r="D10" s="146" t="s">
        <v>754</v>
      </c>
      <c r="E10" s="254" t="s">
        <v>746</v>
      </c>
      <c r="F10" s="254" t="s">
        <v>747</v>
      </c>
      <c r="G10" s="254"/>
      <c r="H10" s="254" t="s">
        <v>748</v>
      </c>
      <c r="I10" s="255" t="s">
        <v>749</v>
      </c>
    </row>
    <row r="11" spans="2:9" s="14" customFormat="1" ht="15" customHeight="1" x14ac:dyDescent="0.3">
      <c r="B11" s="254" t="str">
        <f>IF(TB!$L$182="not in use","\I:","DMD")</f>
        <v>DMD</v>
      </c>
      <c r="C11" s="145" t="s">
        <v>340</v>
      </c>
      <c r="D11" s="146" t="s">
        <v>755</v>
      </c>
      <c r="E11" s="254" t="s">
        <v>746</v>
      </c>
      <c r="F11" s="254" t="s">
        <v>747</v>
      </c>
      <c r="G11" s="254"/>
      <c r="H11" s="254" t="s">
        <v>748</v>
      </c>
      <c r="I11" s="255" t="s">
        <v>749</v>
      </c>
    </row>
    <row r="12" spans="2:9" s="14" customFormat="1" ht="15" customHeight="1" x14ac:dyDescent="0.3">
      <c r="B12" s="254" t="str">
        <f>IF(TB!$L$182="not in use","\I:","DMD")</f>
        <v>DMD</v>
      </c>
      <c r="C12" s="145" t="s">
        <v>341</v>
      </c>
      <c r="D12" s="145" t="s">
        <v>756</v>
      </c>
      <c r="E12" s="254" t="s">
        <v>746</v>
      </c>
      <c r="F12" s="254" t="s">
        <v>747</v>
      </c>
      <c r="G12" s="254"/>
      <c r="H12" s="254" t="s">
        <v>748</v>
      </c>
      <c r="I12" s="255" t="s">
        <v>749</v>
      </c>
    </row>
    <row r="13" spans="2:9" s="14" customFormat="1" ht="15" customHeight="1" x14ac:dyDescent="0.3">
      <c r="B13" s="254" t="str">
        <f>IF(TB!$L$182="not in use","\I:","DMD")</f>
        <v>DMD</v>
      </c>
      <c r="C13" s="145" t="s">
        <v>342</v>
      </c>
      <c r="D13" s="145" t="s">
        <v>757</v>
      </c>
      <c r="E13" s="254" t="s">
        <v>746</v>
      </c>
      <c r="F13" s="254" t="s">
        <v>747</v>
      </c>
      <c r="G13" s="254"/>
      <c r="H13" s="254" t="s">
        <v>748</v>
      </c>
      <c r="I13" s="255" t="s">
        <v>749</v>
      </c>
    </row>
    <row r="14" spans="2:9" s="14" customFormat="1" ht="15" customHeight="1" x14ac:dyDescent="0.3">
      <c r="B14" s="254" t="str">
        <f>IF(TB!$L$182="not in use","\I:","DMD")</f>
        <v>DMD</v>
      </c>
      <c r="C14" s="145" t="s">
        <v>343</v>
      </c>
      <c r="D14" s="145" t="s">
        <v>758</v>
      </c>
      <c r="E14" s="254" t="s">
        <v>746</v>
      </c>
      <c r="F14" s="254" t="s">
        <v>747</v>
      </c>
      <c r="G14" s="254"/>
      <c r="H14" s="254" t="s">
        <v>748</v>
      </c>
      <c r="I14" s="255" t="s">
        <v>749</v>
      </c>
    </row>
    <row r="15" spans="2:9" s="14" customFormat="1" ht="15" customHeight="1" x14ac:dyDescent="0.3">
      <c r="B15" s="254" t="str">
        <f>IF(TB!$L$182="not in use","\I:","DMD")</f>
        <v>DMD</v>
      </c>
      <c r="C15" s="145" t="s">
        <v>344</v>
      </c>
      <c r="D15" s="145" t="s">
        <v>759</v>
      </c>
      <c r="E15" s="254" t="s">
        <v>746</v>
      </c>
      <c r="F15" s="254" t="s">
        <v>747</v>
      </c>
      <c r="G15" s="254"/>
      <c r="H15" s="254" t="s">
        <v>748</v>
      </c>
      <c r="I15" s="255" t="s">
        <v>749</v>
      </c>
    </row>
    <row r="16" spans="2:9" s="14" customFormat="1" ht="15" customHeight="1" x14ac:dyDescent="0.3">
      <c r="B16" s="254" t="str">
        <f>IF(TB!$L$182="not in use","\I:","DMD")</f>
        <v>DMD</v>
      </c>
      <c r="C16" s="145" t="s">
        <v>345</v>
      </c>
      <c r="D16" s="145" t="s">
        <v>760</v>
      </c>
      <c r="E16" s="254" t="s">
        <v>746</v>
      </c>
      <c r="F16" s="254" t="s">
        <v>747</v>
      </c>
      <c r="G16" s="254"/>
      <c r="H16" s="254" t="s">
        <v>748</v>
      </c>
      <c r="I16" s="255" t="s">
        <v>749</v>
      </c>
    </row>
    <row r="17" spans="1:13" s="14" customFormat="1" ht="15" customHeight="1" x14ac:dyDescent="0.3">
      <c r="B17" s="254" t="str">
        <f>IF(TB!$L$182="not in use","\I:","DMD")</f>
        <v>DMD</v>
      </c>
      <c r="C17" s="145" t="s">
        <v>346</v>
      </c>
      <c r="D17" s="145" t="s">
        <v>761</v>
      </c>
      <c r="E17" s="254" t="s">
        <v>746</v>
      </c>
      <c r="F17" s="254" t="s">
        <v>747</v>
      </c>
      <c r="G17" s="254"/>
      <c r="H17" s="254" t="s">
        <v>748</v>
      </c>
      <c r="I17" s="255" t="s">
        <v>749</v>
      </c>
    </row>
    <row r="18" spans="1:13" s="14" customFormat="1" ht="15" customHeight="1" x14ac:dyDescent="0.3">
      <c r="A18" s="102"/>
      <c r="B18" s="254" t="str">
        <f>IF(TB!$L$32="not in use","\I:","DMD")</f>
        <v>DMD</v>
      </c>
      <c r="C18" s="145" t="s">
        <v>325</v>
      </c>
      <c r="D18" s="145" t="s">
        <v>762</v>
      </c>
      <c r="E18" s="254" t="s">
        <v>746</v>
      </c>
      <c r="F18" s="254" t="s">
        <v>747</v>
      </c>
      <c r="G18" s="254"/>
      <c r="H18" s="254" t="s">
        <v>748</v>
      </c>
      <c r="I18" s="255" t="s">
        <v>749</v>
      </c>
    </row>
    <row r="19" spans="1:13" s="14" customFormat="1" ht="15" customHeight="1" x14ac:dyDescent="0.3">
      <c r="B19" s="254" t="str">
        <f>IF(TB!$L$32="not in use","\I:","DMD")</f>
        <v>DMD</v>
      </c>
      <c r="C19" s="145" t="s">
        <v>326</v>
      </c>
      <c r="D19" s="145" t="s">
        <v>763</v>
      </c>
      <c r="E19" s="254" t="s">
        <v>746</v>
      </c>
      <c r="F19" s="254" t="s">
        <v>747</v>
      </c>
      <c r="G19" s="254"/>
      <c r="H19" s="254" t="s">
        <v>748</v>
      </c>
      <c r="I19" s="255" t="s">
        <v>749</v>
      </c>
    </row>
    <row r="20" spans="1:13" x14ac:dyDescent="0.3">
      <c r="B20" s="254" t="str">
        <f>IF(TB!$L$32="not in use","\I:","DMD")</f>
        <v>DMD</v>
      </c>
      <c r="C20" s="145" t="s">
        <v>327</v>
      </c>
      <c r="D20" s="146" t="s">
        <v>764</v>
      </c>
      <c r="E20" s="254" t="s">
        <v>746</v>
      </c>
      <c r="F20" s="254" t="s">
        <v>747</v>
      </c>
      <c r="G20" s="254"/>
      <c r="H20" s="254" t="s">
        <v>748</v>
      </c>
      <c r="I20" s="255" t="s">
        <v>749</v>
      </c>
      <c r="L20" s="14"/>
      <c r="M20" s="14"/>
    </row>
    <row r="21" spans="1:13" s="14" customFormat="1" ht="15" customHeight="1" x14ac:dyDescent="0.3">
      <c r="B21" s="254" t="str">
        <f>IF(TB!$L$32="not in use","\I:","DMD")</f>
        <v>DMD</v>
      </c>
      <c r="C21" s="146" t="s">
        <v>328</v>
      </c>
      <c r="D21" s="146" t="s">
        <v>765</v>
      </c>
      <c r="E21" s="254" t="s">
        <v>746</v>
      </c>
      <c r="F21" s="254" t="s">
        <v>747</v>
      </c>
      <c r="G21" s="254"/>
      <c r="H21" s="254" t="s">
        <v>748</v>
      </c>
      <c r="I21" s="255" t="s">
        <v>749</v>
      </c>
    </row>
    <row r="22" spans="1:13" x14ac:dyDescent="0.3">
      <c r="B22" s="254" t="str">
        <f>IF(TB!$L$32="not in use","\I:","DMD")</f>
        <v>DMD</v>
      </c>
      <c r="C22" s="146" t="s">
        <v>329</v>
      </c>
      <c r="D22" s="146" t="s">
        <v>766</v>
      </c>
      <c r="E22" s="254" t="s">
        <v>746</v>
      </c>
      <c r="F22" s="254" t="s">
        <v>747</v>
      </c>
      <c r="G22" s="254"/>
      <c r="H22" s="254" t="s">
        <v>748</v>
      </c>
      <c r="I22" s="255" t="s">
        <v>749</v>
      </c>
      <c r="L22" s="14"/>
      <c r="M22" s="14"/>
    </row>
    <row r="23" spans="1:13" s="14" customFormat="1" ht="15" customHeight="1" x14ac:dyDescent="0.3">
      <c r="B23" s="254" t="str">
        <f>IF(TB!$L$32="not in use","\I:","DMD")</f>
        <v>DMD</v>
      </c>
      <c r="C23" s="145" t="s">
        <v>330</v>
      </c>
      <c r="D23" s="145" t="s">
        <v>767</v>
      </c>
      <c r="E23" s="254" t="s">
        <v>746</v>
      </c>
      <c r="F23" s="254" t="s">
        <v>747</v>
      </c>
      <c r="G23" s="254"/>
      <c r="H23" s="254" t="s">
        <v>748</v>
      </c>
      <c r="I23" s="255" t="s">
        <v>749</v>
      </c>
    </row>
    <row r="24" spans="1:13" s="14" customFormat="1" x14ac:dyDescent="0.3">
      <c r="B24" s="254" t="str">
        <f>IF(TB!$L$32="not in use","\I:","DMD")</f>
        <v>DMD</v>
      </c>
      <c r="C24" s="145" t="s">
        <v>331</v>
      </c>
      <c r="D24" s="145" t="s">
        <v>768</v>
      </c>
      <c r="E24" s="254" t="s">
        <v>746</v>
      </c>
      <c r="F24" s="254" t="s">
        <v>747</v>
      </c>
      <c r="G24" s="254"/>
      <c r="H24" s="254" t="s">
        <v>748</v>
      </c>
      <c r="I24" s="255" t="s">
        <v>749</v>
      </c>
    </row>
    <row r="25" spans="1:13" s="14" customFormat="1" ht="15" customHeight="1" x14ac:dyDescent="0.3">
      <c r="B25" s="254" t="str">
        <f>IF(TB!$L$32="not in use","\I:","DMD")</f>
        <v>DMD</v>
      </c>
      <c r="C25" s="145" t="s">
        <v>332</v>
      </c>
      <c r="D25" s="145" t="s">
        <v>769</v>
      </c>
      <c r="E25" s="254" t="s">
        <v>746</v>
      </c>
      <c r="F25" s="254" t="s">
        <v>747</v>
      </c>
      <c r="G25" s="254"/>
      <c r="H25" s="254" t="s">
        <v>748</v>
      </c>
      <c r="I25" s="255" t="s">
        <v>749</v>
      </c>
    </row>
    <row r="26" spans="1:13" s="14" customFormat="1" ht="15" customHeight="1" x14ac:dyDescent="0.3">
      <c r="B26" s="254" t="str">
        <f>IF(TB!$L$32="not in use","\I:","DMD")</f>
        <v>DMD</v>
      </c>
      <c r="C26" s="145" t="s">
        <v>333</v>
      </c>
      <c r="D26" s="145" t="s">
        <v>770</v>
      </c>
      <c r="E26" s="254" t="s">
        <v>746</v>
      </c>
      <c r="F26" s="254" t="s">
        <v>747</v>
      </c>
      <c r="G26" s="254"/>
      <c r="H26" s="254" t="s">
        <v>748</v>
      </c>
      <c r="I26" s="255" t="s">
        <v>749</v>
      </c>
    </row>
    <row r="27" spans="1:13" s="14" customFormat="1" ht="15" customHeight="1" x14ac:dyDescent="0.3">
      <c r="B27" s="254" t="str">
        <f>IF(TB!$L$32="not in use","\I:","DMD")</f>
        <v>DMD</v>
      </c>
      <c r="C27" s="145" t="s">
        <v>334</v>
      </c>
      <c r="D27" s="145" t="s">
        <v>771</v>
      </c>
      <c r="E27" s="254" t="s">
        <v>746</v>
      </c>
      <c r="F27" s="254" t="s">
        <v>747</v>
      </c>
      <c r="G27" s="254"/>
      <c r="H27" s="254" t="s">
        <v>748</v>
      </c>
      <c r="I27" s="255" t="s">
        <v>749</v>
      </c>
      <c r="L27"/>
      <c r="M27"/>
    </row>
    <row r="28" spans="1:13" s="14" customFormat="1" ht="15" customHeight="1" x14ac:dyDescent="0.3">
      <c r="B28" s="254" t="str">
        <f>IF(TB!$L$32="not in use","\I:","DMD")</f>
        <v>DMD</v>
      </c>
      <c r="C28" s="145" t="s">
        <v>335</v>
      </c>
      <c r="D28" s="145" t="s">
        <v>772</v>
      </c>
      <c r="E28" s="254" t="s">
        <v>746</v>
      </c>
      <c r="F28" s="254" t="s">
        <v>747</v>
      </c>
      <c r="G28" s="254"/>
      <c r="H28" s="254" t="s">
        <v>748</v>
      </c>
      <c r="I28" s="255" t="s">
        <v>749</v>
      </c>
    </row>
    <row r="29" spans="1:13" s="14" customFormat="1" ht="15" customHeight="1" x14ac:dyDescent="0.3">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3">
      <c r="B30" s="254" t="str">
        <f>IF(TC_Pool!$L$27="not in use","\I:","DMD")</f>
        <v>\I:</v>
      </c>
      <c r="C30" s="145" t="s">
        <v>313</v>
      </c>
      <c r="D30" s="145" t="s">
        <v>774</v>
      </c>
      <c r="E30" s="254" t="s">
        <v>746</v>
      </c>
      <c r="F30" s="254" t="s">
        <v>747</v>
      </c>
      <c r="G30" s="254"/>
      <c r="H30" s="254" t="s">
        <v>748</v>
      </c>
      <c r="I30" s="255" t="s">
        <v>749</v>
      </c>
    </row>
    <row r="31" spans="1:13" s="14" customFormat="1" ht="15" customHeight="1" x14ac:dyDescent="0.3">
      <c r="B31" s="254" t="str">
        <f>IF(TC_City!$L$29="not in use","\I:","DMD")</f>
        <v>\I:</v>
      </c>
      <c r="C31" s="145" t="s">
        <v>528</v>
      </c>
      <c r="D31" s="145" t="s">
        <v>775</v>
      </c>
      <c r="E31" s="254" t="s">
        <v>746</v>
      </c>
      <c r="F31" s="254" t="s">
        <v>747</v>
      </c>
      <c r="G31" s="254"/>
      <c r="H31" s="254" t="s">
        <v>748</v>
      </c>
      <c r="I31" s="255" t="s">
        <v>749</v>
      </c>
    </row>
    <row r="32" spans="1:13" s="14" customFormat="1" ht="15" customHeight="1" x14ac:dyDescent="0.3">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3">
      <c r="B33" s="254" t="str">
        <f>IF(TC_Pool!$L$27="not in use","\I:","DMD")</f>
        <v>\I:</v>
      </c>
      <c r="C33" s="146" t="s">
        <v>314</v>
      </c>
      <c r="D33" s="146" t="s">
        <v>777</v>
      </c>
      <c r="E33" s="254" t="s">
        <v>746</v>
      </c>
      <c r="F33" s="254" t="s">
        <v>747</v>
      </c>
      <c r="G33" s="254"/>
      <c r="H33" s="254" t="s">
        <v>748</v>
      </c>
      <c r="I33" s="255" t="s">
        <v>749</v>
      </c>
    </row>
    <row r="34" spans="2:13" s="14" customFormat="1" ht="15" customHeight="1" x14ac:dyDescent="0.3">
      <c r="B34" s="254" t="str">
        <f>IF(TC_City!$L$29="not in use","\I:","DMD")</f>
        <v>\I:</v>
      </c>
      <c r="C34" s="146" t="s">
        <v>529</v>
      </c>
      <c r="D34" s="146" t="s">
        <v>778</v>
      </c>
      <c r="E34" s="254" t="s">
        <v>746</v>
      </c>
      <c r="F34" s="254" t="s">
        <v>747</v>
      </c>
      <c r="G34" s="254"/>
      <c r="H34" s="254" t="s">
        <v>748</v>
      </c>
      <c r="I34" s="255" t="s">
        <v>749</v>
      </c>
    </row>
    <row r="35" spans="2:13" s="14" customFormat="1" ht="15" customHeight="1" x14ac:dyDescent="0.3">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3">
      <c r="B36" s="254" t="str">
        <f>IF(TC_Pool!$L$27="not in use","\I:","DMD")</f>
        <v>\I:</v>
      </c>
      <c r="C36" s="146" t="s">
        <v>315</v>
      </c>
      <c r="D36" s="146" t="s">
        <v>780</v>
      </c>
      <c r="E36" s="254" t="s">
        <v>746</v>
      </c>
      <c r="F36" s="254" t="s">
        <v>747</v>
      </c>
      <c r="G36" s="254"/>
      <c r="H36" s="254" t="s">
        <v>748</v>
      </c>
      <c r="I36" s="255" t="s">
        <v>749</v>
      </c>
    </row>
    <row r="37" spans="2:13" s="14" customFormat="1" ht="15" customHeight="1" x14ac:dyDescent="0.3">
      <c r="B37" s="254" t="str">
        <f>IF(TC_City!$L$29="not in use","\I:","DMD")</f>
        <v>\I:</v>
      </c>
      <c r="C37" s="146" t="s">
        <v>530</v>
      </c>
      <c r="D37" s="146" t="s">
        <v>781</v>
      </c>
      <c r="E37" s="254" t="s">
        <v>746</v>
      </c>
      <c r="F37" s="254" t="s">
        <v>747</v>
      </c>
      <c r="G37" s="254"/>
      <c r="H37" s="254" t="s">
        <v>748</v>
      </c>
      <c r="I37" s="255" t="s">
        <v>749</v>
      </c>
    </row>
    <row r="38" spans="2:13" s="14" customFormat="1" ht="15" customHeight="1" x14ac:dyDescent="0.3">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3">
      <c r="B39" s="254" t="str">
        <f>IF(TC_Pool!$L$27="not in use","\I:","DMD")</f>
        <v>\I:</v>
      </c>
      <c r="C39" s="146" t="s">
        <v>316</v>
      </c>
      <c r="D39" s="146" t="s">
        <v>783</v>
      </c>
      <c r="E39" s="254" t="s">
        <v>746</v>
      </c>
      <c r="F39" s="254" t="s">
        <v>747</v>
      </c>
      <c r="G39" s="254"/>
      <c r="H39" s="254" t="s">
        <v>748</v>
      </c>
      <c r="I39" s="255" t="s">
        <v>749</v>
      </c>
    </row>
    <row r="40" spans="2:13" s="14" customFormat="1" ht="15" customHeight="1" x14ac:dyDescent="0.3">
      <c r="B40" s="254" t="str">
        <f>IF(TC_City!$L$29="not in use","\I:","DMD")</f>
        <v>\I:</v>
      </c>
      <c r="C40" s="146" t="s">
        <v>531</v>
      </c>
      <c r="D40" s="146" t="s">
        <v>784</v>
      </c>
      <c r="E40" s="254" t="s">
        <v>746</v>
      </c>
      <c r="F40" s="254" t="s">
        <v>747</v>
      </c>
      <c r="G40" s="254"/>
      <c r="H40" s="254" t="s">
        <v>748</v>
      </c>
      <c r="I40" s="255" t="s">
        <v>749</v>
      </c>
    </row>
    <row r="41" spans="2:13" s="14" customFormat="1" ht="15" customHeight="1" x14ac:dyDescent="0.3">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3">
      <c r="B42" s="254" t="str">
        <f>IF(TC_Pool!$L$27="not in use","\I:","DMD")</f>
        <v>\I:</v>
      </c>
      <c r="C42" s="145" t="s">
        <v>317</v>
      </c>
      <c r="D42" s="145" t="s">
        <v>786</v>
      </c>
      <c r="E42" s="254" t="s">
        <v>746</v>
      </c>
      <c r="F42" s="254" t="s">
        <v>747</v>
      </c>
      <c r="G42" s="254"/>
      <c r="H42" s="254" t="s">
        <v>748</v>
      </c>
      <c r="I42" s="255" t="s">
        <v>749</v>
      </c>
    </row>
    <row r="43" spans="2:13" s="14" customFormat="1" ht="15" customHeight="1" x14ac:dyDescent="0.3">
      <c r="B43" s="254" t="str">
        <f>IF(TC_City!$L$29="not in use","\I:","DMD")</f>
        <v>\I:</v>
      </c>
      <c r="C43" s="145" t="s">
        <v>532</v>
      </c>
      <c r="D43" s="145" t="s">
        <v>787</v>
      </c>
      <c r="E43" s="254" t="s">
        <v>746</v>
      </c>
      <c r="F43" s="254" t="s">
        <v>747</v>
      </c>
      <c r="G43" s="254"/>
      <c r="H43" s="254" t="s">
        <v>748</v>
      </c>
      <c r="I43" s="255" t="s">
        <v>749</v>
      </c>
    </row>
    <row r="44" spans="2:13" s="14" customFormat="1" ht="15" customHeight="1" x14ac:dyDescent="0.3">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3">
      <c r="B45" s="254" t="str">
        <f>IF(TC_Pool!$L$27="not in use","\I:","DMD")</f>
        <v>\I:</v>
      </c>
      <c r="C45" s="145" t="s">
        <v>318</v>
      </c>
      <c r="D45" s="145" t="s">
        <v>789</v>
      </c>
      <c r="E45" s="254" t="s">
        <v>746</v>
      </c>
      <c r="F45" s="254" t="s">
        <v>747</v>
      </c>
      <c r="G45" s="254"/>
      <c r="H45" s="254" t="s">
        <v>748</v>
      </c>
      <c r="I45" s="255" t="s">
        <v>749</v>
      </c>
    </row>
    <row r="46" spans="2:13" x14ac:dyDescent="0.3">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3">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3">
      <c r="B48" s="254" t="str">
        <f>IF(TC_Pool!$L$27="not in use","\I:","DMD")</f>
        <v>\I:</v>
      </c>
      <c r="C48" s="145" t="s">
        <v>319</v>
      </c>
      <c r="D48" s="145" t="s">
        <v>792</v>
      </c>
      <c r="E48" s="254" t="s">
        <v>746</v>
      </c>
      <c r="F48" s="254" t="s">
        <v>747</v>
      </c>
      <c r="G48" s="254"/>
      <c r="H48" s="254" t="s">
        <v>748</v>
      </c>
      <c r="I48" s="255" t="s">
        <v>749</v>
      </c>
    </row>
    <row r="49" spans="2:13" s="14" customFormat="1" ht="15" customHeight="1" x14ac:dyDescent="0.3">
      <c r="B49" s="254" t="str">
        <f>IF(TC_City!$L$29="not in use","\I:","DMD")</f>
        <v>\I:</v>
      </c>
      <c r="C49" s="145" t="s">
        <v>534</v>
      </c>
      <c r="D49" s="145" t="s">
        <v>793</v>
      </c>
      <c r="E49" s="254" t="s">
        <v>746</v>
      </c>
      <c r="F49" s="254" t="s">
        <v>747</v>
      </c>
      <c r="G49" s="254"/>
      <c r="H49" s="254" t="s">
        <v>748</v>
      </c>
      <c r="I49" s="255" t="s">
        <v>749</v>
      </c>
    </row>
    <row r="50" spans="2:13" s="14" customFormat="1" ht="15" customHeight="1" x14ac:dyDescent="0.3">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3">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3">
      <c r="B52" s="254" t="str">
        <f>IF(TC_City!$L$29="not in use","\I:","DMD")</f>
        <v>\I:</v>
      </c>
      <c r="C52" s="146" t="s">
        <v>535</v>
      </c>
      <c r="D52" s="146" t="s">
        <v>796</v>
      </c>
      <c r="E52" s="254" t="s">
        <v>746</v>
      </c>
      <c r="F52" s="254" t="s">
        <v>747</v>
      </c>
      <c r="G52" s="254"/>
      <c r="H52" s="254" t="s">
        <v>748</v>
      </c>
      <c r="I52" s="255" t="s">
        <v>749</v>
      </c>
    </row>
    <row r="53" spans="2:13" s="14" customFormat="1" ht="15" customHeight="1" x14ac:dyDescent="0.3">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3">
      <c r="B54" s="254" t="str">
        <f>IF(TC_Pool!$L$27="not in use","\I:","DMD")</f>
        <v>\I:</v>
      </c>
      <c r="C54" s="146" t="s">
        <v>321</v>
      </c>
      <c r="D54" s="145" t="s">
        <v>798</v>
      </c>
      <c r="E54" s="254" t="s">
        <v>746</v>
      </c>
      <c r="F54" s="254" t="s">
        <v>747</v>
      </c>
      <c r="G54" s="254"/>
      <c r="H54" s="254" t="s">
        <v>748</v>
      </c>
      <c r="I54" s="255" t="s">
        <v>749</v>
      </c>
    </row>
    <row r="55" spans="2:13" s="14" customFormat="1" ht="15" customHeight="1" x14ac:dyDescent="0.3">
      <c r="B55" s="254" t="str">
        <f>IF(TC_City!$L$29="not in use","\I:","DMD")</f>
        <v>\I:</v>
      </c>
      <c r="C55" s="146" t="s">
        <v>536</v>
      </c>
      <c r="D55" s="145" t="s">
        <v>799</v>
      </c>
      <c r="E55" s="254" t="s">
        <v>746</v>
      </c>
      <c r="F55" s="254" t="s">
        <v>747</v>
      </c>
      <c r="G55" s="254"/>
      <c r="H55" s="254" t="s">
        <v>748</v>
      </c>
      <c r="I55" s="255" t="s">
        <v>749</v>
      </c>
    </row>
    <row r="56" spans="2:13" s="14" customFormat="1" ht="15" customHeight="1" x14ac:dyDescent="0.3">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3">
      <c r="B57" s="254" t="str">
        <f>IF(TC_Pool!$L$27="not in use","\I:","DMD")</f>
        <v>\I:</v>
      </c>
      <c r="C57" s="146" t="s">
        <v>322</v>
      </c>
      <c r="D57" s="145" t="s">
        <v>801</v>
      </c>
      <c r="E57" s="254" t="s">
        <v>746</v>
      </c>
      <c r="F57" s="254" t="s">
        <v>747</v>
      </c>
      <c r="G57" s="254"/>
      <c r="H57" s="254" t="s">
        <v>748</v>
      </c>
      <c r="I57" s="255" t="s">
        <v>749</v>
      </c>
    </row>
    <row r="58" spans="2:13" s="14" customFormat="1" ht="15" customHeight="1" x14ac:dyDescent="0.3">
      <c r="B58" s="254" t="str">
        <f>IF(TC_City!$L$29="not in use","\I:","DMD")</f>
        <v>\I:</v>
      </c>
      <c r="C58" s="146" t="s">
        <v>537</v>
      </c>
      <c r="D58" s="145" t="s">
        <v>802</v>
      </c>
      <c r="E58" s="254" t="s">
        <v>746</v>
      </c>
      <c r="F58" s="254" t="s">
        <v>747</v>
      </c>
      <c r="G58" s="254"/>
      <c r="H58" s="254" t="s">
        <v>748</v>
      </c>
      <c r="I58" s="255" t="s">
        <v>749</v>
      </c>
    </row>
    <row r="59" spans="2:13" s="14" customFormat="1" ht="15" customHeight="1" x14ac:dyDescent="0.3">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3">
      <c r="B60" s="254" t="str">
        <f>IF(TF_City!$L$82="not in use","\I:","DMD")</f>
        <v>\I:</v>
      </c>
      <c r="C60" s="146" t="s">
        <v>127</v>
      </c>
      <c r="D60" s="146" t="s">
        <v>804</v>
      </c>
      <c r="E60" s="254" t="s">
        <v>746</v>
      </c>
      <c r="F60" s="254" t="s">
        <v>747</v>
      </c>
      <c r="G60" s="254"/>
      <c r="H60" s="254" t="s">
        <v>748</v>
      </c>
      <c r="I60" s="255" t="s">
        <v>749</v>
      </c>
    </row>
    <row r="61" spans="2:13" s="14" customFormat="1" ht="15" customHeight="1" x14ac:dyDescent="0.3">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3">
      <c r="B62" s="254" t="str">
        <f>IF(TF_City!$L$82="not in use","\I:","DMD")</f>
        <v>\I:</v>
      </c>
      <c r="C62" s="146" t="s">
        <v>128</v>
      </c>
      <c r="D62" s="146" t="s">
        <v>806</v>
      </c>
      <c r="E62" s="254" t="s">
        <v>746</v>
      </c>
      <c r="F62" s="254" t="s">
        <v>747</v>
      </c>
      <c r="G62" s="254"/>
      <c r="H62" s="254" t="s">
        <v>748</v>
      </c>
      <c r="I62" s="255" t="s">
        <v>749</v>
      </c>
    </row>
    <row r="63" spans="2:13" s="14" customFormat="1" ht="15" customHeight="1" x14ac:dyDescent="0.3">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3">
      <c r="B64" s="254" t="str">
        <f>IF(TF_City!$L$82="not in use","\I:","DMD")</f>
        <v>\I:</v>
      </c>
      <c r="C64" s="146" t="s">
        <v>129</v>
      </c>
      <c r="D64" s="146" t="s">
        <v>808</v>
      </c>
      <c r="E64" s="254" t="s">
        <v>746</v>
      </c>
      <c r="F64" s="254" t="s">
        <v>747</v>
      </c>
      <c r="G64" s="254"/>
      <c r="H64" s="254" t="s">
        <v>748</v>
      </c>
      <c r="I64" s="255" t="s">
        <v>749</v>
      </c>
    </row>
    <row r="65" spans="2:9" s="14" customFormat="1" ht="15" customHeight="1" x14ac:dyDescent="0.3">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3">
      <c r="B66" s="254" t="str">
        <f>IF(TF_City!$L$82="not in use","\I:","DMD")</f>
        <v>\I:</v>
      </c>
      <c r="C66" s="146" t="s">
        <v>130</v>
      </c>
      <c r="D66" s="146" t="s">
        <v>810</v>
      </c>
      <c r="E66" s="254" t="s">
        <v>746</v>
      </c>
      <c r="F66" s="254" t="s">
        <v>747</v>
      </c>
      <c r="G66" s="254"/>
      <c r="H66" s="254" t="s">
        <v>748</v>
      </c>
      <c r="I66" s="255" t="s">
        <v>749</v>
      </c>
    </row>
    <row r="67" spans="2:9" s="14" customFormat="1" ht="15" customHeight="1" x14ac:dyDescent="0.3">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3">
      <c r="B68" s="254" t="str">
        <f>IF(TF_City!$L$82="not in use","\I:","DMD")</f>
        <v>\I:</v>
      </c>
      <c r="C68" s="146" t="s">
        <v>131</v>
      </c>
      <c r="D68" s="146" t="s">
        <v>812</v>
      </c>
      <c r="E68" s="254" t="s">
        <v>746</v>
      </c>
      <c r="F68" s="254" t="s">
        <v>747</v>
      </c>
      <c r="G68" s="254"/>
      <c r="H68" s="254" t="s">
        <v>748</v>
      </c>
      <c r="I68" s="255" t="s">
        <v>749</v>
      </c>
    </row>
    <row r="69" spans="2:9" s="14" customFormat="1" ht="15" customHeight="1" x14ac:dyDescent="0.3">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3">
      <c r="B70" s="254" t="str">
        <f>IF(TF_City!$L$82="not in use","\I:","DMD")</f>
        <v>\I:</v>
      </c>
      <c r="C70" s="146" t="s">
        <v>132</v>
      </c>
      <c r="D70" s="146" t="s">
        <v>814</v>
      </c>
      <c r="E70" s="254" t="s">
        <v>746</v>
      </c>
      <c r="F70" s="254" t="s">
        <v>747</v>
      </c>
      <c r="G70" s="254"/>
      <c r="H70" s="254" t="s">
        <v>748</v>
      </c>
      <c r="I70" s="255" t="s">
        <v>749</v>
      </c>
    </row>
    <row r="71" spans="2:9" s="14" customFormat="1" ht="15" customHeight="1" x14ac:dyDescent="0.3">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3">
      <c r="B72" s="254" t="str">
        <f>IF(TF_City!$L$82="not in use","\I:","DMD")</f>
        <v>\I:</v>
      </c>
      <c r="C72" s="146" t="s">
        <v>133</v>
      </c>
      <c r="D72" s="146" t="s">
        <v>816</v>
      </c>
      <c r="E72" s="254" t="s">
        <v>746</v>
      </c>
      <c r="F72" s="254" t="s">
        <v>747</v>
      </c>
      <c r="G72" s="254"/>
      <c r="H72" s="254" t="s">
        <v>748</v>
      </c>
      <c r="I72" s="255" t="s">
        <v>749</v>
      </c>
    </row>
    <row r="73" spans="2:9" s="14" customFormat="1" ht="15" customHeight="1" x14ac:dyDescent="0.3">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3">
      <c r="B74" s="254" t="str">
        <f>IF(TF_City!$L$82="not in use","\I:","DMD")</f>
        <v>\I:</v>
      </c>
      <c r="C74" s="146" t="s">
        <v>134</v>
      </c>
      <c r="D74" s="146" t="s">
        <v>818</v>
      </c>
      <c r="E74" s="254" t="s">
        <v>746</v>
      </c>
      <c r="F74" s="254" t="s">
        <v>747</v>
      </c>
      <c r="G74" s="254"/>
      <c r="H74" s="254" t="s">
        <v>748</v>
      </c>
      <c r="I74" s="255" t="s">
        <v>749</v>
      </c>
    </row>
    <row r="75" spans="2:9" s="14" customFormat="1" ht="15" customHeight="1" x14ac:dyDescent="0.3">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3">
      <c r="B76" s="254" t="str">
        <f>IF(TF_City!$L$82="not in use","\I:","DMD")</f>
        <v>\I:</v>
      </c>
      <c r="C76" s="146" t="s">
        <v>135</v>
      </c>
      <c r="D76" s="146" t="s">
        <v>820</v>
      </c>
      <c r="E76" s="254" t="s">
        <v>746</v>
      </c>
      <c r="F76" s="254" t="s">
        <v>747</v>
      </c>
      <c r="G76" s="254"/>
      <c r="H76" s="254" t="s">
        <v>748</v>
      </c>
      <c r="I76" s="255" t="s">
        <v>749</v>
      </c>
    </row>
    <row r="77" spans="2:9" s="14" customFormat="1" ht="15" customHeight="1" x14ac:dyDescent="0.3">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3">
      <c r="B78" s="254" t="str">
        <f>IF(TF_City!$L$82="not in use","\I:","DMD")</f>
        <v>\I:</v>
      </c>
      <c r="C78" s="146" t="s">
        <v>136</v>
      </c>
      <c r="D78" s="146" t="s">
        <v>822</v>
      </c>
      <c r="E78" s="254" t="s">
        <v>746</v>
      </c>
      <c r="F78" s="254" t="s">
        <v>747</v>
      </c>
      <c r="G78" s="254"/>
      <c r="H78" s="254" t="s">
        <v>748</v>
      </c>
      <c r="I78" s="255" t="s">
        <v>749</v>
      </c>
    </row>
    <row r="79" spans="2:9" s="14" customFormat="1" ht="15" customHeight="1" x14ac:dyDescent="0.3">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3">
      <c r="B80" s="254" t="str">
        <f>IF(TF_City!$L$82="not in use","\I:","DMD")</f>
        <v>\I:</v>
      </c>
      <c r="C80" s="146" t="s">
        <v>137</v>
      </c>
      <c r="D80" s="146" t="s">
        <v>824</v>
      </c>
      <c r="E80" s="254" t="s">
        <v>746</v>
      </c>
      <c r="F80" s="254" t="s">
        <v>747</v>
      </c>
      <c r="G80" s="254"/>
      <c r="H80" s="254" t="s">
        <v>748</v>
      </c>
      <c r="I80" s="255" t="s">
        <v>749</v>
      </c>
    </row>
    <row r="81" spans="1:15" s="14" customFormat="1" ht="15" customHeight="1" x14ac:dyDescent="0.3">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3">
      <c r="B82" s="254" t="str">
        <f>IF(TF_City!$L$231="not in use","\I:","DMD")</f>
        <v>\I:</v>
      </c>
      <c r="C82" s="146" t="s">
        <v>139</v>
      </c>
      <c r="D82" s="146" t="s">
        <v>826</v>
      </c>
      <c r="E82" s="254" t="s">
        <v>746</v>
      </c>
      <c r="F82" s="254" t="s">
        <v>747</v>
      </c>
      <c r="G82" s="254"/>
      <c r="H82" s="254" t="s">
        <v>748</v>
      </c>
      <c r="I82" s="255" t="s">
        <v>749</v>
      </c>
    </row>
    <row r="83" spans="1:15" s="14" customFormat="1" ht="15" customHeight="1" x14ac:dyDescent="0.3">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3">
      <c r="B84" s="254" t="str">
        <f>IF(TF_City!$L$231="not in use","\I:","DMD")</f>
        <v>\I:</v>
      </c>
      <c r="C84" s="146" t="s">
        <v>140</v>
      </c>
      <c r="D84" s="146" t="s">
        <v>828</v>
      </c>
      <c r="E84" s="254" t="s">
        <v>746</v>
      </c>
      <c r="F84" s="254" t="s">
        <v>747</v>
      </c>
      <c r="G84" s="254"/>
      <c r="H84" s="254" t="s">
        <v>748</v>
      </c>
      <c r="I84" s="255" t="s">
        <v>749</v>
      </c>
    </row>
    <row r="85" spans="1:15" s="14" customFormat="1" ht="15" customHeight="1" x14ac:dyDescent="0.3">
      <c r="B85" s="254" t="str">
        <f>IF(TF_Private!$L$198="not in use","\I:","DMD")</f>
        <v>\I:</v>
      </c>
      <c r="C85" s="146" t="s">
        <v>360</v>
      </c>
      <c r="D85" s="146" t="s">
        <v>829</v>
      </c>
      <c r="E85" s="254" t="s">
        <v>746</v>
      </c>
      <c r="F85" s="254" t="s">
        <v>747</v>
      </c>
      <c r="G85" s="254"/>
      <c r="H85" s="254" t="s">
        <v>748</v>
      </c>
      <c r="I85" s="255" t="s">
        <v>749</v>
      </c>
    </row>
    <row r="86" spans="1:15" x14ac:dyDescent="0.3">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3">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3">
      <c r="B88" s="254" t="str">
        <f>IF(TF_City!$L$231="not in use","\I:","DMD")</f>
        <v>\I:</v>
      </c>
      <c r="C88" s="146" t="s">
        <v>142</v>
      </c>
      <c r="D88" s="146" t="s">
        <v>832</v>
      </c>
      <c r="E88" s="254" t="s">
        <v>746</v>
      </c>
      <c r="F88" s="254" t="s">
        <v>747</v>
      </c>
      <c r="G88" s="254"/>
      <c r="H88" s="254" t="s">
        <v>748</v>
      </c>
      <c r="I88" s="255" t="s">
        <v>749</v>
      </c>
    </row>
    <row r="89" spans="1:15" s="14" customFormat="1" ht="15" customHeight="1" x14ac:dyDescent="0.3">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3">
      <c r="B90" s="254" t="str">
        <f>IF(TF_City!$L$231="not in use","\I:","DMD")</f>
        <v>\I:</v>
      </c>
      <c r="C90" s="146" t="s">
        <v>143</v>
      </c>
      <c r="D90" s="146" t="s">
        <v>834</v>
      </c>
      <c r="E90" s="254" t="s">
        <v>746</v>
      </c>
      <c r="F90" s="254" t="s">
        <v>747</v>
      </c>
      <c r="G90" s="254"/>
      <c r="H90" s="254" t="s">
        <v>748</v>
      </c>
      <c r="I90" s="255" t="s">
        <v>749</v>
      </c>
    </row>
    <row r="91" spans="1:15" s="14" customFormat="1" ht="15" customHeight="1" x14ac:dyDescent="0.3">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3">
      <c r="B92" s="254" t="str">
        <f>IF(TF_City!$L$231="not in use","\I:","DMD")</f>
        <v>\I:</v>
      </c>
      <c r="C92" s="146" t="s">
        <v>144</v>
      </c>
      <c r="D92" s="146" t="s">
        <v>836</v>
      </c>
      <c r="E92" s="254" t="s">
        <v>746</v>
      </c>
      <c r="F92" s="254" t="s">
        <v>747</v>
      </c>
      <c r="G92" s="254"/>
      <c r="H92" s="254" t="s">
        <v>748</v>
      </c>
      <c r="I92" s="255" t="s">
        <v>749</v>
      </c>
    </row>
    <row r="93" spans="1:15" s="14" customFormat="1" ht="15" customHeight="1" x14ac:dyDescent="0.3">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3">
      <c r="B94" s="254" t="str">
        <f>IF(TF_City!$L$231="not in use","\I:","DMD")</f>
        <v>\I:</v>
      </c>
      <c r="C94" s="146" t="s">
        <v>145</v>
      </c>
      <c r="D94" s="146" t="s">
        <v>838</v>
      </c>
      <c r="E94" s="254" t="s">
        <v>746</v>
      </c>
      <c r="F94" s="254" t="s">
        <v>747</v>
      </c>
      <c r="G94" s="254"/>
      <c r="H94" s="254" t="s">
        <v>748</v>
      </c>
      <c r="I94" s="255" t="s">
        <v>749</v>
      </c>
    </row>
    <row r="95" spans="1:15" s="14" customFormat="1" ht="15" customHeight="1" x14ac:dyDescent="0.3">
      <c r="B95" s="254" t="str">
        <f>IF(TF_Private!$L$198="not in use","\I:","DMD")</f>
        <v>\I:</v>
      </c>
      <c r="C95" s="146" t="s">
        <v>365</v>
      </c>
      <c r="D95" s="146" t="s">
        <v>839</v>
      </c>
      <c r="E95" s="254" t="s">
        <v>746</v>
      </c>
      <c r="F95" s="254" t="s">
        <v>747</v>
      </c>
      <c r="G95" s="254"/>
      <c r="H95" s="254" t="s">
        <v>748</v>
      </c>
      <c r="I95" s="255" t="s">
        <v>749</v>
      </c>
    </row>
    <row r="96" spans="1:15" x14ac:dyDescent="0.3">
      <c r="A96" s="14"/>
      <c r="B96" s="254" t="str">
        <f>IF(TF_City!$L$231="not in use","\I:","DMD")</f>
        <v>\I:</v>
      </c>
      <c r="C96" s="146" t="s">
        <v>146</v>
      </c>
      <c r="D96" s="146" t="s">
        <v>840</v>
      </c>
      <c r="E96" s="254" t="s">
        <v>746</v>
      </c>
      <c r="F96" s="254" t="s">
        <v>747</v>
      </c>
      <c r="G96" s="254"/>
      <c r="H96" s="254" t="s">
        <v>748</v>
      </c>
      <c r="I96" s="255" t="s">
        <v>749</v>
      </c>
      <c r="J96" s="14"/>
    </row>
    <row r="97" spans="1:10" x14ac:dyDescent="0.3">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3">
      <c r="B98" s="254" t="str">
        <f>IF(TF_City!$L$231="not in use","\I:","DMD")</f>
        <v>\I:</v>
      </c>
      <c r="C98" s="146" t="s">
        <v>147</v>
      </c>
      <c r="D98" s="146" t="s">
        <v>842</v>
      </c>
      <c r="E98" s="254" t="s">
        <v>746</v>
      </c>
      <c r="F98" s="254" t="s">
        <v>747</v>
      </c>
      <c r="G98" s="254"/>
      <c r="H98" s="254" t="s">
        <v>748</v>
      </c>
      <c r="I98" s="255" t="s">
        <v>749</v>
      </c>
    </row>
    <row r="99" spans="1:10" s="14" customFormat="1" ht="15" customHeight="1" x14ac:dyDescent="0.3">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3">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3">
      <c r="B101" s="254" t="str">
        <f>IF(TF_Private!$L$198="not in use","\I:","DMD")</f>
        <v>\I:</v>
      </c>
      <c r="C101" s="146" t="s">
        <v>368</v>
      </c>
      <c r="D101" s="146" t="s">
        <v>845</v>
      </c>
      <c r="E101" s="254" t="s">
        <v>746</v>
      </c>
      <c r="F101" s="254" t="s">
        <v>747</v>
      </c>
      <c r="G101" s="254"/>
      <c r="H101" s="254" t="s">
        <v>748</v>
      </c>
      <c r="I101" s="255" t="s">
        <v>749</v>
      </c>
    </row>
    <row r="102" spans="1:10" s="14" customFormat="1" x14ac:dyDescent="0.3">
      <c r="B102" s="256" t="str">
        <f>IF(TF_City!$L$231="not in use","\I:","DMD")</f>
        <v>\I:</v>
      </c>
      <c r="C102" s="826" t="s">
        <v>149</v>
      </c>
      <c r="D102" s="826" t="s">
        <v>846</v>
      </c>
      <c r="E102" s="256" t="s">
        <v>746</v>
      </c>
      <c r="F102" s="256" t="s">
        <v>747</v>
      </c>
      <c r="G102" s="256"/>
      <c r="H102" s="256" t="s">
        <v>748</v>
      </c>
      <c r="I102" s="257" t="s">
        <v>749</v>
      </c>
    </row>
    <row r="103" spans="1:10" s="14" customFormat="1" ht="15" customHeight="1" x14ac:dyDescent="0.3">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3">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3">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3">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3">
      <c r="B107" s="254" t="str">
        <f>IF(TF_Private!$L$347="not in use","\I:","DMD")</f>
        <v>DMD</v>
      </c>
      <c r="C107" s="146" t="s">
        <v>371</v>
      </c>
      <c r="D107" s="146" t="s">
        <v>851</v>
      </c>
      <c r="E107" s="254" t="s">
        <v>746</v>
      </c>
      <c r="F107" s="254" t="s">
        <v>747</v>
      </c>
      <c r="G107" s="254"/>
      <c r="H107" s="254" t="s">
        <v>748</v>
      </c>
      <c r="I107" s="255" t="s">
        <v>749</v>
      </c>
    </row>
    <row r="108" spans="1:10" x14ac:dyDescent="0.3">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3">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3">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3">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3">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3">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3">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3">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3">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3">
      <c r="B117" s="254" t="str">
        <f>IF(TF_Private!$L$347="not in use","\I:","DMD")</f>
        <v>DMD</v>
      </c>
      <c r="C117" s="146" t="s">
        <v>376</v>
      </c>
      <c r="D117" s="146" t="s">
        <v>861</v>
      </c>
      <c r="E117" s="254" t="s">
        <v>746</v>
      </c>
      <c r="F117" s="254" t="s">
        <v>747</v>
      </c>
      <c r="G117" s="254"/>
      <c r="H117" s="254" t="s">
        <v>748</v>
      </c>
      <c r="I117" s="255" t="s">
        <v>749</v>
      </c>
    </row>
    <row r="118" spans="1:10" x14ac:dyDescent="0.3">
      <c r="A118" s="14"/>
      <c r="B118" s="254" t="str">
        <f>IF(TF_City!$L$378="not in use","\I:","DMD")</f>
        <v>\I:</v>
      </c>
      <c r="C118" s="146" t="s">
        <v>158</v>
      </c>
      <c r="D118" s="146" t="s">
        <v>862</v>
      </c>
      <c r="E118" s="254" t="s">
        <v>746</v>
      </c>
      <c r="F118" s="254" t="s">
        <v>747</v>
      </c>
      <c r="G118" s="254"/>
      <c r="H118" s="254" t="s">
        <v>748</v>
      </c>
      <c r="I118" s="255" t="s">
        <v>749</v>
      </c>
      <c r="J118" s="14"/>
    </row>
    <row r="119" spans="1:10" x14ac:dyDescent="0.3">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3">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3">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3">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3">
      <c r="B123" s="254" t="str">
        <f>IF(TF_Private!$L$347="not in use","\I:","DMD")</f>
        <v>DMD</v>
      </c>
      <c r="C123" s="146" t="s">
        <v>379</v>
      </c>
      <c r="D123" s="146" t="s">
        <v>867</v>
      </c>
      <c r="E123" s="254" t="s">
        <v>746</v>
      </c>
      <c r="F123" s="254" t="s">
        <v>747</v>
      </c>
      <c r="G123" s="254"/>
      <c r="H123" s="254" t="s">
        <v>748</v>
      </c>
      <c r="I123" s="255" t="s">
        <v>749</v>
      </c>
    </row>
    <row r="124" spans="1:10" s="14" customFormat="1" x14ac:dyDescent="0.3">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3">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3">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3">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3">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3">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3">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3">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3">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3">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3">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3">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3">
      <c r="B136" s="254" t="str">
        <f>IF(TNO!K16="not in use","\I:","DMD")</f>
        <v>\I:</v>
      </c>
      <c r="C136" s="144" t="s">
        <v>688</v>
      </c>
      <c r="D136" s="144" t="s">
        <v>880</v>
      </c>
      <c r="E136" s="254" t="s">
        <v>85</v>
      </c>
      <c r="F136" s="254" t="s">
        <v>881</v>
      </c>
      <c r="G136" s="254"/>
      <c r="H136" s="254"/>
      <c r="I136" s="255" t="s">
        <v>749</v>
      </c>
    </row>
    <row r="137" spans="1:10" s="14" customFormat="1" ht="15" customHeight="1" x14ac:dyDescent="0.3">
      <c r="B137" s="254" t="str">
        <f>IF(TNO!K25="not in use","\I:","DMD")</f>
        <v>\I:</v>
      </c>
      <c r="C137" s="147" t="s">
        <v>689</v>
      </c>
      <c r="D137" s="147" t="s">
        <v>882</v>
      </c>
      <c r="E137" s="254" t="s">
        <v>85</v>
      </c>
      <c r="F137" s="254" t="s">
        <v>881</v>
      </c>
      <c r="G137" s="254"/>
      <c r="H137" s="254"/>
      <c r="I137" s="255" t="s">
        <v>749</v>
      </c>
    </row>
    <row r="138" spans="1:10" s="14" customFormat="1" ht="15" customHeight="1" x14ac:dyDescent="0.3">
      <c r="B138" s="254" t="str">
        <f>IF(TOV!K18="not in use","\I:","DMD")</f>
        <v>\I:</v>
      </c>
      <c r="C138" s="147" t="s">
        <v>389</v>
      </c>
      <c r="D138" s="147" t="s">
        <v>883</v>
      </c>
      <c r="E138" s="254" t="s">
        <v>85</v>
      </c>
      <c r="F138" s="254" t="s">
        <v>881</v>
      </c>
      <c r="G138" s="254"/>
      <c r="H138" s="254"/>
      <c r="I138" s="255" t="s">
        <v>749</v>
      </c>
    </row>
    <row r="139" spans="1:10" s="14" customFormat="1" ht="15" customHeight="1" x14ac:dyDescent="0.3">
      <c r="B139" s="254" t="str">
        <f>IF(TOV!K29="not in use","\I:","DMD")</f>
        <v>\I:</v>
      </c>
      <c r="C139" s="147" t="s">
        <v>884</v>
      </c>
      <c r="D139" s="147" t="s">
        <v>885</v>
      </c>
      <c r="E139" s="254" t="s">
        <v>85</v>
      </c>
      <c r="F139" s="254" t="s">
        <v>881</v>
      </c>
      <c r="G139" s="254"/>
      <c r="H139" s="254"/>
      <c r="I139" s="255" t="s">
        <v>749</v>
      </c>
    </row>
    <row r="140" spans="1:10" s="14" customFormat="1" ht="15" customHeight="1" x14ac:dyDescent="0.3">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3">
      <c r="A141"/>
      <c r="B141" s="254" t="str">
        <f>IF(TT!$K$80="not in use","\I:","DMD")</f>
        <v>\I:</v>
      </c>
      <c r="C141" s="147" t="s">
        <v>217</v>
      </c>
      <c r="D141" s="147" t="s">
        <v>887</v>
      </c>
      <c r="E141" s="254" t="s">
        <v>746</v>
      </c>
      <c r="F141" s="254" t="s">
        <v>747</v>
      </c>
      <c r="G141" s="254"/>
      <c r="H141" s="254" t="s">
        <v>748</v>
      </c>
      <c r="I141" s="255" t="s">
        <v>749</v>
      </c>
      <c r="J141"/>
    </row>
    <row r="142" spans="1:10" x14ac:dyDescent="0.3">
      <c r="A142" s="14"/>
      <c r="B142" s="254" t="str">
        <f>IF(TT!$K$112="not in use","\I:","DMD")</f>
        <v>\I:</v>
      </c>
      <c r="C142" s="147" t="s">
        <v>218</v>
      </c>
      <c r="D142" s="147" t="s">
        <v>888</v>
      </c>
      <c r="E142" s="254" t="s">
        <v>746</v>
      </c>
      <c r="F142" s="254" t="s">
        <v>747</v>
      </c>
      <c r="G142" s="254"/>
      <c r="H142" s="254" t="s">
        <v>748</v>
      </c>
      <c r="I142" s="255" t="s">
        <v>749</v>
      </c>
      <c r="J142" s="14"/>
    </row>
    <row r="143" spans="1:10" x14ac:dyDescent="0.3">
      <c r="A143" s="14"/>
      <c r="B143" s="254" t="str">
        <f>IF(TT!$K$112="not in use","\I:","DMD")</f>
        <v>\I:</v>
      </c>
      <c r="C143" s="147" t="s">
        <v>219</v>
      </c>
      <c r="D143" s="147" t="s">
        <v>889</v>
      </c>
      <c r="E143" s="254" t="s">
        <v>746</v>
      </c>
      <c r="F143" s="254" t="s">
        <v>747</v>
      </c>
      <c r="G143" s="254"/>
      <c r="H143" s="254" t="s">
        <v>748</v>
      </c>
      <c r="I143" s="255" t="s">
        <v>749</v>
      </c>
      <c r="J143" s="14"/>
    </row>
    <row r="144" spans="1:10" x14ac:dyDescent="0.3">
      <c r="A144" s="14"/>
      <c r="B144" s="254" t="str">
        <f>IF(TT!$K$36="not in use","\I:","DMD")</f>
        <v>\I:</v>
      </c>
      <c r="C144" s="147" t="s">
        <v>221</v>
      </c>
      <c r="D144" s="147" t="s">
        <v>890</v>
      </c>
      <c r="E144" s="254" t="s">
        <v>746</v>
      </c>
      <c r="F144" s="254" t="s">
        <v>747</v>
      </c>
      <c r="G144" s="254"/>
      <c r="H144" s="254" t="s">
        <v>748</v>
      </c>
      <c r="I144" s="255" t="s">
        <v>749</v>
      </c>
      <c r="J144" s="14"/>
    </row>
    <row r="145" spans="1:10" x14ac:dyDescent="0.3">
      <c r="A145" s="14"/>
      <c r="B145" s="254" t="str">
        <f>IF(TT!$K$36="not in use","\I:","DMD")</f>
        <v>\I:</v>
      </c>
      <c r="C145" s="147" t="s">
        <v>223</v>
      </c>
      <c r="D145" s="147" t="s">
        <v>891</v>
      </c>
      <c r="E145" s="254" t="s">
        <v>746</v>
      </c>
      <c r="F145" s="254" t="s">
        <v>747</v>
      </c>
      <c r="G145" s="254"/>
      <c r="H145" s="254" t="s">
        <v>748</v>
      </c>
      <c r="I145" s="255" t="s">
        <v>749</v>
      </c>
      <c r="J145" s="14"/>
    </row>
    <row r="146" spans="1:10" x14ac:dyDescent="0.3">
      <c r="A146" s="14"/>
      <c r="B146" s="254" t="str">
        <f>IF(TT!$K$36="not in use","\I:","DMD")</f>
        <v>\I:</v>
      </c>
      <c r="C146" s="147" t="s">
        <v>224</v>
      </c>
      <c r="D146" s="147" t="s">
        <v>892</v>
      </c>
      <c r="E146" s="254" t="s">
        <v>746</v>
      </c>
      <c r="F146" s="254" t="s">
        <v>747</v>
      </c>
      <c r="G146" s="254"/>
      <c r="H146" s="254" t="s">
        <v>748</v>
      </c>
      <c r="I146" s="255" t="s">
        <v>749</v>
      </c>
      <c r="J146" s="14"/>
    </row>
    <row r="147" spans="1:10" x14ac:dyDescent="0.3">
      <c r="B147" s="254" t="str">
        <f>IF(TYW!$K$27="not in use","\I:","DMD")</f>
        <v>\I:</v>
      </c>
      <c r="C147" s="145" t="s">
        <v>382</v>
      </c>
      <c r="D147" s="145" t="s">
        <v>893</v>
      </c>
      <c r="E147" s="254" t="s">
        <v>746</v>
      </c>
      <c r="F147" s="254" t="s">
        <v>747</v>
      </c>
      <c r="G147" s="254"/>
      <c r="H147" s="254" t="s">
        <v>748</v>
      </c>
      <c r="I147" s="255" t="s">
        <v>749</v>
      </c>
    </row>
    <row r="148" spans="1:10" x14ac:dyDescent="0.3">
      <c r="B148" s="254" t="str">
        <f>IF(TYW!$K$80="not in use","\I:","DMD")</f>
        <v>\I:</v>
      </c>
      <c r="C148" s="145" t="s">
        <v>171</v>
      </c>
      <c r="D148" s="145" t="s">
        <v>894</v>
      </c>
      <c r="E148" s="254" t="s">
        <v>746</v>
      </c>
      <c r="F148" s="254" t="s">
        <v>747</v>
      </c>
      <c r="G148" s="254"/>
      <c r="H148" s="254" t="s">
        <v>748</v>
      </c>
      <c r="I148" s="255" t="s">
        <v>749</v>
      </c>
    </row>
    <row r="149" spans="1:10" x14ac:dyDescent="0.3">
      <c r="A149" s="14"/>
      <c r="B149" s="254" t="str">
        <f>IF(TF_Private!$L$499="not in use","\I:","DMD")</f>
        <v>\I:</v>
      </c>
      <c r="C149" s="145" t="s">
        <v>564</v>
      </c>
      <c r="D149" s="145" t="s">
        <v>895</v>
      </c>
      <c r="E149" s="254" t="s">
        <v>746</v>
      </c>
      <c r="F149" s="254" t="s">
        <v>747</v>
      </c>
      <c r="G149" s="254"/>
      <c r="H149" s="254" t="s">
        <v>748</v>
      </c>
      <c r="I149" s="255" t="s">
        <v>749</v>
      </c>
      <c r="J149" s="14"/>
    </row>
    <row r="150" spans="1:10" x14ac:dyDescent="0.3">
      <c r="A150" s="14"/>
      <c r="B150" s="254" t="str">
        <f>IF(TF_City!$L$39="not in use","\I:","DMD")</f>
        <v>\I:</v>
      </c>
      <c r="C150" s="145" t="s">
        <v>166</v>
      </c>
      <c r="D150" s="145" t="s">
        <v>896</v>
      </c>
      <c r="E150" s="254" t="s">
        <v>746</v>
      </c>
      <c r="F150" s="254" t="s">
        <v>747</v>
      </c>
      <c r="G150" s="254"/>
      <c r="H150" s="254" t="s">
        <v>748</v>
      </c>
      <c r="I150" s="255" t="s">
        <v>749</v>
      </c>
      <c r="J150" s="14"/>
    </row>
    <row r="151" spans="1:10" x14ac:dyDescent="0.3">
      <c r="A151" s="14"/>
      <c r="B151" s="254" t="str">
        <f>IF(TYW!$K$27="not in use","\I:","DMD")</f>
        <v>\I:</v>
      </c>
      <c r="C151" s="145" t="s">
        <v>380</v>
      </c>
      <c r="D151" s="145" t="s">
        <v>897</v>
      </c>
      <c r="E151" s="254" t="s">
        <v>746</v>
      </c>
      <c r="F151" s="254" t="s">
        <v>747</v>
      </c>
      <c r="G151" s="254"/>
      <c r="H151" s="254" t="s">
        <v>748</v>
      </c>
      <c r="I151" s="255" t="s">
        <v>749</v>
      </c>
      <c r="J151" s="14"/>
    </row>
    <row r="152" spans="1:10" x14ac:dyDescent="0.3">
      <c r="A152" s="14"/>
      <c r="B152" s="254" t="str">
        <f>IF(TYW!$K$80="not in use","\I:","DMD")</f>
        <v>\I:</v>
      </c>
      <c r="C152" s="145" t="s">
        <v>561</v>
      </c>
      <c r="D152" s="145" t="s">
        <v>898</v>
      </c>
      <c r="E152" s="254" t="s">
        <v>746</v>
      </c>
      <c r="F152" s="254" t="s">
        <v>747</v>
      </c>
      <c r="G152" s="254"/>
      <c r="H152" s="254" t="s">
        <v>748</v>
      </c>
      <c r="I152" s="255" t="s">
        <v>749</v>
      </c>
      <c r="J152" s="14"/>
    </row>
    <row r="153" spans="1:10" x14ac:dyDescent="0.3">
      <c r="A153" s="14"/>
      <c r="B153" s="254" t="str">
        <f>IF(TF_Private!$L$499="not in use","\I:","DMD")</f>
        <v>\I:</v>
      </c>
      <c r="C153" s="145" t="s">
        <v>565</v>
      </c>
      <c r="D153" s="145" t="s">
        <v>899</v>
      </c>
      <c r="E153" s="254" t="s">
        <v>746</v>
      </c>
      <c r="F153" s="254" t="s">
        <v>747</v>
      </c>
      <c r="G153" s="254"/>
      <c r="H153" s="254" t="s">
        <v>748</v>
      </c>
      <c r="I153" s="255" t="s">
        <v>749</v>
      </c>
      <c r="J153" s="14"/>
    </row>
    <row r="154" spans="1:10" x14ac:dyDescent="0.3">
      <c r="A154" s="14"/>
      <c r="B154" s="254" t="str">
        <f>IF(TF_City!$L$39="not in use","\I:","DMD")</f>
        <v>\I:</v>
      </c>
      <c r="C154" s="145" t="s">
        <v>167</v>
      </c>
      <c r="D154" s="145" t="s">
        <v>900</v>
      </c>
      <c r="E154" s="254" t="s">
        <v>746</v>
      </c>
      <c r="F154" s="254" t="s">
        <v>747</v>
      </c>
      <c r="G154" s="254"/>
      <c r="H154" s="254" t="s">
        <v>748</v>
      </c>
      <c r="I154" s="255" t="s">
        <v>749</v>
      </c>
      <c r="J154" s="14"/>
    </row>
    <row r="155" spans="1:10" x14ac:dyDescent="0.3">
      <c r="A155" s="14"/>
      <c r="B155" s="254" t="str">
        <f>IF(TYW!$K$27="not in use","\I:","DMD")</f>
        <v>\I:</v>
      </c>
      <c r="C155" s="145" t="s">
        <v>381</v>
      </c>
      <c r="D155" s="145" t="s">
        <v>901</v>
      </c>
      <c r="E155" s="254" t="s">
        <v>746</v>
      </c>
      <c r="F155" s="254" t="s">
        <v>747</v>
      </c>
      <c r="G155" s="254"/>
      <c r="H155" s="254" t="s">
        <v>748</v>
      </c>
      <c r="I155" s="255" t="s">
        <v>749</v>
      </c>
      <c r="J155" s="14"/>
    </row>
    <row r="156" spans="1:10" x14ac:dyDescent="0.3">
      <c r="A156" s="14"/>
      <c r="B156" s="256" t="str">
        <f>IF(TYW!$K$80="not in use","\I:","DMD")</f>
        <v>\I:</v>
      </c>
      <c r="C156" s="753" t="s">
        <v>562</v>
      </c>
      <c r="D156" s="753" t="s">
        <v>902</v>
      </c>
      <c r="E156" s="256" t="s">
        <v>746</v>
      </c>
      <c r="F156" s="256" t="s">
        <v>747</v>
      </c>
      <c r="G156" s="256"/>
      <c r="H156" s="256" t="s">
        <v>748</v>
      </c>
      <c r="I156" s="257" t="s">
        <v>749</v>
      </c>
      <c r="J156" s="14"/>
    </row>
    <row r="157" spans="1:10" x14ac:dyDescent="0.3">
      <c r="A157" s="14"/>
      <c r="B157" s="254" t="s">
        <v>903</v>
      </c>
      <c r="C157" s="145" t="s">
        <v>904</v>
      </c>
      <c r="D157" s="145" t="s">
        <v>905</v>
      </c>
      <c r="E157" s="254" t="s">
        <v>85</v>
      </c>
      <c r="F157" s="254" t="s">
        <v>881</v>
      </c>
      <c r="G157" s="254"/>
      <c r="H157" s="254"/>
      <c r="I157" s="254" t="s">
        <v>749</v>
      </c>
      <c r="J157" s="14"/>
    </row>
    <row r="158" spans="1:10" x14ac:dyDescent="0.3">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3">
      <c r="A159" s="14"/>
      <c r="B159" s="254" t="s">
        <v>903</v>
      </c>
      <c r="C159" s="145" t="s">
        <v>907</v>
      </c>
      <c r="D159" s="145" t="s">
        <v>908</v>
      </c>
      <c r="E159" s="254" t="s">
        <v>85</v>
      </c>
      <c r="F159" s="254" t="s">
        <v>881</v>
      </c>
      <c r="G159" s="254"/>
      <c r="H159" s="254"/>
      <c r="I159" s="254" t="s">
        <v>749</v>
      </c>
      <c r="J159" s="14"/>
    </row>
    <row r="160" spans="1:10" x14ac:dyDescent="0.3">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3">
      <c r="A161" s="14"/>
      <c r="B161" s="254" t="s">
        <v>903</v>
      </c>
      <c r="C161" s="145" t="s">
        <v>910</v>
      </c>
      <c r="D161" s="145" t="s">
        <v>911</v>
      </c>
      <c r="E161" s="254" t="s">
        <v>85</v>
      </c>
      <c r="F161" s="254" t="s">
        <v>881</v>
      </c>
      <c r="G161" s="254"/>
      <c r="H161" s="254"/>
      <c r="I161" s="254" t="s">
        <v>749</v>
      </c>
      <c r="J161" s="14"/>
    </row>
    <row r="162" spans="1:10" x14ac:dyDescent="0.3">
      <c r="A162" s="14"/>
      <c r="B162" s="254" t="s">
        <v>903</v>
      </c>
      <c r="C162" s="145" t="s">
        <v>912</v>
      </c>
      <c r="D162" s="145" t="s">
        <v>911</v>
      </c>
      <c r="E162" s="254" t="s">
        <v>85</v>
      </c>
      <c r="F162" s="254" t="s">
        <v>881</v>
      </c>
      <c r="G162" s="254"/>
      <c r="H162" s="254"/>
      <c r="I162" s="254" t="s">
        <v>749</v>
      </c>
      <c r="J162" s="14"/>
    </row>
    <row r="163" spans="1:10" x14ac:dyDescent="0.3">
      <c r="A163" s="14"/>
      <c r="B163" s="254" t="s">
        <v>903</v>
      </c>
      <c r="C163" s="145" t="s">
        <v>913</v>
      </c>
      <c r="D163" s="145" t="s">
        <v>914</v>
      </c>
      <c r="E163" s="254" t="s">
        <v>85</v>
      </c>
      <c r="F163" s="254" t="s">
        <v>881</v>
      </c>
      <c r="G163" s="254"/>
      <c r="H163" s="254"/>
      <c r="I163" s="254" t="s">
        <v>749</v>
      </c>
      <c r="J163" s="14"/>
    </row>
    <row r="164" spans="1:10" x14ac:dyDescent="0.3">
      <c r="A164" s="14"/>
      <c r="B164" s="254" t="s">
        <v>903</v>
      </c>
      <c r="C164" s="145" t="s">
        <v>915</v>
      </c>
      <c r="D164" s="145" t="s">
        <v>916</v>
      </c>
      <c r="E164" s="254" t="s">
        <v>85</v>
      </c>
      <c r="F164" s="254" t="s">
        <v>881</v>
      </c>
      <c r="G164" s="254"/>
      <c r="H164" s="254"/>
      <c r="I164" s="254" t="s">
        <v>749</v>
      </c>
      <c r="J164" s="14"/>
    </row>
    <row r="165" spans="1:10" x14ac:dyDescent="0.3">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3">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3">
      <c r="A167" s="14"/>
      <c r="B167" s="254" t="s">
        <v>903</v>
      </c>
      <c r="C167" s="145" t="s">
        <v>919</v>
      </c>
      <c r="D167" s="145" t="s">
        <v>920</v>
      </c>
      <c r="E167" s="254" t="s">
        <v>85</v>
      </c>
      <c r="F167" s="254" t="s">
        <v>881</v>
      </c>
      <c r="G167" s="254"/>
      <c r="H167" s="254"/>
      <c r="I167" s="254" t="s">
        <v>749</v>
      </c>
      <c r="J167" s="14"/>
    </row>
    <row r="168" spans="1:10" x14ac:dyDescent="0.3">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3">
      <c r="A169" s="14"/>
      <c r="B169" s="254" t="s">
        <v>903</v>
      </c>
      <c r="C169" s="145" t="s">
        <v>922</v>
      </c>
      <c r="D169" s="145" t="s">
        <v>923</v>
      </c>
      <c r="E169" s="254" t="s">
        <v>85</v>
      </c>
      <c r="F169" s="254" t="s">
        <v>881</v>
      </c>
      <c r="G169" s="254"/>
      <c r="H169" s="254"/>
      <c r="I169" s="254" t="s">
        <v>749</v>
      </c>
      <c r="J169" s="14"/>
    </row>
    <row r="170" spans="1:10" x14ac:dyDescent="0.3">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3">
      <c r="A171" s="14"/>
      <c r="B171" s="254" t="s">
        <v>903</v>
      </c>
      <c r="C171" s="145" t="s">
        <v>925</v>
      </c>
      <c r="D171" s="145" t="s">
        <v>926</v>
      </c>
      <c r="E171" s="254" t="s">
        <v>85</v>
      </c>
      <c r="F171" s="254" t="s">
        <v>881</v>
      </c>
      <c r="G171" s="254"/>
      <c r="H171" s="254"/>
      <c r="I171" s="254" t="s">
        <v>749</v>
      </c>
      <c r="J171" s="14"/>
    </row>
    <row r="172" spans="1:10" x14ac:dyDescent="0.3">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3">
      <c r="A173" s="14"/>
      <c r="B173" s="254" t="s">
        <v>903</v>
      </c>
      <c r="C173" s="145" t="s">
        <v>928</v>
      </c>
      <c r="D173" s="145" t="s">
        <v>929</v>
      </c>
      <c r="E173" s="254" t="s">
        <v>85</v>
      </c>
      <c r="F173" s="254" t="s">
        <v>881</v>
      </c>
      <c r="G173" s="254"/>
      <c r="H173" s="254"/>
      <c r="I173" s="254" t="s">
        <v>749</v>
      </c>
      <c r="J173" s="14"/>
    </row>
    <row r="174" spans="1:10" x14ac:dyDescent="0.3">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3">
      <c r="A175" s="14"/>
      <c r="B175" s="254" t="s">
        <v>903</v>
      </c>
      <c r="C175" s="145" t="s">
        <v>931</v>
      </c>
      <c r="D175" s="145" t="s">
        <v>932</v>
      </c>
      <c r="E175" s="254" t="s">
        <v>85</v>
      </c>
      <c r="F175" s="254" t="s">
        <v>881</v>
      </c>
      <c r="G175" s="254"/>
      <c r="H175" s="254"/>
      <c r="I175" s="254" t="s">
        <v>749</v>
      </c>
      <c r="J175" s="14"/>
    </row>
    <row r="176" spans="1:10" x14ac:dyDescent="0.3">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3">
      <c r="A177" s="14"/>
      <c r="B177" s="254" t="s">
        <v>903</v>
      </c>
      <c r="C177" s="145" t="s">
        <v>934</v>
      </c>
      <c r="D177" s="145" t="s">
        <v>935</v>
      </c>
      <c r="E177" s="254" t="s">
        <v>85</v>
      </c>
      <c r="F177" s="254" t="s">
        <v>881</v>
      </c>
      <c r="G177" s="254"/>
      <c r="H177" s="254"/>
      <c r="I177" s="254" t="s">
        <v>749</v>
      </c>
      <c r="J177" s="14"/>
    </row>
    <row r="178" spans="1:10" x14ac:dyDescent="0.3">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3">
      <c r="A179" s="14"/>
      <c r="B179" s="254" t="s">
        <v>903</v>
      </c>
      <c r="C179" s="145" t="s">
        <v>937</v>
      </c>
      <c r="D179" s="145" t="s">
        <v>938</v>
      </c>
      <c r="E179" s="254" t="s">
        <v>85</v>
      </c>
      <c r="F179" s="254" t="s">
        <v>881</v>
      </c>
      <c r="G179" s="254"/>
      <c r="H179" s="254"/>
      <c r="I179" s="254" t="s">
        <v>749</v>
      </c>
      <c r="J179" s="14"/>
    </row>
    <row r="180" spans="1:10" x14ac:dyDescent="0.3">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3">
      <c r="A181" s="14"/>
      <c r="B181" s="254" t="s">
        <v>903</v>
      </c>
      <c r="C181" s="145" t="s">
        <v>940</v>
      </c>
      <c r="D181" s="145" t="s">
        <v>941</v>
      </c>
      <c r="E181" s="254" t="s">
        <v>85</v>
      </c>
      <c r="F181" s="254" t="s">
        <v>881</v>
      </c>
      <c r="G181" s="254"/>
      <c r="H181" s="254"/>
      <c r="I181" s="254" t="s">
        <v>749</v>
      </c>
      <c r="J181" s="14"/>
    </row>
    <row r="182" spans="1:10" x14ac:dyDescent="0.3">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3">
      <c r="A183" s="14"/>
      <c r="B183" s="254" t="s">
        <v>903</v>
      </c>
      <c r="C183" s="145" t="s">
        <v>943</v>
      </c>
      <c r="D183" s="145" t="s">
        <v>944</v>
      </c>
      <c r="E183" s="254" t="s">
        <v>85</v>
      </c>
      <c r="F183" s="254" t="s">
        <v>881</v>
      </c>
      <c r="G183" s="254"/>
      <c r="H183" s="254"/>
      <c r="I183" s="254" t="s">
        <v>749</v>
      </c>
      <c r="J183" s="14"/>
    </row>
    <row r="184" spans="1:10" x14ac:dyDescent="0.3">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3">
      <c r="A185" s="14"/>
      <c r="B185" s="254" t="s">
        <v>903</v>
      </c>
      <c r="C185" s="145" t="s">
        <v>946</v>
      </c>
      <c r="D185" s="145" t="s">
        <v>947</v>
      </c>
      <c r="E185" s="254" t="s">
        <v>85</v>
      </c>
      <c r="F185" s="254" t="s">
        <v>881</v>
      </c>
      <c r="G185" s="254"/>
      <c r="H185" s="254"/>
      <c r="I185" s="254" t="s">
        <v>749</v>
      </c>
      <c r="J185" s="14"/>
    </row>
    <row r="186" spans="1:10" x14ac:dyDescent="0.3">
      <c r="B186" s="254" t="s">
        <v>903</v>
      </c>
      <c r="C186" s="145" t="s">
        <v>948</v>
      </c>
      <c r="D186" s="145" t="str">
        <f>REPLACE(D185,1,9,"Fuel Tech New")</f>
        <v>Fuel Tech New - H2 (gaseous) (TRA)</v>
      </c>
      <c r="E186" s="254" t="s">
        <v>85</v>
      </c>
      <c r="F186" s="254" t="s">
        <v>881</v>
      </c>
      <c r="G186" s="254"/>
      <c r="H186" s="254"/>
      <c r="I186" s="254" t="s">
        <v>749</v>
      </c>
    </row>
    <row r="187" spans="1:10" x14ac:dyDescent="0.3">
      <c r="B187" s="254" t="s">
        <v>903</v>
      </c>
      <c r="C187" s="145" t="s">
        <v>949</v>
      </c>
      <c r="D187" s="145" t="s">
        <v>950</v>
      </c>
      <c r="E187" s="254" t="s">
        <v>85</v>
      </c>
      <c r="F187" s="254" t="s">
        <v>881</v>
      </c>
      <c r="G187" s="254"/>
      <c r="H187" s="254"/>
      <c r="I187" s="254" t="s">
        <v>749</v>
      </c>
    </row>
    <row r="188" spans="1:10" x14ac:dyDescent="0.3">
      <c r="B188" s="254" t="s">
        <v>903</v>
      </c>
      <c r="C188" s="145" t="s">
        <v>951</v>
      </c>
      <c r="D188" s="145" t="str">
        <f>REPLACE(D187,1,19,"Fuel Tech New")</f>
        <v>Fuel Tech New - Heavy Fuel Oil (TRA)</v>
      </c>
      <c r="E188" s="254" t="s">
        <v>85</v>
      </c>
      <c r="F188" s="254" t="s">
        <v>881</v>
      </c>
      <c r="G188" s="254"/>
      <c r="H188" s="254"/>
      <c r="I188" s="254" t="s">
        <v>749</v>
      </c>
    </row>
    <row r="189" spans="1:10" x14ac:dyDescent="0.3">
      <c r="B189" s="254" t="s">
        <v>903</v>
      </c>
      <c r="C189" s="145" t="s">
        <v>952</v>
      </c>
      <c r="D189" s="145" t="s">
        <v>953</v>
      </c>
      <c r="E189" s="254" t="s">
        <v>85</v>
      </c>
      <c r="F189" s="254" t="s">
        <v>881</v>
      </c>
      <c r="G189" s="254"/>
      <c r="H189" s="254"/>
      <c r="I189" s="254" t="s">
        <v>749</v>
      </c>
    </row>
    <row r="190" spans="1:10" x14ac:dyDescent="0.3">
      <c r="B190" s="254" t="s">
        <v>903</v>
      </c>
      <c r="C190" s="145" t="s">
        <v>954</v>
      </c>
      <c r="D190" s="145" t="str">
        <f>REPLACE(D189,1,19,"Fuel Tech New")</f>
        <v>Fuel Tech New - Human Power (TRA)</v>
      </c>
      <c r="E190" s="254" t="s">
        <v>85</v>
      </c>
      <c r="F190" s="254" t="s">
        <v>881</v>
      </c>
      <c r="G190" s="254"/>
      <c r="H190" s="254"/>
      <c r="I190" s="254" t="s">
        <v>749</v>
      </c>
    </row>
    <row r="191" spans="1:10" x14ac:dyDescent="0.3">
      <c r="B191" s="254" t="s">
        <v>903</v>
      </c>
      <c r="C191" s="145" t="s">
        <v>955</v>
      </c>
      <c r="D191" s="145" t="s">
        <v>956</v>
      </c>
      <c r="E191" s="254" t="s">
        <v>85</v>
      </c>
      <c r="F191" s="254" t="s">
        <v>881</v>
      </c>
      <c r="G191" s="254"/>
      <c r="H191" s="254"/>
      <c r="I191" s="254" t="s">
        <v>749</v>
      </c>
    </row>
    <row r="192" spans="1:10" x14ac:dyDescent="0.3">
      <c r="B192" s="254" t="s">
        <v>903</v>
      </c>
      <c r="C192" s="145" t="s">
        <v>957</v>
      </c>
      <c r="D192" s="145" t="str">
        <f>REPLACE(D191,1,19,"Fuel Tech New")</f>
        <v>Fuel Tech New - Kerosene - Jet Fuels (TRA)</v>
      </c>
      <c r="E192" s="254" t="s">
        <v>85</v>
      </c>
      <c r="F192" s="254" t="s">
        <v>881</v>
      </c>
      <c r="G192" s="254"/>
      <c r="H192" s="254"/>
      <c r="I192" s="254" t="s">
        <v>749</v>
      </c>
    </row>
    <row r="193" spans="1:10" x14ac:dyDescent="0.3">
      <c r="B193" s="254" t="s">
        <v>903</v>
      </c>
      <c r="C193" s="145" t="s">
        <v>958</v>
      </c>
      <c r="D193" s="145" t="s">
        <v>959</v>
      </c>
      <c r="E193" s="254" t="s">
        <v>85</v>
      </c>
      <c r="F193" s="254" t="s">
        <v>881</v>
      </c>
      <c r="G193" s="254"/>
      <c r="H193" s="254"/>
      <c r="I193" s="254" t="s">
        <v>749</v>
      </c>
    </row>
    <row r="194" spans="1:10" x14ac:dyDescent="0.3">
      <c r="B194" s="254" t="s">
        <v>903</v>
      </c>
      <c r="C194" s="145" t="s">
        <v>960</v>
      </c>
      <c r="D194" s="145" t="str">
        <f>REPLACE(D193,1,19,"Fuel Tech New")</f>
        <v>Fuel Tech New - Light Fuel Oil (TRA)</v>
      </c>
      <c r="E194" s="254" t="s">
        <v>85</v>
      </c>
      <c r="F194" s="254" t="s">
        <v>881</v>
      </c>
      <c r="G194" s="254"/>
      <c r="H194" s="254"/>
      <c r="I194" s="254" t="s">
        <v>749</v>
      </c>
    </row>
    <row r="195" spans="1:10" x14ac:dyDescent="0.3">
      <c r="B195" s="254" t="s">
        <v>903</v>
      </c>
      <c r="C195" s="145" t="s">
        <v>961</v>
      </c>
      <c r="D195" s="145" t="s">
        <v>962</v>
      </c>
      <c r="E195" s="254" t="s">
        <v>85</v>
      </c>
      <c r="F195" s="254" t="s">
        <v>881</v>
      </c>
      <c r="G195" s="254"/>
      <c r="H195" s="254"/>
      <c r="I195" s="254" t="s">
        <v>749</v>
      </c>
    </row>
    <row r="196" spans="1:10" x14ac:dyDescent="0.3">
      <c r="B196" s="254" t="s">
        <v>903</v>
      </c>
      <c r="C196" s="145" t="s">
        <v>963</v>
      </c>
      <c r="D196" s="145" t="str">
        <f>REPLACE(D195,1,19,"Fuel Tech New")</f>
        <v>Fuel Tech New - Liquified Petroleum Gas (TRA)</v>
      </c>
      <c r="E196" s="254" t="s">
        <v>85</v>
      </c>
      <c r="F196" s="254" t="s">
        <v>881</v>
      </c>
      <c r="G196" s="254"/>
      <c r="H196" s="254"/>
      <c r="I196" s="254" t="s">
        <v>749</v>
      </c>
    </row>
    <row r="197" spans="1:10" x14ac:dyDescent="0.3">
      <c r="B197" s="254" t="s">
        <v>903</v>
      </c>
      <c r="C197" s="145" t="s">
        <v>964</v>
      </c>
      <c r="D197" s="145" t="s">
        <v>965</v>
      </c>
      <c r="E197" s="254" t="s">
        <v>85</v>
      </c>
      <c r="F197" s="254" t="s">
        <v>881</v>
      </c>
      <c r="G197" s="254"/>
      <c r="H197" s="254"/>
      <c r="I197" s="254" t="s">
        <v>749</v>
      </c>
    </row>
    <row r="198" spans="1:10" x14ac:dyDescent="0.3">
      <c r="B198" s="254" t="s">
        <v>903</v>
      </c>
      <c r="C198" s="145" t="s">
        <v>966</v>
      </c>
      <c r="D198" s="145" t="str">
        <f>REPLACE(D197,1,19,"Fuel Tech New")</f>
        <v>Fuel Tech New - Biomethanol (TRA)</v>
      </c>
      <c r="E198" s="254" t="s">
        <v>85</v>
      </c>
      <c r="F198" s="254" t="s">
        <v>881</v>
      </c>
      <c r="G198" s="254"/>
      <c r="H198" s="254"/>
      <c r="I198" s="254" t="s">
        <v>749</v>
      </c>
    </row>
    <row r="199" spans="1:10" x14ac:dyDescent="0.3">
      <c r="B199" s="254" t="s">
        <v>903</v>
      </c>
      <c r="C199" s="145" t="s">
        <v>967</v>
      </c>
      <c r="D199" s="145" t="s">
        <v>968</v>
      </c>
      <c r="E199" s="254" t="s">
        <v>85</v>
      </c>
      <c r="F199" s="254" t="s">
        <v>881</v>
      </c>
      <c r="G199" s="254"/>
      <c r="H199" s="254"/>
      <c r="I199" s="254" t="s">
        <v>749</v>
      </c>
    </row>
    <row r="200" spans="1:10" x14ac:dyDescent="0.3">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3">
      <c r="B201" s="254" t="s">
        <v>903</v>
      </c>
      <c r="C201" s="145" t="s">
        <v>970</v>
      </c>
      <c r="D201" s="145" t="s">
        <v>971</v>
      </c>
      <c r="E201" s="254" t="s">
        <v>85</v>
      </c>
      <c r="F201" s="254" t="s">
        <v>881</v>
      </c>
      <c r="G201" s="254"/>
      <c r="H201" s="254"/>
      <c r="I201" s="254" t="s">
        <v>749</v>
      </c>
    </row>
    <row r="202" spans="1:10" x14ac:dyDescent="0.3">
      <c r="B202" s="254" t="s">
        <v>903</v>
      </c>
      <c r="C202" s="145" t="s">
        <v>972</v>
      </c>
      <c r="D202" s="145" t="str">
        <f>REPLACE(D201,1,19,"Fuel Tech New")</f>
        <v>Fuel Tech New - Natural Gas (TRA)</v>
      </c>
      <c r="E202" s="254" t="s">
        <v>85</v>
      </c>
      <c r="F202" s="254" t="s">
        <v>881</v>
      </c>
      <c r="G202" s="254"/>
      <c r="H202" s="254"/>
      <c r="I202" s="254" t="s">
        <v>749</v>
      </c>
    </row>
    <row r="204" spans="1:10" x14ac:dyDescent="0.3">
      <c r="A204" s="14"/>
      <c r="B204" s="254" t="s">
        <v>903</v>
      </c>
      <c r="C204" s="145" t="s">
        <v>973</v>
      </c>
      <c r="D204" s="145" t="s">
        <v>974</v>
      </c>
      <c r="E204" s="254" t="s">
        <v>85</v>
      </c>
      <c r="F204" s="254" t="s">
        <v>881</v>
      </c>
      <c r="G204" s="254"/>
      <c r="H204" s="254"/>
      <c r="I204" s="254" t="s">
        <v>749</v>
      </c>
      <c r="J204" s="14"/>
    </row>
    <row r="205" spans="1:10" x14ac:dyDescent="0.3">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zoomScale="80" zoomScaleNormal="80" workbookViewId="0">
      <selection activeCell="E27" sqref="E27"/>
    </sheetView>
  </sheetViews>
  <sheetFormatPr defaultColWidth="9.33203125" defaultRowHeight="14.4" x14ac:dyDescent="0.3"/>
  <cols>
    <col min="1" max="1" width="7.44140625" style="14" customWidth="1"/>
    <col min="2" max="2" width="25.6640625" style="14" bestFit="1" customWidth="1"/>
    <col min="3" max="3" width="21.33203125" style="14" customWidth="1"/>
    <col min="4" max="4" width="57" style="14" bestFit="1" customWidth="1"/>
    <col min="5" max="5" width="19.5546875" style="14" bestFit="1" customWidth="1"/>
    <col min="6" max="6" width="13.6640625" style="14" customWidth="1"/>
    <col min="7" max="7" width="13.33203125" style="14" customWidth="1"/>
    <col min="8" max="8" width="8.6640625" style="14" customWidth="1"/>
    <col min="9" max="9" width="9.33203125" style="14" customWidth="1"/>
    <col min="10" max="10" width="9.44140625" style="14" customWidth="1"/>
    <col min="11" max="11" width="31.33203125" style="14" bestFit="1" customWidth="1"/>
    <col min="12" max="12" width="11.33203125" style="14" customWidth="1"/>
    <col min="13" max="13" width="11.44140625" style="14" bestFit="1" customWidth="1"/>
    <col min="14" max="14" width="28.5546875" style="14" customWidth="1"/>
    <col min="15" max="15" width="20.33203125" style="14" bestFit="1" customWidth="1"/>
    <col min="16" max="16384" width="9.33203125" style="14"/>
  </cols>
  <sheetData>
    <row r="3" spans="2:12" x14ac:dyDescent="0.3">
      <c r="B3" s="27" t="s">
        <v>976</v>
      </c>
      <c r="C3" s="25"/>
      <c r="D3" s="25"/>
      <c r="E3" s="25"/>
      <c r="F3" s="25"/>
      <c r="G3" s="25"/>
      <c r="H3" s="25"/>
      <c r="I3" s="25"/>
    </row>
    <row r="4" spans="2:12" x14ac:dyDescent="0.3">
      <c r="B4" s="24" t="s">
        <v>977</v>
      </c>
      <c r="C4" s="25"/>
      <c r="D4" s="25"/>
      <c r="E4" s="25"/>
      <c r="F4" s="25"/>
      <c r="G4" s="25"/>
      <c r="H4" s="25"/>
      <c r="I4" s="25"/>
    </row>
    <row r="5" spans="2:12" ht="23.25" customHeight="1" thickBot="1" x14ac:dyDescent="0.35">
      <c r="B5" s="262" t="s">
        <v>978</v>
      </c>
      <c r="C5" s="262" t="s">
        <v>979</v>
      </c>
      <c r="D5" s="262" t="s">
        <v>980</v>
      </c>
      <c r="E5" s="262" t="s">
        <v>579</v>
      </c>
      <c r="F5" s="262" t="s">
        <v>981</v>
      </c>
      <c r="G5" s="262" t="s">
        <v>982</v>
      </c>
      <c r="H5" s="262" t="s">
        <v>983</v>
      </c>
      <c r="I5" s="262" t="s">
        <v>984</v>
      </c>
      <c r="K5" s="262" t="s">
        <v>985</v>
      </c>
      <c r="L5" s="28"/>
    </row>
    <row r="6" spans="2:12" s="13" customFormat="1" x14ac:dyDescent="0.3">
      <c r="B6" s="243" t="s">
        <v>986</v>
      </c>
      <c r="C6" s="153" t="s">
        <v>987</v>
      </c>
      <c r="D6" s="154" t="s">
        <v>988</v>
      </c>
      <c r="E6" s="154" t="s">
        <v>85</v>
      </c>
      <c r="F6" s="244"/>
      <c r="G6" s="244"/>
      <c r="H6" s="244"/>
      <c r="I6" s="244"/>
      <c r="K6" s="245"/>
    </row>
    <row r="7" spans="2:12" s="13" customFormat="1" x14ac:dyDescent="0.3">
      <c r="B7" s="243"/>
      <c r="C7" s="153" t="s">
        <v>989</v>
      </c>
      <c r="D7" s="154" t="s">
        <v>990</v>
      </c>
      <c r="E7" s="154" t="s">
        <v>85</v>
      </c>
      <c r="F7" s="244"/>
      <c r="G7" s="244"/>
      <c r="H7" s="244"/>
      <c r="I7" s="244"/>
      <c r="K7" s="245"/>
    </row>
    <row r="8" spans="2:12" s="13" customFormat="1" x14ac:dyDescent="0.3">
      <c r="B8" s="243"/>
      <c r="C8" s="153" t="s">
        <v>991</v>
      </c>
      <c r="D8" s="154" t="s">
        <v>992</v>
      </c>
      <c r="E8" s="154" t="s">
        <v>85</v>
      </c>
      <c r="F8" s="244"/>
      <c r="G8" s="244"/>
      <c r="H8" s="244"/>
      <c r="I8" s="244"/>
      <c r="K8" s="245"/>
    </row>
    <row r="9" spans="2:12" s="13" customFormat="1" x14ac:dyDescent="0.3">
      <c r="B9" s="244"/>
      <c r="C9" s="153" t="s">
        <v>993</v>
      </c>
      <c r="D9" s="154" t="s">
        <v>994</v>
      </c>
      <c r="E9" s="154" t="s">
        <v>85</v>
      </c>
      <c r="F9" s="244"/>
      <c r="G9" s="244"/>
      <c r="H9" s="244"/>
      <c r="I9" s="244"/>
      <c r="K9" s="245"/>
    </row>
    <row r="10" spans="2:12" s="13" customFormat="1" x14ac:dyDescent="0.3">
      <c r="B10" s="243"/>
      <c r="C10" s="153" t="s">
        <v>995</v>
      </c>
      <c r="D10" s="154" t="s">
        <v>996</v>
      </c>
      <c r="E10" s="154" t="s">
        <v>85</v>
      </c>
      <c r="F10" s="244"/>
      <c r="G10" s="244"/>
      <c r="H10" s="244"/>
      <c r="I10" s="244"/>
      <c r="K10" s="245"/>
    </row>
    <row r="11" spans="2:12" s="13" customFormat="1" x14ac:dyDescent="0.3">
      <c r="B11" s="244"/>
      <c r="C11" s="153" t="s">
        <v>997</v>
      </c>
      <c r="D11" s="154" t="s">
        <v>998</v>
      </c>
      <c r="E11" s="154" t="s">
        <v>85</v>
      </c>
      <c r="F11" s="244"/>
      <c r="G11" s="244"/>
      <c r="H11" s="244"/>
      <c r="I11" s="244"/>
      <c r="K11" s="245"/>
    </row>
    <row r="12" spans="2:12" s="13" customFormat="1" x14ac:dyDescent="0.3">
      <c r="B12" s="244"/>
      <c r="C12" s="153" t="s">
        <v>999</v>
      </c>
      <c r="D12" s="154" t="s">
        <v>1000</v>
      </c>
      <c r="E12" s="154" t="s">
        <v>85</v>
      </c>
      <c r="F12" s="244"/>
      <c r="G12" s="244"/>
      <c r="H12" s="244"/>
      <c r="I12" s="244"/>
      <c r="K12" s="245"/>
    </row>
    <row r="13" spans="2:12" s="13" customFormat="1" x14ac:dyDescent="0.3">
      <c r="B13" s="244"/>
      <c r="C13" s="153" t="s">
        <v>1001</v>
      </c>
      <c r="D13" s="154" t="s">
        <v>1002</v>
      </c>
      <c r="E13" s="154" t="s">
        <v>85</v>
      </c>
      <c r="F13" s="244"/>
      <c r="G13" s="244"/>
      <c r="H13" s="244"/>
      <c r="I13" s="244"/>
      <c r="K13" s="245"/>
    </row>
    <row r="14" spans="2:12" s="13" customFormat="1" x14ac:dyDescent="0.3">
      <c r="B14" s="243"/>
      <c r="C14" s="153" t="s">
        <v>185</v>
      </c>
      <c r="D14" s="154" t="s">
        <v>1003</v>
      </c>
      <c r="E14" s="154" t="s">
        <v>85</v>
      </c>
      <c r="F14" s="244"/>
      <c r="G14" s="244"/>
      <c r="H14" s="244"/>
      <c r="I14" s="244"/>
      <c r="K14" s="245"/>
    </row>
    <row r="15" spans="2:12" s="13" customFormat="1" x14ac:dyDescent="0.3">
      <c r="B15" s="243"/>
      <c r="C15" s="153" t="s">
        <v>682</v>
      </c>
      <c r="D15" s="154" t="s">
        <v>1004</v>
      </c>
      <c r="E15" s="154" t="s">
        <v>85</v>
      </c>
      <c r="F15" s="244"/>
      <c r="G15" s="244" t="s">
        <v>1005</v>
      </c>
      <c r="H15" s="244"/>
      <c r="I15" s="244" t="s">
        <v>1006</v>
      </c>
      <c r="K15" s="245"/>
    </row>
    <row r="16" spans="2:12" s="13" customFormat="1" x14ac:dyDescent="0.3">
      <c r="B16" s="243"/>
      <c r="C16" s="153" t="s">
        <v>1007</v>
      </c>
      <c r="D16" s="154" t="s">
        <v>1008</v>
      </c>
      <c r="E16" s="154" t="s">
        <v>85</v>
      </c>
      <c r="F16" s="244"/>
      <c r="G16" s="244" t="s">
        <v>1005</v>
      </c>
      <c r="H16" s="244"/>
      <c r="I16" s="244" t="s">
        <v>1006</v>
      </c>
      <c r="K16" s="245"/>
    </row>
    <row r="17" spans="2:20" s="13" customFormat="1" x14ac:dyDescent="0.3">
      <c r="B17" s="243"/>
      <c r="C17" s="153" t="s">
        <v>1009</v>
      </c>
      <c r="D17" s="154" t="s">
        <v>1010</v>
      </c>
      <c r="E17" s="154" t="s">
        <v>85</v>
      </c>
      <c r="F17" s="244"/>
      <c r="G17" s="244"/>
      <c r="H17" s="244"/>
      <c r="I17" s="244"/>
      <c r="K17" s="245"/>
    </row>
    <row r="18" spans="2:20" s="13" customFormat="1" x14ac:dyDescent="0.3">
      <c r="B18" s="246"/>
      <c r="C18" s="153" t="s">
        <v>1011</v>
      </c>
      <c r="D18" s="154" t="s">
        <v>1012</v>
      </c>
      <c r="E18" s="154" t="s">
        <v>85</v>
      </c>
      <c r="F18" s="244"/>
      <c r="G18" s="244"/>
      <c r="H18" s="244"/>
      <c r="I18" s="244"/>
      <c r="K18" s="245"/>
    </row>
    <row r="19" spans="2:20" s="13" customFormat="1" x14ac:dyDescent="0.3">
      <c r="B19" s="246"/>
      <c r="C19" s="153" t="s">
        <v>1013</v>
      </c>
      <c r="D19" s="154" t="s">
        <v>1014</v>
      </c>
      <c r="E19" s="154" t="s">
        <v>85</v>
      </c>
      <c r="F19" s="244"/>
      <c r="G19" s="244"/>
      <c r="H19" s="244"/>
      <c r="I19" s="244"/>
      <c r="K19" s="245"/>
    </row>
    <row r="20" spans="2:20" s="13" customFormat="1" ht="15" thickBot="1" x14ac:dyDescent="0.35">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3">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3">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3">
      <c r="B23" s="243"/>
      <c r="C23" s="153" t="s">
        <v>1028</v>
      </c>
      <c r="D23" s="154" t="s">
        <v>1029</v>
      </c>
      <c r="E23" s="154" t="s">
        <v>85</v>
      </c>
      <c r="F23" s="244"/>
      <c r="G23" s="244"/>
      <c r="H23" s="244"/>
      <c r="I23" s="244"/>
      <c r="K23" s="245"/>
    </row>
    <row r="24" spans="2:20" s="13" customFormat="1" x14ac:dyDescent="0.3">
      <c r="B24" s="243"/>
      <c r="C24" s="153" t="s">
        <v>1030</v>
      </c>
      <c r="D24" s="154" t="s">
        <v>1031</v>
      </c>
      <c r="E24" s="154" t="s">
        <v>85</v>
      </c>
      <c r="F24" s="244"/>
      <c r="G24" s="244"/>
      <c r="H24" s="244"/>
      <c r="I24" s="244"/>
      <c r="K24" s="245"/>
    </row>
    <row r="25" spans="2:20" s="13" customFormat="1" x14ac:dyDescent="0.3">
      <c r="B25" s="243"/>
      <c r="C25" s="153" t="s">
        <v>1032</v>
      </c>
      <c r="D25" s="154" t="s">
        <v>1033</v>
      </c>
      <c r="E25" s="154" t="s">
        <v>85</v>
      </c>
      <c r="F25" s="244"/>
      <c r="G25" s="244"/>
      <c r="H25" s="244"/>
      <c r="I25" s="244"/>
      <c r="K25" s="245"/>
    </row>
    <row r="26" spans="2:20" s="13" customFormat="1" x14ac:dyDescent="0.3">
      <c r="B26" s="243"/>
      <c r="C26" s="153" t="s">
        <v>1034</v>
      </c>
      <c r="D26" s="154" t="s">
        <v>1035</v>
      </c>
      <c r="E26" s="154" t="s">
        <v>85</v>
      </c>
      <c r="F26" s="244"/>
      <c r="G26" s="244"/>
      <c r="H26" s="244"/>
      <c r="I26" s="244"/>
      <c r="K26" s="245"/>
    </row>
    <row r="27" spans="2:20" s="13" customFormat="1" x14ac:dyDescent="0.3">
      <c r="B27" s="243"/>
      <c r="C27" s="153" t="s">
        <v>1036</v>
      </c>
      <c r="D27" s="154" t="s">
        <v>1037</v>
      </c>
      <c r="E27" s="154" t="s">
        <v>85</v>
      </c>
      <c r="F27" s="244"/>
      <c r="G27" s="244"/>
      <c r="H27" s="244"/>
      <c r="I27" s="244"/>
      <c r="K27" s="245"/>
    </row>
    <row r="28" spans="2:20" s="13" customFormat="1" x14ac:dyDescent="0.3">
      <c r="B28" s="248"/>
      <c r="C28" s="696" t="s">
        <v>1038</v>
      </c>
      <c r="D28" s="156" t="s">
        <v>1039</v>
      </c>
      <c r="E28" s="156" t="s">
        <v>85</v>
      </c>
      <c r="F28" s="249"/>
      <c r="G28" s="249"/>
      <c r="H28" s="249"/>
      <c r="I28" s="249"/>
      <c r="K28" s="250"/>
    </row>
    <row r="29" spans="2:20" s="13" customFormat="1" x14ac:dyDescent="0.3">
      <c r="B29" s="243" t="s">
        <v>1040</v>
      </c>
      <c r="C29" s="157" t="s">
        <v>522</v>
      </c>
      <c r="D29" s="157" t="s">
        <v>581</v>
      </c>
      <c r="E29" s="154" t="s">
        <v>582</v>
      </c>
      <c r="F29" s="244"/>
      <c r="G29" s="244"/>
      <c r="H29" s="244"/>
      <c r="I29" s="244"/>
      <c r="K29" s="245"/>
    </row>
    <row r="30" spans="2:20" s="13" customFormat="1" x14ac:dyDescent="0.3">
      <c r="B30" s="243"/>
      <c r="C30" s="157" t="s">
        <v>583</v>
      </c>
      <c r="D30" s="157" t="s">
        <v>584</v>
      </c>
      <c r="E30" s="154" t="s">
        <v>582</v>
      </c>
      <c r="F30" s="244"/>
      <c r="G30" s="244"/>
      <c r="H30" s="244"/>
      <c r="I30" s="244"/>
      <c r="K30" s="245"/>
    </row>
    <row r="31" spans="2:20" s="13" customFormat="1" x14ac:dyDescent="0.3">
      <c r="B31" s="243"/>
      <c r="C31" s="157" t="s">
        <v>82</v>
      </c>
      <c r="D31" s="157" t="s">
        <v>585</v>
      </c>
      <c r="E31" s="154" t="s">
        <v>582</v>
      </c>
      <c r="F31" s="244"/>
      <c r="G31" s="244"/>
      <c r="H31" s="244"/>
      <c r="I31" s="244"/>
      <c r="K31" s="245"/>
    </row>
    <row r="32" spans="2:20" s="13" customFormat="1" x14ac:dyDescent="0.3">
      <c r="B32" s="243"/>
      <c r="C32" s="157" t="s">
        <v>586</v>
      </c>
      <c r="D32" s="157" t="s">
        <v>587</v>
      </c>
      <c r="E32" s="154" t="s">
        <v>582</v>
      </c>
      <c r="F32" s="244"/>
      <c r="G32" s="244"/>
      <c r="H32" s="244"/>
      <c r="I32" s="244"/>
      <c r="K32" s="245"/>
    </row>
    <row r="33" spans="2:11" s="13" customFormat="1" x14ac:dyDescent="0.3">
      <c r="B33" s="243"/>
      <c r="C33" s="157" t="s">
        <v>414</v>
      </c>
      <c r="D33" s="157" t="s">
        <v>588</v>
      </c>
      <c r="E33" s="154" t="s">
        <v>582</v>
      </c>
      <c r="F33" s="244"/>
      <c r="G33" s="244"/>
      <c r="H33" s="244"/>
      <c r="I33" s="244"/>
      <c r="K33" s="245"/>
    </row>
    <row r="34" spans="2:11" s="13" customFormat="1" x14ac:dyDescent="0.3">
      <c r="B34" s="243"/>
      <c r="C34" s="157" t="s">
        <v>589</v>
      </c>
      <c r="D34" s="157" t="s">
        <v>590</v>
      </c>
      <c r="E34" s="154" t="s">
        <v>582</v>
      </c>
      <c r="F34" s="244"/>
      <c r="G34" s="244"/>
      <c r="H34" s="244"/>
      <c r="I34" s="244"/>
      <c r="K34" s="245"/>
    </row>
    <row r="35" spans="2:11" s="13" customFormat="1" x14ac:dyDescent="0.3">
      <c r="B35" s="243"/>
      <c r="C35" s="157" t="s">
        <v>415</v>
      </c>
      <c r="D35" s="157" t="s">
        <v>591</v>
      </c>
      <c r="E35" s="154" t="s">
        <v>582</v>
      </c>
      <c r="F35" s="244"/>
      <c r="G35" s="244"/>
      <c r="H35" s="244"/>
      <c r="I35" s="244"/>
      <c r="K35" s="245"/>
    </row>
    <row r="36" spans="2:11" s="13" customFormat="1" x14ac:dyDescent="0.3">
      <c r="B36" s="243"/>
      <c r="C36" s="157" t="s">
        <v>592</v>
      </c>
      <c r="D36" s="157" t="s">
        <v>593</v>
      </c>
      <c r="E36" s="154" t="s">
        <v>582</v>
      </c>
      <c r="F36" s="244"/>
      <c r="G36" s="244"/>
      <c r="H36" s="244"/>
      <c r="I36" s="244"/>
      <c r="K36" s="245"/>
    </row>
    <row r="37" spans="2:11" s="13" customFormat="1" x14ac:dyDescent="0.3">
      <c r="B37" s="243"/>
      <c r="C37" s="157" t="s">
        <v>402</v>
      </c>
      <c r="D37" s="157" t="s">
        <v>594</v>
      </c>
      <c r="E37" s="154" t="s">
        <v>582</v>
      </c>
      <c r="F37" s="244"/>
      <c r="G37" s="244"/>
      <c r="H37" s="244"/>
      <c r="I37" s="244"/>
      <c r="K37" s="245"/>
    </row>
    <row r="38" spans="2:11" s="13" customFormat="1" x14ac:dyDescent="0.3">
      <c r="B38" s="243"/>
      <c r="C38" s="157" t="s">
        <v>406</v>
      </c>
      <c r="D38" s="157" t="str">
        <f>CONCATENATE(D37,"City.")</f>
        <v>Road.Car.Long.City.</v>
      </c>
      <c r="E38" s="154" t="s">
        <v>582</v>
      </c>
      <c r="F38" s="244"/>
      <c r="G38" s="244"/>
      <c r="H38" s="244"/>
      <c r="I38" s="244"/>
      <c r="K38" s="245"/>
    </row>
    <row r="39" spans="2:11" s="13" customFormat="1" x14ac:dyDescent="0.3">
      <c r="B39" s="243"/>
      <c r="C39" s="157" t="s">
        <v>410</v>
      </c>
      <c r="D39" s="157" t="s">
        <v>596</v>
      </c>
      <c r="E39" s="154" t="s">
        <v>582</v>
      </c>
      <c r="F39" s="244"/>
      <c r="G39" s="244"/>
      <c r="H39" s="244"/>
      <c r="I39" s="244"/>
      <c r="K39" s="245"/>
    </row>
    <row r="40" spans="2:11" s="13" customFormat="1" x14ac:dyDescent="0.3">
      <c r="B40" s="243"/>
      <c r="C40" s="157" t="s">
        <v>404</v>
      </c>
      <c r="D40" s="157" t="s">
        <v>597</v>
      </c>
      <c r="E40" s="154" t="s">
        <v>582</v>
      </c>
      <c r="F40" s="244"/>
      <c r="G40" s="244"/>
      <c r="H40" s="244"/>
      <c r="I40" s="244"/>
      <c r="K40" s="245"/>
    </row>
    <row r="41" spans="2:11" s="13" customFormat="1" x14ac:dyDescent="0.3">
      <c r="B41" s="243"/>
      <c r="C41" s="157" t="s">
        <v>408</v>
      </c>
      <c r="D41" s="157" t="str">
        <f>CONCATENATE(D40,"City.")</f>
        <v>Road.Car.Short.City.</v>
      </c>
      <c r="E41" s="154" t="s">
        <v>582</v>
      </c>
      <c r="F41" s="244"/>
      <c r="G41" s="244"/>
      <c r="H41" s="244"/>
      <c r="I41" s="244"/>
      <c r="K41" s="245"/>
    </row>
    <row r="42" spans="2:11" s="13" customFormat="1" x14ac:dyDescent="0.3">
      <c r="B42" s="243"/>
      <c r="C42" s="157" t="s">
        <v>412</v>
      </c>
      <c r="D42" s="157" t="s">
        <v>599</v>
      </c>
      <c r="E42" s="154" t="s">
        <v>582</v>
      </c>
      <c r="F42" s="244"/>
      <c r="G42" s="244"/>
      <c r="H42" s="244"/>
      <c r="I42" s="244"/>
      <c r="K42" s="245"/>
    </row>
    <row r="43" spans="2:11" s="13" customFormat="1" x14ac:dyDescent="0.3">
      <c r="B43" s="243"/>
      <c r="C43" s="157" t="s">
        <v>431</v>
      </c>
      <c r="D43" s="157" t="s">
        <v>635</v>
      </c>
      <c r="E43" s="154" t="s">
        <v>632</v>
      </c>
      <c r="F43" s="244"/>
      <c r="G43" s="244"/>
      <c r="H43" s="244"/>
      <c r="I43" s="244"/>
      <c r="K43" s="245"/>
    </row>
    <row r="44" spans="2:11" s="13" customFormat="1" x14ac:dyDescent="0.3">
      <c r="B44" s="243"/>
      <c r="C44" s="157" t="s">
        <v>636</v>
      </c>
      <c r="D44" s="157" t="s">
        <v>637</v>
      </c>
      <c r="E44" s="154" t="s">
        <v>632</v>
      </c>
      <c r="F44" s="244"/>
      <c r="G44" s="244"/>
      <c r="H44" s="244"/>
      <c r="I44" s="244"/>
      <c r="K44" s="245"/>
    </row>
    <row r="45" spans="2:11" s="13" customFormat="1" x14ac:dyDescent="0.3">
      <c r="B45" s="243"/>
      <c r="C45" s="157" t="s">
        <v>429</v>
      </c>
      <c r="D45" s="157" t="s">
        <v>638</v>
      </c>
      <c r="E45" s="154" t="s">
        <v>632</v>
      </c>
      <c r="F45" s="244"/>
      <c r="G45" s="244"/>
      <c r="H45" s="244"/>
      <c r="I45" s="244"/>
      <c r="K45" s="245"/>
    </row>
    <row r="46" spans="2:11" s="13" customFormat="1" x14ac:dyDescent="0.3">
      <c r="B46" s="243"/>
      <c r="C46" s="157" t="s">
        <v>639</v>
      </c>
      <c r="D46" s="157" t="s">
        <v>640</v>
      </c>
      <c r="E46" s="154" t="s">
        <v>632</v>
      </c>
      <c r="F46" s="244"/>
      <c r="G46" s="244"/>
      <c r="H46" s="244"/>
      <c r="I46" s="244"/>
      <c r="K46" s="245"/>
    </row>
    <row r="47" spans="2:11" s="13" customFormat="1" x14ac:dyDescent="0.3">
      <c r="B47" s="243"/>
      <c r="C47" s="157" t="s">
        <v>435</v>
      </c>
      <c r="D47" s="157" t="s">
        <v>641</v>
      </c>
      <c r="E47" s="154" t="s">
        <v>632</v>
      </c>
      <c r="F47" s="244"/>
      <c r="G47" s="244"/>
      <c r="H47" s="244"/>
      <c r="I47" s="244"/>
      <c r="K47" s="245"/>
    </row>
    <row r="48" spans="2:11" s="13" customFormat="1" x14ac:dyDescent="0.3">
      <c r="B48" s="243"/>
      <c r="C48" s="157" t="s">
        <v>642</v>
      </c>
      <c r="D48" s="157" t="s">
        <v>643</v>
      </c>
      <c r="E48" s="154" t="s">
        <v>632</v>
      </c>
      <c r="F48" s="244"/>
      <c r="G48" s="244"/>
      <c r="H48" s="244"/>
      <c r="I48" s="244"/>
      <c r="K48" s="245"/>
    </row>
    <row r="49" spans="2:11" s="13" customFormat="1" x14ac:dyDescent="0.3">
      <c r="B49" s="243"/>
      <c r="C49" s="157" t="s">
        <v>433</v>
      </c>
      <c r="D49" s="157" t="s">
        <v>644</v>
      </c>
      <c r="E49" s="154" t="s">
        <v>632</v>
      </c>
      <c r="F49" s="244"/>
      <c r="G49" s="244"/>
      <c r="H49" s="244"/>
      <c r="I49" s="244"/>
      <c r="K49" s="245"/>
    </row>
    <row r="50" spans="2:11" s="13" customFormat="1" x14ac:dyDescent="0.3">
      <c r="B50" s="243"/>
      <c r="C50" s="157" t="s">
        <v>645</v>
      </c>
      <c r="D50" s="157" t="s">
        <v>646</v>
      </c>
      <c r="E50" s="154" t="s">
        <v>632</v>
      </c>
      <c r="F50" s="244"/>
      <c r="G50" s="244"/>
      <c r="H50" s="244"/>
      <c r="I50" s="244"/>
      <c r="K50" s="245"/>
    </row>
    <row r="51" spans="2:11" s="13" customFormat="1" x14ac:dyDescent="0.3">
      <c r="B51" s="243"/>
      <c r="C51" s="157" t="s">
        <v>439</v>
      </c>
      <c r="D51" s="157" t="s">
        <v>647</v>
      </c>
      <c r="E51" s="154" t="s">
        <v>632</v>
      </c>
      <c r="F51" s="244"/>
      <c r="G51" s="244"/>
      <c r="H51" s="244"/>
      <c r="I51" s="244"/>
      <c r="K51" s="245"/>
    </row>
    <row r="52" spans="2:11" s="13" customFormat="1" x14ac:dyDescent="0.3">
      <c r="B52" s="243"/>
      <c r="C52" s="157" t="s">
        <v>648</v>
      </c>
      <c r="D52" s="157" t="s">
        <v>649</v>
      </c>
      <c r="E52" s="154" t="s">
        <v>632</v>
      </c>
      <c r="F52" s="244"/>
      <c r="G52" s="244"/>
      <c r="H52" s="244"/>
      <c r="I52" s="244"/>
      <c r="K52" s="245"/>
    </row>
    <row r="53" spans="2:11" s="13" customFormat="1" x14ac:dyDescent="0.3">
      <c r="B53" s="243"/>
      <c r="C53" s="157" t="s">
        <v>437</v>
      </c>
      <c r="D53" s="157" t="s">
        <v>650</v>
      </c>
      <c r="E53" s="154" t="s">
        <v>632</v>
      </c>
      <c r="F53" s="244"/>
      <c r="G53" s="244"/>
      <c r="H53" s="244"/>
      <c r="I53" s="244"/>
      <c r="K53" s="245"/>
    </row>
    <row r="54" spans="2:11" s="13" customFormat="1" x14ac:dyDescent="0.3">
      <c r="B54" s="243"/>
      <c r="C54" s="157" t="s">
        <v>651</v>
      </c>
      <c r="D54" s="157" t="s">
        <v>652</v>
      </c>
      <c r="E54" s="154" t="s">
        <v>632</v>
      </c>
      <c r="F54" s="244"/>
      <c r="G54" s="244"/>
      <c r="H54" s="244"/>
      <c r="I54" s="244"/>
      <c r="K54" s="245"/>
    </row>
    <row r="55" spans="2:11" s="13" customFormat="1" x14ac:dyDescent="0.3">
      <c r="B55" s="243"/>
      <c r="C55" s="157" t="s">
        <v>427</v>
      </c>
      <c r="D55" s="157" t="s">
        <v>1041</v>
      </c>
      <c r="E55" s="154" t="s">
        <v>632</v>
      </c>
      <c r="F55" s="244"/>
      <c r="G55" s="244"/>
      <c r="H55" s="244"/>
      <c r="I55" s="244"/>
      <c r="K55" s="245"/>
    </row>
    <row r="56" spans="2:11" s="13" customFormat="1" x14ac:dyDescent="0.3">
      <c r="B56" s="243"/>
      <c r="C56" s="157" t="s">
        <v>633</v>
      </c>
      <c r="D56" s="157" t="s">
        <v>1042</v>
      </c>
      <c r="E56" s="154" t="s">
        <v>632</v>
      </c>
      <c r="F56" s="244"/>
      <c r="G56" s="244"/>
      <c r="H56" s="244"/>
      <c r="I56" s="244"/>
      <c r="K56" s="245"/>
    </row>
    <row r="57" spans="2:11" s="13" customFormat="1" x14ac:dyDescent="0.3">
      <c r="B57" s="243"/>
      <c r="C57" s="157" t="s">
        <v>400</v>
      </c>
      <c r="D57" s="157" t="s">
        <v>600</v>
      </c>
      <c r="E57" s="154" t="s">
        <v>582</v>
      </c>
      <c r="F57" s="244"/>
      <c r="G57" s="244"/>
      <c r="H57" s="244"/>
      <c r="I57" s="244"/>
      <c r="K57" s="245"/>
    </row>
    <row r="58" spans="2:11" s="13" customFormat="1" x14ac:dyDescent="0.3">
      <c r="B58" s="243"/>
      <c r="C58" s="157" t="s">
        <v>479</v>
      </c>
      <c r="D58" s="157" t="s">
        <v>601</v>
      </c>
      <c r="E58" s="154" t="s">
        <v>582</v>
      </c>
      <c r="F58" s="244"/>
      <c r="G58" s="244"/>
      <c r="H58" s="244"/>
      <c r="I58" s="244"/>
      <c r="K58" s="245"/>
    </row>
    <row r="59" spans="2:11" s="13" customFormat="1" x14ac:dyDescent="0.3">
      <c r="B59" s="243"/>
      <c r="C59" s="157" t="s">
        <v>76</v>
      </c>
      <c r="D59" s="157" t="s">
        <v>602</v>
      </c>
      <c r="E59" s="154" t="s">
        <v>582</v>
      </c>
      <c r="F59" s="244"/>
      <c r="G59" s="244"/>
      <c r="H59" s="244"/>
      <c r="I59" s="244"/>
      <c r="K59" s="245"/>
    </row>
    <row r="60" spans="2:11" s="13" customFormat="1" x14ac:dyDescent="0.3">
      <c r="B60" s="243"/>
      <c r="C60" s="157" t="s">
        <v>494</v>
      </c>
      <c r="D60" s="157" t="s">
        <v>603</v>
      </c>
      <c r="E60" s="154" t="s">
        <v>582</v>
      </c>
      <c r="F60" s="244"/>
      <c r="G60" s="244"/>
      <c r="H60" s="244"/>
      <c r="I60" s="244"/>
      <c r="K60" s="245"/>
    </row>
    <row r="61" spans="2:11" s="13" customFormat="1" x14ac:dyDescent="0.3">
      <c r="B61" s="243"/>
      <c r="C61" s="157" t="s">
        <v>81</v>
      </c>
      <c r="D61" s="157" t="s">
        <v>604</v>
      </c>
      <c r="E61" s="154" t="s">
        <v>582</v>
      </c>
      <c r="F61" s="244"/>
      <c r="G61" s="244"/>
      <c r="H61" s="244"/>
      <c r="I61" s="244"/>
      <c r="K61" s="245"/>
    </row>
    <row r="62" spans="2:11" s="13" customFormat="1" x14ac:dyDescent="0.3">
      <c r="B62" s="243"/>
      <c r="C62" s="157" t="s">
        <v>605</v>
      </c>
      <c r="D62" s="157" t="s">
        <v>606</v>
      </c>
      <c r="E62" s="154" t="s">
        <v>582</v>
      </c>
      <c r="F62" s="244"/>
      <c r="G62" s="244"/>
      <c r="H62" s="244"/>
      <c r="I62" s="244"/>
      <c r="K62" s="245"/>
    </row>
    <row r="63" spans="2:11" s="13" customFormat="1" x14ac:dyDescent="0.3">
      <c r="B63" s="243"/>
      <c r="C63" s="157" t="s">
        <v>443</v>
      </c>
      <c r="D63" s="157" t="s">
        <v>653</v>
      </c>
      <c r="E63" s="154" t="s">
        <v>632</v>
      </c>
      <c r="F63" s="244"/>
      <c r="G63" s="244"/>
      <c r="H63" s="244"/>
      <c r="I63" s="244"/>
      <c r="K63" s="245"/>
    </row>
    <row r="64" spans="2:11" s="13" customFormat="1" x14ac:dyDescent="0.3">
      <c r="B64" s="243"/>
      <c r="C64" s="157" t="s">
        <v>654</v>
      </c>
      <c r="D64" s="157" t="s">
        <v>655</v>
      </c>
      <c r="E64" s="154" t="s">
        <v>632</v>
      </c>
      <c r="F64" s="244"/>
      <c r="G64" s="244"/>
      <c r="H64" s="244"/>
      <c r="I64" s="244"/>
      <c r="K64" s="245"/>
    </row>
    <row r="65" spans="2:11" s="13" customFormat="1" x14ac:dyDescent="0.3">
      <c r="B65" s="243"/>
      <c r="C65" s="157" t="s">
        <v>520</v>
      </c>
      <c r="D65" s="157" t="s">
        <v>607</v>
      </c>
      <c r="E65" s="154" t="s">
        <v>582</v>
      </c>
      <c r="F65" s="244"/>
      <c r="G65" s="244"/>
      <c r="H65" s="244"/>
      <c r="I65" s="244"/>
      <c r="K65" s="245"/>
    </row>
    <row r="66" spans="2:11" s="13" customFormat="1" x14ac:dyDescent="0.3">
      <c r="B66" s="243"/>
      <c r="C66" s="157" t="s">
        <v>608</v>
      </c>
      <c r="D66" s="157" t="s">
        <v>609</v>
      </c>
      <c r="E66" s="154" t="s">
        <v>582</v>
      </c>
      <c r="F66" s="244"/>
      <c r="G66" s="244"/>
      <c r="H66" s="244"/>
      <c r="I66" s="244"/>
      <c r="K66" s="245"/>
    </row>
    <row r="67" spans="2:11" s="13" customFormat="1" x14ac:dyDescent="0.3">
      <c r="B67" s="243"/>
      <c r="C67" s="157" t="s">
        <v>420</v>
      </c>
      <c r="D67" s="157" t="s">
        <v>1043</v>
      </c>
      <c r="E67" s="154" t="s">
        <v>85</v>
      </c>
      <c r="F67" s="244"/>
      <c r="G67" s="244"/>
      <c r="H67" s="244"/>
      <c r="I67" s="244"/>
      <c r="K67" s="245"/>
    </row>
    <row r="68" spans="2:11" s="13" customFormat="1" x14ac:dyDescent="0.3">
      <c r="B68" s="243"/>
      <c r="C68" s="157" t="s">
        <v>483</v>
      </c>
      <c r="D68" s="157" t="s">
        <v>611</v>
      </c>
      <c r="E68" s="154" t="s">
        <v>85</v>
      </c>
      <c r="F68" s="244"/>
      <c r="G68" s="244"/>
      <c r="H68" s="244"/>
      <c r="I68" s="244"/>
      <c r="K68" s="245"/>
    </row>
    <row r="69" spans="2:11" s="13" customFormat="1" x14ac:dyDescent="0.3">
      <c r="B69" s="246"/>
      <c r="C69" s="157" t="s">
        <v>656</v>
      </c>
      <c r="D69" s="157" t="s">
        <v>657</v>
      </c>
      <c r="E69" s="154" t="s">
        <v>85</v>
      </c>
      <c r="F69" s="244"/>
      <c r="G69" s="244"/>
      <c r="H69" s="244"/>
      <c r="I69" s="244"/>
      <c r="K69" s="245"/>
    </row>
    <row r="70" spans="2:11" s="13" customFormat="1" x14ac:dyDescent="0.3">
      <c r="B70" s="246"/>
      <c r="C70" s="157" t="s">
        <v>658</v>
      </c>
      <c r="D70" s="157" t="s">
        <v>659</v>
      </c>
      <c r="E70" s="154" t="s">
        <v>85</v>
      </c>
      <c r="F70" s="244"/>
      <c r="G70" s="244"/>
      <c r="H70" s="244"/>
      <c r="I70" s="244"/>
      <c r="K70" s="245"/>
    </row>
    <row r="71" spans="2:11" x14ac:dyDescent="0.3">
      <c r="B71" s="243"/>
      <c r="C71" s="157" t="s">
        <v>441</v>
      </c>
      <c r="D71" s="157" t="s">
        <v>660</v>
      </c>
      <c r="E71" s="154" t="s">
        <v>632</v>
      </c>
      <c r="F71" s="244"/>
      <c r="G71" s="244"/>
      <c r="H71" s="244"/>
      <c r="I71" s="244"/>
      <c r="J71" s="13"/>
      <c r="K71" s="245"/>
    </row>
    <row r="72" spans="2:11" x14ac:dyDescent="0.3">
      <c r="B72" s="246"/>
      <c r="C72" s="157" t="s">
        <v>661</v>
      </c>
      <c r="D72" s="157" t="str">
        <f>CONCATENATE(D71,"City.")</f>
        <v>Rail.Freight.City.</v>
      </c>
      <c r="E72" s="154" t="s">
        <v>632</v>
      </c>
      <c r="F72" s="244"/>
      <c r="G72" s="244"/>
      <c r="H72" s="244"/>
      <c r="I72" s="244"/>
      <c r="J72" s="13"/>
      <c r="K72" s="245"/>
    </row>
    <row r="73" spans="2:11" s="13" customFormat="1" x14ac:dyDescent="0.3">
      <c r="B73" s="246"/>
      <c r="C73" s="157" t="s">
        <v>419</v>
      </c>
      <c r="D73" s="157" t="s">
        <v>612</v>
      </c>
      <c r="E73" s="154" t="s">
        <v>582</v>
      </c>
      <c r="F73" s="244"/>
      <c r="G73" s="244"/>
      <c r="H73" s="244"/>
      <c r="I73" s="244"/>
      <c r="K73" s="245"/>
    </row>
    <row r="74" spans="2:11" s="13" customFormat="1" x14ac:dyDescent="0.3">
      <c r="B74" s="246"/>
      <c r="C74" s="157" t="s">
        <v>613</v>
      </c>
      <c r="D74" s="157" t="s">
        <v>614</v>
      </c>
      <c r="E74" s="154" t="s">
        <v>582</v>
      </c>
      <c r="F74" s="244"/>
      <c r="G74" s="244"/>
      <c r="H74" s="244"/>
      <c r="I74" s="244"/>
      <c r="K74" s="245"/>
    </row>
    <row r="75" spans="2:11" s="13" customFormat="1" x14ac:dyDescent="0.3">
      <c r="B75" s="246"/>
      <c r="C75" s="157" t="s">
        <v>510</v>
      </c>
      <c r="D75" s="157" t="s">
        <v>615</v>
      </c>
      <c r="E75" s="154" t="s">
        <v>582</v>
      </c>
      <c r="F75" s="244"/>
      <c r="G75" s="244"/>
      <c r="H75" s="244"/>
      <c r="I75" s="244"/>
      <c r="K75" s="245"/>
    </row>
    <row r="76" spans="2:11" s="13" customFormat="1" x14ac:dyDescent="0.3">
      <c r="B76" s="246"/>
      <c r="C76" s="157" t="s">
        <v>616</v>
      </c>
      <c r="D76" s="157" t="str">
        <f>CONCATENATE(D75,"City.")</f>
        <v>Rail.Passenger.LightRail.City.</v>
      </c>
      <c r="E76" s="154" t="s">
        <v>582</v>
      </c>
      <c r="F76" s="244"/>
      <c r="G76" s="244"/>
      <c r="H76" s="244"/>
      <c r="I76" s="244"/>
      <c r="K76" s="245"/>
    </row>
    <row r="77" spans="2:11" s="13" customFormat="1" x14ac:dyDescent="0.3">
      <c r="B77" s="251"/>
      <c r="C77" s="157" t="s">
        <v>512</v>
      </c>
      <c r="D77" s="157" t="s">
        <v>618</v>
      </c>
      <c r="E77" s="154" t="s">
        <v>582</v>
      </c>
      <c r="F77" s="244"/>
      <c r="G77" s="244"/>
      <c r="H77" s="244"/>
      <c r="I77" s="244"/>
      <c r="K77" s="245"/>
    </row>
    <row r="78" spans="2:11" s="13" customFormat="1" x14ac:dyDescent="0.3">
      <c r="B78" s="246"/>
      <c r="C78" s="157" t="s">
        <v>619</v>
      </c>
      <c r="D78" s="157" t="str">
        <f>CONCATENATE(D77,"City.")</f>
        <v>Rail.Passenger.Metro.City.</v>
      </c>
      <c r="E78" s="154" t="s">
        <v>582</v>
      </c>
      <c r="F78" s="244"/>
      <c r="G78" s="244"/>
      <c r="H78" s="244"/>
      <c r="I78" s="244"/>
      <c r="K78" s="245"/>
    </row>
    <row r="79" spans="2:11" x14ac:dyDescent="0.3">
      <c r="B79" s="243"/>
      <c r="C79" s="157" t="s">
        <v>417</v>
      </c>
      <c r="D79" s="157" t="s">
        <v>621</v>
      </c>
      <c r="E79" s="154" t="s">
        <v>582</v>
      </c>
      <c r="F79" s="244"/>
      <c r="G79" s="244"/>
      <c r="H79" s="244"/>
      <c r="I79" s="244"/>
      <c r="J79" s="13"/>
      <c r="K79" s="245"/>
    </row>
    <row r="80" spans="2:11" x14ac:dyDescent="0.3">
      <c r="B80" s="243"/>
      <c r="C80" s="157" t="s">
        <v>622</v>
      </c>
      <c r="D80" s="157" t="str">
        <f>CONCATENATE(D79,"City.")</f>
        <v>Rail.Passenger.City.</v>
      </c>
      <c r="E80" s="154" t="s">
        <v>582</v>
      </c>
      <c r="F80" s="244"/>
      <c r="G80" s="244"/>
      <c r="H80" s="244"/>
      <c r="I80" s="244"/>
      <c r="J80" s="13"/>
      <c r="K80" s="245"/>
    </row>
    <row r="81" spans="2:14" x14ac:dyDescent="0.3">
      <c r="B81" s="246"/>
      <c r="C81" s="157" t="s">
        <v>394</v>
      </c>
      <c r="D81" s="157" t="s">
        <v>624</v>
      </c>
      <c r="E81" s="154" t="s">
        <v>582</v>
      </c>
      <c r="F81" s="244"/>
      <c r="G81" s="244"/>
      <c r="H81" s="244"/>
      <c r="I81" s="244"/>
      <c r="J81" s="13"/>
      <c r="K81" s="245"/>
    </row>
    <row r="82" spans="2:14" x14ac:dyDescent="0.3">
      <c r="B82" s="246"/>
      <c r="C82" s="157" t="s">
        <v>470</v>
      </c>
      <c r="D82" s="157" t="s">
        <v>625</v>
      </c>
      <c r="E82" s="154" t="s">
        <v>582</v>
      </c>
      <c r="F82" s="244"/>
      <c r="G82" s="244"/>
      <c r="H82" s="244"/>
      <c r="I82" s="244"/>
      <c r="J82" s="13"/>
      <c r="K82" s="245"/>
    </row>
    <row r="83" spans="2:14" s="13" customFormat="1" x14ac:dyDescent="0.3">
      <c r="B83" s="243"/>
      <c r="C83" s="157" t="s">
        <v>425</v>
      </c>
      <c r="D83" s="157" t="s">
        <v>663</v>
      </c>
      <c r="E83" s="154" t="s">
        <v>632</v>
      </c>
      <c r="F83" s="244"/>
      <c r="G83" s="244"/>
      <c r="H83" s="244"/>
      <c r="I83" s="244"/>
      <c r="K83" s="245"/>
      <c r="M83" s="31"/>
      <c r="N83"/>
    </row>
    <row r="84" spans="2:14" s="13" customFormat="1" x14ac:dyDescent="0.3">
      <c r="B84" s="243"/>
      <c r="C84" s="157" t="s">
        <v>509</v>
      </c>
      <c r="D84" s="157" t="s">
        <v>664</v>
      </c>
      <c r="E84" s="154" t="s">
        <v>632</v>
      </c>
      <c r="F84" s="244"/>
      <c r="G84" s="244"/>
      <c r="H84" s="244"/>
      <c r="I84" s="244"/>
      <c r="K84" s="245"/>
      <c r="M84" s="31"/>
      <c r="N84"/>
    </row>
    <row r="85" spans="2:14" s="13" customFormat="1" x14ac:dyDescent="0.3">
      <c r="B85" s="243"/>
      <c r="C85" s="157" t="s">
        <v>398</v>
      </c>
      <c r="D85" s="157" t="s">
        <v>626</v>
      </c>
      <c r="E85" s="154" t="s">
        <v>582</v>
      </c>
      <c r="F85" s="244"/>
      <c r="G85" s="244"/>
      <c r="H85" s="244"/>
      <c r="I85" s="244"/>
      <c r="K85" s="245"/>
      <c r="N85"/>
    </row>
    <row r="86" spans="2:14" s="13" customFormat="1" x14ac:dyDescent="0.3">
      <c r="B86" s="243"/>
      <c r="C86" s="157" t="s">
        <v>473</v>
      </c>
      <c r="D86" s="157" t="s">
        <v>627</v>
      </c>
      <c r="E86" s="154" t="s">
        <v>582</v>
      </c>
      <c r="F86" s="244"/>
      <c r="G86" s="244"/>
      <c r="H86" s="244"/>
      <c r="I86" s="244"/>
      <c r="K86" s="245"/>
      <c r="N86"/>
    </row>
    <row r="87" spans="2:14" s="13" customFormat="1" x14ac:dyDescent="0.3">
      <c r="B87" s="243"/>
      <c r="C87" s="157" t="s">
        <v>423</v>
      </c>
      <c r="D87" s="157" t="s">
        <v>665</v>
      </c>
      <c r="E87" s="154" t="s">
        <v>632</v>
      </c>
      <c r="F87" s="244"/>
      <c r="G87" s="244"/>
      <c r="H87" s="244"/>
      <c r="I87" s="244"/>
      <c r="K87" s="245"/>
      <c r="N87"/>
    </row>
    <row r="88" spans="2:14" s="13" customFormat="1" x14ac:dyDescent="0.3">
      <c r="B88" s="243"/>
      <c r="C88" s="157" t="s">
        <v>508</v>
      </c>
      <c r="D88" s="157" t="s">
        <v>666</v>
      </c>
      <c r="E88" s="154" t="s">
        <v>632</v>
      </c>
      <c r="F88" s="244"/>
      <c r="G88" s="244"/>
      <c r="H88" s="244"/>
      <c r="I88" s="244"/>
      <c r="K88" s="245"/>
      <c r="N88"/>
    </row>
    <row r="89" spans="2:14" s="13" customFormat="1" x14ac:dyDescent="0.3">
      <c r="B89" s="243"/>
      <c r="C89" s="157" t="s">
        <v>396</v>
      </c>
      <c r="D89" s="157" t="s">
        <v>628</v>
      </c>
      <c r="E89" s="154" t="s">
        <v>582</v>
      </c>
      <c r="F89" s="244"/>
      <c r="G89" s="244"/>
      <c r="H89" s="244"/>
      <c r="I89" s="244"/>
      <c r="K89" s="245"/>
    </row>
    <row r="90" spans="2:14" s="13" customFormat="1" x14ac:dyDescent="0.3">
      <c r="B90" s="248"/>
      <c r="C90" s="158" t="s">
        <v>476</v>
      </c>
      <c r="D90" s="158" t="s">
        <v>629</v>
      </c>
      <c r="E90" s="156" t="s">
        <v>582</v>
      </c>
      <c r="F90" s="249"/>
      <c r="G90" s="249"/>
      <c r="H90" s="249"/>
      <c r="I90" s="249"/>
      <c r="K90" s="250"/>
    </row>
    <row r="91" spans="2:14" s="13" customFormat="1" x14ac:dyDescent="0.3"/>
    <row r="92" spans="2:14" s="13" customFormat="1" x14ac:dyDescent="0.3">
      <c r="B92" s="243"/>
      <c r="C92" s="153" t="s">
        <v>1044</v>
      </c>
      <c r="D92" s="154" t="s">
        <v>1045</v>
      </c>
      <c r="E92" s="154" t="s">
        <v>85</v>
      </c>
      <c r="F92" s="244"/>
      <c r="G92" s="244"/>
      <c r="H92" s="244"/>
      <c r="I92" s="244"/>
      <c r="K92" s="245"/>
    </row>
    <row r="93" spans="2:14" s="13" customFormat="1" x14ac:dyDescent="0.3">
      <c r="N93"/>
    </row>
    <row r="94" spans="2:14" s="13" customFormat="1" x14ac:dyDescent="0.3">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U425"/>
  <sheetViews>
    <sheetView topLeftCell="AB1" zoomScaleNormal="100" workbookViewId="0">
      <selection activeCell="AP1" sqref="AP1"/>
    </sheetView>
  </sheetViews>
  <sheetFormatPr defaultRowHeight="14.4" x14ac:dyDescent="0.3"/>
  <cols>
    <col min="1" max="1" width="2.6640625" customWidth="1"/>
    <col min="2" max="2" width="29.44140625" customWidth="1"/>
    <col min="3" max="3" width="33.6640625" bestFit="1" customWidth="1"/>
    <col min="4" max="4" width="50.6640625" customWidth="1"/>
    <col min="5" max="5" width="45.33203125" bestFit="1" customWidth="1"/>
    <col min="6" max="6" width="11.33203125" customWidth="1"/>
    <col min="7" max="7" width="12.44140625" bestFit="1" customWidth="1"/>
    <col min="8" max="8" width="8.33203125" style="96" bestFit="1" customWidth="1"/>
    <col min="9" max="9" width="16.6640625" customWidth="1"/>
    <col min="10" max="10" width="10.6640625" customWidth="1"/>
    <col min="11" max="11" width="12.33203125" customWidth="1"/>
    <col min="12" max="12" width="11.5546875" bestFit="1" customWidth="1"/>
    <col min="13" max="13" width="9.33203125" bestFit="1" customWidth="1"/>
    <col min="14" max="14" width="9.33203125" customWidth="1"/>
    <col min="15" max="19" width="9.33203125" bestFit="1" customWidth="1"/>
    <col min="20" max="26" width="8.6640625" customWidth="1"/>
    <col min="27" max="27" width="8.5546875" bestFit="1" customWidth="1"/>
    <col min="28" max="28" width="12" bestFit="1" customWidth="1"/>
    <col min="29" max="29" width="12.88671875" bestFit="1" customWidth="1"/>
    <col min="30" max="30" width="14.33203125" customWidth="1"/>
    <col min="31" max="31" width="16.6640625" bestFit="1" customWidth="1"/>
    <col min="32" max="32" width="10.109375" bestFit="1" customWidth="1"/>
    <col min="33" max="33" width="11.5546875" bestFit="1" customWidth="1"/>
    <col min="49" max="49" width="30" customWidth="1"/>
    <col min="50" max="50" width="11.6640625" bestFit="1" customWidth="1"/>
    <col min="51" max="51" width="10.88671875" bestFit="1" customWidth="1"/>
    <col min="63" max="63" width="10" bestFit="1" customWidth="1"/>
    <col min="67" max="67" width="10.88671875" style="23" customWidth="1"/>
    <col min="264" max="264" width="2.6640625" customWidth="1"/>
    <col min="265" max="265" width="29.44140625" customWidth="1"/>
    <col min="266" max="266" width="33.6640625" bestFit="1" customWidth="1"/>
    <col min="267" max="267" width="34.6640625" bestFit="1" customWidth="1"/>
    <col min="268" max="268" width="11" bestFit="1" customWidth="1"/>
    <col min="274" max="274" width="10.6640625" customWidth="1"/>
    <col min="275" max="275" width="11.33203125" bestFit="1" customWidth="1"/>
    <col min="277" max="277" width="7.33203125" customWidth="1"/>
    <col min="278" max="278" width="7.6640625" customWidth="1"/>
    <col min="520" max="520" width="2.6640625" customWidth="1"/>
    <col min="521" max="521" width="29.44140625" customWidth="1"/>
    <col min="522" max="522" width="33.6640625" bestFit="1" customWidth="1"/>
    <col min="523" max="523" width="34.6640625" bestFit="1" customWidth="1"/>
    <col min="524" max="524" width="11" bestFit="1" customWidth="1"/>
    <col min="530" max="530" width="10.6640625" customWidth="1"/>
    <col min="531" max="531" width="11.33203125" bestFit="1" customWidth="1"/>
    <col min="533" max="533" width="7.33203125" customWidth="1"/>
    <col min="534" max="534" width="7.6640625" customWidth="1"/>
    <col min="776" max="776" width="2.6640625" customWidth="1"/>
    <col min="777" max="777" width="29.44140625" customWidth="1"/>
    <col min="778" max="778" width="33.6640625" bestFit="1" customWidth="1"/>
    <col min="779" max="779" width="34.6640625" bestFit="1" customWidth="1"/>
    <col min="780" max="780" width="11" bestFit="1" customWidth="1"/>
    <col min="786" max="786" width="10.6640625" customWidth="1"/>
    <col min="787" max="787" width="11.33203125" bestFit="1" customWidth="1"/>
    <col min="789" max="789" width="7.33203125" customWidth="1"/>
    <col min="790" max="790" width="7.6640625" customWidth="1"/>
    <col min="1032" max="1032" width="2.6640625" customWidth="1"/>
    <col min="1033" max="1033" width="29.44140625" customWidth="1"/>
    <col min="1034" max="1034" width="33.6640625" bestFit="1" customWidth="1"/>
    <col min="1035" max="1035" width="34.6640625" bestFit="1" customWidth="1"/>
    <col min="1036" max="1036" width="11" bestFit="1" customWidth="1"/>
    <col min="1042" max="1042" width="10.6640625" customWidth="1"/>
    <col min="1043" max="1043" width="11.33203125" bestFit="1" customWidth="1"/>
    <col min="1045" max="1045" width="7.33203125" customWidth="1"/>
    <col min="1046" max="1046" width="7.6640625" customWidth="1"/>
    <col min="1288" max="1288" width="2.6640625" customWidth="1"/>
    <col min="1289" max="1289" width="29.44140625" customWidth="1"/>
    <col min="1290" max="1290" width="33.6640625" bestFit="1" customWidth="1"/>
    <col min="1291" max="1291" width="34.6640625" bestFit="1" customWidth="1"/>
    <col min="1292" max="1292" width="11" bestFit="1" customWidth="1"/>
    <col min="1298" max="1298" width="10.6640625" customWidth="1"/>
    <col min="1299" max="1299" width="11.33203125" bestFit="1" customWidth="1"/>
    <col min="1301" max="1301" width="7.33203125" customWidth="1"/>
    <col min="1302" max="1302" width="7.6640625" customWidth="1"/>
    <col min="1544" max="1544" width="2.6640625" customWidth="1"/>
    <col min="1545" max="1545" width="29.44140625" customWidth="1"/>
    <col min="1546" max="1546" width="33.6640625" bestFit="1" customWidth="1"/>
    <col min="1547" max="1547" width="34.6640625" bestFit="1" customWidth="1"/>
    <col min="1548" max="1548" width="11" bestFit="1" customWidth="1"/>
    <col min="1554" max="1554" width="10.6640625" customWidth="1"/>
    <col min="1555" max="1555" width="11.33203125" bestFit="1" customWidth="1"/>
    <col min="1557" max="1557" width="7.33203125" customWidth="1"/>
    <col min="1558" max="1558" width="7.6640625" customWidth="1"/>
    <col min="1800" max="1800" width="2.6640625" customWidth="1"/>
    <col min="1801" max="1801" width="29.44140625" customWidth="1"/>
    <col min="1802" max="1802" width="33.6640625" bestFit="1" customWidth="1"/>
    <col min="1803" max="1803" width="34.6640625" bestFit="1" customWidth="1"/>
    <col min="1804" max="1804" width="11" bestFit="1" customWidth="1"/>
    <col min="1810" max="1810" width="10.6640625" customWidth="1"/>
    <col min="1811" max="1811" width="11.33203125" bestFit="1" customWidth="1"/>
    <col min="1813" max="1813" width="7.33203125" customWidth="1"/>
    <col min="1814" max="1814" width="7.6640625" customWidth="1"/>
    <col min="2056" max="2056" width="2.6640625" customWidth="1"/>
    <col min="2057" max="2057" width="29.44140625" customWidth="1"/>
    <col min="2058" max="2058" width="33.6640625" bestFit="1" customWidth="1"/>
    <col min="2059" max="2059" width="34.6640625" bestFit="1" customWidth="1"/>
    <col min="2060" max="2060" width="11" bestFit="1" customWidth="1"/>
    <col min="2066" max="2066" width="10.6640625" customWidth="1"/>
    <col min="2067" max="2067" width="11.33203125" bestFit="1" customWidth="1"/>
    <col min="2069" max="2069" width="7.33203125" customWidth="1"/>
    <col min="2070" max="2070" width="7.6640625" customWidth="1"/>
    <col min="2312" max="2312" width="2.6640625" customWidth="1"/>
    <col min="2313" max="2313" width="29.44140625" customWidth="1"/>
    <col min="2314" max="2314" width="33.6640625" bestFit="1" customWidth="1"/>
    <col min="2315" max="2315" width="34.6640625" bestFit="1" customWidth="1"/>
    <col min="2316" max="2316" width="11" bestFit="1" customWidth="1"/>
    <col min="2322" max="2322" width="10.6640625" customWidth="1"/>
    <col min="2323" max="2323" width="11.33203125" bestFit="1" customWidth="1"/>
    <col min="2325" max="2325" width="7.33203125" customWidth="1"/>
    <col min="2326" max="2326" width="7.6640625" customWidth="1"/>
    <col min="2568" max="2568" width="2.6640625" customWidth="1"/>
    <col min="2569" max="2569" width="29.44140625" customWidth="1"/>
    <col min="2570" max="2570" width="33.6640625" bestFit="1" customWidth="1"/>
    <col min="2571" max="2571" width="34.6640625" bestFit="1" customWidth="1"/>
    <col min="2572" max="2572" width="11" bestFit="1" customWidth="1"/>
    <col min="2578" max="2578" width="10.6640625" customWidth="1"/>
    <col min="2579" max="2579" width="11.33203125" bestFit="1" customWidth="1"/>
    <col min="2581" max="2581" width="7.33203125" customWidth="1"/>
    <col min="2582" max="2582" width="7.6640625" customWidth="1"/>
    <col min="2824" max="2824" width="2.6640625" customWidth="1"/>
    <col min="2825" max="2825" width="29.44140625" customWidth="1"/>
    <col min="2826" max="2826" width="33.6640625" bestFit="1" customWidth="1"/>
    <col min="2827" max="2827" width="34.6640625" bestFit="1" customWidth="1"/>
    <col min="2828" max="2828" width="11" bestFit="1" customWidth="1"/>
    <col min="2834" max="2834" width="10.6640625" customWidth="1"/>
    <col min="2835" max="2835" width="11.33203125" bestFit="1" customWidth="1"/>
    <col min="2837" max="2837" width="7.33203125" customWidth="1"/>
    <col min="2838" max="2838" width="7.6640625" customWidth="1"/>
    <col min="3080" max="3080" width="2.6640625" customWidth="1"/>
    <col min="3081" max="3081" width="29.44140625" customWidth="1"/>
    <col min="3082" max="3082" width="33.6640625" bestFit="1" customWidth="1"/>
    <col min="3083" max="3083" width="34.6640625" bestFit="1" customWidth="1"/>
    <col min="3084" max="3084" width="11" bestFit="1" customWidth="1"/>
    <col min="3090" max="3090" width="10.6640625" customWidth="1"/>
    <col min="3091" max="3091" width="11.33203125" bestFit="1" customWidth="1"/>
    <col min="3093" max="3093" width="7.33203125" customWidth="1"/>
    <col min="3094" max="3094" width="7.6640625" customWidth="1"/>
    <col min="3336" max="3336" width="2.6640625" customWidth="1"/>
    <col min="3337" max="3337" width="29.44140625" customWidth="1"/>
    <col min="3338" max="3338" width="33.6640625" bestFit="1" customWidth="1"/>
    <col min="3339" max="3339" width="34.6640625" bestFit="1" customWidth="1"/>
    <col min="3340" max="3340" width="11" bestFit="1" customWidth="1"/>
    <col min="3346" max="3346" width="10.6640625" customWidth="1"/>
    <col min="3347" max="3347" width="11.33203125" bestFit="1" customWidth="1"/>
    <col min="3349" max="3349" width="7.33203125" customWidth="1"/>
    <col min="3350" max="3350" width="7.6640625" customWidth="1"/>
    <col min="3592" max="3592" width="2.6640625" customWidth="1"/>
    <col min="3593" max="3593" width="29.44140625" customWidth="1"/>
    <col min="3594" max="3594" width="33.6640625" bestFit="1" customWidth="1"/>
    <col min="3595" max="3595" width="34.6640625" bestFit="1" customWidth="1"/>
    <col min="3596" max="3596" width="11" bestFit="1" customWidth="1"/>
    <col min="3602" max="3602" width="10.6640625" customWidth="1"/>
    <col min="3603" max="3603" width="11.33203125" bestFit="1" customWidth="1"/>
    <col min="3605" max="3605" width="7.33203125" customWidth="1"/>
    <col min="3606" max="3606" width="7.6640625" customWidth="1"/>
    <col min="3848" max="3848" width="2.6640625" customWidth="1"/>
    <col min="3849" max="3849" width="29.44140625" customWidth="1"/>
    <col min="3850" max="3850" width="33.6640625" bestFit="1" customWidth="1"/>
    <col min="3851" max="3851" width="34.6640625" bestFit="1" customWidth="1"/>
    <col min="3852" max="3852" width="11" bestFit="1" customWidth="1"/>
    <col min="3858" max="3858" width="10.6640625" customWidth="1"/>
    <col min="3859" max="3859" width="11.33203125" bestFit="1" customWidth="1"/>
    <col min="3861" max="3861" width="7.33203125" customWidth="1"/>
    <col min="3862" max="3862" width="7.6640625" customWidth="1"/>
    <col min="4104" max="4104" width="2.6640625" customWidth="1"/>
    <col min="4105" max="4105" width="29.44140625" customWidth="1"/>
    <col min="4106" max="4106" width="33.6640625" bestFit="1" customWidth="1"/>
    <col min="4107" max="4107" width="34.6640625" bestFit="1" customWidth="1"/>
    <col min="4108" max="4108" width="11" bestFit="1" customWidth="1"/>
    <col min="4114" max="4114" width="10.6640625" customWidth="1"/>
    <col min="4115" max="4115" width="11.33203125" bestFit="1" customWidth="1"/>
    <col min="4117" max="4117" width="7.33203125" customWidth="1"/>
    <col min="4118" max="4118" width="7.6640625" customWidth="1"/>
    <col min="4360" max="4360" width="2.6640625" customWidth="1"/>
    <col min="4361" max="4361" width="29.44140625" customWidth="1"/>
    <col min="4362" max="4362" width="33.6640625" bestFit="1" customWidth="1"/>
    <col min="4363" max="4363" width="34.6640625" bestFit="1" customWidth="1"/>
    <col min="4364" max="4364" width="11" bestFit="1" customWidth="1"/>
    <col min="4370" max="4370" width="10.6640625" customWidth="1"/>
    <col min="4371" max="4371" width="11.33203125" bestFit="1" customWidth="1"/>
    <col min="4373" max="4373" width="7.33203125" customWidth="1"/>
    <col min="4374" max="4374" width="7.6640625" customWidth="1"/>
    <col min="4616" max="4616" width="2.6640625" customWidth="1"/>
    <col min="4617" max="4617" width="29.44140625" customWidth="1"/>
    <col min="4618" max="4618" width="33.6640625" bestFit="1" customWidth="1"/>
    <col min="4619" max="4619" width="34.6640625" bestFit="1" customWidth="1"/>
    <col min="4620" max="4620" width="11" bestFit="1" customWidth="1"/>
    <col min="4626" max="4626" width="10.6640625" customWidth="1"/>
    <col min="4627" max="4627" width="11.33203125" bestFit="1" customWidth="1"/>
    <col min="4629" max="4629" width="7.33203125" customWidth="1"/>
    <col min="4630" max="4630" width="7.6640625" customWidth="1"/>
    <col min="4872" max="4872" width="2.6640625" customWidth="1"/>
    <col min="4873" max="4873" width="29.44140625" customWidth="1"/>
    <col min="4874" max="4874" width="33.6640625" bestFit="1" customWidth="1"/>
    <col min="4875" max="4875" width="34.6640625" bestFit="1" customWidth="1"/>
    <col min="4876" max="4876" width="11" bestFit="1" customWidth="1"/>
    <col min="4882" max="4882" width="10.6640625" customWidth="1"/>
    <col min="4883" max="4883" width="11.33203125" bestFit="1" customWidth="1"/>
    <col min="4885" max="4885" width="7.33203125" customWidth="1"/>
    <col min="4886" max="4886" width="7.6640625" customWidth="1"/>
    <col min="5128" max="5128" width="2.6640625" customWidth="1"/>
    <col min="5129" max="5129" width="29.44140625" customWidth="1"/>
    <col min="5130" max="5130" width="33.6640625" bestFit="1" customWidth="1"/>
    <col min="5131" max="5131" width="34.6640625" bestFit="1" customWidth="1"/>
    <col min="5132" max="5132" width="11" bestFit="1" customWidth="1"/>
    <col min="5138" max="5138" width="10.6640625" customWidth="1"/>
    <col min="5139" max="5139" width="11.33203125" bestFit="1" customWidth="1"/>
    <col min="5141" max="5141" width="7.33203125" customWidth="1"/>
    <col min="5142" max="5142" width="7.6640625" customWidth="1"/>
    <col min="5384" max="5384" width="2.6640625" customWidth="1"/>
    <col min="5385" max="5385" width="29.44140625" customWidth="1"/>
    <col min="5386" max="5386" width="33.6640625" bestFit="1" customWidth="1"/>
    <col min="5387" max="5387" width="34.6640625" bestFit="1" customWidth="1"/>
    <col min="5388" max="5388" width="11" bestFit="1" customWidth="1"/>
    <col min="5394" max="5394" width="10.6640625" customWidth="1"/>
    <col min="5395" max="5395" width="11.33203125" bestFit="1" customWidth="1"/>
    <col min="5397" max="5397" width="7.33203125" customWidth="1"/>
    <col min="5398" max="5398" width="7.6640625" customWidth="1"/>
    <col min="5640" max="5640" width="2.6640625" customWidth="1"/>
    <col min="5641" max="5641" width="29.44140625" customWidth="1"/>
    <col min="5642" max="5642" width="33.6640625" bestFit="1" customWidth="1"/>
    <col min="5643" max="5643" width="34.6640625" bestFit="1" customWidth="1"/>
    <col min="5644" max="5644" width="11" bestFit="1" customWidth="1"/>
    <col min="5650" max="5650" width="10.6640625" customWidth="1"/>
    <col min="5651" max="5651" width="11.33203125" bestFit="1" customWidth="1"/>
    <col min="5653" max="5653" width="7.33203125" customWidth="1"/>
    <col min="5654" max="5654" width="7.6640625" customWidth="1"/>
    <col min="5896" max="5896" width="2.6640625" customWidth="1"/>
    <col min="5897" max="5897" width="29.44140625" customWidth="1"/>
    <col min="5898" max="5898" width="33.6640625" bestFit="1" customWidth="1"/>
    <col min="5899" max="5899" width="34.6640625" bestFit="1" customWidth="1"/>
    <col min="5900" max="5900" width="11" bestFit="1" customWidth="1"/>
    <col min="5906" max="5906" width="10.6640625" customWidth="1"/>
    <col min="5907" max="5907" width="11.33203125" bestFit="1" customWidth="1"/>
    <col min="5909" max="5909" width="7.33203125" customWidth="1"/>
    <col min="5910" max="5910" width="7.6640625" customWidth="1"/>
    <col min="6152" max="6152" width="2.6640625" customWidth="1"/>
    <col min="6153" max="6153" width="29.44140625" customWidth="1"/>
    <col min="6154" max="6154" width="33.6640625" bestFit="1" customWidth="1"/>
    <col min="6155" max="6155" width="34.6640625" bestFit="1" customWidth="1"/>
    <col min="6156" max="6156" width="11" bestFit="1" customWidth="1"/>
    <col min="6162" max="6162" width="10.6640625" customWidth="1"/>
    <col min="6163" max="6163" width="11.33203125" bestFit="1" customWidth="1"/>
    <col min="6165" max="6165" width="7.33203125" customWidth="1"/>
    <col min="6166" max="6166" width="7.6640625" customWidth="1"/>
    <col min="6408" max="6408" width="2.6640625" customWidth="1"/>
    <col min="6409" max="6409" width="29.44140625" customWidth="1"/>
    <col min="6410" max="6410" width="33.6640625" bestFit="1" customWidth="1"/>
    <col min="6411" max="6411" width="34.6640625" bestFit="1" customWidth="1"/>
    <col min="6412" max="6412" width="11" bestFit="1" customWidth="1"/>
    <col min="6418" max="6418" width="10.6640625" customWidth="1"/>
    <col min="6419" max="6419" width="11.33203125" bestFit="1" customWidth="1"/>
    <col min="6421" max="6421" width="7.33203125" customWidth="1"/>
    <col min="6422" max="6422" width="7.6640625" customWidth="1"/>
    <col min="6664" max="6664" width="2.6640625" customWidth="1"/>
    <col min="6665" max="6665" width="29.44140625" customWidth="1"/>
    <col min="6666" max="6666" width="33.6640625" bestFit="1" customWidth="1"/>
    <col min="6667" max="6667" width="34.6640625" bestFit="1" customWidth="1"/>
    <col min="6668" max="6668" width="11" bestFit="1" customWidth="1"/>
    <col min="6674" max="6674" width="10.6640625" customWidth="1"/>
    <col min="6675" max="6675" width="11.33203125" bestFit="1" customWidth="1"/>
    <col min="6677" max="6677" width="7.33203125" customWidth="1"/>
    <col min="6678" max="6678" width="7.6640625" customWidth="1"/>
    <col min="6920" max="6920" width="2.6640625" customWidth="1"/>
    <col min="6921" max="6921" width="29.44140625" customWidth="1"/>
    <col min="6922" max="6922" width="33.6640625" bestFit="1" customWidth="1"/>
    <col min="6923" max="6923" width="34.6640625" bestFit="1" customWidth="1"/>
    <col min="6924" max="6924" width="11" bestFit="1" customWidth="1"/>
    <col min="6930" max="6930" width="10.6640625" customWidth="1"/>
    <col min="6931" max="6931" width="11.33203125" bestFit="1" customWidth="1"/>
    <col min="6933" max="6933" width="7.33203125" customWidth="1"/>
    <col min="6934" max="6934" width="7.6640625" customWidth="1"/>
    <col min="7176" max="7176" width="2.6640625" customWidth="1"/>
    <col min="7177" max="7177" width="29.44140625" customWidth="1"/>
    <col min="7178" max="7178" width="33.6640625" bestFit="1" customWidth="1"/>
    <col min="7179" max="7179" width="34.6640625" bestFit="1" customWidth="1"/>
    <col min="7180" max="7180" width="11" bestFit="1" customWidth="1"/>
    <col min="7186" max="7186" width="10.6640625" customWidth="1"/>
    <col min="7187" max="7187" width="11.33203125" bestFit="1" customWidth="1"/>
    <col min="7189" max="7189" width="7.33203125" customWidth="1"/>
    <col min="7190" max="7190" width="7.6640625" customWidth="1"/>
    <col min="7432" max="7432" width="2.6640625" customWidth="1"/>
    <col min="7433" max="7433" width="29.44140625" customWidth="1"/>
    <col min="7434" max="7434" width="33.6640625" bestFit="1" customWidth="1"/>
    <col min="7435" max="7435" width="34.6640625" bestFit="1" customWidth="1"/>
    <col min="7436" max="7436" width="11" bestFit="1" customWidth="1"/>
    <col min="7442" max="7442" width="10.6640625" customWidth="1"/>
    <col min="7443" max="7443" width="11.33203125" bestFit="1" customWidth="1"/>
    <col min="7445" max="7445" width="7.33203125" customWidth="1"/>
    <col min="7446" max="7446" width="7.6640625" customWidth="1"/>
    <col min="7688" max="7688" width="2.6640625" customWidth="1"/>
    <col min="7689" max="7689" width="29.44140625" customWidth="1"/>
    <col min="7690" max="7690" width="33.6640625" bestFit="1" customWidth="1"/>
    <col min="7691" max="7691" width="34.6640625" bestFit="1" customWidth="1"/>
    <col min="7692" max="7692" width="11" bestFit="1" customWidth="1"/>
    <col min="7698" max="7698" width="10.6640625" customWidth="1"/>
    <col min="7699" max="7699" width="11.33203125" bestFit="1" customWidth="1"/>
    <col min="7701" max="7701" width="7.33203125" customWidth="1"/>
    <col min="7702" max="7702" width="7.6640625" customWidth="1"/>
    <col min="7944" max="7944" width="2.6640625" customWidth="1"/>
    <col min="7945" max="7945" width="29.44140625" customWidth="1"/>
    <col min="7946" max="7946" width="33.6640625" bestFit="1" customWidth="1"/>
    <col min="7947" max="7947" width="34.6640625" bestFit="1" customWidth="1"/>
    <col min="7948" max="7948" width="11" bestFit="1" customWidth="1"/>
    <col min="7954" max="7954" width="10.6640625" customWidth="1"/>
    <col min="7955" max="7955" width="11.33203125" bestFit="1" customWidth="1"/>
    <col min="7957" max="7957" width="7.33203125" customWidth="1"/>
    <col min="7958" max="7958" width="7.6640625" customWidth="1"/>
    <col min="8200" max="8200" width="2.6640625" customWidth="1"/>
    <col min="8201" max="8201" width="29.44140625" customWidth="1"/>
    <col min="8202" max="8202" width="33.6640625" bestFit="1" customWidth="1"/>
    <col min="8203" max="8203" width="34.6640625" bestFit="1" customWidth="1"/>
    <col min="8204" max="8204" width="11" bestFit="1" customWidth="1"/>
    <col min="8210" max="8210" width="10.6640625" customWidth="1"/>
    <col min="8211" max="8211" width="11.33203125" bestFit="1" customWidth="1"/>
    <col min="8213" max="8213" width="7.33203125" customWidth="1"/>
    <col min="8214" max="8214" width="7.6640625" customWidth="1"/>
    <col min="8456" max="8456" width="2.6640625" customWidth="1"/>
    <col min="8457" max="8457" width="29.44140625" customWidth="1"/>
    <col min="8458" max="8458" width="33.6640625" bestFit="1" customWidth="1"/>
    <col min="8459" max="8459" width="34.6640625" bestFit="1" customWidth="1"/>
    <col min="8460" max="8460" width="11" bestFit="1" customWidth="1"/>
    <col min="8466" max="8466" width="10.6640625" customWidth="1"/>
    <col min="8467" max="8467" width="11.33203125" bestFit="1" customWidth="1"/>
    <col min="8469" max="8469" width="7.33203125" customWidth="1"/>
    <col min="8470" max="8470" width="7.6640625" customWidth="1"/>
    <col min="8712" max="8712" width="2.6640625" customWidth="1"/>
    <col min="8713" max="8713" width="29.44140625" customWidth="1"/>
    <col min="8714" max="8714" width="33.6640625" bestFit="1" customWidth="1"/>
    <col min="8715" max="8715" width="34.6640625" bestFit="1" customWidth="1"/>
    <col min="8716" max="8716" width="11" bestFit="1" customWidth="1"/>
    <col min="8722" max="8722" width="10.6640625" customWidth="1"/>
    <col min="8723" max="8723" width="11.33203125" bestFit="1" customWidth="1"/>
    <col min="8725" max="8725" width="7.33203125" customWidth="1"/>
    <col min="8726" max="8726" width="7.6640625" customWidth="1"/>
    <col min="8968" max="8968" width="2.6640625" customWidth="1"/>
    <col min="8969" max="8969" width="29.44140625" customWidth="1"/>
    <col min="8970" max="8970" width="33.6640625" bestFit="1" customWidth="1"/>
    <col min="8971" max="8971" width="34.6640625" bestFit="1" customWidth="1"/>
    <col min="8972" max="8972" width="11" bestFit="1" customWidth="1"/>
    <col min="8978" max="8978" width="10.6640625" customWidth="1"/>
    <col min="8979" max="8979" width="11.33203125" bestFit="1" customWidth="1"/>
    <col min="8981" max="8981" width="7.33203125" customWidth="1"/>
    <col min="8982" max="8982" width="7.6640625" customWidth="1"/>
    <col min="9224" max="9224" width="2.6640625" customWidth="1"/>
    <col min="9225" max="9225" width="29.44140625" customWidth="1"/>
    <col min="9226" max="9226" width="33.6640625" bestFit="1" customWidth="1"/>
    <col min="9227" max="9227" width="34.6640625" bestFit="1" customWidth="1"/>
    <col min="9228" max="9228" width="11" bestFit="1" customWidth="1"/>
    <col min="9234" max="9234" width="10.6640625" customWidth="1"/>
    <col min="9235" max="9235" width="11.33203125" bestFit="1" customWidth="1"/>
    <col min="9237" max="9237" width="7.33203125" customWidth="1"/>
    <col min="9238" max="9238" width="7.6640625" customWidth="1"/>
    <col min="9480" max="9480" width="2.6640625" customWidth="1"/>
    <col min="9481" max="9481" width="29.44140625" customWidth="1"/>
    <col min="9482" max="9482" width="33.6640625" bestFit="1" customWidth="1"/>
    <col min="9483" max="9483" width="34.6640625" bestFit="1" customWidth="1"/>
    <col min="9484" max="9484" width="11" bestFit="1" customWidth="1"/>
    <col min="9490" max="9490" width="10.6640625" customWidth="1"/>
    <col min="9491" max="9491" width="11.33203125" bestFit="1" customWidth="1"/>
    <col min="9493" max="9493" width="7.33203125" customWidth="1"/>
    <col min="9494" max="9494" width="7.6640625" customWidth="1"/>
    <col min="9736" max="9736" width="2.6640625" customWidth="1"/>
    <col min="9737" max="9737" width="29.44140625" customWidth="1"/>
    <col min="9738" max="9738" width="33.6640625" bestFit="1" customWidth="1"/>
    <col min="9739" max="9739" width="34.6640625" bestFit="1" customWidth="1"/>
    <col min="9740" max="9740" width="11" bestFit="1" customWidth="1"/>
    <col min="9746" max="9746" width="10.6640625" customWidth="1"/>
    <col min="9747" max="9747" width="11.33203125" bestFit="1" customWidth="1"/>
    <col min="9749" max="9749" width="7.33203125" customWidth="1"/>
    <col min="9750" max="9750" width="7.6640625" customWidth="1"/>
    <col min="9992" max="9992" width="2.6640625" customWidth="1"/>
    <col min="9993" max="9993" width="29.44140625" customWidth="1"/>
    <col min="9994" max="9994" width="33.6640625" bestFit="1" customWidth="1"/>
    <col min="9995" max="9995" width="34.6640625" bestFit="1" customWidth="1"/>
    <col min="9996" max="9996" width="11" bestFit="1" customWidth="1"/>
    <col min="10002" max="10002" width="10.6640625" customWidth="1"/>
    <col min="10003" max="10003" width="11.33203125" bestFit="1" customWidth="1"/>
    <col min="10005" max="10005" width="7.33203125" customWidth="1"/>
    <col min="10006" max="10006" width="7.6640625" customWidth="1"/>
    <col min="10248" max="10248" width="2.6640625" customWidth="1"/>
    <col min="10249" max="10249" width="29.44140625" customWidth="1"/>
    <col min="10250" max="10250" width="33.6640625" bestFit="1" customWidth="1"/>
    <col min="10251" max="10251" width="34.6640625" bestFit="1" customWidth="1"/>
    <col min="10252" max="10252" width="11" bestFit="1" customWidth="1"/>
    <col min="10258" max="10258" width="10.6640625" customWidth="1"/>
    <col min="10259" max="10259" width="11.33203125" bestFit="1" customWidth="1"/>
    <col min="10261" max="10261" width="7.33203125" customWidth="1"/>
    <col min="10262" max="10262" width="7.6640625" customWidth="1"/>
    <col min="10504" max="10504" width="2.6640625" customWidth="1"/>
    <col min="10505" max="10505" width="29.44140625" customWidth="1"/>
    <col min="10506" max="10506" width="33.6640625" bestFit="1" customWidth="1"/>
    <col min="10507" max="10507" width="34.6640625" bestFit="1" customWidth="1"/>
    <col min="10508" max="10508" width="11" bestFit="1" customWidth="1"/>
    <col min="10514" max="10514" width="10.6640625" customWidth="1"/>
    <col min="10515" max="10515" width="11.33203125" bestFit="1" customWidth="1"/>
    <col min="10517" max="10517" width="7.33203125" customWidth="1"/>
    <col min="10518" max="10518" width="7.6640625" customWidth="1"/>
    <col min="10760" max="10760" width="2.6640625" customWidth="1"/>
    <col min="10761" max="10761" width="29.44140625" customWidth="1"/>
    <col min="10762" max="10762" width="33.6640625" bestFit="1" customWidth="1"/>
    <col min="10763" max="10763" width="34.6640625" bestFit="1" customWidth="1"/>
    <col min="10764" max="10764" width="11" bestFit="1" customWidth="1"/>
    <col min="10770" max="10770" width="10.6640625" customWidth="1"/>
    <col min="10771" max="10771" width="11.33203125" bestFit="1" customWidth="1"/>
    <col min="10773" max="10773" width="7.33203125" customWidth="1"/>
    <col min="10774" max="10774" width="7.6640625" customWidth="1"/>
    <col min="11016" max="11016" width="2.6640625" customWidth="1"/>
    <col min="11017" max="11017" width="29.44140625" customWidth="1"/>
    <col min="11018" max="11018" width="33.6640625" bestFit="1" customWidth="1"/>
    <col min="11019" max="11019" width="34.6640625" bestFit="1" customWidth="1"/>
    <col min="11020" max="11020" width="11" bestFit="1" customWidth="1"/>
    <col min="11026" max="11026" width="10.6640625" customWidth="1"/>
    <col min="11027" max="11027" width="11.33203125" bestFit="1" customWidth="1"/>
    <col min="11029" max="11029" width="7.33203125" customWidth="1"/>
    <col min="11030" max="11030" width="7.6640625" customWidth="1"/>
    <col min="11272" max="11272" width="2.6640625" customWidth="1"/>
    <col min="11273" max="11273" width="29.44140625" customWidth="1"/>
    <col min="11274" max="11274" width="33.6640625" bestFit="1" customWidth="1"/>
    <col min="11275" max="11275" width="34.6640625" bestFit="1" customWidth="1"/>
    <col min="11276" max="11276" width="11" bestFit="1" customWidth="1"/>
    <col min="11282" max="11282" width="10.6640625" customWidth="1"/>
    <col min="11283" max="11283" width="11.33203125" bestFit="1" customWidth="1"/>
    <col min="11285" max="11285" width="7.33203125" customWidth="1"/>
    <col min="11286" max="11286" width="7.6640625" customWidth="1"/>
    <col min="11528" max="11528" width="2.6640625" customWidth="1"/>
    <col min="11529" max="11529" width="29.44140625" customWidth="1"/>
    <col min="11530" max="11530" width="33.6640625" bestFit="1" customWidth="1"/>
    <col min="11531" max="11531" width="34.6640625" bestFit="1" customWidth="1"/>
    <col min="11532" max="11532" width="11" bestFit="1" customWidth="1"/>
    <col min="11538" max="11538" width="10.6640625" customWidth="1"/>
    <col min="11539" max="11539" width="11.33203125" bestFit="1" customWidth="1"/>
    <col min="11541" max="11541" width="7.33203125" customWidth="1"/>
    <col min="11542" max="11542" width="7.6640625" customWidth="1"/>
    <col min="11784" max="11784" width="2.6640625" customWidth="1"/>
    <col min="11785" max="11785" width="29.44140625" customWidth="1"/>
    <col min="11786" max="11786" width="33.6640625" bestFit="1" customWidth="1"/>
    <col min="11787" max="11787" width="34.6640625" bestFit="1" customWidth="1"/>
    <col min="11788" max="11788" width="11" bestFit="1" customWidth="1"/>
    <col min="11794" max="11794" width="10.6640625" customWidth="1"/>
    <col min="11795" max="11795" width="11.33203125" bestFit="1" customWidth="1"/>
    <col min="11797" max="11797" width="7.33203125" customWidth="1"/>
    <col min="11798" max="11798" width="7.6640625" customWidth="1"/>
    <col min="12040" max="12040" width="2.6640625" customWidth="1"/>
    <col min="12041" max="12041" width="29.44140625" customWidth="1"/>
    <col min="12042" max="12042" width="33.6640625" bestFit="1" customWidth="1"/>
    <col min="12043" max="12043" width="34.6640625" bestFit="1" customWidth="1"/>
    <col min="12044" max="12044" width="11" bestFit="1" customWidth="1"/>
    <col min="12050" max="12050" width="10.6640625" customWidth="1"/>
    <col min="12051" max="12051" width="11.33203125" bestFit="1" customWidth="1"/>
    <col min="12053" max="12053" width="7.33203125" customWidth="1"/>
    <col min="12054" max="12054" width="7.6640625" customWidth="1"/>
    <col min="12296" max="12296" width="2.6640625" customWidth="1"/>
    <col min="12297" max="12297" width="29.44140625" customWidth="1"/>
    <col min="12298" max="12298" width="33.6640625" bestFit="1" customWidth="1"/>
    <col min="12299" max="12299" width="34.6640625" bestFit="1" customWidth="1"/>
    <col min="12300" max="12300" width="11" bestFit="1" customWidth="1"/>
    <col min="12306" max="12306" width="10.6640625" customWidth="1"/>
    <col min="12307" max="12307" width="11.33203125" bestFit="1" customWidth="1"/>
    <col min="12309" max="12309" width="7.33203125" customWidth="1"/>
    <col min="12310" max="12310" width="7.6640625" customWidth="1"/>
    <col min="12552" max="12552" width="2.6640625" customWidth="1"/>
    <col min="12553" max="12553" width="29.44140625" customWidth="1"/>
    <col min="12554" max="12554" width="33.6640625" bestFit="1" customWidth="1"/>
    <col min="12555" max="12555" width="34.6640625" bestFit="1" customWidth="1"/>
    <col min="12556" max="12556" width="11" bestFit="1" customWidth="1"/>
    <col min="12562" max="12562" width="10.6640625" customWidth="1"/>
    <col min="12563" max="12563" width="11.33203125" bestFit="1" customWidth="1"/>
    <col min="12565" max="12565" width="7.33203125" customWidth="1"/>
    <col min="12566" max="12566" width="7.6640625" customWidth="1"/>
    <col min="12808" max="12808" width="2.6640625" customWidth="1"/>
    <col min="12809" max="12809" width="29.44140625" customWidth="1"/>
    <col min="12810" max="12810" width="33.6640625" bestFit="1" customWidth="1"/>
    <col min="12811" max="12811" width="34.6640625" bestFit="1" customWidth="1"/>
    <col min="12812" max="12812" width="11" bestFit="1" customWidth="1"/>
    <col min="12818" max="12818" width="10.6640625" customWidth="1"/>
    <col min="12819" max="12819" width="11.33203125" bestFit="1" customWidth="1"/>
    <col min="12821" max="12821" width="7.33203125" customWidth="1"/>
    <col min="12822" max="12822" width="7.6640625" customWidth="1"/>
    <col min="13064" max="13064" width="2.6640625" customWidth="1"/>
    <col min="13065" max="13065" width="29.44140625" customWidth="1"/>
    <col min="13066" max="13066" width="33.6640625" bestFit="1" customWidth="1"/>
    <col min="13067" max="13067" width="34.6640625" bestFit="1" customWidth="1"/>
    <col min="13068" max="13068" width="11" bestFit="1" customWidth="1"/>
    <col min="13074" max="13074" width="10.6640625" customWidth="1"/>
    <col min="13075" max="13075" width="11.33203125" bestFit="1" customWidth="1"/>
    <col min="13077" max="13077" width="7.33203125" customWidth="1"/>
    <col min="13078" max="13078" width="7.6640625" customWidth="1"/>
    <col min="13320" max="13320" width="2.6640625" customWidth="1"/>
    <col min="13321" max="13321" width="29.44140625" customWidth="1"/>
    <col min="13322" max="13322" width="33.6640625" bestFit="1" customWidth="1"/>
    <col min="13323" max="13323" width="34.6640625" bestFit="1" customWidth="1"/>
    <col min="13324" max="13324" width="11" bestFit="1" customWidth="1"/>
    <col min="13330" max="13330" width="10.6640625" customWidth="1"/>
    <col min="13331" max="13331" width="11.33203125" bestFit="1" customWidth="1"/>
    <col min="13333" max="13333" width="7.33203125" customWidth="1"/>
    <col min="13334" max="13334" width="7.6640625" customWidth="1"/>
    <col min="13576" max="13576" width="2.6640625" customWidth="1"/>
    <col min="13577" max="13577" width="29.44140625" customWidth="1"/>
    <col min="13578" max="13578" width="33.6640625" bestFit="1" customWidth="1"/>
    <col min="13579" max="13579" width="34.6640625" bestFit="1" customWidth="1"/>
    <col min="13580" max="13580" width="11" bestFit="1" customWidth="1"/>
    <col min="13586" max="13586" width="10.6640625" customWidth="1"/>
    <col min="13587" max="13587" width="11.33203125" bestFit="1" customWidth="1"/>
    <col min="13589" max="13589" width="7.33203125" customWidth="1"/>
    <col min="13590" max="13590" width="7.6640625" customWidth="1"/>
    <col min="13832" max="13832" width="2.6640625" customWidth="1"/>
    <col min="13833" max="13833" width="29.44140625" customWidth="1"/>
    <col min="13834" max="13834" width="33.6640625" bestFit="1" customWidth="1"/>
    <col min="13835" max="13835" width="34.6640625" bestFit="1" customWidth="1"/>
    <col min="13836" max="13836" width="11" bestFit="1" customWidth="1"/>
    <col min="13842" max="13842" width="10.6640625" customWidth="1"/>
    <col min="13843" max="13843" width="11.33203125" bestFit="1" customWidth="1"/>
    <col min="13845" max="13845" width="7.33203125" customWidth="1"/>
    <col min="13846" max="13846" width="7.6640625" customWidth="1"/>
    <col min="14088" max="14088" width="2.6640625" customWidth="1"/>
    <col min="14089" max="14089" width="29.44140625" customWidth="1"/>
    <col min="14090" max="14090" width="33.6640625" bestFit="1" customWidth="1"/>
    <col min="14091" max="14091" width="34.6640625" bestFit="1" customWidth="1"/>
    <col min="14092" max="14092" width="11" bestFit="1" customWidth="1"/>
    <col min="14098" max="14098" width="10.6640625" customWidth="1"/>
    <col min="14099" max="14099" width="11.33203125" bestFit="1" customWidth="1"/>
    <col min="14101" max="14101" width="7.33203125" customWidth="1"/>
    <col min="14102" max="14102" width="7.6640625" customWidth="1"/>
    <col min="14344" max="14344" width="2.6640625" customWidth="1"/>
    <col min="14345" max="14345" width="29.44140625" customWidth="1"/>
    <col min="14346" max="14346" width="33.6640625" bestFit="1" customWidth="1"/>
    <col min="14347" max="14347" width="34.6640625" bestFit="1" customWidth="1"/>
    <col min="14348" max="14348" width="11" bestFit="1" customWidth="1"/>
    <col min="14354" max="14354" width="10.6640625" customWidth="1"/>
    <col min="14355" max="14355" width="11.33203125" bestFit="1" customWidth="1"/>
    <col min="14357" max="14357" width="7.33203125" customWidth="1"/>
    <col min="14358" max="14358" width="7.6640625" customWidth="1"/>
    <col min="14600" max="14600" width="2.6640625" customWidth="1"/>
    <col min="14601" max="14601" width="29.44140625" customWidth="1"/>
    <col min="14602" max="14602" width="33.6640625" bestFit="1" customWidth="1"/>
    <col min="14603" max="14603" width="34.6640625" bestFit="1" customWidth="1"/>
    <col min="14604" max="14604" width="11" bestFit="1" customWidth="1"/>
    <col min="14610" max="14610" width="10.6640625" customWidth="1"/>
    <col min="14611" max="14611" width="11.33203125" bestFit="1" customWidth="1"/>
    <col min="14613" max="14613" width="7.33203125" customWidth="1"/>
    <col min="14614" max="14614" width="7.6640625" customWidth="1"/>
    <col min="14856" max="14856" width="2.6640625" customWidth="1"/>
    <col min="14857" max="14857" width="29.44140625" customWidth="1"/>
    <col min="14858" max="14858" width="33.6640625" bestFit="1" customWidth="1"/>
    <col min="14859" max="14859" width="34.6640625" bestFit="1" customWidth="1"/>
    <col min="14860" max="14860" width="11" bestFit="1" customWidth="1"/>
    <col min="14866" max="14866" width="10.6640625" customWidth="1"/>
    <col min="14867" max="14867" width="11.33203125" bestFit="1" customWidth="1"/>
    <col min="14869" max="14869" width="7.33203125" customWidth="1"/>
    <col min="14870" max="14870" width="7.6640625" customWidth="1"/>
    <col min="15112" max="15112" width="2.6640625" customWidth="1"/>
    <col min="15113" max="15113" width="29.44140625" customWidth="1"/>
    <col min="15114" max="15114" width="33.6640625" bestFit="1" customWidth="1"/>
    <col min="15115" max="15115" width="34.6640625" bestFit="1" customWidth="1"/>
    <col min="15116" max="15116" width="11" bestFit="1" customWidth="1"/>
    <col min="15122" max="15122" width="10.6640625" customWidth="1"/>
    <col min="15123" max="15123" width="11.33203125" bestFit="1" customWidth="1"/>
    <col min="15125" max="15125" width="7.33203125" customWidth="1"/>
    <col min="15126" max="15126" width="7.6640625" customWidth="1"/>
    <col min="15368" max="15368" width="2.6640625" customWidth="1"/>
    <col min="15369" max="15369" width="29.44140625" customWidth="1"/>
    <col min="15370" max="15370" width="33.6640625" bestFit="1" customWidth="1"/>
    <col min="15371" max="15371" width="34.6640625" bestFit="1" customWidth="1"/>
    <col min="15372" max="15372" width="11" bestFit="1" customWidth="1"/>
    <col min="15378" max="15378" width="10.6640625" customWidth="1"/>
    <col min="15379" max="15379" width="11.33203125" bestFit="1" customWidth="1"/>
    <col min="15381" max="15381" width="7.33203125" customWidth="1"/>
    <col min="15382" max="15382" width="7.6640625" customWidth="1"/>
    <col min="15624" max="15624" width="2.6640625" customWidth="1"/>
    <col min="15625" max="15625" width="29.44140625" customWidth="1"/>
    <col min="15626" max="15626" width="33.6640625" bestFit="1" customWidth="1"/>
    <col min="15627" max="15627" width="34.6640625" bestFit="1" customWidth="1"/>
    <col min="15628" max="15628" width="11" bestFit="1" customWidth="1"/>
    <col min="15634" max="15634" width="10.6640625" customWidth="1"/>
    <col min="15635" max="15635" width="11.33203125" bestFit="1" customWidth="1"/>
    <col min="15637" max="15637" width="7.33203125" customWidth="1"/>
    <col min="15638" max="15638" width="7.6640625" customWidth="1"/>
    <col min="15880" max="15880" width="2.6640625" customWidth="1"/>
    <col min="15881" max="15881" width="29.44140625" customWidth="1"/>
    <col min="15882" max="15882" width="33.6640625" bestFit="1" customWidth="1"/>
    <col min="15883" max="15883" width="34.6640625" bestFit="1" customWidth="1"/>
    <col min="15884" max="15884" width="11" bestFit="1" customWidth="1"/>
    <col min="15890" max="15890" width="10.6640625" customWidth="1"/>
    <col min="15891" max="15891" width="11.33203125" bestFit="1" customWidth="1"/>
    <col min="15893" max="15893" width="7.33203125" customWidth="1"/>
    <col min="15894" max="15894" width="7.6640625" customWidth="1"/>
    <col min="16136" max="16136" width="2.6640625" customWidth="1"/>
    <col min="16137" max="16137" width="29.44140625" customWidth="1"/>
    <col min="16138" max="16138" width="33.6640625" bestFit="1" customWidth="1"/>
    <col min="16139" max="16139" width="34.6640625" bestFit="1" customWidth="1"/>
    <col min="16140" max="16140" width="11" bestFit="1" customWidth="1"/>
    <col min="16146" max="16146" width="10.6640625" customWidth="1"/>
    <col min="16147" max="16147" width="11.33203125" bestFit="1" customWidth="1"/>
    <col min="16149" max="16149" width="7.33203125" customWidth="1"/>
    <col min="16150" max="16150" width="7.6640625" customWidth="1"/>
  </cols>
  <sheetData>
    <row r="1" spans="1:67" ht="18" customHeight="1" x14ac:dyDescent="0.3">
      <c r="A1" s="19"/>
      <c r="B1" s="149" t="s">
        <v>1046</v>
      </c>
      <c r="C1" s="19"/>
      <c r="D1" s="19"/>
      <c r="K1" s="149" t="s">
        <v>1047</v>
      </c>
      <c r="AB1" s="19"/>
    </row>
    <row r="2" spans="1:67" x14ac:dyDescent="0.3">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3">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3">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3">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3">
      <c r="B6" s="42" t="s">
        <v>1048</v>
      </c>
      <c r="C6" s="42"/>
      <c r="K6" s="825" t="s">
        <v>1049</v>
      </c>
      <c r="L6" s="799">
        <v>1.25</v>
      </c>
      <c r="AA6" s="19"/>
      <c r="AG6" s="860"/>
      <c r="AH6" s="860"/>
      <c r="AI6" s="860"/>
      <c r="AJ6" s="860"/>
      <c r="AK6" s="860"/>
      <c r="AL6" s="860"/>
      <c r="AM6" s="860"/>
      <c r="AN6" s="860"/>
      <c r="AO6" s="860"/>
      <c r="AP6" s="860"/>
      <c r="AQ6" s="860"/>
      <c r="AR6" s="860"/>
      <c r="AS6" s="860"/>
      <c r="AT6" s="860"/>
      <c r="AU6" s="860"/>
    </row>
    <row r="7" spans="1:67" x14ac:dyDescent="0.3">
      <c r="AA7" s="19"/>
      <c r="AG7" s="860"/>
      <c r="AH7" s="860"/>
      <c r="AI7" s="860"/>
      <c r="AJ7" s="860"/>
      <c r="AK7" s="860"/>
      <c r="AL7" s="860"/>
      <c r="AM7" s="860"/>
      <c r="AN7" s="860"/>
      <c r="AO7" s="860"/>
      <c r="AP7" s="860"/>
      <c r="AQ7" s="860"/>
      <c r="AR7" s="860"/>
      <c r="AS7" s="860"/>
      <c r="AT7" s="860"/>
      <c r="AU7" s="860"/>
    </row>
    <row r="8" spans="1:67" s="19" customFormat="1" x14ac:dyDescent="0.3">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3">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49" t="s">
        <v>85</v>
      </c>
      <c r="AF9" s="700" t="s">
        <v>421</v>
      </c>
      <c r="AG9" s="700" t="str">
        <f>L$2</f>
        <v>Z01</v>
      </c>
      <c r="AH9" s="700" t="str">
        <f t="shared" ref="AH9:AU9" si="3">M$2</f>
        <v>Z02</v>
      </c>
      <c r="AI9" s="700" t="str">
        <f t="shared" si="3"/>
        <v>Z03</v>
      </c>
      <c r="AJ9" s="700" t="str">
        <f t="shared" si="3"/>
        <v>Z04</v>
      </c>
      <c r="AK9" s="700" t="str">
        <f t="shared" si="3"/>
        <v>Z05</v>
      </c>
      <c r="AL9" s="700" t="str">
        <f t="shared" si="3"/>
        <v>Z06</v>
      </c>
      <c r="AM9" s="700" t="str">
        <f t="shared" si="3"/>
        <v>Z07</v>
      </c>
      <c r="AN9" s="700" t="str">
        <f t="shared" si="3"/>
        <v>Z08</v>
      </c>
      <c r="AO9" s="700" t="str">
        <f t="shared" si="3"/>
        <v>Z09</v>
      </c>
      <c r="AP9" s="700" t="str">
        <f t="shared" si="3"/>
        <v>Z10</v>
      </c>
      <c r="AQ9" s="700" t="str">
        <f t="shared" si="3"/>
        <v>Z11</v>
      </c>
      <c r="AR9" s="700" t="str">
        <f t="shared" si="3"/>
        <v>Z12</v>
      </c>
      <c r="AS9" s="700" t="str">
        <f t="shared" si="3"/>
        <v>Z13</v>
      </c>
      <c r="AT9" s="700" t="str">
        <f t="shared" si="3"/>
        <v>Z14</v>
      </c>
      <c r="AU9" s="700" t="str">
        <f t="shared" si="3"/>
        <v>Z15</v>
      </c>
      <c r="AW9" s="749" t="s">
        <v>1060</v>
      </c>
      <c r="AX9" s="700" t="s">
        <v>421</v>
      </c>
      <c r="AY9" s="700" t="str">
        <f>AG9</f>
        <v>Z01</v>
      </c>
      <c r="AZ9" s="700" t="str">
        <f t="shared" ref="AZ9:BM9" si="4">AH9</f>
        <v>Z02</v>
      </c>
      <c r="BA9" s="700" t="str">
        <f t="shared" si="4"/>
        <v>Z03</v>
      </c>
      <c r="BB9" s="700" t="str">
        <f t="shared" si="4"/>
        <v>Z04</v>
      </c>
      <c r="BC9" s="700" t="str">
        <f t="shared" si="4"/>
        <v>Z05</v>
      </c>
      <c r="BD9" s="700" t="str">
        <f t="shared" si="4"/>
        <v>Z06</v>
      </c>
      <c r="BE9" s="700" t="str">
        <f t="shared" si="4"/>
        <v>Z07</v>
      </c>
      <c r="BF9" s="700" t="str">
        <f t="shared" si="4"/>
        <v>Z08</v>
      </c>
      <c r="BG9" s="700" t="str">
        <f t="shared" si="4"/>
        <v>Z09</v>
      </c>
      <c r="BH9" s="700" t="str">
        <f t="shared" si="4"/>
        <v>Z10</v>
      </c>
      <c r="BI9" s="700" t="str">
        <f t="shared" si="4"/>
        <v>Z11</v>
      </c>
      <c r="BJ9" s="700" t="str">
        <f t="shared" si="4"/>
        <v>Z12</v>
      </c>
      <c r="BK9" s="700" t="str">
        <f t="shared" si="4"/>
        <v>Z13</v>
      </c>
      <c r="BL9" s="700" t="str">
        <f t="shared" si="4"/>
        <v>Z14</v>
      </c>
      <c r="BM9" s="700" t="str">
        <f t="shared" si="4"/>
        <v>Z15</v>
      </c>
      <c r="BO9" s="23"/>
    </row>
    <row r="10" spans="1:67" s="19" customFormat="1" x14ac:dyDescent="0.3">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0" t="s">
        <v>103</v>
      </c>
      <c r="AF10" s="716">
        <f t="shared" ref="AF10:AF31" si="5">SUM(AG10:AU10)</f>
        <v>23226.579532476069</v>
      </c>
      <c r="AG10" s="717">
        <f t="shared" ref="AG10:AU10" si="6">SUM(AG11:AG34)</f>
        <v>23226.579532476069</v>
      </c>
      <c r="AH10" s="708">
        <f t="shared" si="6"/>
        <v>0</v>
      </c>
      <c r="AI10" s="708">
        <f t="shared" si="6"/>
        <v>0</v>
      </c>
      <c r="AJ10" s="708">
        <f t="shared" si="6"/>
        <v>0</v>
      </c>
      <c r="AK10" s="708">
        <f t="shared" si="6"/>
        <v>0</v>
      </c>
      <c r="AL10" s="708">
        <f t="shared" si="6"/>
        <v>0</v>
      </c>
      <c r="AM10" s="708">
        <f t="shared" si="6"/>
        <v>0</v>
      </c>
      <c r="AN10" s="708">
        <f t="shared" si="6"/>
        <v>0</v>
      </c>
      <c r="AO10" s="708">
        <f t="shared" si="6"/>
        <v>0</v>
      </c>
      <c r="AP10" s="708">
        <f t="shared" si="6"/>
        <v>0</v>
      </c>
      <c r="AQ10" s="708">
        <f t="shared" si="6"/>
        <v>0</v>
      </c>
      <c r="AR10" s="708">
        <f t="shared" si="6"/>
        <v>0</v>
      </c>
      <c r="AS10" s="708">
        <f t="shared" si="6"/>
        <v>0</v>
      </c>
      <c r="AT10" s="708">
        <f t="shared" si="6"/>
        <v>0</v>
      </c>
      <c r="AU10" s="708">
        <f t="shared" si="6"/>
        <v>0</v>
      </c>
      <c r="AW10" s="750" t="s">
        <v>103</v>
      </c>
      <c r="AX10" s="716">
        <f>SUM(AY10:BM10)</f>
        <v>6451827.6479100203</v>
      </c>
      <c r="AY10" s="717">
        <f t="shared" ref="AY10:BM10" si="7">SUM(AY11:AY34)</f>
        <v>6451827.6479100203</v>
      </c>
      <c r="AZ10" s="717">
        <f t="shared" si="7"/>
        <v>0</v>
      </c>
      <c r="BA10" s="717">
        <f t="shared" si="7"/>
        <v>0</v>
      </c>
      <c r="BB10" s="717">
        <f t="shared" si="7"/>
        <v>0</v>
      </c>
      <c r="BC10" s="717">
        <f t="shared" si="7"/>
        <v>0</v>
      </c>
      <c r="BD10" s="717">
        <f t="shared" si="7"/>
        <v>0</v>
      </c>
      <c r="BE10" s="717">
        <f t="shared" si="7"/>
        <v>0</v>
      </c>
      <c r="BF10" s="717">
        <f t="shared" si="7"/>
        <v>0</v>
      </c>
      <c r="BG10" s="717">
        <f t="shared" si="7"/>
        <v>0</v>
      </c>
      <c r="BH10" s="717">
        <f t="shared" si="7"/>
        <v>0</v>
      </c>
      <c r="BI10" s="717">
        <f t="shared" si="7"/>
        <v>0</v>
      </c>
      <c r="BJ10" s="717">
        <f t="shared" si="7"/>
        <v>0</v>
      </c>
      <c r="BK10" s="717">
        <f t="shared" si="7"/>
        <v>0</v>
      </c>
      <c r="BL10" s="717">
        <f t="shared" si="7"/>
        <v>0</v>
      </c>
      <c r="BM10" s="717">
        <f t="shared" si="7"/>
        <v>0</v>
      </c>
      <c r="BO10" s="23"/>
    </row>
    <row r="11" spans="1:67" x14ac:dyDescent="0.3">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4">
        <v>1</v>
      </c>
      <c r="M11" s="634">
        <v>1</v>
      </c>
      <c r="N11" s="634">
        <v>1</v>
      </c>
      <c r="O11" s="634">
        <v>1</v>
      </c>
      <c r="P11" s="634">
        <v>1</v>
      </c>
      <c r="Q11" s="634">
        <v>1</v>
      </c>
      <c r="R11" s="634">
        <v>1</v>
      </c>
      <c r="S11" s="634">
        <v>1</v>
      </c>
      <c r="T11" s="634">
        <v>1</v>
      </c>
      <c r="U11" s="634">
        <v>1</v>
      </c>
      <c r="V11" s="634">
        <v>1</v>
      </c>
      <c r="W11" s="634">
        <v>1</v>
      </c>
      <c r="X11" s="634">
        <v>1</v>
      </c>
      <c r="Y11" s="634">
        <v>1</v>
      </c>
      <c r="Z11" s="634">
        <v>1</v>
      </c>
      <c r="AB11" s="19"/>
      <c r="AE11" s="418" t="s">
        <v>987</v>
      </c>
      <c r="AF11" s="829">
        <f t="shared" si="5"/>
        <v>2498.4874511838843</v>
      </c>
      <c r="AG11" s="727">
        <f>SUMIF(TC_Private!$AV$6:$AV$24,TRA_Fuel!$AE11,TC_Private!AX$6:AX$24)+SUMIF(TB!$AV$6:$AV$24,TRA_Fuel!$AE11,TB!AX$6:AX$24)+SUMIF(TF_Private!$AV$11:$AV$29,TRA_Fuel!$AE11,TF_Private!AX$11:AX$29)</f>
        <v>2498.4874511838843</v>
      </c>
      <c r="AH11" s="722">
        <f>SUMIF(TC_Private!$AV$6:$AV$24,TRA_Fuel!$AE11,TC_Private!AY$6:AY$24)+SUMIF(TB!$AV$6:$AV$24,TRA_Fuel!$AE11,TB!AY$6:AY$24)+SUMIF(TF_Private!$AV$11:$AV$29,TRA_Fuel!$AE11,TF_Private!AY$11:AY$29)</f>
        <v>0</v>
      </c>
      <c r="AI11" s="722">
        <f>SUMIF(TC_Private!$AV$6:$AV$24,TRA_Fuel!$AE11,TC_Private!AZ$6:AZ$24)+SUMIF(TB!$AV$6:$AV$24,TRA_Fuel!$AE11,TB!AZ$6:AZ$24)+SUMIF(TF_Private!$AV$11:$AV$29,TRA_Fuel!$AE11,TF_Private!AZ$11:AZ$29)</f>
        <v>0</v>
      </c>
      <c r="AJ11" s="722">
        <f>SUMIF(TC_Private!$AV$6:$AV$24,TRA_Fuel!$AE11,TC_Private!BA$6:BA$24)+SUMIF(TB!$AV$6:$AV$24,TRA_Fuel!$AE11,TB!BA$6:BA$24)+SUMIF(TF_Private!$AV$11:$AV$29,TRA_Fuel!$AE11,TF_Private!BA$11:BA$29)</f>
        <v>0</v>
      </c>
      <c r="AK11" s="722">
        <f>SUMIF(TC_Private!$AV$6:$AV$24,TRA_Fuel!$AE11,TC_Private!BB$6:BB$24)+SUMIF(TB!$AV$6:$AV$24,TRA_Fuel!$AE11,TB!BB$6:BB$24)+SUMIF(TF_Private!$AV$11:$AV$29,TRA_Fuel!$AE11,TF_Private!BB$11:BB$29)</f>
        <v>0</v>
      </c>
      <c r="AL11" s="722">
        <f>SUMIF(TC_Private!$AV$6:$AV$24,TRA_Fuel!$AE11,TC_Private!BC$6:BC$24)+SUMIF(TB!$AV$6:$AV$24,TRA_Fuel!$AE11,TB!BC$6:BC$24)+SUMIF(TF_Private!$AV$11:$AV$29,TRA_Fuel!$AE11,TF_Private!BC$11:BC$29)</f>
        <v>0</v>
      </c>
      <c r="AM11" s="722">
        <f>SUMIF(TC_Private!$AV$6:$AV$24,TRA_Fuel!$AE11,TC_Private!BD$6:BD$24)+SUMIF(TB!$AV$6:$AV$24,TRA_Fuel!$AE11,TB!BD$6:BD$24)+SUMIF(TF_Private!$AV$11:$AV$29,TRA_Fuel!$AE11,TF_Private!BD$11:BD$29)</f>
        <v>0</v>
      </c>
      <c r="AN11" s="722">
        <f>SUMIF(TC_Private!$AV$6:$AV$24,TRA_Fuel!$AE11,TC_Private!BE$6:BE$24)+SUMIF(TB!$AV$6:$AV$24,TRA_Fuel!$AE11,TB!BE$6:BE$24)+SUMIF(TF_Private!$AV$11:$AV$29,TRA_Fuel!$AE11,TF_Private!BE$11:BE$29)</f>
        <v>0</v>
      </c>
      <c r="AO11" s="722">
        <f>SUMIF(TC_Private!$AV$6:$AV$24,TRA_Fuel!$AE11,TC_Private!BF$6:BF$24)+SUMIF(TB!$AV$6:$AV$24,TRA_Fuel!$AE11,TB!BF$6:BF$24)+SUMIF(TF_Private!$AV$11:$AV$29,TRA_Fuel!$AE11,TF_Private!BF$11:BF$29)</f>
        <v>0</v>
      </c>
      <c r="AP11" s="722">
        <f>SUMIF(TC_Private!$AV$6:$AV$24,TRA_Fuel!$AE11,TC_Private!BG$6:BG$24)+SUMIF(TB!$AV$6:$AV$24,TRA_Fuel!$AE11,TB!BG$6:BG$24)+SUMIF(TF_Private!$AV$11:$AV$29,TRA_Fuel!$AE11,TF_Private!BG$11:BG$29)</f>
        <v>0</v>
      </c>
      <c r="AQ11" s="722">
        <f>SUMIF(TC_Private!$AV$6:$AV$24,TRA_Fuel!$AE11,TC_Private!BH$6:BH$24)+SUMIF(TB!$AV$6:$AV$24,TRA_Fuel!$AE11,TB!BH$6:BH$24)+SUMIF(TF_Private!$AV$11:$AV$29,TRA_Fuel!$AE11,TF_Private!BH$11:BH$29)</f>
        <v>0</v>
      </c>
      <c r="AR11" s="722">
        <f>SUMIF(TC_Private!$AV$6:$AV$24,TRA_Fuel!$AE11,TC_Private!BI$6:BI$24)+SUMIF(TB!$AV$6:$AV$24,TRA_Fuel!$AE11,TB!BI$6:BI$24)+SUMIF(TF_Private!$AV$11:$AV$29,TRA_Fuel!$AE11,TF_Private!BI$11:BI$29)</f>
        <v>0</v>
      </c>
      <c r="AS11" s="722">
        <f>SUMIF(TC_Private!$AV$6:$AV$24,TRA_Fuel!$AE11,TC_Private!BJ$6:BJ$24)+SUMIF(TB!$AV$6:$AV$24,TRA_Fuel!$AE11,TB!BJ$6:BJ$24)+SUMIF(TF_Private!$AV$11:$AV$29,TRA_Fuel!$AE11,TF_Private!BJ$11:BJ$29)</f>
        <v>0</v>
      </c>
      <c r="AT11" s="722">
        <f>SUMIF(TC_Private!$AV$6:$AV$24,TRA_Fuel!$AE11,TC_Private!BK$6:BK$24)+SUMIF(TB!$AV$6:$AV$24,TRA_Fuel!$AE11,TB!BK$6:BK$24)+SUMIF(TF_Private!$AV$11:$AV$29,TRA_Fuel!$AE11,TF_Private!BK$11:BK$29)</f>
        <v>0</v>
      </c>
      <c r="AU11" s="722">
        <f>SUMIF(TC_Private!$AV$6:$AV$24,TRA_Fuel!$AE11,TC_Private!BL$6:BL$24)+SUMIF(TB!$AV$6:$AV$24,TRA_Fuel!$AE11,TB!BL$6:BL$24)+SUMIF(TF_Private!$AV$11:$AV$29,TRA_Fuel!$AE11,TF_Private!BL$11:BL$29)</f>
        <v>0</v>
      </c>
      <c r="AW11" s="418" t="str">
        <f>AE11</f>
        <v>TRABDL</v>
      </c>
      <c r="AX11" s="829">
        <f t="shared" ref="AX11:AX22" si="8">SUM(AY11:BM11)</f>
        <v>694024.29199552338</v>
      </c>
      <c r="AY11" s="727">
        <f>AG11/3.6*1000</f>
        <v>694024.29199552338</v>
      </c>
      <c r="AZ11" s="727">
        <f t="shared" ref="AZ11" si="9">AH11/3.6*1000</f>
        <v>0</v>
      </c>
      <c r="BA11" s="727">
        <f t="shared" ref="BA11" si="10">AI11/3.6*1000</f>
        <v>0</v>
      </c>
      <c r="BB11" s="727">
        <f t="shared" ref="BB11" si="11">AJ11/3.6*1000</f>
        <v>0</v>
      </c>
      <c r="BC11" s="727">
        <f t="shared" ref="BC11" si="12">AK11/3.6*1000</f>
        <v>0</v>
      </c>
      <c r="BD11" s="727">
        <f t="shared" ref="BD11" si="13">AL11/3.6*1000</f>
        <v>0</v>
      </c>
      <c r="BE11" s="727">
        <f t="shared" ref="BE11" si="14">AM11/3.6*1000</f>
        <v>0</v>
      </c>
      <c r="BF11" s="727">
        <f t="shared" ref="BF11" si="15">AN11/3.6*1000</f>
        <v>0</v>
      </c>
      <c r="BG11" s="727">
        <f t="shared" ref="BG11" si="16">AO11/3.6*1000</f>
        <v>0</v>
      </c>
      <c r="BH11" s="727">
        <f t="shared" ref="BH11" si="17">AP11/3.6*1000</f>
        <v>0</v>
      </c>
      <c r="BI11" s="727">
        <f t="shared" ref="BI11" si="18">AQ11/3.6*1000</f>
        <v>0</v>
      </c>
      <c r="BJ11" s="727">
        <f t="shared" ref="BJ11" si="19">AR11/3.6*1000</f>
        <v>0</v>
      </c>
      <c r="BK11" s="727">
        <f t="shared" ref="BK11" si="20">AS11/3.6*1000</f>
        <v>0</v>
      </c>
      <c r="BL11" s="727">
        <f t="shared" ref="BL11" si="21">AT11/3.6*1000</f>
        <v>0</v>
      </c>
      <c r="BM11" s="727">
        <f t="shared" ref="BM11" si="22">AU11/3.6*1000</f>
        <v>0</v>
      </c>
    </row>
    <row r="12" spans="1:67" x14ac:dyDescent="0.3">
      <c r="B12" s="219" t="str">
        <f>B11</f>
        <v>TRABDL00</v>
      </c>
      <c r="C12" s="224"/>
      <c r="D12" s="230"/>
      <c r="E12" s="224"/>
      <c r="F12" s="224"/>
      <c r="G12" s="224"/>
      <c r="H12" s="231">
        <f>$K$3</f>
        <v>2019</v>
      </c>
      <c r="I12" s="224"/>
      <c r="J12" s="232" t="s">
        <v>1064</v>
      </c>
      <c r="K12" s="232" t="s">
        <v>85</v>
      </c>
      <c r="L12" s="635">
        <f t="shared" ref="L12:Z12" si="23">LOOKUP($F11, $AE$11:$AE$34, AG$11:AG$34*$L$6)</f>
        <v>3123.1093139798554</v>
      </c>
      <c r="M12" s="635">
        <f t="shared" si="23"/>
        <v>0</v>
      </c>
      <c r="N12" s="635">
        <f t="shared" si="23"/>
        <v>0</v>
      </c>
      <c r="O12" s="635">
        <f t="shared" si="23"/>
        <v>0</v>
      </c>
      <c r="P12" s="635">
        <f t="shared" si="23"/>
        <v>0</v>
      </c>
      <c r="Q12" s="635">
        <f t="shared" si="23"/>
        <v>0</v>
      </c>
      <c r="R12" s="635">
        <f t="shared" si="23"/>
        <v>0</v>
      </c>
      <c r="S12" s="635">
        <f t="shared" si="23"/>
        <v>0</v>
      </c>
      <c r="T12" s="635">
        <f t="shared" si="23"/>
        <v>0</v>
      </c>
      <c r="U12" s="635">
        <f t="shared" si="23"/>
        <v>0</v>
      </c>
      <c r="V12" s="635">
        <f t="shared" si="23"/>
        <v>0</v>
      </c>
      <c r="W12" s="635">
        <f t="shared" si="23"/>
        <v>0</v>
      </c>
      <c r="X12" s="635">
        <f t="shared" si="23"/>
        <v>0</v>
      </c>
      <c r="Y12" s="635">
        <f t="shared" si="23"/>
        <v>0</v>
      </c>
      <c r="Z12" s="635">
        <f t="shared" si="23"/>
        <v>0</v>
      </c>
      <c r="AB12" s="19"/>
      <c r="AE12" s="418" t="s">
        <v>989</v>
      </c>
      <c r="AF12" s="829">
        <f t="shared" si="5"/>
        <v>675.63759469486888</v>
      </c>
      <c r="AG12" s="727">
        <f>SUMIF(TC_Private!$AV$6:$AV$24,TRA_Fuel!$AE12,TC_Private!AX$6:AX$24)+SUMIF(TB!$AV$6:$AV$24,TRA_Fuel!$AE12,TB!AX$6:AX$24)+SUMIF(TF_Private!$AV$11:$AV$29,TRA_Fuel!$AE12,TF_Private!AX$11:AX$29)</f>
        <v>675.63759469486888</v>
      </c>
      <c r="AH12" s="722">
        <f>SUMIF(TC_Private!$AV$6:$AV$24,TRA_Fuel!$AE12,TC_Private!AY$6:AY$24)+SUMIF(TB!$AV$6:$AV$24,TRA_Fuel!$AE12,TB!AY$6:AY$24)+SUMIF(TF_Private!$AV$11:$AV$29,TRA_Fuel!$AE12,TF_Private!AY$11:AY$29)</f>
        <v>0</v>
      </c>
      <c r="AI12" s="722">
        <f>SUMIF(TC_Private!$AV$6:$AV$24,TRA_Fuel!$AE12,TC_Private!AZ$6:AZ$24)+SUMIF(TB!$AV$6:$AV$24,TRA_Fuel!$AE12,TB!AZ$6:AZ$24)+SUMIF(TF_Private!$AV$11:$AV$29,TRA_Fuel!$AE12,TF_Private!AZ$11:AZ$29)</f>
        <v>0</v>
      </c>
      <c r="AJ12" s="722">
        <f>SUMIF(TC_Private!$AV$6:$AV$24,TRA_Fuel!$AE12,TC_Private!BA$6:BA$24)+SUMIF(TB!$AV$6:$AV$24,TRA_Fuel!$AE12,TB!BA$6:BA$24)+SUMIF(TF_Private!$AV$11:$AV$29,TRA_Fuel!$AE12,TF_Private!BA$11:BA$29)</f>
        <v>0</v>
      </c>
      <c r="AK12" s="722">
        <f>SUMIF(TC_Private!$AV$6:$AV$24,TRA_Fuel!$AE12,TC_Private!BB$6:BB$24)+SUMIF(TB!$AV$6:$AV$24,TRA_Fuel!$AE12,TB!BB$6:BB$24)+SUMIF(TF_Private!$AV$11:$AV$29,TRA_Fuel!$AE12,TF_Private!BB$11:BB$29)</f>
        <v>0</v>
      </c>
      <c r="AL12" s="722">
        <f>SUMIF(TC_Private!$AV$6:$AV$24,TRA_Fuel!$AE12,TC_Private!BC$6:BC$24)+SUMIF(TB!$AV$6:$AV$24,TRA_Fuel!$AE12,TB!BC$6:BC$24)+SUMIF(TF_Private!$AV$11:$AV$29,TRA_Fuel!$AE12,TF_Private!BC$11:BC$29)</f>
        <v>0</v>
      </c>
      <c r="AM12" s="722">
        <f>SUMIF(TC_Private!$AV$6:$AV$24,TRA_Fuel!$AE12,TC_Private!BD$6:BD$24)+SUMIF(TB!$AV$6:$AV$24,TRA_Fuel!$AE12,TB!BD$6:BD$24)+SUMIF(TF_Private!$AV$11:$AV$29,TRA_Fuel!$AE12,TF_Private!BD$11:BD$29)</f>
        <v>0</v>
      </c>
      <c r="AN12" s="722">
        <f>SUMIF(TC_Private!$AV$6:$AV$24,TRA_Fuel!$AE12,TC_Private!BE$6:BE$24)+SUMIF(TB!$AV$6:$AV$24,TRA_Fuel!$AE12,TB!BE$6:BE$24)+SUMIF(TF_Private!$AV$11:$AV$29,TRA_Fuel!$AE12,TF_Private!BE$11:BE$29)</f>
        <v>0</v>
      </c>
      <c r="AO12" s="722">
        <f>SUMIF(TC_Private!$AV$6:$AV$24,TRA_Fuel!$AE12,TC_Private!BF$6:BF$24)+SUMIF(TB!$AV$6:$AV$24,TRA_Fuel!$AE12,TB!BF$6:BF$24)+SUMIF(TF_Private!$AV$11:$AV$29,TRA_Fuel!$AE12,TF_Private!BF$11:BF$29)</f>
        <v>0</v>
      </c>
      <c r="AP12" s="722">
        <f>SUMIF(TC_Private!$AV$6:$AV$24,TRA_Fuel!$AE12,TC_Private!BG$6:BG$24)+SUMIF(TB!$AV$6:$AV$24,TRA_Fuel!$AE12,TB!BG$6:BG$24)+SUMIF(TF_Private!$AV$11:$AV$29,TRA_Fuel!$AE12,TF_Private!BG$11:BG$29)</f>
        <v>0</v>
      </c>
      <c r="AQ12" s="722">
        <f>SUMIF(TC_Private!$AV$6:$AV$24,TRA_Fuel!$AE12,TC_Private!BH$6:BH$24)+SUMIF(TB!$AV$6:$AV$24,TRA_Fuel!$AE12,TB!BH$6:BH$24)+SUMIF(TF_Private!$AV$11:$AV$29,TRA_Fuel!$AE12,TF_Private!BH$11:BH$29)</f>
        <v>0</v>
      </c>
      <c r="AR12" s="722">
        <f>SUMIF(TC_Private!$AV$6:$AV$24,TRA_Fuel!$AE12,TC_Private!BI$6:BI$24)+SUMIF(TB!$AV$6:$AV$24,TRA_Fuel!$AE12,TB!BI$6:BI$24)+SUMIF(TF_Private!$AV$11:$AV$29,TRA_Fuel!$AE12,TF_Private!BI$11:BI$29)</f>
        <v>0</v>
      </c>
      <c r="AS12" s="722">
        <f>SUMIF(TC_Private!$AV$6:$AV$24,TRA_Fuel!$AE12,TC_Private!BJ$6:BJ$24)+SUMIF(TB!$AV$6:$AV$24,TRA_Fuel!$AE12,TB!BJ$6:BJ$24)+SUMIF(TF_Private!$AV$11:$AV$29,TRA_Fuel!$AE12,TF_Private!BJ$11:BJ$29)</f>
        <v>0</v>
      </c>
      <c r="AT12" s="722">
        <f>SUMIF(TC_Private!$AV$6:$AV$24,TRA_Fuel!$AE12,TC_Private!BK$6:BK$24)+SUMIF(TB!$AV$6:$AV$24,TRA_Fuel!$AE12,TB!BK$6:BK$24)+SUMIF(TF_Private!$AV$11:$AV$29,TRA_Fuel!$AE12,TF_Private!BK$11:BK$29)</f>
        <v>0</v>
      </c>
      <c r="AU12" s="722">
        <f>SUMIF(TC_Private!$AV$6:$AV$24,TRA_Fuel!$AE12,TC_Private!BL$6:BL$24)+SUMIF(TB!$AV$6:$AV$24,TRA_Fuel!$AE12,TB!BL$6:BL$24)+SUMIF(TF_Private!$AV$11:$AV$29,TRA_Fuel!$AE12,TF_Private!BL$11:BL$29)</f>
        <v>0</v>
      </c>
      <c r="AW12" s="418" t="str">
        <f>AE12</f>
        <v>TRABDLM</v>
      </c>
      <c r="AX12" s="829">
        <f t="shared" si="8"/>
        <v>187677.10963746358</v>
      </c>
      <c r="AY12" s="727">
        <f>AG12/3.6*1000</f>
        <v>187677.10963746358</v>
      </c>
      <c r="AZ12" s="727">
        <f t="shared" ref="AZ12" si="24">AH12/3.6*1000</f>
        <v>0</v>
      </c>
      <c r="BA12" s="727">
        <f t="shared" ref="BA12" si="25">AI12/3.6*1000</f>
        <v>0</v>
      </c>
      <c r="BB12" s="727">
        <f t="shared" ref="BB12" si="26">AJ12/3.6*1000</f>
        <v>0</v>
      </c>
      <c r="BC12" s="727">
        <f t="shared" ref="BC12" si="27">AK12/3.6*1000</f>
        <v>0</v>
      </c>
      <c r="BD12" s="727">
        <f t="shared" ref="BD12" si="28">AL12/3.6*1000</f>
        <v>0</v>
      </c>
      <c r="BE12" s="727">
        <f t="shared" ref="BE12" si="29">AM12/3.6*1000</f>
        <v>0</v>
      </c>
      <c r="BF12" s="727">
        <f t="shared" ref="BF12" si="30">AN12/3.6*1000</f>
        <v>0</v>
      </c>
      <c r="BG12" s="727">
        <f t="shared" ref="BG12" si="31">AO12/3.6*1000</f>
        <v>0</v>
      </c>
      <c r="BH12" s="727">
        <f t="shared" ref="BH12" si="32">AP12/3.6*1000</f>
        <v>0</v>
      </c>
      <c r="BI12" s="727">
        <f t="shared" ref="BI12" si="33">AQ12/3.6*1000</f>
        <v>0</v>
      </c>
      <c r="BJ12" s="727">
        <f t="shared" ref="BJ12" si="34">AR12/3.6*1000</f>
        <v>0</v>
      </c>
      <c r="BK12" s="727">
        <f t="shared" ref="BK12" si="35">AS12/3.6*1000</f>
        <v>0</v>
      </c>
      <c r="BL12" s="727">
        <f t="shared" ref="BL12" si="36">AT12/3.6*1000</f>
        <v>0</v>
      </c>
      <c r="BM12" s="727">
        <f t="shared" ref="BM12" si="37">AU12/3.6*1000</f>
        <v>0</v>
      </c>
    </row>
    <row r="13" spans="1:67" x14ac:dyDescent="0.3">
      <c r="B13" s="219" t="str">
        <f t="shared" ref="B13:B16" si="38">B12</f>
        <v>TRABDL00</v>
      </c>
      <c r="C13" s="224"/>
      <c r="D13" s="230"/>
      <c r="E13" s="224"/>
      <c r="F13" s="224"/>
      <c r="G13" s="224"/>
      <c r="H13" s="231">
        <v>2020</v>
      </c>
      <c r="I13" s="224"/>
      <c r="J13" s="232" t="s">
        <v>1064</v>
      </c>
      <c r="K13" s="232" t="s">
        <v>85</v>
      </c>
      <c r="L13" s="635">
        <f t="shared" ref="L13:Z16" si="39">L$12*LOOKUP($H13, $AF$47:$AF$50, AG$47:AG$50)</f>
        <v>2498.4874511838843</v>
      </c>
      <c r="M13" s="635">
        <f t="shared" si="39"/>
        <v>0</v>
      </c>
      <c r="N13" s="635">
        <f t="shared" si="39"/>
        <v>0</v>
      </c>
      <c r="O13" s="635">
        <f t="shared" si="39"/>
        <v>0</v>
      </c>
      <c r="P13" s="635">
        <f t="shared" si="39"/>
        <v>0</v>
      </c>
      <c r="Q13" s="635">
        <f t="shared" si="39"/>
        <v>0</v>
      </c>
      <c r="R13" s="635">
        <f t="shared" si="39"/>
        <v>0</v>
      </c>
      <c r="S13" s="635">
        <f t="shared" si="39"/>
        <v>0</v>
      </c>
      <c r="T13" s="635">
        <f t="shared" si="39"/>
        <v>0</v>
      </c>
      <c r="U13" s="635">
        <f t="shared" si="39"/>
        <v>0</v>
      </c>
      <c r="V13" s="635">
        <f t="shared" si="39"/>
        <v>0</v>
      </c>
      <c r="W13" s="635">
        <f t="shared" si="39"/>
        <v>0</v>
      </c>
      <c r="X13" s="635">
        <f t="shared" si="39"/>
        <v>0</v>
      </c>
      <c r="Y13" s="635">
        <f t="shared" si="39"/>
        <v>0</v>
      </c>
      <c r="Z13" s="635">
        <f t="shared" si="39"/>
        <v>0</v>
      </c>
      <c r="AB13" s="19"/>
      <c r="AE13" s="418" t="s">
        <v>993</v>
      </c>
      <c r="AF13" s="829">
        <f t="shared" si="5"/>
        <v>718.04090890440204</v>
      </c>
      <c r="AG13" s="727">
        <f>SUMIF(TC_Private!$AV$6:$AV$24,TRA_Fuel!$AE13,TC_Private!AX$6:AX$24)+SUMIF(TB!$AV$6:$AV$24,TRA_Fuel!$AE13,TB!AX$6:AX$24)+SUMIF(TF_Private!$AV$11:$AV$29,TRA_Fuel!$AE13,TF_Private!AX$11:AX$29)</f>
        <v>718.04090890440204</v>
      </c>
      <c r="AH13" s="722">
        <f>SUMIF(TC_Private!$AV$6:$AV$24,TRA_Fuel!$AE14,TC_Private!AY$6:AY$24)+SUMIF(TB!$AV$6:$AV$24,TRA_Fuel!$AE14,TB!AY$6:AY$24)+SUMIF(TF_Private!$AV$11:$AV$29,TRA_Fuel!$AE14,TF_Private!AY$11:AY$29)</f>
        <v>0</v>
      </c>
      <c r="AI13" s="722">
        <f>SUMIF(TC_Private!$AV$6:$AV$24,TRA_Fuel!$AE14,TC_Private!AZ$6:AZ$24)+SUMIF(TB!$AV$6:$AV$24,TRA_Fuel!$AE14,TB!AZ$6:AZ$24)+SUMIF(TF_Private!$AV$11:$AV$29,TRA_Fuel!$AE14,TF_Private!AZ$11:AZ$29)</f>
        <v>0</v>
      </c>
      <c r="AJ13" s="722">
        <f>SUMIF(TC_Private!$AV$6:$AV$24,TRA_Fuel!$AE14,TC_Private!BA$6:BA$24)+SUMIF(TB!$AV$6:$AV$24,TRA_Fuel!$AE14,TB!BA$6:BA$24)+SUMIF(TF_Private!$AV$11:$AV$29,TRA_Fuel!$AE14,TF_Private!BA$11:BA$29)</f>
        <v>0</v>
      </c>
      <c r="AK13" s="722">
        <f>SUMIF(TC_Private!$AV$6:$AV$24,TRA_Fuel!$AE14,TC_Private!BB$6:BB$24)+SUMIF(TB!$AV$6:$AV$24,TRA_Fuel!$AE14,TB!BB$6:BB$24)+SUMIF(TF_Private!$AV$11:$AV$29,TRA_Fuel!$AE14,TF_Private!BB$11:BB$29)</f>
        <v>0</v>
      </c>
      <c r="AL13" s="722">
        <f>SUMIF(TC_Private!$AV$6:$AV$24,TRA_Fuel!$AE14,TC_Private!BC$6:BC$24)+SUMIF(TB!$AV$6:$AV$24,TRA_Fuel!$AE14,TB!BC$6:BC$24)+SUMIF(TF_Private!$AV$11:$AV$29,TRA_Fuel!$AE14,TF_Private!BC$11:BC$29)</f>
        <v>0</v>
      </c>
      <c r="AM13" s="722">
        <f>SUMIF(TC_Private!$AV$6:$AV$24,TRA_Fuel!$AE14,TC_Private!BD$6:BD$24)+SUMIF(TB!$AV$6:$AV$24,TRA_Fuel!$AE14,TB!BD$6:BD$24)+SUMIF(TF_Private!$AV$11:$AV$29,TRA_Fuel!$AE14,TF_Private!BD$11:BD$29)</f>
        <v>0</v>
      </c>
      <c r="AN13" s="722">
        <f>SUMIF(TC_Private!$AV$6:$AV$24,TRA_Fuel!$AE14,TC_Private!BE$6:BE$24)+SUMIF(TB!$AV$6:$AV$24,TRA_Fuel!$AE14,TB!BE$6:BE$24)+SUMIF(TF_Private!$AV$11:$AV$29,TRA_Fuel!$AE14,TF_Private!BE$11:BE$29)</f>
        <v>0</v>
      </c>
      <c r="AO13" s="722">
        <f>SUMIF(TC_Private!$AV$6:$AV$24,TRA_Fuel!$AE14,TC_Private!BF$6:BF$24)+SUMIF(TB!$AV$6:$AV$24,TRA_Fuel!$AE14,TB!BF$6:BF$24)+SUMIF(TF_Private!$AV$11:$AV$29,TRA_Fuel!$AE14,TF_Private!BF$11:BF$29)</f>
        <v>0</v>
      </c>
      <c r="AP13" s="722">
        <f>SUMIF(TC_Private!$AV$6:$AV$24,TRA_Fuel!$AE14,TC_Private!BG$6:BG$24)+SUMIF(TB!$AV$6:$AV$24,TRA_Fuel!$AE14,TB!BG$6:BG$24)+SUMIF(TF_Private!$AV$11:$AV$29,TRA_Fuel!$AE14,TF_Private!BG$11:BG$29)</f>
        <v>0</v>
      </c>
      <c r="AQ13" s="722">
        <f>SUMIF(TC_Private!$AV$6:$AV$24,TRA_Fuel!$AE14,TC_Private!BH$6:BH$24)+SUMIF(TB!$AV$6:$AV$24,TRA_Fuel!$AE14,TB!BH$6:BH$24)+SUMIF(TF_Private!$AV$11:$AV$29,TRA_Fuel!$AE14,TF_Private!BH$11:BH$29)</f>
        <v>0</v>
      </c>
      <c r="AR13" s="722">
        <f>SUMIF(TC_Private!$AV$6:$AV$24,TRA_Fuel!$AE14,TC_Private!BI$6:BI$24)+SUMIF(TB!$AV$6:$AV$24,TRA_Fuel!$AE14,TB!BI$6:BI$24)+SUMIF(TF_Private!$AV$11:$AV$29,TRA_Fuel!$AE14,TF_Private!BI$11:BI$29)</f>
        <v>0</v>
      </c>
      <c r="AS13" s="722">
        <f>SUMIF(TC_Private!$AV$6:$AV$24,TRA_Fuel!$AE14,TC_Private!BJ$6:BJ$24)+SUMIF(TB!$AV$6:$AV$24,TRA_Fuel!$AE14,TB!BJ$6:BJ$24)+SUMIF(TF_Private!$AV$11:$AV$29,TRA_Fuel!$AE14,TF_Private!BJ$11:BJ$29)</f>
        <v>0</v>
      </c>
      <c r="AT13" s="722">
        <f>SUMIF(TC_Private!$AV$6:$AV$24,TRA_Fuel!$AE14,TC_Private!BK$6:BK$24)+SUMIF(TB!$AV$6:$AV$24,TRA_Fuel!$AE14,TB!BK$6:BK$24)+SUMIF(TF_Private!$AV$11:$AV$29,TRA_Fuel!$AE14,TF_Private!BK$11:BK$29)</f>
        <v>0</v>
      </c>
      <c r="AU13" s="722">
        <f>SUMIF(TC_Private!$AV$6:$AV$24,TRA_Fuel!$AE14,TC_Private!BL$6:BL$24)+SUMIF(TB!$AV$6:$AV$24,TRA_Fuel!$AE14,TB!BL$6:BL$24)+SUMIF(TF_Private!$AV$11:$AV$29,TRA_Fuel!$AE14,TF_Private!BL$11:BL$29)</f>
        <v>0</v>
      </c>
      <c r="AW13" s="418" t="str">
        <f t="shared" ref="AW13:AW22" si="40">AE13</f>
        <v>TRABGS</v>
      </c>
      <c r="AX13" s="829">
        <f t="shared" si="8"/>
        <v>199455.80802900056</v>
      </c>
      <c r="AY13" s="727">
        <f t="shared" ref="AY13:AY22" si="41">AG13/3.6*1000</f>
        <v>199455.80802900056</v>
      </c>
      <c r="AZ13" s="727">
        <f t="shared" ref="AZ13:AZ22" si="42">AH13/3.6*1000</f>
        <v>0</v>
      </c>
      <c r="BA13" s="727">
        <f t="shared" ref="BA13:BA22" si="43">AI13/3.6*1000</f>
        <v>0</v>
      </c>
      <c r="BB13" s="727">
        <f t="shared" ref="BB13:BB22" si="44">AJ13/3.6*1000</f>
        <v>0</v>
      </c>
      <c r="BC13" s="727">
        <f t="shared" ref="BC13:BC22" si="45">AK13/3.6*1000</f>
        <v>0</v>
      </c>
      <c r="BD13" s="727">
        <f t="shared" ref="BD13:BD22" si="46">AL13/3.6*1000</f>
        <v>0</v>
      </c>
      <c r="BE13" s="727">
        <f t="shared" ref="BE13:BE22" si="47">AM13/3.6*1000</f>
        <v>0</v>
      </c>
      <c r="BF13" s="727">
        <f t="shared" ref="BF13:BF22" si="48">AN13/3.6*1000</f>
        <v>0</v>
      </c>
      <c r="BG13" s="727">
        <f t="shared" ref="BG13:BG22" si="49">AO13/3.6*1000</f>
        <v>0</v>
      </c>
      <c r="BH13" s="727">
        <f t="shared" ref="BH13:BH22" si="50">AP13/3.6*1000</f>
        <v>0</v>
      </c>
      <c r="BI13" s="727">
        <f t="shared" ref="BI13:BI22" si="51">AQ13/3.6*1000</f>
        <v>0</v>
      </c>
      <c r="BJ13" s="727">
        <f t="shared" ref="BJ13:BJ22" si="52">AR13/3.6*1000</f>
        <v>0</v>
      </c>
      <c r="BK13" s="727">
        <f t="shared" ref="BK13:BK22" si="53">AS13/3.6*1000</f>
        <v>0</v>
      </c>
      <c r="BL13" s="727">
        <f t="shared" ref="BL13:BL22" si="54">AT13/3.6*1000</f>
        <v>0</v>
      </c>
      <c r="BM13" s="727">
        <f t="shared" ref="BM13:BM22" si="55">AU13/3.6*1000</f>
        <v>0</v>
      </c>
    </row>
    <row r="14" spans="1:67" x14ac:dyDescent="0.3">
      <c r="B14" s="219" t="str">
        <f t="shared" si="38"/>
        <v>TRABDL00</v>
      </c>
      <c r="C14" s="224"/>
      <c r="D14" s="230"/>
      <c r="E14" s="224"/>
      <c r="F14" s="224"/>
      <c r="G14" s="224"/>
      <c r="H14" s="231">
        <v>2030</v>
      </c>
      <c r="I14" s="224"/>
      <c r="J14" s="232" t="s">
        <v>1064</v>
      </c>
      <c r="K14" s="232" t="s">
        <v>85</v>
      </c>
      <c r="L14" s="635">
        <f t="shared" si="39"/>
        <v>1249.2437255919422</v>
      </c>
      <c r="M14" s="635">
        <f t="shared" si="39"/>
        <v>0</v>
      </c>
      <c r="N14" s="635">
        <f t="shared" si="39"/>
        <v>0</v>
      </c>
      <c r="O14" s="635">
        <f t="shared" si="39"/>
        <v>0</v>
      </c>
      <c r="P14" s="635">
        <f t="shared" si="39"/>
        <v>0</v>
      </c>
      <c r="Q14" s="635">
        <f t="shared" si="39"/>
        <v>0</v>
      </c>
      <c r="R14" s="635">
        <f t="shared" si="39"/>
        <v>0</v>
      </c>
      <c r="S14" s="635">
        <f t="shared" si="39"/>
        <v>0</v>
      </c>
      <c r="T14" s="635">
        <f t="shared" si="39"/>
        <v>0</v>
      </c>
      <c r="U14" s="635">
        <f t="shared" si="39"/>
        <v>0</v>
      </c>
      <c r="V14" s="635">
        <f t="shared" si="39"/>
        <v>0</v>
      </c>
      <c r="W14" s="635">
        <f t="shared" si="39"/>
        <v>0</v>
      </c>
      <c r="X14" s="635">
        <f t="shared" si="39"/>
        <v>0</v>
      </c>
      <c r="Y14" s="635">
        <f t="shared" si="39"/>
        <v>0</v>
      </c>
      <c r="Z14" s="635">
        <f t="shared" si="39"/>
        <v>0</v>
      </c>
      <c r="AB14" s="19"/>
      <c r="AE14" s="418" t="s">
        <v>995</v>
      </c>
      <c r="AF14" s="829">
        <f t="shared" si="5"/>
        <v>0</v>
      </c>
      <c r="AG14" s="727">
        <f>SUMIF(TC_Private!$AV$6:$AV$24,TRA_Fuel!$AE14,TC_Private!AX$6:AX$24)+SUMIF(TB!$AV$6:$AV$24,TRA_Fuel!$AE14,TB!AX$6:AX$24)+SUMIF(TF_Private!$AV$11:$AV$29,TRA_Fuel!$AE14,TF_Private!AX$11:AX$29)</f>
        <v>0</v>
      </c>
      <c r="AH14" s="722">
        <f>SUMIF(TC_Private!$AV$6:$AV$24,TRA_Fuel!$AE13,TC_Private!AY$6:AY$24)+SUMIF(TB!$AV$6:$AV$24,TRA_Fuel!$AE13,TB!AY$6:AY$24)+SUMIF(TF_Private!$AV$11:$AV$29,TRA_Fuel!$AE13,TF_Private!AY$11:AY$29)</f>
        <v>0</v>
      </c>
      <c r="AI14" s="722">
        <f>SUMIF(TC_Private!$AV$6:$AV$24,TRA_Fuel!$AE13,TC_Private!AZ$6:AZ$24)+SUMIF(TB!$AV$6:$AV$24,TRA_Fuel!$AE13,TB!AZ$6:AZ$24)+SUMIF(TF_Private!$AV$11:$AV$29,TRA_Fuel!$AE13,TF_Private!AZ$11:AZ$29)</f>
        <v>0</v>
      </c>
      <c r="AJ14" s="722">
        <f>SUMIF(TC_Private!$AV$6:$AV$24,TRA_Fuel!$AE13,TC_Private!BA$6:BA$24)+SUMIF(TB!$AV$6:$AV$24,TRA_Fuel!$AE13,TB!BA$6:BA$24)+SUMIF(TF_Private!$AV$11:$AV$29,TRA_Fuel!$AE13,TF_Private!BA$11:BA$29)</f>
        <v>0</v>
      </c>
      <c r="AK14" s="722">
        <f>SUMIF(TC_Private!$AV$6:$AV$24,TRA_Fuel!$AE13,TC_Private!BB$6:BB$24)+SUMIF(TB!$AV$6:$AV$24,TRA_Fuel!$AE13,TB!BB$6:BB$24)+SUMIF(TF_Private!$AV$11:$AV$29,TRA_Fuel!$AE13,TF_Private!BB$11:BB$29)</f>
        <v>0</v>
      </c>
      <c r="AL14" s="722">
        <f>SUMIF(TC_Private!$AV$6:$AV$24,TRA_Fuel!$AE13,TC_Private!BC$6:BC$24)+SUMIF(TB!$AV$6:$AV$24,TRA_Fuel!$AE13,TB!BC$6:BC$24)+SUMIF(TF_Private!$AV$11:$AV$29,TRA_Fuel!$AE13,TF_Private!BC$11:BC$29)</f>
        <v>0</v>
      </c>
      <c r="AM14" s="722">
        <f>SUMIF(TC_Private!$AV$6:$AV$24,TRA_Fuel!$AE13,TC_Private!BD$6:BD$24)+SUMIF(TB!$AV$6:$AV$24,TRA_Fuel!$AE13,TB!BD$6:BD$24)+SUMIF(TF_Private!$AV$11:$AV$29,TRA_Fuel!$AE13,TF_Private!BD$11:BD$29)</f>
        <v>0</v>
      </c>
      <c r="AN14" s="722">
        <f>SUMIF(TC_Private!$AV$6:$AV$24,TRA_Fuel!$AE13,TC_Private!BE$6:BE$24)+SUMIF(TB!$AV$6:$AV$24,TRA_Fuel!$AE13,TB!BE$6:BE$24)+SUMIF(TF_Private!$AV$11:$AV$29,TRA_Fuel!$AE13,TF_Private!BE$11:BE$29)</f>
        <v>0</v>
      </c>
      <c r="AO14" s="722">
        <f>SUMIF(TC_Private!$AV$6:$AV$24,TRA_Fuel!$AE13,TC_Private!BF$6:BF$24)+SUMIF(TB!$AV$6:$AV$24,TRA_Fuel!$AE13,TB!BF$6:BF$24)+SUMIF(TF_Private!$AV$11:$AV$29,TRA_Fuel!$AE13,TF_Private!BF$11:BF$29)</f>
        <v>0</v>
      </c>
      <c r="AP14" s="722">
        <f>SUMIF(TC_Private!$AV$6:$AV$24,TRA_Fuel!$AE13,TC_Private!BG$6:BG$24)+SUMIF(TB!$AV$6:$AV$24,TRA_Fuel!$AE13,TB!BG$6:BG$24)+SUMIF(TF_Private!$AV$11:$AV$29,TRA_Fuel!$AE13,TF_Private!BG$11:BG$29)</f>
        <v>0</v>
      </c>
      <c r="AQ14" s="722">
        <f>SUMIF(TC_Private!$AV$6:$AV$24,TRA_Fuel!$AE13,TC_Private!BH$6:BH$24)+SUMIF(TB!$AV$6:$AV$24,TRA_Fuel!$AE13,TB!BH$6:BH$24)+SUMIF(TF_Private!$AV$11:$AV$29,TRA_Fuel!$AE13,TF_Private!BH$11:BH$29)</f>
        <v>0</v>
      </c>
      <c r="AR14" s="722">
        <f>SUMIF(TC_Private!$AV$6:$AV$24,TRA_Fuel!$AE13,TC_Private!BI$6:BI$24)+SUMIF(TB!$AV$6:$AV$24,TRA_Fuel!$AE13,TB!BI$6:BI$24)+SUMIF(TF_Private!$AV$11:$AV$29,TRA_Fuel!$AE13,TF_Private!BI$11:BI$29)</f>
        <v>0</v>
      </c>
      <c r="AS14" s="722">
        <f>SUMIF(TC_Private!$AV$6:$AV$24,TRA_Fuel!$AE13,TC_Private!BJ$6:BJ$24)+SUMIF(TB!$AV$6:$AV$24,TRA_Fuel!$AE13,TB!BJ$6:BJ$24)+SUMIF(TF_Private!$AV$11:$AV$29,TRA_Fuel!$AE13,TF_Private!BJ$11:BJ$29)</f>
        <v>0</v>
      </c>
      <c r="AT14" s="722">
        <f>SUMIF(TC_Private!$AV$6:$AV$24,TRA_Fuel!$AE13,TC_Private!BK$6:BK$24)+SUMIF(TB!$AV$6:$AV$24,TRA_Fuel!$AE13,TB!BK$6:BK$24)+SUMIF(TF_Private!$AV$11:$AV$29,TRA_Fuel!$AE13,TF_Private!BK$11:BK$29)</f>
        <v>0</v>
      </c>
      <c r="AU14" s="722">
        <f>SUMIF(TC_Private!$AV$6:$AV$24,TRA_Fuel!$AE13,TC_Private!BL$6:BL$24)+SUMIF(TB!$AV$6:$AV$24,TRA_Fuel!$AE13,TB!BL$6:BL$24)+SUMIF(TF_Private!$AV$11:$AV$29,TRA_Fuel!$AE13,TF_Private!BL$11:BL$29)</f>
        <v>0</v>
      </c>
      <c r="AW14" s="418" t="str">
        <f t="shared" si="40"/>
        <v>TRABGSLM</v>
      </c>
      <c r="AX14" s="829">
        <f t="shared" si="8"/>
        <v>0</v>
      </c>
      <c r="AY14" s="727">
        <f t="shared" si="41"/>
        <v>0</v>
      </c>
      <c r="AZ14" s="727">
        <f t="shared" si="42"/>
        <v>0</v>
      </c>
      <c r="BA14" s="727">
        <f t="shared" si="43"/>
        <v>0</v>
      </c>
      <c r="BB14" s="727">
        <f t="shared" si="44"/>
        <v>0</v>
      </c>
      <c r="BC14" s="727">
        <f t="shared" si="45"/>
        <v>0</v>
      </c>
      <c r="BD14" s="727">
        <f t="shared" si="46"/>
        <v>0</v>
      </c>
      <c r="BE14" s="727">
        <f t="shared" si="47"/>
        <v>0</v>
      </c>
      <c r="BF14" s="727">
        <f t="shared" si="48"/>
        <v>0</v>
      </c>
      <c r="BG14" s="727">
        <f t="shared" si="49"/>
        <v>0</v>
      </c>
      <c r="BH14" s="727">
        <f t="shared" si="50"/>
        <v>0</v>
      </c>
      <c r="BI14" s="727">
        <f t="shared" si="51"/>
        <v>0</v>
      </c>
      <c r="BJ14" s="727">
        <f t="shared" si="52"/>
        <v>0</v>
      </c>
      <c r="BK14" s="727">
        <f t="shared" si="53"/>
        <v>0</v>
      </c>
      <c r="BL14" s="727">
        <f t="shared" si="54"/>
        <v>0</v>
      </c>
      <c r="BM14" s="727">
        <f t="shared" si="55"/>
        <v>0</v>
      </c>
    </row>
    <row r="15" spans="1:67" x14ac:dyDescent="0.3">
      <c r="B15" s="219" t="str">
        <f t="shared" si="38"/>
        <v>TRABDL00</v>
      </c>
      <c r="C15" s="224"/>
      <c r="D15" s="230"/>
      <c r="E15" s="224"/>
      <c r="F15" s="224"/>
      <c r="G15" s="224"/>
      <c r="H15" s="231">
        <v>2040</v>
      </c>
      <c r="I15" s="224"/>
      <c r="J15" s="232" t="s">
        <v>1064</v>
      </c>
      <c r="K15" s="232" t="s">
        <v>85</v>
      </c>
      <c r="L15" s="635">
        <f t="shared" si="39"/>
        <v>0</v>
      </c>
      <c r="M15" s="635">
        <f t="shared" si="39"/>
        <v>0</v>
      </c>
      <c r="N15" s="635">
        <f t="shared" si="39"/>
        <v>0</v>
      </c>
      <c r="O15" s="635">
        <f t="shared" si="39"/>
        <v>0</v>
      </c>
      <c r="P15" s="635">
        <f t="shared" si="39"/>
        <v>0</v>
      </c>
      <c r="Q15" s="635">
        <f t="shared" si="39"/>
        <v>0</v>
      </c>
      <c r="R15" s="635">
        <f t="shared" si="39"/>
        <v>0</v>
      </c>
      <c r="S15" s="635">
        <f t="shared" si="39"/>
        <v>0</v>
      </c>
      <c r="T15" s="635">
        <f t="shared" si="39"/>
        <v>0</v>
      </c>
      <c r="U15" s="635">
        <f t="shared" si="39"/>
        <v>0</v>
      </c>
      <c r="V15" s="635">
        <f t="shared" si="39"/>
        <v>0</v>
      </c>
      <c r="W15" s="635">
        <f t="shared" si="39"/>
        <v>0</v>
      </c>
      <c r="X15" s="635">
        <f t="shared" si="39"/>
        <v>0</v>
      </c>
      <c r="Y15" s="635">
        <f t="shared" si="39"/>
        <v>0</v>
      </c>
      <c r="Z15" s="635">
        <f t="shared" si="39"/>
        <v>0</v>
      </c>
      <c r="AB15" s="19"/>
      <c r="AE15" s="418" t="s">
        <v>997</v>
      </c>
      <c r="AF15" s="829">
        <f t="shared" si="5"/>
        <v>0</v>
      </c>
      <c r="AG15" s="727">
        <f>SUMIF(TC_Private!$AV$6:$AV$24,TRA_Fuel!$AE15,TC_Private!AX$6:AX$24)+SUMIF(TB!$AV$6:$AV$24,TRA_Fuel!$AE15,TB!AX$6:AX$24)+SUMIF(TF_Private!$AV$11:$AV$29,TRA_Fuel!$AE15,TF_Private!AX$11:AX$29)</f>
        <v>0</v>
      </c>
      <c r="AH15" s="722">
        <f>SUMIF(TC_Private!$AV$6:$AV$24,TRA_Fuel!$AE15,TC_Private!AY$6:AY$24)+SUMIF(TB!$AV$6:$AV$24,TRA_Fuel!$AE15,TB!AY$6:AY$24)+SUMIF(TF_Private!$AV$11:$AV$29,TRA_Fuel!$AE15,TF_Private!AY$11:AY$29)</f>
        <v>0</v>
      </c>
      <c r="AI15" s="722">
        <f>SUMIF(TC_Private!$AV$6:$AV$24,TRA_Fuel!$AE15,TC_Private!AZ$6:AZ$24)+SUMIF(TB!$AV$6:$AV$24,TRA_Fuel!$AE15,TB!AZ$6:AZ$24)+SUMIF(TF_Private!$AV$11:$AV$29,TRA_Fuel!$AE15,TF_Private!AZ$11:AZ$29)</f>
        <v>0</v>
      </c>
      <c r="AJ15" s="722">
        <f>SUMIF(TC_Private!$AV$6:$AV$24,TRA_Fuel!$AE15,TC_Private!BA$6:BA$24)+SUMIF(TB!$AV$6:$AV$24,TRA_Fuel!$AE15,TB!BA$6:BA$24)+SUMIF(TF_Private!$AV$11:$AV$29,TRA_Fuel!$AE15,TF_Private!BA$11:BA$29)</f>
        <v>0</v>
      </c>
      <c r="AK15" s="722">
        <f>SUMIF(TC_Private!$AV$6:$AV$24,TRA_Fuel!$AE15,TC_Private!BB$6:BB$24)+SUMIF(TB!$AV$6:$AV$24,TRA_Fuel!$AE15,TB!BB$6:BB$24)+SUMIF(TF_Private!$AV$11:$AV$29,TRA_Fuel!$AE15,TF_Private!BB$11:BB$29)</f>
        <v>0</v>
      </c>
      <c r="AL15" s="722">
        <f>SUMIF(TC_Private!$AV$6:$AV$24,TRA_Fuel!$AE15,TC_Private!BC$6:BC$24)+SUMIF(TB!$AV$6:$AV$24,TRA_Fuel!$AE15,TB!BC$6:BC$24)+SUMIF(TF_Private!$AV$11:$AV$29,TRA_Fuel!$AE15,TF_Private!BC$11:BC$29)</f>
        <v>0</v>
      </c>
      <c r="AM15" s="722">
        <f>SUMIF(TC_Private!$AV$6:$AV$24,TRA_Fuel!$AE15,TC_Private!BD$6:BD$24)+SUMIF(TB!$AV$6:$AV$24,TRA_Fuel!$AE15,TB!BD$6:BD$24)+SUMIF(TF_Private!$AV$11:$AV$29,TRA_Fuel!$AE15,TF_Private!BD$11:BD$29)</f>
        <v>0</v>
      </c>
      <c r="AN15" s="722">
        <f>SUMIF(TC_Private!$AV$6:$AV$24,TRA_Fuel!$AE15,TC_Private!BE$6:BE$24)+SUMIF(TB!$AV$6:$AV$24,TRA_Fuel!$AE15,TB!BE$6:BE$24)+SUMIF(TF_Private!$AV$11:$AV$29,TRA_Fuel!$AE15,TF_Private!BE$11:BE$29)</f>
        <v>0</v>
      </c>
      <c r="AO15" s="722">
        <f>SUMIF(TC_Private!$AV$6:$AV$24,TRA_Fuel!$AE15,TC_Private!BF$6:BF$24)+SUMIF(TB!$AV$6:$AV$24,TRA_Fuel!$AE15,TB!BF$6:BF$24)+SUMIF(TF_Private!$AV$11:$AV$29,TRA_Fuel!$AE15,TF_Private!BF$11:BF$29)</f>
        <v>0</v>
      </c>
      <c r="AP15" s="722">
        <f>SUMIF(TC_Private!$AV$6:$AV$24,TRA_Fuel!$AE15,TC_Private!BG$6:BG$24)+SUMIF(TB!$AV$6:$AV$24,TRA_Fuel!$AE15,TB!BG$6:BG$24)+SUMIF(TF_Private!$AV$11:$AV$29,TRA_Fuel!$AE15,TF_Private!BG$11:BG$29)</f>
        <v>0</v>
      </c>
      <c r="AQ15" s="722">
        <f>SUMIF(TC_Private!$AV$6:$AV$24,TRA_Fuel!$AE15,TC_Private!BH$6:BH$24)+SUMIF(TB!$AV$6:$AV$24,TRA_Fuel!$AE15,TB!BH$6:BH$24)+SUMIF(TF_Private!$AV$11:$AV$29,TRA_Fuel!$AE15,TF_Private!BH$11:BH$29)</f>
        <v>0</v>
      </c>
      <c r="AR15" s="722">
        <f>SUMIF(TC_Private!$AV$6:$AV$24,TRA_Fuel!$AE15,TC_Private!BI$6:BI$24)+SUMIF(TB!$AV$6:$AV$24,TRA_Fuel!$AE15,TB!BI$6:BI$24)+SUMIF(TF_Private!$AV$11:$AV$29,TRA_Fuel!$AE15,TF_Private!BI$11:BI$29)</f>
        <v>0</v>
      </c>
      <c r="AS15" s="722">
        <f>SUMIF(TC_Private!$AV$6:$AV$24,TRA_Fuel!$AE15,TC_Private!BJ$6:BJ$24)+SUMIF(TB!$AV$6:$AV$24,TRA_Fuel!$AE15,TB!BJ$6:BJ$24)+SUMIF(TF_Private!$AV$11:$AV$29,TRA_Fuel!$AE15,TF_Private!BJ$11:BJ$29)</f>
        <v>0</v>
      </c>
      <c r="AT15" s="722">
        <f>SUMIF(TC_Private!$AV$6:$AV$24,TRA_Fuel!$AE15,TC_Private!BK$6:BK$24)+SUMIF(TB!$AV$6:$AV$24,TRA_Fuel!$AE15,TB!BK$6:BK$24)+SUMIF(TF_Private!$AV$11:$AV$29,TRA_Fuel!$AE15,TF_Private!BK$11:BK$29)</f>
        <v>0</v>
      </c>
      <c r="AU15" s="722">
        <f>SUMIF(TC_Private!$AV$6:$AV$24,TRA_Fuel!$AE15,TC_Private!BL$6:BL$24)+SUMIF(TB!$AV$6:$AV$24,TRA_Fuel!$AE15,TB!BL$6:BL$24)+SUMIF(TF_Private!$AV$11:$AV$29,TRA_Fuel!$AE15,TF_Private!BL$11:BL$29)</f>
        <v>0</v>
      </c>
      <c r="AW15" s="418" t="str">
        <f t="shared" si="40"/>
        <v>TRABJF</v>
      </c>
      <c r="AX15" s="829">
        <f t="shared" si="8"/>
        <v>0</v>
      </c>
      <c r="AY15" s="727">
        <f t="shared" si="41"/>
        <v>0</v>
      </c>
      <c r="AZ15" s="727">
        <f t="shared" si="42"/>
        <v>0</v>
      </c>
      <c r="BA15" s="727">
        <f t="shared" si="43"/>
        <v>0</v>
      </c>
      <c r="BB15" s="727">
        <f t="shared" si="44"/>
        <v>0</v>
      </c>
      <c r="BC15" s="727">
        <f t="shared" si="45"/>
        <v>0</v>
      </c>
      <c r="BD15" s="727">
        <f t="shared" si="46"/>
        <v>0</v>
      </c>
      <c r="BE15" s="727">
        <f t="shared" si="47"/>
        <v>0</v>
      </c>
      <c r="BF15" s="727">
        <f t="shared" si="48"/>
        <v>0</v>
      </c>
      <c r="BG15" s="727">
        <f t="shared" si="49"/>
        <v>0</v>
      </c>
      <c r="BH15" s="727">
        <f t="shared" si="50"/>
        <v>0</v>
      </c>
      <c r="BI15" s="727">
        <f t="shared" si="51"/>
        <v>0</v>
      </c>
      <c r="BJ15" s="727">
        <f t="shared" si="52"/>
        <v>0</v>
      </c>
      <c r="BK15" s="727">
        <f t="shared" si="53"/>
        <v>0</v>
      </c>
      <c r="BL15" s="727">
        <f t="shared" si="54"/>
        <v>0</v>
      </c>
      <c r="BM15" s="727">
        <f t="shared" si="55"/>
        <v>0</v>
      </c>
    </row>
    <row r="16" spans="1:67" x14ac:dyDescent="0.3">
      <c r="B16" s="233" t="str">
        <f t="shared" si="38"/>
        <v>TRABDL00</v>
      </c>
      <c r="C16" s="234"/>
      <c r="D16" s="235"/>
      <c r="E16" s="234"/>
      <c r="F16" s="234"/>
      <c r="G16" s="234"/>
      <c r="H16" s="236">
        <f>$K$5</f>
        <v>2050</v>
      </c>
      <c r="I16" s="224"/>
      <c r="J16" s="237" t="s">
        <v>1064</v>
      </c>
      <c r="K16" s="237" t="s">
        <v>85</v>
      </c>
      <c r="L16" s="636">
        <f t="shared" si="39"/>
        <v>0</v>
      </c>
      <c r="M16" s="636">
        <f t="shared" si="39"/>
        <v>0</v>
      </c>
      <c r="N16" s="636">
        <f t="shared" si="39"/>
        <v>0</v>
      </c>
      <c r="O16" s="636">
        <f t="shared" si="39"/>
        <v>0</v>
      </c>
      <c r="P16" s="636">
        <f t="shared" si="39"/>
        <v>0</v>
      </c>
      <c r="Q16" s="636">
        <f t="shared" si="39"/>
        <v>0</v>
      </c>
      <c r="R16" s="636">
        <f t="shared" si="39"/>
        <v>0</v>
      </c>
      <c r="S16" s="636">
        <f t="shared" si="39"/>
        <v>0</v>
      </c>
      <c r="T16" s="636">
        <f t="shared" si="39"/>
        <v>0</v>
      </c>
      <c r="U16" s="636">
        <f t="shared" si="39"/>
        <v>0</v>
      </c>
      <c r="V16" s="636">
        <f t="shared" si="39"/>
        <v>0</v>
      </c>
      <c r="W16" s="636">
        <f t="shared" si="39"/>
        <v>0</v>
      </c>
      <c r="X16" s="636">
        <f t="shared" si="39"/>
        <v>0</v>
      </c>
      <c r="Y16" s="636">
        <f t="shared" si="39"/>
        <v>0</v>
      </c>
      <c r="Z16" s="636">
        <f t="shared" si="39"/>
        <v>0</v>
      </c>
      <c r="AB16" s="19"/>
      <c r="AE16" s="723" t="s">
        <v>999</v>
      </c>
      <c r="AF16" s="829">
        <f t="shared" si="5"/>
        <v>0</v>
      </c>
      <c r="AG16" s="727">
        <f>SUMIF(TC_Private!$AV$6:$AV$24,TRA_Fuel!$AE16,TC_Private!AX$6:AX$24)+SUMIF(TB!$AV$6:$AV$24,TRA_Fuel!$AE16,TB!AX$6:AX$24)+SUMIF(TF_Private!$AV$11:$AV$29,TRA_Fuel!$AE16,TF_Private!AX$11:AX$29)</f>
        <v>0</v>
      </c>
      <c r="AH16" s="722">
        <f>SUMIF(TC_Private!$AV$6:$AV$24,TRA_Fuel!$AE16,TC_Private!AY$6:AY$24)+SUMIF(TB!$AV$6:$AV$24,TRA_Fuel!$AE16,TB!AY$6:AY$24)+SUMIF(TF_Private!$AV$11:$AV$29,TRA_Fuel!$AE16,TF_Private!AY$11:AY$29)</f>
        <v>0</v>
      </c>
      <c r="AI16" s="722">
        <f>SUMIF(TC_Private!$AV$6:$AV$24,TRA_Fuel!$AE16,TC_Private!AZ$6:AZ$24)+SUMIF(TB!$AV$6:$AV$24,TRA_Fuel!$AE16,TB!AZ$6:AZ$24)+SUMIF(TF_Private!$AV$11:$AV$29,TRA_Fuel!$AE16,TF_Private!AZ$11:AZ$29)</f>
        <v>0</v>
      </c>
      <c r="AJ16" s="722">
        <f>SUMIF(TC_Private!$AV$6:$AV$24,TRA_Fuel!$AE16,TC_Private!BA$6:BA$24)+SUMIF(TB!$AV$6:$AV$24,TRA_Fuel!$AE16,TB!BA$6:BA$24)+SUMIF(TF_Private!$AV$11:$AV$29,TRA_Fuel!$AE16,TF_Private!BA$11:BA$29)</f>
        <v>0</v>
      </c>
      <c r="AK16" s="722">
        <f>SUMIF(TC_Private!$AV$6:$AV$24,TRA_Fuel!$AE16,TC_Private!BB$6:BB$24)+SUMIF(TB!$AV$6:$AV$24,TRA_Fuel!$AE16,TB!BB$6:BB$24)+SUMIF(TF_Private!$AV$11:$AV$29,TRA_Fuel!$AE16,TF_Private!BB$11:BB$29)</f>
        <v>0</v>
      </c>
      <c r="AL16" s="722">
        <f>SUMIF(TC_Private!$AV$6:$AV$24,TRA_Fuel!$AE16,TC_Private!BC$6:BC$24)+SUMIF(TB!$AV$6:$AV$24,TRA_Fuel!$AE16,TB!BC$6:BC$24)+SUMIF(TF_Private!$AV$11:$AV$29,TRA_Fuel!$AE16,TF_Private!BC$11:BC$29)</f>
        <v>0</v>
      </c>
      <c r="AM16" s="722">
        <f>SUMIF(TC_Private!$AV$6:$AV$24,TRA_Fuel!$AE16,TC_Private!BD$6:BD$24)+SUMIF(TB!$AV$6:$AV$24,TRA_Fuel!$AE16,TB!BD$6:BD$24)+SUMIF(TF_Private!$AV$11:$AV$29,TRA_Fuel!$AE16,TF_Private!BD$11:BD$29)</f>
        <v>0</v>
      </c>
      <c r="AN16" s="722">
        <f>SUMIF(TC_Private!$AV$6:$AV$24,TRA_Fuel!$AE16,TC_Private!BE$6:BE$24)+SUMIF(TB!$AV$6:$AV$24,TRA_Fuel!$AE16,TB!BE$6:BE$24)+SUMIF(TF_Private!$AV$11:$AV$29,TRA_Fuel!$AE16,TF_Private!BE$11:BE$29)</f>
        <v>0</v>
      </c>
      <c r="AO16" s="722">
        <f>SUMIF(TC_Private!$AV$6:$AV$24,TRA_Fuel!$AE16,TC_Private!BF$6:BF$24)+SUMIF(TB!$AV$6:$AV$24,TRA_Fuel!$AE16,TB!BF$6:BF$24)+SUMIF(TF_Private!$AV$11:$AV$29,TRA_Fuel!$AE16,TF_Private!BF$11:BF$29)</f>
        <v>0</v>
      </c>
      <c r="AP16" s="722">
        <f>SUMIF(TC_Private!$AV$6:$AV$24,TRA_Fuel!$AE16,TC_Private!BG$6:BG$24)+SUMIF(TB!$AV$6:$AV$24,TRA_Fuel!$AE16,TB!BG$6:BG$24)+SUMIF(TF_Private!$AV$11:$AV$29,TRA_Fuel!$AE16,TF_Private!BG$11:BG$29)</f>
        <v>0</v>
      </c>
      <c r="AQ16" s="722">
        <f>SUMIF(TC_Private!$AV$6:$AV$24,TRA_Fuel!$AE16,TC_Private!BH$6:BH$24)+SUMIF(TB!$AV$6:$AV$24,TRA_Fuel!$AE16,TB!BH$6:BH$24)+SUMIF(TF_Private!$AV$11:$AV$29,TRA_Fuel!$AE16,TF_Private!BH$11:BH$29)</f>
        <v>0</v>
      </c>
      <c r="AR16" s="722">
        <f>SUMIF(TC_Private!$AV$6:$AV$24,TRA_Fuel!$AE16,TC_Private!BI$6:BI$24)+SUMIF(TB!$AV$6:$AV$24,TRA_Fuel!$AE16,TB!BI$6:BI$24)+SUMIF(TF_Private!$AV$11:$AV$29,TRA_Fuel!$AE16,TF_Private!BI$11:BI$29)</f>
        <v>0</v>
      </c>
      <c r="AS16" s="722">
        <f>SUMIF(TC_Private!$AV$6:$AV$24,TRA_Fuel!$AE16,TC_Private!BJ$6:BJ$24)+SUMIF(TB!$AV$6:$AV$24,TRA_Fuel!$AE16,TB!BJ$6:BJ$24)+SUMIF(TF_Private!$AV$11:$AV$29,TRA_Fuel!$AE16,TF_Private!BJ$11:BJ$29)</f>
        <v>0</v>
      </c>
      <c r="AT16" s="722">
        <f>SUMIF(TC_Private!$AV$6:$AV$24,TRA_Fuel!$AE16,TC_Private!BK$6:BK$24)+SUMIF(TB!$AV$6:$AV$24,TRA_Fuel!$AE16,TB!BK$6:BK$24)+SUMIF(TF_Private!$AV$11:$AV$29,TRA_Fuel!$AE16,TF_Private!BK$11:BK$29)</f>
        <v>0</v>
      </c>
      <c r="AU16" s="722">
        <f>SUMIF(TC_Private!$AV$6:$AV$24,TRA_Fuel!$AE16,TC_Private!BL$6:BL$24)+SUMIF(TB!$AV$6:$AV$24,TRA_Fuel!$AE16,TB!BL$6:BL$24)+SUMIF(TF_Private!$AV$11:$AV$29,TRA_Fuel!$AE16,TF_Private!BL$11:BL$29)</f>
        <v>0</v>
      </c>
      <c r="AW16" s="418" t="str">
        <f t="shared" si="40"/>
        <v>TRADME</v>
      </c>
      <c r="AX16" s="829">
        <f t="shared" si="8"/>
        <v>0</v>
      </c>
      <c r="AY16" s="727">
        <f t="shared" si="41"/>
        <v>0</v>
      </c>
      <c r="AZ16" s="727">
        <f t="shared" si="42"/>
        <v>0</v>
      </c>
      <c r="BA16" s="727">
        <f t="shared" si="43"/>
        <v>0</v>
      </c>
      <c r="BB16" s="727">
        <f t="shared" si="44"/>
        <v>0</v>
      </c>
      <c r="BC16" s="727">
        <f t="shared" si="45"/>
        <v>0</v>
      </c>
      <c r="BD16" s="727">
        <f t="shared" si="46"/>
        <v>0</v>
      </c>
      <c r="BE16" s="727">
        <f t="shared" si="47"/>
        <v>0</v>
      </c>
      <c r="BF16" s="727">
        <f t="shared" si="48"/>
        <v>0</v>
      </c>
      <c r="BG16" s="727">
        <f t="shared" si="49"/>
        <v>0</v>
      </c>
      <c r="BH16" s="727">
        <f t="shared" si="50"/>
        <v>0</v>
      </c>
      <c r="BI16" s="727">
        <f t="shared" si="51"/>
        <v>0</v>
      </c>
      <c r="BJ16" s="727">
        <f t="shared" si="52"/>
        <v>0</v>
      </c>
      <c r="BK16" s="727">
        <f t="shared" si="53"/>
        <v>0</v>
      </c>
      <c r="BL16" s="727">
        <f t="shared" si="54"/>
        <v>0</v>
      </c>
      <c r="BM16" s="727">
        <f t="shared" si="55"/>
        <v>0</v>
      </c>
    </row>
    <row r="17" spans="1:65" x14ac:dyDescent="0.3">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4">
        <v>1</v>
      </c>
      <c r="M17" s="634">
        <v>1</v>
      </c>
      <c r="N17" s="634">
        <v>1</v>
      </c>
      <c r="O17" s="634">
        <v>1</v>
      </c>
      <c r="P17" s="634">
        <v>1</v>
      </c>
      <c r="Q17" s="634">
        <v>1</v>
      </c>
      <c r="R17" s="634">
        <v>1</v>
      </c>
      <c r="S17" s="634">
        <v>1</v>
      </c>
      <c r="T17" s="634">
        <v>1</v>
      </c>
      <c r="U17" s="634">
        <v>1</v>
      </c>
      <c r="V17" s="634">
        <v>1</v>
      </c>
      <c r="W17" s="634">
        <v>1</v>
      </c>
      <c r="X17" s="634">
        <v>1</v>
      </c>
      <c r="Y17" s="634">
        <v>1</v>
      </c>
      <c r="Z17" s="634">
        <v>1</v>
      </c>
      <c r="AB17" s="19"/>
      <c r="AE17" s="723" t="s">
        <v>1001</v>
      </c>
      <c r="AF17" s="829">
        <f t="shared" si="5"/>
        <v>0</v>
      </c>
      <c r="AG17" s="727">
        <f>SUMIF(TC_Private!$AV$6:$AV$24,TRA_Fuel!$AE17,TC_Private!AX$6:AX$24)+SUMIF(TB!$AV$6:$AV$24,TRA_Fuel!$AE17,TB!AX$6:AX$24)+SUMIF(TF_Private!$AV$11:$AV$29,TRA_Fuel!$AE17,TF_Private!AX$11:AX$29)</f>
        <v>0</v>
      </c>
      <c r="AH17" s="722">
        <f>SUMIF(TC_Private!$AV$6:$AV$24,TRA_Fuel!$AE17,TC_Private!AY$6:AY$24)+SUMIF(TB!$AV$6:$AV$24,TRA_Fuel!$AE17,TB!AY$6:AY$24)+SUMIF(TF_Private!$AV$11:$AV$29,TRA_Fuel!$AE17,TF_Private!AY$11:AY$29)</f>
        <v>0</v>
      </c>
      <c r="AI17" s="722">
        <f>SUMIF(TC_Private!$AV$6:$AV$24,TRA_Fuel!$AE17,TC_Private!AZ$6:AZ$24)+SUMIF(TB!$AV$6:$AV$24,TRA_Fuel!$AE17,TB!AZ$6:AZ$24)+SUMIF(TF_Private!$AV$11:$AV$29,TRA_Fuel!$AE17,TF_Private!AZ$11:AZ$29)</f>
        <v>0</v>
      </c>
      <c r="AJ17" s="722">
        <f>SUMIF(TC_Private!$AV$6:$AV$24,TRA_Fuel!$AE17,TC_Private!BA$6:BA$24)+SUMIF(TB!$AV$6:$AV$24,TRA_Fuel!$AE17,TB!BA$6:BA$24)+SUMIF(TF_Private!$AV$11:$AV$29,TRA_Fuel!$AE17,TF_Private!BA$11:BA$29)</f>
        <v>0</v>
      </c>
      <c r="AK17" s="722">
        <f>SUMIF(TC_Private!$AV$6:$AV$24,TRA_Fuel!$AE17,TC_Private!BB$6:BB$24)+SUMIF(TB!$AV$6:$AV$24,TRA_Fuel!$AE17,TB!BB$6:BB$24)+SUMIF(TF_Private!$AV$11:$AV$29,TRA_Fuel!$AE17,TF_Private!BB$11:BB$29)</f>
        <v>0</v>
      </c>
      <c r="AL17" s="722">
        <f>SUMIF(TC_Private!$AV$6:$AV$24,TRA_Fuel!$AE17,TC_Private!BC$6:BC$24)+SUMIF(TB!$AV$6:$AV$24,TRA_Fuel!$AE17,TB!BC$6:BC$24)+SUMIF(TF_Private!$AV$11:$AV$29,TRA_Fuel!$AE17,TF_Private!BC$11:BC$29)</f>
        <v>0</v>
      </c>
      <c r="AM17" s="722">
        <f>SUMIF(TC_Private!$AV$6:$AV$24,TRA_Fuel!$AE17,TC_Private!BD$6:BD$24)+SUMIF(TB!$AV$6:$AV$24,TRA_Fuel!$AE17,TB!BD$6:BD$24)+SUMIF(TF_Private!$AV$11:$AV$29,TRA_Fuel!$AE17,TF_Private!BD$11:BD$29)</f>
        <v>0</v>
      </c>
      <c r="AN17" s="722">
        <f>SUMIF(TC_Private!$AV$6:$AV$24,TRA_Fuel!$AE17,TC_Private!BE$6:BE$24)+SUMIF(TB!$AV$6:$AV$24,TRA_Fuel!$AE17,TB!BE$6:BE$24)+SUMIF(TF_Private!$AV$11:$AV$29,TRA_Fuel!$AE17,TF_Private!BE$11:BE$29)</f>
        <v>0</v>
      </c>
      <c r="AO17" s="722">
        <f>SUMIF(TC_Private!$AV$6:$AV$24,TRA_Fuel!$AE17,TC_Private!BF$6:BF$24)+SUMIF(TB!$AV$6:$AV$24,TRA_Fuel!$AE17,TB!BF$6:BF$24)+SUMIF(TF_Private!$AV$11:$AV$29,TRA_Fuel!$AE17,TF_Private!BF$11:BF$29)</f>
        <v>0</v>
      </c>
      <c r="AP17" s="722">
        <f>SUMIF(TC_Private!$AV$6:$AV$24,TRA_Fuel!$AE17,TC_Private!BG$6:BG$24)+SUMIF(TB!$AV$6:$AV$24,TRA_Fuel!$AE17,TB!BG$6:BG$24)+SUMIF(TF_Private!$AV$11:$AV$29,TRA_Fuel!$AE17,TF_Private!BG$11:BG$29)</f>
        <v>0</v>
      </c>
      <c r="AQ17" s="722">
        <f>SUMIF(TC_Private!$AV$6:$AV$24,TRA_Fuel!$AE17,TC_Private!BH$6:BH$24)+SUMIF(TB!$AV$6:$AV$24,TRA_Fuel!$AE17,TB!BH$6:BH$24)+SUMIF(TF_Private!$AV$11:$AV$29,TRA_Fuel!$AE17,TF_Private!BH$11:BH$29)</f>
        <v>0</v>
      </c>
      <c r="AR17" s="722">
        <f>SUMIF(TC_Private!$AV$6:$AV$24,TRA_Fuel!$AE17,TC_Private!BI$6:BI$24)+SUMIF(TB!$AV$6:$AV$24,TRA_Fuel!$AE17,TB!BI$6:BI$24)+SUMIF(TF_Private!$AV$11:$AV$29,TRA_Fuel!$AE17,TF_Private!BI$11:BI$29)</f>
        <v>0</v>
      </c>
      <c r="AS17" s="722">
        <f>SUMIF(TC_Private!$AV$6:$AV$24,TRA_Fuel!$AE17,TC_Private!BJ$6:BJ$24)+SUMIF(TB!$AV$6:$AV$24,TRA_Fuel!$AE17,TB!BJ$6:BJ$24)+SUMIF(TF_Private!$AV$11:$AV$29,TRA_Fuel!$AE17,TF_Private!BJ$11:BJ$29)</f>
        <v>0</v>
      </c>
      <c r="AT17" s="722">
        <f>SUMIF(TC_Private!$AV$6:$AV$24,TRA_Fuel!$AE17,TC_Private!BK$6:BK$24)+SUMIF(TB!$AV$6:$AV$24,TRA_Fuel!$AE17,TB!BK$6:BK$24)+SUMIF(TF_Private!$AV$11:$AV$29,TRA_Fuel!$AE17,TF_Private!BK$11:BK$29)</f>
        <v>0</v>
      </c>
      <c r="AU17" s="722">
        <f>SUMIF(TC_Private!$AV$6:$AV$24,TRA_Fuel!$AE17,TC_Private!BL$6:BL$24)+SUMIF(TB!$AV$6:$AV$24,TRA_Fuel!$AE17,TB!BL$6:BL$24)+SUMIF(TF_Private!$AV$11:$AV$29,TRA_Fuel!$AE17,TF_Private!BL$11:BL$29)</f>
        <v>0</v>
      </c>
      <c r="AW17" s="418" t="str">
        <f t="shared" si="40"/>
        <v>TRADSR</v>
      </c>
      <c r="AX17" s="829">
        <f t="shared" si="8"/>
        <v>0</v>
      </c>
      <c r="AY17" s="727">
        <f t="shared" si="41"/>
        <v>0</v>
      </c>
      <c r="AZ17" s="727">
        <f t="shared" si="42"/>
        <v>0</v>
      </c>
      <c r="BA17" s="727">
        <f t="shared" si="43"/>
        <v>0</v>
      </c>
      <c r="BB17" s="727">
        <f t="shared" si="44"/>
        <v>0</v>
      </c>
      <c r="BC17" s="727">
        <f t="shared" si="45"/>
        <v>0</v>
      </c>
      <c r="BD17" s="727">
        <f t="shared" si="46"/>
        <v>0</v>
      </c>
      <c r="BE17" s="727">
        <f t="shared" si="47"/>
        <v>0</v>
      </c>
      <c r="BF17" s="727">
        <f t="shared" si="48"/>
        <v>0</v>
      </c>
      <c r="BG17" s="727">
        <f t="shared" si="49"/>
        <v>0</v>
      </c>
      <c r="BH17" s="727">
        <f t="shared" si="50"/>
        <v>0</v>
      </c>
      <c r="BI17" s="727">
        <f t="shared" si="51"/>
        <v>0</v>
      </c>
      <c r="BJ17" s="727">
        <f t="shared" si="52"/>
        <v>0</v>
      </c>
      <c r="BK17" s="727">
        <f t="shared" si="53"/>
        <v>0</v>
      </c>
      <c r="BL17" s="727">
        <f t="shared" si="54"/>
        <v>0</v>
      </c>
      <c r="BM17" s="727">
        <f t="shared" si="55"/>
        <v>0</v>
      </c>
    </row>
    <row r="18" spans="1:65" x14ac:dyDescent="0.3">
      <c r="B18" s="219" t="str">
        <f>B17</f>
        <v>TRABDLM00</v>
      </c>
      <c r="C18" s="224"/>
      <c r="D18" s="230"/>
      <c r="E18" s="224"/>
      <c r="F18" s="224"/>
      <c r="G18" s="224"/>
      <c r="H18" s="231">
        <f>$K$3</f>
        <v>2019</v>
      </c>
      <c r="I18" s="224"/>
      <c r="J18" s="232" t="s">
        <v>1064</v>
      </c>
      <c r="K18" s="232" t="s">
        <v>85</v>
      </c>
      <c r="L18" s="635">
        <f t="shared" ref="L18:Z18" si="56">LOOKUP($F17, $AE$11:$AE$34, AG$11:AG$34*$L$6)</f>
        <v>844.54699336858607</v>
      </c>
      <c r="M18" s="635">
        <f t="shared" si="56"/>
        <v>0</v>
      </c>
      <c r="N18" s="635">
        <f t="shared" si="56"/>
        <v>0</v>
      </c>
      <c r="O18" s="635">
        <f t="shared" si="56"/>
        <v>0</v>
      </c>
      <c r="P18" s="635">
        <f t="shared" si="56"/>
        <v>0</v>
      </c>
      <c r="Q18" s="635">
        <f t="shared" si="56"/>
        <v>0</v>
      </c>
      <c r="R18" s="635">
        <f t="shared" si="56"/>
        <v>0</v>
      </c>
      <c r="S18" s="635">
        <f t="shared" si="56"/>
        <v>0</v>
      </c>
      <c r="T18" s="635">
        <f t="shared" si="56"/>
        <v>0</v>
      </c>
      <c r="U18" s="635">
        <f t="shared" si="56"/>
        <v>0</v>
      </c>
      <c r="V18" s="635">
        <f t="shared" si="56"/>
        <v>0</v>
      </c>
      <c r="W18" s="635">
        <f t="shared" si="56"/>
        <v>0</v>
      </c>
      <c r="X18" s="635">
        <f t="shared" si="56"/>
        <v>0</v>
      </c>
      <c r="Y18" s="635">
        <f t="shared" si="56"/>
        <v>0</v>
      </c>
      <c r="Z18" s="635">
        <f t="shared" si="56"/>
        <v>0</v>
      </c>
      <c r="AB18" s="19"/>
      <c r="AE18" s="419" t="s">
        <v>185</v>
      </c>
      <c r="AF18" s="829">
        <f t="shared" si="5"/>
        <v>8947.9943309273949</v>
      </c>
      <c r="AG18" s="727">
        <f>SUMIF(TC_Private!$AV$6:$AV$24,TRA_Fuel!$AE18,TC_Private!AX$6:AX$24)+SUMIF(TB!$AV$6:$AV$24,TRA_Fuel!$AE18,TB!AX$6:AX$24)+SUMIF(TF_Private!$AV$11:$AV$29,TRA_Fuel!$AE18,TF_Private!AX$11:AX$29)</f>
        <v>8947.9943309273949</v>
      </c>
      <c r="AH18" s="722">
        <f>SUMIF(TC_Private!$AV$6:$AV$24,TRA_Fuel!$AE18,TC_Private!AY$6:AY$24)+SUMIF(TB!$AV$6:$AV$24,TRA_Fuel!$AE18,TB!AY$6:AY$24)+SUMIF(TF_Private!$AV$11:$AV$29,TRA_Fuel!$AE18,TF_Private!AY$11:AY$29)</f>
        <v>0</v>
      </c>
      <c r="AI18" s="722">
        <f>SUMIF(TC_Private!$AV$6:$AV$24,TRA_Fuel!$AE18,TC_Private!AZ$6:AZ$24)+SUMIF(TB!$AV$6:$AV$24,TRA_Fuel!$AE18,TB!AZ$6:AZ$24)+SUMIF(TF_Private!$AV$11:$AV$29,TRA_Fuel!$AE18,TF_Private!AZ$11:AZ$29)</f>
        <v>0</v>
      </c>
      <c r="AJ18" s="722">
        <f>SUMIF(TC_Private!$AV$6:$AV$24,TRA_Fuel!$AE18,TC_Private!BA$6:BA$24)+SUMIF(TB!$AV$6:$AV$24,TRA_Fuel!$AE18,TB!BA$6:BA$24)+SUMIF(TF_Private!$AV$11:$AV$29,TRA_Fuel!$AE18,TF_Private!BA$11:BA$29)</f>
        <v>0</v>
      </c>
      <c r="AK18" s="722">
        <f>SUMIF(TC_Private!$AV$6:$AV$24,TRA_Fuel!$AE18,TC_Private!BB$6:BB$24)+SUMIF(TB!$AV$6:$AV$24,TRA_Fuel!$AE18,TB!BB$6:BB$24)+SUMIF(TF_Private!$AV$11:$AV$29,TRA_Fuel!$AE18,TF_Private!BB$11:BB$29)</f>
        <v>0</v>
      </c>
      <c r="AL18" s="722">
        <f>SUMIF(TC_Private!$AV$6:$AV$24,TRA_Fuel!$AE18,TC_Private!BC$6:BC$24)+SUMIF(TB!$AV$6:$AV$24,TRA_Fuel!$AE18,TB!BC$6:BC$24)+SUMIF(TF_Private!$AV$11:$AV$29,TRA_Fuel!$AE18,TF_Private!BC$11:BC$29)</f>
        <v>0</v>
      </c>
      <c r="AM18" s="722">
        <f>SUMIF(TC_Private!$AV$6:$AV$24,TRA_Fuel!$AE18,TC_Private!BD$6:BD$24)+SUMIF(TB!$AV$6:$AV$24,TRA_Fuel!$AE18,TB!BD$6:BD$24)+SUMIF(TF_Private!$AV$11:$AV$29,TRA_Fuel!$AE18,TF_Private!BD$11:BD$29)</f>
        <v>0</v>
      </c>
      <c r="AN18" s="722">
        <f>SUMIF(TC_Private!$AV$6:$AV$24,TRA_Fuel!$AE18,TC_Private!BE$6:BE$24)+SUMIF(TB!$AV$6:$AV$24,TRA_Fuel!$AE18,TB!BE$6:BE$24)+SUMIF(TF_Private!$AV$11:$AV$29,TRA_Fuel!$AE18,TF_Private!BE$11:BE$29)</f>
        <v>0</v>
      </c>
      <c r="AO18" s="722">
        <f>SUMIF(TC_Private!$AV$6:$AV$24,TRA_Fuel!$AE18,TC_Private!BF$6:BF$24)+SUMIF(TB!$AV$6:$AV$24,TRA_Fuel!$AE18,TB!BF$6:BF$24)+SUMIF(TF_Private!$AV$11:$AV$29,TRA_Fuel!$AE18,TF_Private!BF$11:BF$29)</f>
        <v>0</v>
      </c>
      <c r="AP18" s="722">
        <f>SUMIF(TC_Private!$AV$6:$AV$24,TRA_Fuel!$AE18,TC_Private!BG$6:BG$24)+SUMIF(TB!$AV$6:$AV$24,TRA_Fuel!$AE18,TB!BG$6:BG$24)+SUMIF(TF_Private!$AV$11:$AV$29,TRA_Fuel!$AE18,TF_Private!BG$11:BG$29)</f>
        <v>0</v>
      </c>
      <c r="AQ18" s="722">
        <f>SUMIF(TC_Private!$AV$6:$AV$24,TRA_Fuel!$AE18,TC_Private!BH$6:BH$24)+SUMIF(TB!$AV$6:$AV$24,TRA_Fuel!$AE18,TB!BH$6:BH$24)+SUMIF(TF_Private!$AV$11:$AV$29,TRA_Fuel!$AE18,TF_Private!BH$11:BH$29)</f>
        <v>0</v>
      </c>
      <c r="AR18" s="722">
        <f>SUMIF(TC_Private!$AV$6:$AV$24,TRA_Fuel!$AE18,TC_Private!BI$6:BI$24)+SUMIF(TB!$AV$6:$AV$24,TRA_Fuel!$AE18,TB!BI$6:BI$24)+SUMIF(TF_Private!$AV$11:$AV$29,TRA_Fuel!$AE18,TF_Private!BI$11:BI$29)</f>
        <v>0</v>
      </c>
      <c r="AS18" s="722">
        <f>SUMIF(TC_Private!$AV$6:$AV$24,TRA_Fuel!$AE18,TC_Private!BJ$6:BJ$24)+SUMIF(TB!$AV$6:$AV$24,TRA_Fuel!$AE18,TB!BJ$6:BJ$24)+SUMIF(TF_Private!$AV$11:$AV$29,TRA_Fuel!$AE18,TF_Private!BJ$11:BJ$29)</f>
        <v>0</v>
      </c>
      <c r="AT18" s="722">
        <f>SUMIF(TC_Private!$AV$6:$AV$24,TRA_Fuel!$AE18,TC_Private!BK$6:BK$24)+SUMIF(TB!$AV$6:$AV$24,TRA_Fuel!$AE18,TB!BK$6:BK$24)+SUMIF(TF_Private!$AV$11:$AV$29,TRA_Fuel!$AE18,TF_Private!BK$11:BK$29)</f>
        <v>0</v>
      </c>
      <c r="AU18" s="722">
        <f>SUMIF(TC_Private!$AV$6:$AV$24,TRA_Fuel!$AE18,TC_Private!BL$6:BL$24)+SUMIF(TB!$AV$6:$AV$24,TRA_Fuel!$AE18,TB!BL$6:BL$24)+SUMIF(TF_Private!$AV$11:$AV$29,TRA_Fuel!$AE18,TF_Private!BL$11:BL$29)</f>
        <v>0</v>
      </c>
      <c r="AW18" s="418" t="str">
        <f t="shared" si="40"/>
        <v>TRADST</v>
      </c>
      <c r="AX18" s="829">
        <f t="shared" si="8"/>
        <v>2485553.9808131652</v>
      </c>
      <c r="AY18" s="727">
        <f t="shared" si="41"/>
        <v>2485553.9808131652</v>
      </c>
      <c r="AZ18" s="727">
        <f t="shared" si="42"/>
        <v>0</v>
      </c>
      <c r="BA18" s="727">
        <f t="shared" si="43"/>
        <v>0</v>
      </c>
      <c r="BB18" s="727">
        <f t="shared" si="44"/>
        <v>0</v>
      </c>
      <c r="BC18" s="727">
        <f t="shared" si="45"/>
        <v>0</v>
      </c>
      <c r="BD18" s="727">
        <f t="shared" si="46"/>
        <v>0</v>
      </c>
      <c r="BE18" s="727">
        <f t="shared" si="47"/>
        <v>0</v>
      </c>
      <c r="BF18" s="727">
        <f t="shared" si="48"/>
        <v>0</v>
      </c>
      <c r="BG18" s="727">
        <f t="shared" si="49"/>
        <v>0</v>
      </c>
      <c r="BH18" s="727">
        <f t="shared" si="50"/>
        <v>0</v>
      </c>
      <c r="BI18" s="727">
        <f t="shared" si="51"/>
        <v>0</v>
      </c>
      <c r="BJ18" s="727">
        <f t="shared" si="52"/>
        <v>0</v>
      </c>
      <c r="BK18" s="727">
        <f t="shared" si="53"/>
        <v>0</v>
      </c>
      <c r="BL18" s="727">
        <f t="shared" si="54"/>
        <v>0</v>
      </c>
      <c r="BM18" s="727">
        <f t="shared" si="55"/>
        <v>0</v>
      </c>
    </row>
    <row r="19" spans="1:65" x14ac:dyDescent="0.3">
      <c r="B19" s="219" t="str">
        <f t="shared" ref="B19:B22" si="57">B18</f>
        <v>TRABDLM00</v>
      </c>
      <c r="C19" s="224"/>
      <c r="D19" s="230"/>
      <c r="E19" s="224"/>
      <c r="F19" s="224"/>
      <c r="G19" s="224"/>
      <c r="H19" s="231">
        <v>2020</v>
      </c>
      <c r="I19" s="224"/>
      <c r="J19" s="232" t="s">
        <v>1064</v>
      </c>
      <c r="K19" s="232" t="s">
        <v>85</v>
      </c>
      <c r="L19" s="635">
        <f>L$18*LOOKUP($H19, $AF$47:$AF$50, AG$47:AG$50)</f>
        <v>675.63759469486888</v>
      </c>
      <c r="M19" s="635">
        <f t="shared" ref="M19:Z19" si="58">M$18*LOOKUP($H19, $AF$47:$AF$50, AH$47:AH$50)</f>
        <v>0</v>
      </c>
      <c r="N19" s="635">
        <f t="shared" si="58"/>
        <v>0</v>
      </c>
      <c r="O19" s="635">
        <f t="shared" si="58"/>
        <v>0</v>
      </c>
      <c r="P19" s="635">
        <f t="shared" si="58"/>
        <v>0</v>
      </c>
      <c r="Q19" s="635">
        <f t="shared" si="58"/>
        <v>0</v>
      </c>
      <c r="R19" s="635">
        <f t="shared" si="58"/>
        <v>0</v>
      </c>
      <c r="S19" s="635">
        <f t="shared" si="58"/>
        <v>0</v>
      </c>
      <c r="T19" s="635">
        <f t="shared" si="58"/>
        <v>0</v>
      </c>
      <c r="U19" s="635">
        <f t="shared" si="58"/>
        <v>0</v>
      </c>
      <c r="V19" s="635">
        <f t="shared" si="58"/>
        <v>0</v>
      </c>
      <c r="W19" s="635">
        <f t="shared" si="58"/>
        <v>0</v>
      </c>
      <c r="X19" s="635">
        <f t="shared" si="58"/>
        <v>0</v>
      </c>
      <c r="Y19" s="635">
        <f t="shared" si="58"/>
        <v>0</v>
      </c>
      <c r="Z19" s="635">
        <f t="shared" si="58"/>
        <v>0</v>
      </c>
      <c r="AB19" s="19"/>
      <c r="AE19" s="419" t="s">
        <v>682</v>
      </c>
      <c r="AF19" s="829">
        <f t="shared" si="5"/>
        <v>697.53361713598167</v>
      </c>
      <c r="AG19" s="727">
        <f>SUMIF(TC_Private!$AV$6:$AV$24,TRA_Fuel!$AE19,TC_Private!AX$6:AX$24)+SUMIF(TB!$AV$6:$AV$24,TRA_Fuel!$AE19,TB!AX$6:AX$24)+SUMIF(TF_Private!$AV$11:$AV$29,TRA_Fuel!$AE19,TF_Private!AX$11:AX$29)</f>
        <v>697.53361713598167</v>
      </c>
      <c r="AH19" s="722">
        <f>SUMIF(TC_Private!$AV$6:$AV$24,TRA_Fuel!$AE19,TC_Private!AY$6:AY$24)+SUMIF(TB!$AV$6:$AV$24,TRA_Fuel!$AE19,TB!AY$6:AY$24)+SUMIF(TF_Private!$AV$11:$AV$29,TRA_Fuel!$AE19,TF_Private!AY$11:AY$29)</f>
        <v>0</v>
      </c>
      <c r="AI19" s="722">
        <f>SUMIF(TC_Private!$AV$6:$AV$24,TRA_Fuel!$AE19,TC_Private!AZ$6:AZ$24)+SUMIF(TB!$AV$6:$AV$24,TRA_Fuel!$AE19,TB!AZ$6:AZ$24)+SUMIF(TF_Private!$AV$11:$AV$29,TRA_Fuel!$AE19,TF_Private!AZ$11:AZ$29)</f>
        <v>0</v>
      </c>
      <c r="AJ19" s="722">
        <f>SUMIF(TC_Private!$AV$6:$AV$24,TRA_Fuel!$AE19,TC_Private!BA$6:BA$24)+SUMIF(TB!$AV$6:$AV$24,TRA_Fuel!$AE19,TB!BA$6:BA$24)+SUMIF(TF_Private!$AV$11:$AV$29,TRA_Fuel!$AE19,TF_Private!BA$11:BA$29)</f>
        <v>0</v>
      </c>
      <c r="AK19" s="722">
        <f>SUMIF(TC_Private!$AV$6:$AV$24,TRA_Fuel!$AE19,TC_Private!BB$6:BB$24)+SUMIF(TB!$AV$6:$AV$24,TRA_Fuel!$AE19,TB!BB$6:BB$24)+SUMIF(TF_Private!$AV$11:$AV$29,TRA_Fuel!$AE19,TF_Private!BB$11:BB$29)</f>
        <v>0</v>
      </c>
      <c r="AL19" s="722">
        <f>SUMIF(TC_Private!$AV$6:$AV$24,TRA_Fuel!$AE19,TC_Private!BC$6:BC$24)+SUMIF(TB!$AV$6:$AV$24,TRA_Fuel!$AE19,TB!BC$6:BC$24)+SUMIF(TF_Private!$AV$11:$AV$29,TRA_Fuel!$AE19,TF_Private!BC$11:BC$29)</f>
        <v>0</v>
      </c>
      <c r="AM19" s="722">
        <f>SUMIF(TC_Private!$AV$6:$AV$24,TRA_Fuel!$AE19,TC_Private!BD$6:BD$24)+SUMIF(TB!$AV$6:$AV$24,TRA_Fuel!$AE19,TB!BD$6:BD$24)+SUMIF(TF_Private!$AV$11:$AV$29,TRA_Fuel!$AE19,TF_Private!BD$11:BD$29)</f>
        <v>0</v>
      </c>
      <c r="AN19" s="722">
        <f>SUMIF(TC_Private!$AV$6:$AV$24,TRA_Fuel!$AE19,TC_Private!BE$6:BE$24)+SUMIF(TB!$AV$6:$AV$24,TRA_Fuel!$AE19,TB!BE$6:BE$24)+SUMIF(TF_Private!$AV$11:$AV$29,TRA_Fuel!$AE19,TF_Private!BE$11:BE$29)</f>
        <v>0</v>
      </c>
      <c r="AO19" s="722">
        <f>SUMIF(TC_Private!$AV$6:$AV$24,TRA_Fuel!$AE19,TC_Private!BF$6:BF$24)+SUMIF(TB!$AV$6:$AV$24,TRA_Fuel!$AE19,TB!BF$6:BF$24)+SUMIF(TF_Private!$AV$11:$AV$29,TRA_Fuel!$AE19,TF_Private!BF$11:BF$29)</f>
        <v>0</v>
      </c>
      <c r="AP19" s="722">
        <f>SUMIF(TC_Private!$AV$6:$AV$24,TRA_Fuel!$AE19,TC_Private!BG$6:BG$24)+SUMIF(TB!$AV$6:$AV$24,TRA_Fuel!$AE19,TB!BG$6:BG$24)+SUMIF(TF_Private!$AV$11:$AV$29,TRA_Fuel!$AE19,TF_Private!BG$11:BG$29)</f>
        <v>0</v>
      </c>
      <c r="AQ19" s="722">
        <f>SUMIF(TC_Private!$AV$6:$AV$24,TRA_Fuel!$AE19,TC_Private!BH$6:BH$24)+SUMIF(TB!$AV$6:$AV$24,TRA_Fuel!$AE19,TB!BH$6:BH$24)+SUMIF(TF_Private!$AV$11:$AV$29,TRA_Fuel!$AE19,TF_Private!BH$11:BH$29)</f>
        <v>0</v>
      </c>
      <c r="AR19" s="722">
        <f>SUMIF(TC_Private!$AV$6:$AV$24,TRA_Fuel!$AE19,TC_Private!BI$6:BI$24)+SUMIF(TB!$AV$6:$AV$24,TRA_Fuel!$AE19,TB!BI$6:BI$24)+SUMIF(TF_Private!$AV$11:$AV$29,TRA_Fuel!$AE19,TF_Private!BI$11:BI$29)</f>
        <v>0</v>
      </c>
      <c r="AS19" s="722">
        <f>SUMIF(TC_Private!$AV$6:$AV$24,TRA_Fuel!$AE19,TC_Private!BJ$6:BJ$24)+SUMIF(TB!$AV$6:$AV$24,TRA_Fuel!$AE19,TB!BJ$6:BJ$24)+SUMIF(TF_Private!$AV$11:$AV$29,TRA_Fuel!$AE19,TF_Private!BJ$11:BJ$29)</f>
        <v>0</v>
      </c>
      <c r="AT19" s="722">
        <f>SUMIF(TC_Private!$AV$6:$AV$24,TRA_Fuel!$AE19,TC_Private!BK$6:BK$24)+SUMIF(TB!$AV$6:$AV$24,TRA_Fuel!$AE19,TB!BK$6:BK$24)+SUMIF(TF_Private!$AV$11:$AV$29,TRA_Fuel!$AE19,TF_Private!BK$11:BK$29)</f>
        <v>0</v>
      </c>
      <c r="AU19" s="722">
        <f>SUMIF(TC_Private!$AV$6:$AV$24,TRA_Fuel!$AE19,TC_Private!BL$6:BL$24)+SUMIF(TB!$AV$6:$AV$24,TRA_Fuel!$AE19,TB!BL$6:BL$24)+SUMIF(TF_Private!$AV$11:$AV$29,TRA_Fuel!$AE19,TF_Private!BL$11:BL$29)</f>
        <v>0</v>
      </c>
      <c r="AW19" s="418" t="str">
        <f t="shared" si="40"/>
        <v>TRAELC</v>
      </c>
      <c r="AX19" s="829">
        <f t="shared" si="8"/>
        <v>193759.33809332823</v>
      </c>
      <c r="AY19" s="727">
        <f t="shared" si="41"/>
        <v>193759.33809332823</v>
      </c>
      <c r="AZ19" s="727">
        <f t="shared" si="42"/>
        <v>0</v>
      </c>
      <c r="BA19" s="727">
        <f t="shared" si="43"/>
        <v>0</v>
      </c>
      <c r="BB19" s="727">
        <f t="shared" si="44"/>
        <v>0</v>
      </c>
      <c r="BC19" s="727">
        <f t="shared" si="45"/>
        <v>0</v>
      </c>
      <c r="BD19" s="727">
        <f t="shared" si="46"/>
        <v>0</v>
      </c>
      <c r="BE19" s="727">
        <f t="shared" si="47"/>
        <v>0</v>
      </c>
      <c r="BF19" s="727">
        <f t="shared" si="48"/>
        <v>0</v>
      </c>
      <c r="BG19" s="727">
        <f t="shared" si="49"/>
        <v>0</v>
      </c>
      <c r="BH19" s="727">
        <f t="shared" si="50"/>
        <v>0</v>
      </c>
      <c r="BI19" s="727">
        <f t="shared" si="51"/>
        <v>0</v>
      </c>
      <c r="BJ19" s="727">
        <f t="shared" si="52"/>
        <v>0</v>
      </c>
      <c r="BK19" s="727">
        <f t="shared" si="53"/>
        <v>0</v>
      </c>
      <c r="BL19" s="727">
        <f t="shared" si="54"/>
        <v>0</v>
      </c>
      <c r="BM19" s="727">
        <f t="shared" si="55"/>
        <v>0</v>
      </c>
    </row>
    <row r="20" spans="1:65" x14ac:dyDescent="0.3">
      <c r="B20" s="219" t="str">
        <f t="shared" si="57"/>
        <v>TRABDLM00</v>
      </c>
      <c r="C20" s="224"/>
      <c r="D20" s="230"/>
      <c r="E20" s="224"/>
      <c r="F20" s="224"/>
      <c r="G20" s="224"/>
      <c r="H20" s="231">
        <v>2030</v>
      </c>
      <c r="I20" s="224"/>
      <c r="J20" s="232" t="s">
        <v>1064</v>
      </c>
      <c r="K20" s="232" t="s">
        <v>85</v>
      </c>
      <c r="L20" s="635">
        <f>L$18*LOOKUP($H20, $AF$47:$AF$50, AG$47:AG$50)</f>
        <v>337.81879734743444</v>
      </c>
      <c r="M20" s="635">
        <f t="shared" ref="M20:Z22" si="59">M$18*LOOKUP($H20, $AF$47:$AF$50, AH$47:AH$50)</f>
        <v>0</v>
      </c>
      <c r="N20" s="635">
        <f t="shared" si="59"/>
        <v>0</v>
      </c>
      <c r="O20" s="635">
        <f t="shared" si="59"/>
        <v>0</v>
      </c>
      <c r="P20" s="635">
        <f t="shared" si="59"/>
        <v>0</v>
      </c>
      <c r="Q20" s="635">
        <f t="shared" si="59"/>
        <v>0</v>
      </c>
      <c r="R20" s="635">
        <f t="shared" si="59"/>
        <v>0</v>
      </c>
      <c r="S20" s="635">
        <f t="shared" si="59"/>
        <v>0</v>
      </c>
      <c r="T20" s="635">
        <f t="shared" si="59"/>
        <v>0</v>
      </c>
      <c r="U20" s="635">
        <f t="shared" si="59"/>
        <v>0</v>
      </c>
      <c r="V20" s="635">
        <f t="shared" si="59"/>
        <v>0</v>
      </c>
      <c r="W20" s="635">
        <f t="shared" si="59"/>
        <v>0</v>
      </c>
      <c r="X20" s="635">
        <f t="shared" si="59"/>
        <v>0</v>
      </c>
      <c r="Y20" s="635">
        <f t="shared" si="59"/>
        <v>0</v>
      </c>
      <c r="Z20" s="635">
        <f t="shared" si="59"/>
        <v>0</v>
      </c>
      <c r="AB20" s="19"/>
      <c r="AE20" s="419" t="s">
        <v>1007</v>
      </c>
      <c r="AF20" s="829">
        <f t="shared" si="5"/>
        <v>0</v>
      </c>
      <c r="AG20" s="727">
        <f>SUMIF(TC_Private!$AV$6:$AV$24,TRA_Fuel!$AE20,TC_Private!AX$6:AX$24)+SUMIF(TB!$AV$6:$AV$24,TRA_Fuel!$AE20,TB!AX$6:AX$24)+SUMIF(TF_Private!$AV$11:$AV$29,TRA_Fuel!$AE20,TF_Private!AX$11:AX$29)</f>
        <v>0</v>
      </c>
      <c r="AH20" s="722">
        <f>SUMIF(TC_Private!$AV$6:$AV$24,TRA_Fuel!$AE20,TC_Private!AY$6:AY$24)+SUMIF(TB!$AV$6:$AV$24,TRA_Fuel!$AE20,TB!AY$6:AY$24)+SUMIF(TF_Private!$AV$11:$AV$29,TRA_Fuel!$AE20,TF_Private!AY$11:AY$29)</f>
        <v>0</v>
      </c>
      <c r="AI20" s="722">
        <f>SUMIF(TC_Private!$AV$6:$AV$24,TRA_Fuel!$AE20,TC_Private!AZ$6:AZ$24)+SUMIF(TB!$AV$6:$AV$24,TRA_Fuel!$AE20,TB!AZ$6:AZ$24)+SUMIF(TF_Private!$AV$11:$AV$29,TRA_Fuel!$AE20,TF_Private!AZ$11:AZ$29)</f>
        <v>0</v>
      </c>
      <c r="AJ20" s="722">
        <f>SUMIF(TC_Private!$AV$6:$AV$24,TRA_Fuel!$AE20,TC_Private!BA$6:BA$24)+SUMIF(TB!$AV$6:$AV$24,TRA_Fuel!$AE20,TB!BA$6:BA$24)+SUMIF(TF_Private!$AV$11:$AV$29,TRA_Fuel!$AE20,TF_Private!BA$11:BA$29)</f>
        <v>0</v>
      </c>
      <c r="AK20" s="722">
        <f>SUMIF(TC_Private!$AV$6:$AV$24,TRA_Fuel!$AE20,TC_Private!BB$6:BB$24)+SUMIF(TB!$AV$6:$AV$24,TRA_Fuel!$AE20,TB!BB$6:BB$24)+SUMIF(TF_Private!$AV$11:$AV$29,TRA_Fuel!$AE20,TF_Private!BB$11:BB$29)</f>
        <v>0</v>
      </c>
      <c r="AL20" s="722">
        <f>SUMIF(TC_Private!$AV$6:$AV$24,TRA_Fuel!$AE20,TC_Private!BC$6:BC$24)+SUMIF(TB!$AV$6:$AV$24,TRA_Fuel!$AE20,TB!BC$6:BC$24)+SUMIF(TF_Private!$AV$11:$AV$29,TRA_Fuel!$AE20,TF_Private!BC$11:BC$29)</f>
        <v>0</v>
      </c>
      <c r="AM20" s="722">
        <f>SUMIF(TC_Private!$AV$6:$AV$24,TRA_Fuel!$AE20,TC_Private!BD$6:BD$24)+SUMIF(TB!$AV$6:$AV$24,TRA_Fuel!$AE20,TB!BD$6:BD$24)+SUMIF(TF_Private!$AV$11:$AV$29,TRA_Fuel!$AE20,TF_Private!BD$11:BD$29)</f>
        <v>0</v>
      </c>
      <c r="AN20" s="722">
        <f>SUMIF(TC_Private!$AV$6:$AV$24,TRA_Fuel!$AE20,TC_Private!BE$6:BE$24)+SUMIF(TB!$AV$6:$AV$24,TRA_Fuel!$AE20,TB!BE$6:BE$24)+SUMIF(TF_Private!$AV$11:$AV$29,TRA_Fuel!$AE20,TF_Private!BE$11:BE$29)</f>
        <v>0</v>
      </c>
      <c r="AO20" s="722">
        <f>SUMIF(TC_Private!$AV$6:$AV$24,TRA_Fuel!$AE20,TC_Private!BF$6:BF$24)+SUMIF(TB!$AV$6:$AV$24,TRA_Fuel!$AE20,TB!BF$6:BF$24)+SUMIF(TF_Private!$AV$11:$AV$29,TRA_Fuel!$AE20,TF_Private!BF$11:BF$29)</f>
        <v>0</v>
      </c>
      <c r="AP20" s="722">
        <f>SUMIF(TC_Private!$AV$6:$AV$24,TRA_Fuel!$AE20,TC_Private!BG$6:BG$24)+SUMIF(TB!$AV$6:$AV$24,TRA_Fuel!$AE20,TB!BG$6:BG$24)+SUMIF(TF_Private!$AV$11:$AV$29,TRA_Fuel!$AE20,TF_Private!BG$11:BG$29)</f>
        <v>0</v>
      </c>
      <c r="AQ20" s="722">
        <f>SUMIF(TC_Private!$AV$6:$AV$24,TRA_Fuel!$AE20,TC_Private!BH$6:BH$24)+SUMIF(TB!$AV$6:$AV$24,TRA_Fuel!$AE20,TB!BH$6:BH$24)+SUMIF(TF_Private!$AV$11:$AV$29,TRA_Fuel!$AE20,TF_Private!BH$11:BH$29)</f>
        <v>0</v>
      </c>
      <c r="AR20" s="722">
        <f>SUMIF(TC_Private!$AV$6:$AV$24,TRA_Fuel!$AE20,TC_Private!BI$6:BI$24)+SUMIF(TB!$AV$6:$AV$24,TRA_Fuel!$AE20,TB!BI$6:BI$24)+SUMIF(TF_Private!$AV$11:$AV$29,TRA_Fuel!$AE20,TF_Private!BI$11:BI$29)</f>
        <v>0</v>
      </c>
      <c r="AS20" s="722">
        <f>SUMIF(TC_Private!$AV$6:$AV$24,TRA_Fuel!$AE20,TC_Private!BJ$6:BJ$24)+SUMIF(TB!$AV$6:$AV$24,TRA_Fuel!$AE20,TB!BJ$6:BJ$24)+SUMIF(TF_Private!$AV$11:$AV$29,TRA_Fuel!$AE20,TF_Private!BJ$11:BJ$29)</f>
        <v>0</v>
      </c>
      <c r="AT20" s="722">
        <f>SUMIF(TC_Private!$AV$6:$AV$24,TRA_Fuel!$AE20,TC_Private!BK$6:BK$24)+SUMIF(TB!$AV$6:$AV$24,TRA_Fuel!$AE20,TB!BK$6:BK$24)+SUMIF(TF_Private!$AV$11:$AV$29,TRA_Fuel!$AE20,TF_Private!BK$11:BK$29)</f>
        <v>0</v>
      </c>
      <c r="AU20" s="722">
        <f>SUMIF(TC_Private!$AV$6:$AV$24,TRA_Fuel!$AE20,TC_Private!BL$6:BL$24)+SUMIF(TB!$AV$6:$AV$24,TRA_Fuel!$AE20,TB!BL$6:BL$24)+SUMIF(TF_Private!$AV$11:$AV$29,TRA_Fuel!$AE20,TF_Private!BL$11:BL$29)</f>
        <v>0</v>
      </c>
      <c r="AW20" s="418" t="str">
        <f t="shared" si="40"/>
        <v>TRAELR</v>
      </c>
      <c r="AX20" s="829">
        <f t="shared" ref="AX20" si="60">SUM(AY20:BM20)</f>
        <v>0</v>
      </c>
      <c r="AY20" s="727">
        <f t="shared" si="41"/>
        <v>0</v>
      </c>
      <c r="AZ20" s="727">
        <f t="shared" si="42"/>
        <v>0</v>
      </c>
      <c r="BA20" s="727">
        <f t="shared" si="43"/>
        <v>0</v>
      </c>
      <c r="BB20" s="727">
        <f t="shared" si="44"/>
        <v>0</v>
      </c>
      <c r="BC20" s="727">
        <f t="shared" si="45"/>
        <v>0</v>
      </c>
      <c r="BD20" s="727">
        <f t="shared" si="46"/>
        <v>0</v>
      </c>
      <c r="BE20" s="727">
        <f t="shared" si="47"/>
        <v>0</v>
      </c>
      <c r="BF20" s="727">
        <f t="shared" si="48"/>
        <v>0</v>
      </c>
      <c r="BG20" s="727">
        <f t="shared" si="49"/>
        <v>0</v>
      </c>
      <c r="BH20" s="727">
        <f t="shared" si="50"/>
        <v>0</v>
      </c>
      <c r="BI20" s="727">
        <f t="shared" si="51"/>
        <v>0</v>
      </c>
      <c r="BJ20" s="727">
        <f t="shared" si="52"/>
        <v>0</v>
      </c>
      <c r="BK20" s="727">
        <f t="shared" si="53"/>
        <v>0</v>
      </c>
      <c r="BL20" s="727">
        <f t="shared" si="54"/>
        <v>0</v>
      </c>
      <c r="BM20" s="727">
        <f t="shared" si="55"/>
        <v>0</v>
      </c>
    </row>
    <row r="21" spans="1:65" x14ac:dyDescent="0.3">
      <c r="B21" s="219" t="str">
        <f t="shared" si="57"/>
        <v>TRABDLM00</v>
      </c>
      <c r="C21" s="224"/>
      <c r="D21" s="230"/>
      <c r="E21" s="224"/>
      <c r="F21" s="224"/>
      <c r="G21" s="224"/>
      <c r="H21" s="231">
        <v>2040</v>
      </c>
      <c r="I21" s="224"/>
      <c r="J21" s="232" t="s">
        <v>1064</v>
      </c>
      <c r="K21" s="232" t="s">
        <v>85</v>
      </c>
      <c r="L21" s="635">
        <f>L$18*LOOKUP($H21, $AF$47:$AF$50, AG$47:AG$50)</f>
        <v>0</v>
      </c>
      <c r="M21" s="635">
        <f t="shared" si="59"/>
        <v>0</v>
      </c>
      <c r="N21" s="635">
        <f t="shared" si="59"/>
        <v>0</v>
      </c>
      <c r="O21" s="635">
        <f t="shared" si="59"/>
        <v>0</v>
      </c>
      <c r="P21" s="635">
        <f t="shared" si="59"/>
        <v>0</v>
      </c>
      <c r="Q21" s="635">
        <f t="shared" si="59"/>
        <v>0</v>
      </c>
      <c r="R21" s="635">
        <f t="shared" si="59"/>
        <v>0</v>
      </c>
      <c r="S21" s="635">
        <f t="shared" si="59"/>
        <v>0</v>
      </c>
      <c r="T21" s="635">
        <f t="shared" si="59"/>
        <v>0</v>
      </c>
      <c r="U21" s="635">
        <f t="shared" si="59"/>
        <v>0</v>
      </c>
      <c r="V21" s="635">
        <f t="shared" si="59"/>
        <v>0</v>
      </c>
      <c r="W21" s="635">
        <f t="shared" si="59"/>
        <v>0</v>
      </c>
      <c r="X21" s="635">
        <f t="shared" si="59"/>
        <v>0</v>
      </c>
      <c r="Y21" s="635">
        <f t="shared" si="59"/>
        <v>0</v>
      </c>
      <c r="Z21" s="635">
        <f t="shared" si="59"/>
        <v>0</v>
      </c>
      <c r="AB21" s="19"/>
      <c r="AE21" s="419" t="s">
        <v>1009</v>
      </c>
      <c r="AF21" s="829">
        <f t="shared" si="5"/>
        <v>814.67437006856562</v>
      </c>
      <c r="AG21" s="727">
        <f>SUMIF(TC_Private!$AV$6:$AV$24,TRA_Fuel!$AE21,TC_Private!AX$6:AX$24)+SUMIF(TB!$AV$6:$AV$24,TRA_Fuel!$AE21,TB!AX$6:AX$24)+SUMIF(TF_Private!$AV$11:$AV$29,TRA_Fuel!$AE21,TF_Private!AX$11:AX$29)</f>
        <v>814.67437006856562</v>
      </c>
      <c r="AH21" s="722">
        <f>SUMIF(TC_Private!$AV$6:$AV$24,TRA_Fuel!$AE21,TC_Private!AY$6:AY$24)+SUMIF(TB!$AV$6:$AV$24,TRA_Fuel!$AE21,TB!AY$6:AY$24)+SUMIF(TF_Private!$AV$11:$AV$29,TRA_Fuel!$AE21,TF_Private!AY$11:AY$29)</f>
        <v>0</v>
      </c>
      <c r="AI21" s="722">
        <f>SUMIF(TC_Private!$AV$6:$AV$24,TRA_Fuel!$AE21,TC_Private!AZ$6:AZ$24)+SUMIF(TB!$AV$6:$AV$24,TRA_Fuel!$AE21,TB!AZ$6:AZ$24)+SUMIF(TF_Private!$AV$11:$AV$29,TRA_Fuel!$AE21,TF_Private!AZ$11:AZ$29)</f>
        <v>0</v>
      </c>
      <c r="AJ21" s="722">
        <f>SUMIF(TC_Private!$AV$6:$AV$24,TRA_Fuel!$AE21,TC_Private!BA$6:BA$24)+SUMIF(TB!$AV$6:$AV$24,TRA_Fuel!$AE21,TB!BA$6:BA$24)+SUMIF(TF_Private!$AV$11:$AV$29,TRA_Fuel!$AE21,TF_Private!BA$11:BA$29)</f>
        <v>0</v>
      </c>
      <c r="AK21" s="722">
        <f>SUMIF(TC_Private!$AV$6:$AV$24,TRA_Fuel!$AE21,TC_Private!BB$6:BB$24)+SUMIF(TB!$AV$6:$AV$24,TRA_Fuel!$AE21,TB!BB$6:BB$24)+SUMIF(TF_Private!$AV$11:$AV$29,TRA_Fuel!$AE21,TF_Private!BB$11:BB$29)</f>
        <v>0</v>
      </c>
      <c r="AL21" s="722">
        <f>SUMIF(TC_Private!$AV$6:$AV$24,TRA_Fuel!$AE21,TC_Private!BC$6:BC$24)+SUMIF(TB!$AV$6:$AV$24,TRA_Fuel!$AE21,TB!BC$6:BC$24)+SUMIF(TF_Private!$AV$11:$AV$29,TRA_Fuel!$AE21,TF_Private!BC$11:BC$29)</f>
        <v>0</v>
      </c>
      <c r="AM21" s="722">
        <f>SUMIF(TC_Private!$AV$6:$AV$24,TRA_Fuel!$AE21,TC_Private!BD$6:BD$24)+SUMIF(TB!$AV$6:$AV$24,TRA_Fuel!$AE21,TB!BD$6:BD$24)+SUMIF(TF_Private!$AV$11:$AV$29,TRA_Fuel!$AE21,TF_Private!BD$11:BD$29)</f>
        <v>0</v>
      </c>
      <c r="AN21" s="722">
        <f>SUMIF(TC_Private!$AV$6:$AV$24,TRA_Fuel!$AE21,TC_Private!BE$6:BE$24)+SUMIF(TB!$AV$6:$AV$24,TRA_Fuel!$AE21,TB!BE$6:BE$24)+SUMIF(TF_Private!$AV$11:$AV$29,TRA_Fuel!$AE21,TF_Private!BE$11:BE$29)</f>
        <v>0</v>
      </c>
      <c r="AO21" s="722">
        <f>SUMIF(TC_Private!$AV$6:$AV$24,TRA_Fuel!$AE21,TC_Private!BF$6:BF$24)+SUMIF(TB!$AV$6:$AV$24,TRA_Fuel!$AE21,TB!BF$6:BF$24)+SUMIF(TF_Private!$AV$11:$AV$29,TRA_Fuel!$AE21,TF_Private!BF$11:BF$29)</f>
        <v>0</v>
      </c>
      <c r="AP21" s="722">
        <f>SUMIF(TC_Private!$AV$6:$AV$24,TRA_Fuel!$AE21,TC_Private!BG$6:BG$24)+SUMIF(TB!$AV$6:$AV$24,TRA_Fuel!$AE21,TB!BG$6:BG$24)+SUMIF(TF_Private!$AV$11:$AV$29,TRA_Fuel!$AE21,TF_Private!BG$11:BG$29)</f>
        <v>0</v>
      </c>
      <c r="AQ21" s="722">
        <f>SUMIF(TC_Private!$AV$6:$AV$24,TRA_Fuel!$AE21,TC_Private!BH$6:BH$24)+SUMIF(TB!$AV$6:$AV$24,TRA_Fuel!$AE21,TB!BH$6:BH$24)+SUMIF(TF_Private!$AV$11:$AV$29,TRA_Fuel!$AE21,TF_Private!BH$11:BH$29)</f>
        <v>0</v>
      </c>
      <c r="AR21" s="722">
        <f>SUMIF(TC_Private!$AV$6:$AV$24,TRA_Fuel!$AE21,TC_Private!BI$6:BI$24)+SUMIF(TB!$AV$6:$AV$24,TRA_Fuel!$AE21,TB!BI$6:BI$24)+SUMIF(TF_Private!$AV$11:$AV$29,TRA_Fuel!$AE21,TF_Private!BI$11:BI$29)</f>
        <v>0</v>
      </c>
      <c r="AS21" s="722">
        <f>SUMIF(TC_Private!$AV$6:$AV$24,TRA_Fuel!$AE21,TC_Private!BJ$6:BJ$24)+SUMIF(TB!$AV$6:$AV$24,TRA_Fuel!$AE21,TB!BJ$6:BJ$24)+SUMIF(TF_Private!$AV$11:$AV$29,TRA_Fuel!$AE21,TF_Private!BJ$11:BJ$29)</f>
        <v>0</v>
      </c>
      <c r="AT21" s="722">
        <f>SUMIF(TC_Private!$AV$6:$AV$24,TRA_Fuel!$AE21,TC_Private!BK$6:BK$24)+SUMIF(TB!$AV$6:$AV$24,TRA_Fuel!$AE21,TB!BK$6:BK$24)+SUMIF(TF_Private!$AV$11:$AV$29,TRA_Fuel!$AE21,TF_Private!BK$11:BK$29)</f>
        <v>0</v>
      </c>
      <c r="AU21" s="722">
        <f>SUMIF(TC_Private!$AV$6:$AV$24,TRA_Fuel!$AE21,TC_Private!BL$6:BL$24)+SUMIF(TB!$AV$6:$AV$24,TRA_Fuel!$AE21,TB!BL$6:BL$24)+SUMIF(TF_Private!$AV$11:$AV$29,TRA_Fuel!$AE21,TF_Private!BL$11:BL$29)</f>
        <v>0</v>
      </c>
      <c r="AW21" s="418" t="str">
        <f t="shared" si="40"/>
        <v>TRAETH</v>
      </c>
      <c r="AX21" s="829">
        <f t="shared" si="8"/>
        <v>226298.43613015712</v>
      </c>
      <c r="AY21" s="727">
        <f t="shared" si="41"/>
        <v>226298.43613015712</v>
      </c>
      <c r="AZ21" s="727">
        <f t="shared" si="42"/>
        <v>0</v>
      </c>
      <c r="BA21" s="727">
        <f t="shared" si="43"/>
        <v>0</v>
      </c>
      <c r="BB21" s="727">
        <f t="shared" si="44"/>
        <v>0</v>
      </c>
      <c r="BC21" s="727">
        <f t="shared" si="45"/>
        <v>0</v>
      </c>
      <c r="BD21" s="727">
        <f t="shared" si="46"/>
        <v>0</v>
      </c>
      <c r="BE21" s="727">
        <f t="shared" si="47"/>
        <v>0</v>
      </c>
      <c r="BF21" s="727">
        <f t="shared" si="48"/>
        <v>0</v>
      </c>
      <c r="BG21" s="727">
        <f t="shared" si="49"/>
        <v>0</v>
      </c>
      <c r="BH21" s="727">
        <f t="shared" si="50"/>
        <v>0</v>
      </c>
      <c r="BI21" s="727">
        <f t="shared" si="51"/>
        <v>0</v>
      </c>
      <c r="BJ21" s="727">
        <f t="shared" si="52"/>
        <v>0</v>
      </c>
      <c r="BK21" s="727">
        <f t="shared" si="53"/>
        <v>0</v>
      </c>
      <c r="BL21" s="727">
        <f t="shared" si="54"/>
        <v>0</v>
      </c>
      <c r="BM21" s="727">
        <f t="shared" si="55"/>
        <v>0</v>
      </c>
    </row>
    <row r="22" spans="1:65" x14ac:dyDescent="0.3">
      <c r="B22" s="233" t="str">
        <f t="shared" si="57"/>
        <v>TRABDLM00</v>
      </c>
      <c r="C22" s="234"/>
      <c r="D22" s="235"/>
      <c r="E22" s="234"/>
      <c r="F22" s="234"/>
      <c r="G22" s="234"/>
      <c r="H22" s="236">
        <f>$K$5</f>
        <v>2050</v>
      </c>
      <c r="I22" s="224"/>
      <c r="J22" s="237" t="s">
        <v>1064</v>
      </c>
      <c r="K22" s="237" t="s">
        <v>85</v>
      </c>
      <c r="L22" s="636">
        <f>L$18*LOOKUP($H22, $AF$47:$AF$50, AG$47:AG$50)</f>
        <v>0</v>
      </c>
      <c r="M22" s="636">
        <f t="shared" si="59"/>
        <v>0</v>
      </c>
      <c r="N22" s="636">
        <f t="shared" si="59"/>
        <v>0</v>
      </c>
      <c r="O22" s="636">
        <f t="shared" si="59"/>
        <v>0</v>
      </c>
      <c r="P22" s="636">
        <f t="shared" si="59"/>
        <v>0</v>
      </c>
      <c r="Q22" s="636">
        <f t="shared" si="59"/>
        <v>0</v>
      </c>
      <c r="R22" s="636">
        <f t="shared" si="59"/>
        <v>0</v>
      </c>
      <c r="S22" s="636">
        <f t="shared" si="59"/>
        <v>0</v>
      </c>
      <c r="T22" s="636">
        <f t="shared" si="59"/>
        <v>0</v>
      </c>
      <c r="U22" s="636">
        <f t="shared" si="59"/>
        <v>0</v>
      </c>
      <c r="V22" s="636">
        <f t="shared" si="59"/>
        <v>0</v>
      </c>
      <c r="W22" s="636">
        <f t="shared" si="59"/>
        <v>0</v>
      </c>
      <c r="X22" s="636">
        <f t="shared" si="59"/>
        <v>0</v>
      </c>
      <c r="Y22" s="636">
        <f t="shared" si="59"/>
        <v>0</v>
      </c>
      <c r="Z22" s="636">
        <f t="shared" si="59"/>
        <v>0</v>
      </c>
      <c r="AB22" s="19"/>
      <c r="AE22" s="419" t="s">
        <v>1011</v>
      </c>
      <c r="AF22" s="829">
        <f t="shared" si="5"/>
        <v>429.12641893267551</v>
      </c>
      <c r="AG22" s="727">
        <f>SUMIF(TC_Private!$AV$6:$AV$24,TRA_Fuel!$AE22,TC_Private!AX$6:AX$24)+SUMIF(TB!$AV$6:$AV$24,TRA_Fuel!$AE22,TB!AX$6:AX$24)+SUMIF(TF_Private!$AV$11:$AV$29,TRA_Fuel!$AE22,TF_Private!AX$11:AX$29)</f>
        <v>429.12641893267551</v>
      </c>
      <c r="AH22" s="722">
        <f>SUMIF(TC_Private!$AV$6:$AV$24,TRA_Fuel!$AE22,TC_Private!AY$6:AY$24)+SUMIF(TB!$AV$6:$AV$24,TRA_Fuel!$AE22,TB!AY$6:AY$24)+SUMIF(TF_Private!$AV$11:$AV$29,TRA_Fuel!$AE22,TF_Private!AY$11:AY$29)</f>
        <v>0</v>
      </c>
      <c r="AI22" s="722">
        <f>SUMIF(TC_Private!$AV$6:$AV$24,TRA_Fuel!$AE22,TC_Private!AZ$6:AZ$24)+SUMIF(TB!$AV$6:$AV$24,TRA_Fuel!$AE22,TB!AZ$6:AZ$24)+SUMIF(TF_Private!$AV$11:$AV$29,TRA_Fuel!$AE22,TF_Private!AZ$11:AZ$29)</f>
        <v>0</v>
      </c>
      <c r="AJ22" s="722">
        <f>SUMIF(TC_Private!$AV$6:$AV$24,TRA_Fuel!$AE22,TC_Private!BA$6:BA$24)+SUMIF(TB!$AV$6:$AV$24,TRA_Fuel!$AE22,TB!BA$6:BA$24)+SUMIF(TF_Private!$AV$11:$AV$29,TRA_Fuel!$AE22,TF_Private!BA$11:BA$29)</f>
        <v>0</v>
      </c>
      <c r="AK22" s="722">
        <f>SUMIF(TC_Private!$AV$6:$AV$24,TRA_Fuel!$AE22,TC_Private!BB$6:BB$24)+SUMIF(TB!$AV$6:$AV$24,TRA_Fuel!$AE22,TB!BB$6:BB$24)+SUMIF(TF_Private!$AV$11:$AV$29,TRA_Fuel!$AE22,TF_Private!BB$11:BB$29)</f>
        <v>0</v>
      </c>
      <c r="AL22" s="722">
        <f>SUMIF(TC_Private!$AV$6:$AV$24,TRA_Fuel!$AE22,TC_Private!BC$6:BC$24)+SUMIF(TB!$AV$6:$AV$24,TRA_Fuel!$AE22,TB!BC$6:BC$24)+SUMIF(TF_Private!$AV$11:$AV$29,TRA_Fuel!$AE22,TF_Private!BC$11:BC$29)</f>
        <v>0</v>
      </c>
      <c r="AM22" s="722">
        <f>SUMIF(TC_Private!$AV$6:$AV$24,TRA_Fuel!$AE22,TC_Private!BD$6:BD$24)+SUMIF(TB!$AV$6:$AV$24,TRA_Fuel!$AE22,TB!BD$6:BD$24)+SUMIF(TF_Private!$AV$11:$AV$29,TRA_Fuel!$AE22,TF_Private!BD$11:BD$29)</f>
        <v>0</v>
      </c>
      <c r="AN22" s="722">
        <f>SUMIF(TC_Private!$AV$6:$AV$24,TRA_Fuel!$AE22,TC_Private!BE$6:BE$24)+SUMIF(TB!$AV$6:$AV$24,TRA_Fuel!$AE22,TB!BE$6:BE$24)+SUMIF(TF_Private!$AV$11:$AV$29,TRA_Fuel!$AE22,TF_Private!BE$11:BE$29)</f>
        <v>0</v>
      </c>
      <c r="AO22" s="722">
        <f>SUMIF(TC_Private!$AV$6:$AV$24,TRA_Fuel!$AE22,TC_Private!BF$6:BF$24)+SUMIF(TB!$AV$6:$AV$24,TRA_Fuel!$AE22,TB!BF$6:BF$24)+SUMIF(TF_Private!$AV$11:$AV$29,TRA_Fuel!$AE22,TF_Private!BF$11:BF$29)</f>
        <v>0</v>
      </c>
      <c r="AP22" s="722">
        <f>SUMIF(TC_Private!$AV$6:$AV$24,TRA_Fuel!$AE22,TC_Private!BG$6:BG$24)+SUMIF(TB!$AV$6:$AV$24,TRA_Fuel!$AE22,TB!BG$6:BG$24)+SUMIF(TF_Private!$AV$11:$AV$29,TRA_Fuel!$AE22,TF_Private!BG$11:BG$29)</f>
        <v>0</v>
      </c>
      <c r="AQ22" s="722">
        <f>SUMIF(TC_Private!$AV$6:$AV$24,TRA_Fuel!$AE22,TC_Private!BH$6:BH$24)+SUMIF(TB!$AV$6:$AV$24,TRA_Fuel!$AE22,TB!BH$6:BH$24)+SUMIF(TF_Private!$AV$11:$AV$29,TRA_Fuel!$AE22,TF_Private!BH$11:BH$29)</f>
        <v>0</v>
      </c>
      <c r="AR22" s="722">
        <f>SUMIF(TC_Private!$AV$6:$AV$24,TRA_Fuel!$AE22,TC_Private!BI$6:BI$24)+SUMIF(TB!$AV$6:$AV$24,TRA_Fuel!$AE22,TB!BI$6:BI$24)+SUMIF(TF_Private!$AV$11:$AV$29,TRA_Fuel!$AE22,TF_Private!BI$11:BI$29)</f>
        <v>0</v>
      </c>
      <c r="AS22" s="722">
        <f>SUMIF(TC_Private!$AV$6:$AV$24,TRA_Fuel!$AE22,TC_Private!BJ$6:BJ$24)+SUMIF(TB!$AV$6:$AV$24,TRA_Fuel!$AE22,TB!BJ$6:BJ$24)+SUMIF(TF_Private!$AV$11:$AV$29,TRA_Fuel!$AE22,TF_Private!BJ$11:BJ$29)</f>
        <v>0</v>
      </c>
      <c r="AT22" s="722">
        <f>SUMIF(TC_Private!$AV$6:$AV$24,TRA_Fuel!$AE22,TC_Private!BK$6:BK$24)+SUMIF(TB!$AV$6:$AV$24,TRA_Fuel!$AE22,TB!BK$6:BK$24)+SUMIF(TF_Private!$AV$11:$AV$29,TRA_Fuel!$AE22,TF_Private!BK$11:BK$29)</f>
        <v>0</v>
      </c>
      <c r="AU22" s="722">
        <f>SUMIF(TC_Private!$AV$6:$AV$24,TRA_Fuel!$AE22,TC_Private!BL$6:BL$24)+SUMIF(TB!$AV$6:$AV$24,TRA_Fuel!$AE22,TB!BL$6:BL$24)+SUMIF(TF_Private!$AV$11:$AV$29,TRA_Fuel!$AE22,TF_Private!BL$11:BL$29)</f>
        <v>0</v>
      </c>
      <c r="AW22" s="418" t="str">
        <f t="shared" si="40"/>
        <v>TRAETHM</v>
      </c>
      <c r="AX22" s="829">
        <f t="shared" si="8"/>
        <v>119201.78303685431</v>
      </c>
      <c r="AY22" s="727">
        <f t="shared" si="41"/>
        <v>119201.78303685431</v>
      </c>
      <c r="AZ22" s="727">
        <f t="shared" si="42"/>
        <v>0</v>
      </c>
      <c r="BA22" s="727">
        <f t="shared" si="43"/>
        <v>0</v>
      </c>
      <c r="BB22" s="727">
        <f t="shared" si="44"/>
        <v>0</v>
      </c>
      <c r="BC22" s="727">
        <f t="shared" si="45"/>
        <v>0</v>
      </c>
      <c r="BD22" s="727">
        <f t="shared" si="46"/>
        <v>0</v>
      </c>
      <c r="BE22" s="727">
        <f t="shared" si="47"/>
        <v>0</v>
      </c>
      <c r="BF22" s="727">
        <f t="shared" si="48"/>
        <v>0</v>
      </c>
      <c r="BG22" s="727">
        <f t="shared" si="49"/>
        <v>0</v>
      </c>
      <c r="BH22" s="727">
        <f t="shared" si="50"/>
        <v>0</v>
      </c>
      <c r="BI22" s="727">
        <f t="shared" si="51"/>
        <v>0</v>
      </c>
      <c r="BJ22" s="727">
        <f t="shared" si="52"/>
        <v>0</v>
      </c>
      <c r="BK22" s="727">
        <f t="shared" si="53"/>
        <v>0</v>
      </c>
      <c r="BL22" s="727">
        <f t="shared" si="54"/>
        <v>0</v>
      </c>
      <c r="BM22" s="727">
        <f t="shared" si="55"/>
        <v>0</v>
      </c>
    </row>
    <row r="23" spans="1:65" x14ac:dyDescent="0.3">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4">
        <v>1</v>
      </c>
      <c r="M23" s="634">
        <v>1</v>
      </c>
      <c r="N23" s="634">
        <v>1</v>
      </c>
      <c r="O23" s="634">
        <v>1</v>
      </c>
      <c r="P23" s="634">
        <v>1</v>
      </c>
      <c r="Q23" s="634">
        <v>1</v>
      </c>
      <c r="R23" s="634">
        <v>1</v>
      </c>
      <c r="S23" s="634">
        <v>1</v>
      </c>
      <c r="T23" s="634">
        <v>1</v>
      </c>
      <c r="U23" s="634">
        <v>1</v>
      </c>
      <c r="V23" s="634">
        <v>1</v>
      </c>
      <c r="W23" s="634">
        <v>1</v>
      </c>
      <c r="X23" s="634">
        <v>1</v>
      </c>
      <c r="Y23" s="634">
        <v>1</v>
      </c>
      <c r="Z23" s="634">
        <v>1</v>
      </c>
      <c r="AB23" s="19"/>
      <c r="AE23" s="419" t="s">
        <v>1013</v>
      </c>
      <c r="AF23" s="829">
        <f t="shared" si="5"/>
        <v>8342.3725943212721</v>
      </c>
      <c r="AG23" s="727">
        <f>SUMIF(TC_Private!$AV$6:$AV$24,TRA_Fuel!$AE23,TC_Private!AX$6:AX$24)+SUMIF(TB!$AV$6:$AV$24,TRA_Fuel!$AE23,TB!AX$6:AX$24)+SUMIF(TF_Private!$AV$11:$AV$29,TRA_Fuel!$AE23,TF_Private!AX$11:AX$29)</f>
        <v>8342.3725943212721</v>
      </c>
      <c r="AH23" s="722">
        <f>SUMIF(TC_Private!$AV$6:$AV$24,TRA_Fuel!$AE23,TC_Private!AY$6:AY$24)+SUMIF(TB!$AV$6:$AV$24,TRA_Fuel!$AE23,TB!AY$6:AY$24)+SUMIF(TF_Private!$AV$11:$AV$29,TRA_Fuel!$AE23,TF_Private!AY$11:AY$29)</f>
        <v>0</v>
      </c>
      <c r="AI23" s="722">
        <f>SUMIF(TC_Private!$AV$6:$AV$24,TRA_Fuel!$AE23,TC_Private!AZ$6:AZ$24)+SUMIF(TB!$AV$6:$AV$24,TRA_Fuel!$AE23,TB!AZ$6:AZ$24)+SUMIF(TF_Private!$AV$11:$AV$29,TRA_Fuel!$AE23,TF_Private!AZ$11:AZ$29)</f>
        <v>0</v>
      </c>
      <c r="AJ23" s="722">
        <f>SUMIF(TC_Private!$AV$6:$AV$24,TRA_Fuel!$AE23,TC_Private!BA$6:BA$24)+SUMIF(TB!$AV$6:$AV$24,TRA_Fuel!$AE23,TB!BA$6:BA$24)+SUMIF(TF_Private!$AV$11:$AV$29,TRA_Fuel!$AE23,TF_Private!BA$11:BA$29)</f>
        <v>0</v>
      </c>
      <c r="AK23" s="722">
        <f>SUMIF(TC_Private!$AV$6:$AV$24,TRA_Fuel!$AE23,TC_Private!BB$6:BB$24)+SUMIF(TB!$AV$6:$AV$24,TRA_Fuel!$AE23,TB!BB$6:BB$24)+SUMIF(TF_Private!$AV$11:$AV$29,TRA_Fuel!$AE23,TF_Private!BB$11:BB$29)</f>
        <v>0</v>
      </c>
      <c r="AL23" s="722">
        <f>SUMIF(TC_Private!$AV$6:$AV$24,TRA_Fuel!$AE23,TC_Private!BC$6:BC$24)+SUMIF(TB!$AV$6:$AV$24,TRA_Fuel!$AE23,TB!BC$6:BC$24)+SUMIF(TF_Private!$AV$11:$AV$29,TRA_Fuel!$AE23,TF_Private!BC$11:BC$29)</f>
        <v>0</v>
      </c>
      <c r="AM23" s="722">
        <f>SUMIF(TC_Private!$AV$6:$AV$24,TRA_Fuel!$AE23,TC_Private!BD$6:BD$24)+SUMIF(TB!$AV$6:$AV$24,TRA_Fuel!$AE23,TB!BD$6:BD$24)+SUMIF(TF_Private!$AV$11:$AV$29,TRA_Fuel!$AE23,TF_Private!BD$11:BD$29)</f>
        <v>0</v>
      </c>
      <c r="AN23" s="722">
        <f>SUMIF(TC_Private!$AV$6:$AV$24,TRA_Fuel!$AE23,TC_Private!BE$6:BE$24)+SUMIF(TB!$AV$6:$AV$24,TRA_Fuel!$AE23,TB!BE$6:BE$24)+SUMIF(TF_Private!$AV$11:$AV$29,TRA_Fuel!$AE23,TF_Private!BE$11:BE$29)</f>
        <v>0</v>
      </c>
      <c r="AO23" s="722">
        <f>SUMIF(TC_Private!$AV$6:$AV$24,TRA_Fuel!$AE23,TC_Private!BF$6:BF$24)+SUMIF(TB!$AV$6:$AV$24,TRA_Fuel!$AE23,TB!BF$6:BF$24)+SUMIF(TF_Private!$AV$11:$AV$29,TRA_Fuel!$AE23,TF_Private!BF$11:BF$29)</f>
        <v>0</v>
      </c>
      <c r="AP23" s="722">
        <f>SUMIF(TC_Private!$AV$6:$AV$24,TRA_Fuel!$AE23,TC_Private!BG$6:BG$24)+SUMIF(TB!$AV$6:$AV$24,TRA_Fuel!$AE23,TB!BG$6:BG$24)+SUMIF(TF_Private!$AV$11:$AV$29,TRA_Fuel!$AE23,TF_Private!BG$11:BG$29)</f>
        <v>0</v>
      </c>
      <c r="AQ23" s="722">
        <f>SUMIF(TC_Private!$AV$6:$AV$24,TRA_Fuel!$AE23,TC_Private!BH$6:BH$24)+SUMIF(TB!$AV$6:$AV$24,TRA_Fuel!$AE23,TB!BH$6:BH$24)+SUMIF(TF_Private!$AV$11:$AV$29,TRA_Fuel!$AE23,TF_Private!BH$11:BH$29)</f>
        <v>0</v>
      </c>
      <c r="AR23" s="722">
        <f>SUMIF(TC_Private!$AV$6:$AV$24,TRA_Fuel!$AE23,TC_Private!BI$6:BI$24)+SUMIF(TB!$AV$6:$AV$24,TRA_Fuel!$AE23,TB!BI$6:BI$24)+SUMIF(TF_Private!$AV$11:$AV$29,TRA_Fuel!$AE23,TF_Private!BI$11:BI$29)</f>
        <v>0</v>
      </c>
      <c r="AS23" s="722">
        <f>SUMIF(TC_Private!$AV$6:$AV$24,TRA_Fuel!$AE23,TC_Private!BJ$6:BJ$24)+SUMIF(TB!$AV$6:$AV$24,TRA_Fuel!$AE23,TB!BJ$6:BJ$24)+SUMIF(TF_Private!$AV$11:$AV$29,TRA_Fuel!$AE23,TF_Private!BJ$11:BJ$29)</f>
        <v>0</v>
      </c>
      <c r="AT23" s="722">
        <f>SUMIF(TC_Private!$AV$6:$AV$24,TRA_Fuel!$AE23,TC_Private!BK$6:BK$24)+SUMIF(TB!$AV$6:$AV$24,TRA_Fuel!$AE23,TB!BK$6:BK$24)+SUMIF(TF_Private!$AV$11:$AV$29,TRA_Fuel!$AE23,TF_Private!BK$11:BK$29)</f>
        <v>0</v>
      </c>
      <c r="AU23" s="722">
        <f>SUMIF(TC_Private!$AV$6:$AV$24,TRA_Fuel!$AE23,TC_Private!BL$6:BL$24)+SUMIF(TB!$AV$6:$AV$24,TRA_Fuel!$AE23,TB!BL$6:BL$24)+SUMIF(TF_Private!$AV$11:$AV$29,TRA_Fuel!$AE23,TF_Private!BL$11:BL$29)</f>
        <v>0</v>
      </c>
      <c r="AW23" s="418" t="str">
        <f t="shared" ref="AW23:AW28" si="61">AE23</f>
        <v>TRAGSL</v>
      </c>
      <c r="AX23" s="829">
        <f t="shared" ref="AX23:AX28" si="62">SUM(AY23:BM23)</f>
        <v>2317325.7206447981</v>
      </c>
      <c r="AY23" s="727">
        <f t="shared" ref="AY23:AY28" si="63">AG23/3.6*1000</f>
        <v>2317325.7206447981</v>
      </c>
      <c r="AZ23" s="727">
        <f t="shared" ref="AZ23:AZ28" si="64">AH23/3.6*1000</f>
        <v>0</v>
      </c>
      <c r="BA23" s="727">
        <f t="shared" ref="BA23:BA28" si="65">AI23/3.6*1000</f>
        <v>0</v>
      </c>
      <c r="BB23" s="727">
        <f t="shared" ref="BB23:BB28" si="66">AJ23/3.6*1000</f>
        <v>0</v>
      </c>
      <c r="BC23" s="727">
        <f t="shared" ref="BC23:BC28" si="67">AK23/3.6*1000</f>
        <v>0</v>
      </c>
      <c r="BD23" s="727">
        <f t="shared" ref="BD23:BD28" si="68">AL23/3.6*1000</f>
        <v>0</v>
      </c>
      <c r="BE23" s="727">
        <f t="shared" ref="BE23:BE28" si="69">AM23/3.6*1000</f>
        <v>0</v>
      </c>
      <c r="BF23" s="727">
        <f t="shared" ref="BF23:BF28" si="70">AN23/3.6*1000</f>
        <v>0</v>
      </c>
      <c r="BG23" s="727">
        <f t="shared" ref="BG23:BG28" si="71">AO23/3.6*1000</f>
        <v>0</v>
      </c>
      <c r="BH23" s="727">
        <f t="shared" ref="BH23:BH28" si="72">AP23/3.6*1000</f>
        <v>0</v>
      </c>
      <c r="BI23" s="727">
        <f t="shared" ref="BI23:BI28" si="73">AQ23/3.6*1000</f>
        <v>0</v>
      </c>
      <c r="BJ23" s="727">
        <f t="shared" ref="BJ23:BJ28" si="74">AR23/3.6*1000</f>
        <v>0</v>
      </c>
      <c r="BK23" s="727">
        <f t="shared" ref="BK23:BK28" si="75">AS23/3.6*1000</f>
        <v>0</v>
      </c>
      <c r="BL23" s="727">
        <f t="shared" ref="BL23:BL28" si="76">AT23/3.6*1000</f>
        <v>0</v>
      </c>
      <c r="BM23" s="727">
        <f t="shared" ref="BM23:BM28" si="77">AU23/3.6*1000</f>
        <v>0</v>
      </c>
    </row>
    <row r="24" spans="1:65" x14ac:dyDescent="0.3">
      <c r="B24" s="219" t="str">
        <f>B23</f>
        <v>TRABDR00</v>
      </c>
      <c r="C24" s="224"/>
      <c r="D24" s="230"/>
      <c r="E24" s="224"/>
      <c r="F24" s="224"/>
      <c r="G24" s="224"/>
      <c r="H24" s="231">
        <f>$K$3</f>
        <v>2019</v>
      </c>
      <c r="I24" s="224"/>
      <c r="J24" s="232" t="s">
        <v>1064</v>
      </c>
      <c r="K24" s="232" t="s">
        <v>85</v>
      </c>
      <c r="L24" s="635">
        <v>0</v>
      </c>
      <c r="M24" s="635">
        <v>0</v>
      </c>
      <c r="N24" s="635">
        <v>0</v>
      </c>
      <c r="O24" s="635">
        <v>0</v>
      </c>
      <c r="P24" s="635">
        <v>0</v>
      </c>
      <c r="Q24" s="635">
        <v>0</v>
      </c>
      <c r="R24" s="635">
        <v>0</v>
      </c>
      <c r="S24" s="635">
        <v>0</v>
      </c>
      <c r="T24" s="635">
        <v>0</v>
      </c>
      <c r="U24" s="635">
        <v>0</v>
      </c>
      <c r="V24" s="635">
        <v>0</v>
      </c>
      <c r="W24" s="635">
        <v>0</v>
      </c>
      <c r="X24" s="635">
        <v>0</v>
      </c>
      <c r="Y24" s="635">
        <v>0</v>
      </c>
      <c r="Z24" s="635">
        <v>0</v>
      </c>
      <c r="AB24" s="19"/>
      <c r="AE24" s="419" t="s">
        <v>1015</v>
      </c>
      <c r="AF24" s="829">
        <f t="shared" si="5"/>
        <v>0</v>
      </c>
      <c r="AG24" s="727">
        <f>SUMIF(TC_Private!$AV$6:$AV$24,TRA_Fuel!$AE24,TC_Private!AX$6:AX$24)+SUMIF(TB!$AV$6:$AV$24,TRA_Fuel!$AE24,TB!AX$6:AX$24)+SUMIF(TF_Private!$AV$11:$AV$29,TRA_Fuel!$AE24,TF_Private!AX$11:AX$29)</f>
        <v>0</v>
      </c>
      <c r="AH24" s="722">
        <f>SUMIF(TC_Private!$AV$6:$AV$24,TRA_Fuel!$AE24,TC_Private!AY$6:AY$24)+SUMIF(TB!$AV$6:$AV$24,TRA_Fuel!$AE24,TB!AY$6:AY$24)+SUMIF(TF_Private!$AV$11:$AV$29,TRA_Fuel!$AE24,TF_Private!AY$11:AY$29)</f>
        <v>0</v>
      </c>
      <c r="AI24" s="722">
        <f>SUMIF(TC_Private!$AV$6:$AV$24,TRA_Fuel!$AE24,TC_Private!AZ$6:AZ$24)+SUMIF(TB!$AV$6:$AV$24,TRA_Fuel!$AE24,TB!AZ$6:AZ$24)+SUMIF(TF_Private!$AV$11:$AV$29,TRA_Fuel!$AE24,TF_Private!AZ$11:AZ$29)</f>
        <v>0</v>
      </c>
      <c r="AJ24" s="722">
        <f>SUMIF(TC_Private!$AV$6:$AV$24,TRA_Fuel!$AE24,TC_Private!BA$6:BA$24)+SUMIF(TB!$AV$6:$AV$24,TRA_Fuel!$AE24,TB!BA$6:BA$24)+SUMIF(TF_Private!$AV$11:$AV$29,TRA_Fuel!$AE24,TF_Private!BA$11:BA$29)</f>
        <v>0</v>
      </c>
      <c r="AK24" s="722">
        <f>SUMIF(TC_Private!$AV$6:$AV$24,TRA_Fuel!$AE24,TC_Private!BB$6:BB$24)+SUMIF(TB!$AV$6:$AV$24,TRA_Fuel!$AE24,TB!BB$6:BB$24)+SUMIF(TF_Private!$AV$11:$AV$29,TRA_Fuel!$AE24,TF_Private!BB$11:BB$29)</f>
        <v>0</v>
      </c>
      <c r="AL24" s="722">
        <f>SUMIF(TC_Private!$AV$6:$AV$24,TRA_Fuel!$AE24,TC_Private!BC$6:BC$24)+SUMIF(TB!$AV$6:$AV$24,TRA_Fuel!$AE24,TB!BC$6:BC$24)+SUMIF(TF_Private!$AV$11:$AV$29,TRA_Fuel!$AE24,TF_Private!BC$11:BC$29)</f>
        <v>0</v>
      </c>
      <c r="AM24" s="722">
        <f>SUMIF(TC_Private!$AV$6:$AV$24,TRA_Fuel!$AE24,TC_Private!BD$6:BD$24)+SUMIF(TB!$AV$6:$AV$24,TRA_Fuel!$AE24,TB!BD$6:BD$24)+SUMIF(TF_Private!$AV$11:$AV$29,TRA_Fuel!$AE24,TF_Private!BD$11:BD$29)</f>
        <v>0</v>
      </c>
      <c r="AN24" s="722">
        <f>SUMIF(TC_Private!$AV$6:$AV$24,TRA_Fuel!$AE24,TC_Private!BE$6:BE$24)+SUMIF(TB!$AV$6:$AV$24,TRA_Fuel!$AE24,TB!BE$6:BE$24)+SUMIF(TF_Private!$AV$11:$AV$29,TRA_Fuel!$AE24,TF_Private!BE$11:BE$29)</f>
        <v>0</v>
      </c>
      <c r="AO24" s="722">
        <f>SUMIF(TC_Private!$AV$6:$AV$24,TRA_Fuel!$AE24,TC_Private!BF$6:BF$24)+SUMIF(TB!$AV$6:$AV$24,TRA_Fuel!$AE24,TB!BF$6:BF$24)+SUMIF(TF_Private!$AV$11:$AV$29,TRA_Fuel!$AE24,TF_Private!BF$11:BF$29)</f>
        <v>0</v>
      </c>
      <c r="AP24" s="722">
        <f>SUMIF(TC_Private!$AV$6:$AV$24,TRA_Fuel!$AE24,TC_Private!BG$6:BG$24)+SUMIF(TB!$AV$6:$AV$24,TRA_Fuel!$AE24,TB!BG$6:BG$24)+SUMIF(TF_Private!$AV$11:$AV$29,TRA_Fuel!$AE24,TF_Private!BG$11:BG$29)</f>
        <v>0</v>
      </c>
      <c r="AQ24" s="722">
        <f>SUMIF(TC_Private!$AV$6:$AV$24,TRA_Fuel!$AE24,TC_Private!BH$6:BH$24)+SUMIF(TB!$AV$6:$AV$24,TRA_Fuel!$AE24,TB!BH$6:BH$24)+SUMIF(TF_Private!$AV$11:$AV$29,TRA_Fuel!$AE24,TF_Private!BH$11:BH$29)</f>
        <v>0</v>
      </c>
      <c r="AR24" s="722">
        <f>SUMIF(TC_Private!$AV$6:$AV$24,TRA_Fuel!$AE24,TC_Private!BI$6:BI$24)+SUMIF(TB!$AV$6:$AV$24,TRA_Fuel!$AE24,TB!BI$6:BI$24)+SUMIF(TF_Private!$AV$11:$AV$29,TRA_Fuel!$AE24,TF_Private!BI$11:BI$29)</f>
        <v>0</v>
      </c>
      <c r="AS24" s="722">
        <f>SUMIF(TC_Private!$AV$6:$AV$24,TRA_Fuel!$AE24,TC_Private!BJ$6:BJ$24)+SUMIF(TB!$AV$6:$AV$24,TRA_Fuel!$AE24,TB!BJ$6:BJ$24)+SUMIF(TF_Private!$AV$11:$AV$29,TRA_Fuel!$AE24,TF_Private!BJ$11:BJ$29)</f>
        <v>0</v>
      </c>
      <c r="AT24" s="722">
        <f>SUMIF(TC_Private!$AV$6:$AV$24,TRA_Fuel!$AE24,TC_Private!BK$6:BK$24)+SUMIF(TB!$AV$6:$AV$24,TRA_Fuel!$AE24,TB!BK$6:BK$24)+SUMIF(TF_Private!$AV$11:$AV$29,TRA_Fuel!$AE24,TF_Private!BK$11:BK$29)</f>
        <v>0</v>
      </c>
      <c r="AU24" s="722">
        <f>SUMIF(TC_Private!$AV$6:$AV$24,TRA_Fuel!$AE24,TC_Private!BL$6:BL$24)+SUMIF(TB!$AV$6:$AV$24,TRA_Fuel!$AE24,TB!BL$6:BL$24)+SUMIF(TF_Private!$AV$11:$AV$29,TRA_Fuel!$AE24,TF_Private!BL$11:BL$29)</f>
        <v>0</v>
      </c>
      <c r="AW24" s="418" t="str">
        <f t="shared" si="61"/>
        <v>TRAH2G</v>
      </c>
      <c r="AX24" s="829">
        <f t="shared" si="62"/>
        <v>0</v>
      </c>
      <c r="AY24" s="727">
        <f t="shared" si="63"/>
        <v>0</v>
      </c>
      <c r="AZ24" s="727">
        <f t="shared" si="64"/>
        <v>0</v>
      </c>
      <c r="BA24" s="727">
        <f t="shared" si="65"/>
        <v>0</v>
      </c>
      <c r="BB24" s="727">
        <f t="shared" si="66"/>
        <v>0</v>
      </c>
      <c r="BC24" s="727">
        <f t="shared" si="67"/>
        <v>0</v>
      </c>
      <c r="BD24" s="727">
        <f t="shared" si="68"/>
        <v>0</v>
      </c>
      <c r="BE24" s="727">
        <f t="shared" si="69"/>
        <v>0</v>
      </c>
      <c r="BF24" s="727">
        <f t="shared" si="70"/>
        <v>0</v>
      </c>
      <c r="BG24" s="727">
        <f t="shared" si="71"/>
        <v>0</v>
      </c>
      <c r="BH24" s="727">
        <f t="shared" si="72"/>
        <v>0</v>
      </c>
      <c r="BI24" s="727">
        <f t="shared" si="73"/>
        <v>0</v>
      </c>
      <c r="BJ24" s="727">
        <f t="shared" si="74"/>
        <v>0</v>
      </c>
      <c r="BK24" s="727">
        <f t="shared" si="75"/>
        <v>0</v>
      </c>
      <c r="BL24" s="727">
        <f t="shared" si="76"/>
        <v>0</v>
      </c>
      <c r="BM24" s="727">
        <f t="shared" si="77"/>
        <v>0</v>
      </c>
    </row>
    <row r="25" spans="1:65" x14ac:dyDescent="0.3">
      <c r="B25" s="219" t="str">
        <f t="shared" ref="B25:B28" si="78">B24</f>
        <v>TRABDR00</v>
      </c>
      <c r="C25" s="224"/>
      <c r="D25" s="230"/>
      <c r="E25" s="224"/>
      <c r="F25" s="224"/>
      <c r="G25" s="224"/>
      <c r="H25" s="231">
        <v>2020</v>
      </c>
      <c r="I25" s="224"/>
      <c r="J25" s="232" t="s">
        <v>1064</v>
      </c>
      <c r="K25" s="232" t="s">
        <v>85</v>
      </c>
      <c r="L25" s="635">
        <f>L$24*LOOKUP($H25, $AF$47:$AF$50, AG$47:AG$50)</f>
        <v>0</v>
      </c>
      <c r="M25" s="635">
        <f t="shared" ref="M25:M28" si="79">M$24*LOOKUP($H25, $AF$47:$AF$50, AH$47:AH$50)</f>
        <v>0</v>
      </c>
      <c r="N25" s="635">
        <f t="shared" ref="N25:N28" si="80">N$24*LOOKUP($H25, $AF$47:$AF$50, AI$47:AI$50)</f>
        <v>0</v>
      </c>
      <c r="O25" s="635">
        <f t="shared" ref="O25:O28" si="81">O$24*LOOKUP($H25, $AF$47:$AF$50, AJ$47:AJ$50)</f>
        <v>0</v>
      </c>
      <c r="P25" s="635">
        <f t="shared" ref="P25:P28" si="82">P$24*LOOKUP($H25, $AF$47:$AF$50, AK$47:AK$50)</f>
        <v>0</v>
      </c>
      <c r="Q25" s="635">
        <f t="shared" ref="Q25:Q28" si="83">Q$24*LOOKUP($H25, $AF$47:$AF$50, AL$47:AL$50)</f>
        <v>0</v>
      </c>
      <c r="R25" s="635">
        <f t="shared" ref="R25:R28" si="84">R$24*LOOKUP($H25, $AF$47:$AF$50, AM$47:AM$50)</f>
        <v>0</v>
      </c>
      <c r="S25" s="635">
        <f t="shared" ref="S25:S28" si="85">S$24*LOOKUP($H25, $AF$47:$AF$50, AN$47:AN$50)</f>
        <v>0</v>
      </c>
      <c r="T25" s="635">
        <f t="shared" ref="T25:T28" si="86">T$24*LOOKUP($H25, $AF$47:$AF$50, AO$47:AO$50)</f>
        <v>0</v>
      </c>
      <c r="U25" s="635">
        <f t="shared" ref="U25:U28" si="87">U$24*LOOKUP($H25, $AF$47:$AF$50, AP$47:AP$50)</f>
        <v>0</v>
      </c>
      <c r="V25" s="635">
        <f t="shared" ref="V25:V28" si="88">V$24*LOOKUP($H25, $AF$47:$AF$50, AQ$47:AQ$50)</f>
        <v>0</v>
      </c>
      <c r="W25" s="635">
        <f t="shared" ref="W25:W28" si="89">W$24*LOOKUP($H25, $AF$47:$AF$50, AR$47:AR$50)</f>
        <v>0</v>
      </c>
      <c r="X25" s="635">
        <f t="shared" ref="X25:X28" si="90">X$24*LOOKUP($H25, $AF$47:$AF$50, AS$47:AS$50)</f>
        <v>0</v>
      </c>
      <c r="Y25" s="635">
        <f t="shared" ref="Y25:Y28" si="91">Y$24*LOOKUP($H25, $AF$47:$AF$50, AT$47:AT$50)</f>
        <v>0</v>
      </c>
      <c r="Z25" s="635">
        <f t="shared" ref="Z25:Z28" si="92">Z$24*LOOKUP($H25, $AF$47:$AF$50, AU$47:AU$50)</f>
        <v>0</v>
      </c>
      <c r="AB25" s="19"/>
      <c r="AE25" s="419" t="s">
        <v>1022</v>
      </c>
      <c r="AF25" s="829">
        <f t="shared" si="5"/>
        <v>0</v>
      </c>
      <c r="AG25" s="727">
        <f>SUMIF(TC_Private!$AV$6:$AV$24,TRA_Fuel!$AE25,TC_Private!AX$6:AX$24)+SUMIF(TB!$AV$6:$AV$24,TRA_Fuel!$AE25,TB!AX$6:AX$24)+SUMIF(TF_Private!$AV$11:$AV$29,TRA_Fuel!$AE25,TF_Private!AX$11:AX$29)</f>
        <v>0</v>
      </c>
      <c r="AH25" s="722">
        <f>SUMIF(TC_Private!$AV$6:$AV$24,TRA_Fuel!$AE25,TC_Private!AY$6:AY$24)+SUMIF(TB!$AV$6:$AV$24,TRA_Fuel!$AE25,TB!AY$6:AY$24)+SUMIF(TF_Private!$AV$11:$AV$29,TRA_Fuel!$AE25,TF_Private!AY$11:AY$29)</f>
        <v>0</v>
      </c>
      <c r="AI25" s="722">
        <f>SUMIF(TC_Private!$AV$6:$AV$24,TRA_Fuel!$AE25,TC_Private!AZ$6:AZ$24)+SUMIF(TB!$AV$6:$AV$24,TRA_Fuel!$AE25,TB!AZ$6:AZ$24)+SUMIF(TF_Private!$AV$11:$AV$29,TRA_Fuel!$AE25,TF_Private!AZ$11:AZ$29)</f>
        <v>0</v>
      </c>
      <c r="AJ25" s="722">
        <f>SUMIF(TC_Private!$AV$6:$AV$24,TRA_Fuel!$AE25,TC_Private!BA$6:BA$24)+SUMIF(TB!$AV$6:$AV$24,TRA_Fuel!$AE25,TB!BA$6:BA$24)+SUMIF(TF_Private!$AV$11:$AV$29,TRA_Fuel!$AE25,TF_Private!BA$11:BA$29)</f>
        <v>0</v>
      </c>
      <c r="AK25" s="722">
        <f>SUMIF(TC_Private!$AV$6:$AV$24,TRA_Fuel!$AE25,TC_Private!BB$6:BB$24)+SUMIF(TB!$AV$6:$AV$24,TRA_Fuel!$AE25,TB!BB$6:BB$24)+SUMIF(TF_Private!$AV$11:$AV$29,TRA_Fuel!$AE25,TF_Private!BB$11:BB$29)</f>
        <v>0</v>
      </c>
      <c r="AL25" s="722">
        <f>SUMIF(TC_Private!$AV$6:$AV$24,TRA_Fuel!$AE25,TC_Private!BC$6:BC$24)+SUMIF(TB!$AV$6:$AV$24,TRA_Fuel!$AE25,TB!BC$6:BC$24)+SUMIF(TF_Private!$AV$11:$AV$29,TRA_Fuel!$AE25,TF_Private!BC$11:BC$29)</f>
        <v>0</v>
      </c>
      <c r="AM25" s="722">
        <f>SUMIF(TC_Private!$AV$6:$AV$24,TRA_Fuel!$AE25,TC_Private!BD$6:BD$24)+SUMIF(TB!$AV$6:$AV$24,TRA_Fuel!$AE25,TB!BD$6:BD$24)+SUMIF(TF_Private!$AV$11:$AV$29,TRA_Fuel!$AE25,TF_Private!BD$11:BD$29)</f>
        <v>0</v>
      </c>
      <c r="AN25" s="722">
        <f>SUMIF(TC_Private!$AV$6:$AV$24,TRA_Fuel!$AE25,TC_Private!BE$6:BE$24)+SUMIF(TB!$AV$6:$AV$24,TRA_Fuel!$AE25,TB!BE$6:BE$24)+SUMIF(TF_Private!$AV$11:$AV$29,TRA_Fuel!$AE25,TF_Private!BE$11:BE$29)</f>
        <v>0</v>
      </c>
      <c r="AO25" s="722">
        <f>SUMIF(TC_Private!$AV$6:$AV$24,TRA_Fuel!$AE25,TC_Private!BF$6:BF$24)+SUMIF(TB!$AV$6:$AV$24,TRA_Fuel!$AE25,TB!BF$6:BF$24)+SUMIF(TF_Private!$AV$11:$AV$29,TRA_Fuel!$AE25,TF_Private!BF$11:BF$29)</f>
        <v>0</v>
      </c>
      <c r="AP25" s="722">
        <f>SUMIF(TC_Private!$AV$6:$AV$24,TRA_Fuel!$AE25,TC_Private!BG$6:BG$24)+SUMIF(TB!$AV$6:$AV$24,TRA_Fuel!$AE25,TB!BG$6:BG$24)+SUMIF(TF_Private!$AV$11:$AV$29,TRA_Fuel!$AE25,TF_Private!BG$11:BG$29)</f>
        <v>0</v>
      </c>
      <c r="AQ25" s="722">
        <f>SUMIF(TC_Private!$AV$6:$AV$24,TRA_Fuel!$AE25,TC_Private!BH$6:BH$24)+SUMIF(TB!$AV$6:$AV$24,TRA_Fuel!$AE25,TB!BH$6:BH$24)+SUMIF(TF_Private!$AV$11:$AV$29,TRA_Fuel!$AE25,TF_Private!BH$11:BH$29)</f>
        <v>0</v>
      </c>
      <c r="AR25" s="722">
        <f>SUMIF(TC_Private!$AV$6:$AV$24,TRA_Fuel!$AE25,TC_Private!BI$6:BI$24)+SUMIF(TB!$AV$6:$AV$24,TRA_Fuel!$AE25,TB!BI$6:BI$24)+SUMIF(TF_Private!$AV$11:$AV$29,TRA_Fuel!$AE25,TF_Private!BI$11:BI$29)</f>
        <v>0</v>
      </c>
      <c r="AS25" s="722">
        <f>SUMIF(TC_Private!$AV$6:$AV$24,TRA_Fuel!$AE25,TC_Private!BJ$6:BJ$24)+SUMIF(TB!$AV$6:$AV$24,TRA_Fuel!$AE25,TB!BJ$6:BJ$24)+SUMIF(TF_Private!$AV$11:$AV$29,TRA_Fuel!$AE25,TF_Private!BJ$11:BJ$29)</f>
        <v>0</v>
      </c>
      <c r="AT25" s="722">
        <f>SUMIF(TC_Private!$AV$6:$AV$24,TRA_Fuel!$AE25,TC_Private!BK$6:BK$24)+SUMIF(TB!$AV$6:$AV$24,TRA_Fuel!$AE25,TB!BK$6:BK$24)+SUMIF(TF_Private!$AV$11:$AV$29,TRA_Fuel!$AE25,TF_Private!BK$11:BK$29)</f>
        <v>0</v>
      </c>
      <c r="AU25" s="722">
        <f>SUMIF(TC_Private!$AV$6:$AV$24,TRA_Fuel!$AE25,TC_Private!BL$6:BL$24)+SUMIF(TB!$AV$6:$AV$24,TRA_Fuel!$AE25,TB!BL$6:BL$24)+SUMIF(TF_Private!$AV$11:$AV$29,TRA_Fuel!$AE25,TF_Private!BL$11:BL$29)</f>
        <v>0</v>
      </c>
      <c r="AW25" s="418" t="str">
        <f t="shared" si="61"/>
        <v>TRAHFO</v>
      </c>
      <c r="AX25" s="829">
        <f t="shared" si="62"/>
        <v>0</v>
      </c>
      <c r="AY25" s="727">
        <f t="shared" si="63"/>
        <v>0</v>
      </c>
      <c r="AZ25" s="727">
        <f t="shared" si="64"/>
        <v>0</v>
      </c>
      <c r="BA25" s="727">
        <f t="shared" si="65"/>
        <v>0</v>
      </c>
      <c r="BB25" s="727">
        <f t="shared" si="66"/>
        <v>0</v>
      </c>
      <c r="BC25" s="727">
        <f t="shared" si="67"/>
        <v>0</v>
      </c>
      <c r="BD25" s="727">
        <f t="shared" si="68"/>
        <v>0</v>
      </c>
      <c r="BE25" s="727">
        <f t="shared" si="69"/>
        <v>0</v>
      </c>
      <c r="BF25" s="727">
        <f t="shared" si="70"/>
        <v>0</v>
      </c>
      <c r="BG25" s="727">
        <f t="shared" si="71"/>
        <v>0</v>
      </c>
      <c r="BH25" s="727">
        <f t="shared" si="72"/>
        <v>0</v>
      </c>
      <c r="BI25" s="727">
        <f t="shared" si="73"/>
        <v>0</v>
      </c>
      <c r="BJ25" s="727">
        <f t="shared" si="74"/>
        <v>0</v>
      </c>
      <c r="BK25" s="727">
        <f t="shared" si="75"/>
        <v>0</v>
      </c>
      <c r="BL25" s="727">
        <f t="shared" si="76"/>
        <v>0</v>
      </c>
      <c r="BM25" s="727">
        <f t="shared" si="77"/>
        <v>0</v>
      </c>
    </row>
    <row r="26" spans="1:65" x14ac:dyDescent="0.3">
      <c r="B26" s="219" t="str">
        <f t="shared" si="78"/>
        <v>TRABDR00</v>
      </c>
      <c r="C26" s="224"/>
      <c r="D26" s="230"/>
      <c r="E26" s="224"/>
      <c r="F26" s="224"/>
      <c r="G26" s="224"/>
      <c r="H26" s="231">
        <v>2030</v>
      </c>
      <c r="I26" s="224"/>
      <c r="J26" s="232" t="s">
        <v>1064</v>
      </c>
      <c r="K26" s="232" t="s">
        <v>85</v>
      </c>
      <c r="L26" s="635">
        <f t="shared" ref="L26:L28" si="93">L$24*LOOKUP($H26, $AF$47:$AF$50, AG$47:AG$50)</f>
        <v>0</v>
      </c>
      <c r="M26" s="635">
        <f t="shared" si="79"/>
        <v>0</v>
      </c>
      <c r="N26" s="635">
        <f t="shared" si="80"/>
        <v>0</v>
      </c>
      <c r="O26" s="635">
        <f t="shared" si="81"/>
        <v>0</v>
      </c>
      <c r="P26" s="635">
        <f t="shared" si="82"/>
        <v>0</v>
      </c>
      <c r="Q26" s="635">
        <f t="shared" si="83"/>
        <v>0</v>
      </c>
      <c r="R26" s="635">
        <f t="shared" si="84"/>
        <v>0</v>
      </c>
      <c r="S26" s="635">
        <f t="shared" si="85"/>
        <v>0</v>
      </c>
      <c r="T26" s="635">
        <f t="shared" si="86"/>
        <v>0</v>
      </c>
      <c r="U26" s="635">
        <f t="shared" si="87"/>
        <v>0</v>
      </c>
      <c r="V26" s="635">
        <f t="shared" si="88"/>
        <v>0</v>
      </c>
      <c r="W26" s="635">
        <f t="shared" si="89"/>
        <v>0</v>
      </c>
      <c r="X26" s="635">
        <f t="shared" si="90"/>
        <v>0</v>
      </c>
      <c r="Y26" s="635">
        <f t="shared" si="91"/>
        <v>0</v>
      </c>
      <c r="Z26" s="635">
        <f t="shared" si="92"/>
        <v>0</v>
      </c>
      <c r="AB26" s="19"/>
      <c r="AE26" s="418" t="s">
        <v>680</v>
      </c>
      <c r="AF26" s="829">
        <f t="shared" si="5"/>
        <v>0</v>
      </c>
      <c r="AG26" s="727">
        <f>SUMIF(TC_Private!$AV$6:$AV$24,TRA_Fuel!$AE26,TC_Private!AX$6:AX$24)+SUMIF(TB!$AV$6:$AV$24,TRA_Fuel!$AE26,TB!AX$6:AX$24)+SUMIF(TF_Private!$AV$11:$AV$29,TRA_Fuel!$AE26,TF_Private!AX$11:AX$29)</f>
        <v>0</v>
      </c>
      <c r="AH26" s="722">
        <f>SUMIF(TC_Private!$AV$6:$AV$24,TRA_Fuel!$AE26,TC_Private!AY$6:AY$24)+SUMIF(TB!$AV$6:$AV$24,TRA_Fuel!$AE26,TB!AY$6:AY$24)+SUMIF(TF_Private!$AV$11:$AV$29,TRA_Fuel!$AE26,TF_Private!AY$11:AY$29)</f>
        <v>0</v>
      </c>
      <c r="AI26" s="722">
        <f>SUMIF(TC_Private!$AV$6:$AV$24,TRA_Fuel!$AE26,TC_Private!AZ$6:AZ$24)+SUMIF(TB!$AV$6:$AV$24,TRA_Fuel!$AE26,TB!AZ$6:AZ$24)+SUMIF(TF_Private!$AV$11:$AV$29,TRA_Fuel!$AE26,TF_Private!AZ$11:AZ$29)</f>
        <v>0</v>
      </c>
      <c r="AJ26" s="722">
        <f>SUMIF(TC_Private!$AV$6:$AV$24,TRA_Fuel!$AE26,TC_Private!BA$6:BA$24)+SUMIF(TB!$AV$6:$AV$24,TRA_Fuel!$AE26,TB!BA$6:BA$24)+SUMIF(TF_Private!$AV$11:$AV$29,TRA_Fuel!$AE26,TF_Private!BA$11:BA$29)</f>
        <v>0</v>
      </c>
      <c r="AK26" s="722">
        <f>SUMIF(TC_Private!$AV$6:$AV$24,TRA_Fuel!$AE26,TC_Private!BB$6:BB$24)+SUMIF(TB!$AV$6:$AV$24,TRA_Fuel!$AE26,TB!BB$6:BB$24)+SUMIF(TF_Private!$AV$11:$AV$29,TRA_Fuel!$AE26,TF_Private!BB$11:BB$29)</f>
        <v>0</v>
      </c>
      <c r="AL26" s="722">
        <f>SUMIF(TC_Private!$AV$6:$AV$24,TRA_Fuel!$AE26,TC_Private!BC$6:BC$24)+SUMIF(TB!$AV$6:$AV$24,TRA_Fuel!$AE26,TB!BC$6:BC$24)+SUMIF(TF_Private!$AV$11:$AV$29,TRA_Fuel!$AE26,TF_Private!BC$11:BC$29)</f>
        <v>0</v>
      </c>
      <c r="AM26" s="722">
        <f>SUMIF(TC_Private!$AV$6:$AV$24,TRA_Fuel!$AE26,TC_Private!BD$6:BD$24)+SUMIF(TB!$AV$6:$AV$24,TRA_Fuel!$AE26,TB!BD$6:BD$24)+SUMIF(TF_Private!$AV$11:$AV$29,TRA_Fuel!$AE26,TF_Private!BD$11:BD$29)</f>
        <v>0</v>
      </c>
      <c r="AN26" s="722">
        <f>SUMIF(TC_Private!$AV$6:$AV$24,TRA_Fuel!$AE26,TC_Private!BE$6:BE$24)+SUMIF(TB!$AV$6:$AV$24,TRA_Fuel!$AE26,TB!BE$6:BE$24)+SUMIF(TF_Private!$AV$11:$AV$29,TRA_Fuel!$AE26,TF_Private!BE$11:BE$29)</f>
        <v>0</v>
      </c>
      <c r="AO26" s="722">
        <f>SUMIF(TC_Private!$AV$6:$AV$24,TRA_Fuel!$AE26,TC_Private!BF$6:BF$24)+SUMIF(TB!$AV$6:$AV$24,TRA_Fuel!$AE26,TB!BF$6:BF$24)+SUMIF(TF_Private!$AV$11:$AV$29,TRA_Fuel!$AE26,TF_Private!BF$11:BF$29)</f>
        <v>0</v>
      </c>
      <c r="AP26" s="722">
        <f>SUMIF(TC_Private!$AV$6:$AV$24,TRA_Fuel!$AE26,TC_Private!BG$6:BG$24)+SUMIF(TB!$AV$6:$AV$24,TRA_Fuel!$AE26,TB!BG$6:BG$24)+SUMIF(TF_Private!$AV$11:$AV$29,TRA_Fuel!$AE26,TF_Private!BG$11:BG$29)</f>
        <v>0</v>
      </c>
      <c r="AQ26" s="722">
        <f>SUMIF(TC_Private!$AV$6:$AV$24,TRA_Fuel!$AE26,TC_Private!BH$6:BH$24)+SUMIF(TB!$AV$6:$AV$24,TRA_Fuel!$AE26,TB!BH$6:BH$24)+SUMIF(TF_Private!$AV$11:$AV$29,TRA_Fuel!$AE26,TF_Private!BH$11:BH$29)</f>
        <v>0</v>
      </c>
      <c r="AR26" s="722">
        <f>SUMIF(TC_Private!$AV$6:$AV$24,TRA_Fuel!$AE26,TC_Private!BI$6:BI$24)+SUMIF(TB!$AV$6:$AV$24,TRA_Fuel!$AE26,TB!BI$6:BI$24)+SUMIF(TF_Private!$AV$11:$AV$29,TRA_Fuel!$AE26,TF_Private!BI$11:BI$29)</f>
        <v>0</v>
      </c>
      <c r="AS26" s="722">
        <f>SUMIF(TC_Private!$AV$6:$AV$24,TRA_Fuel!$AE26,TC_Private!BJ$6:BJ$24)+SUMIF(TB!$AV$6:$AV$24,TRA_Fuel!$AE26,TB!BJ$6:BJ$24)+SUMIF(TF_Private!$AV$11:$AV$29,TRA_Fuel!$AE26,TF_Private!BJ$11:BJ$29)</f>
        <v>0</v>
      </c>
      <c r="AT26" s="722">
        <f>SUMIF(TC_Private!$AV$6:$AV$24,TRA_Fuel!$AE26,TC_Private!BK$6:BK$24)+SUMIF(TB!$AV$6:$AV$24,TRA_Fuel!$AE26,TB!BK$6:BK$24)+SUMIF(TF_Private!$AV$11:$AV$29,TRA_Fuel!$AE26,TF_Private!BK$11:BK$29)</f>
        <v>0</v>
      </c>
      <c r="AU26" s="722">
        <f>SUMIF(TC_Private!$AV$6:$AV$24,TRA_Fuel!$AE26,TC_Private!BL$6:BL$24)+SUMIF(TB!$AV$6:$AV$24,TRA_Fuel!$AE26,TB!BL$6:BL$24)+SUMIF(TF_Private!$AV$11:$AV$29,TRA_Fuel!$AE26,TF_Private!BL$11:BL$29)</f>
        <v>0</v>
      </c>
      <c r="AW26" s="418" t="str">
        <f t="shared" si="61"/>
        <v>TRAHUM</v>
      </c>
      <c r="AX26" s="829">
        <f t="shared" si="62"/>
        <v>0</v>
      </c>
      <c r="AY26" s="727">
        <f t="shared" si="63"/>
        <v>0</v>
      </c>
      <c r="AZ26" s="727">
        <f t="shared" si="64"/>
        <v>0</v>
      </c>
      <c r="BA26" s="727">
        <f t="shared" si="65"/>
        <v>0</v>
      </c>
      <c r="BB26" s="727">
        <f t="shared" si="66"/>
        <v>0</v>
      </c>
      <c r="BC26" s="727">
        <f t="shared" si="67"/>
        <v>0</v>
      </c>
      <c r="BD26" s="727">
        <f t="shared" si="68"/>
        <v>0</v>
      </c>
      <c r="BE26" s="727">
        <f t="shared" si="69"/>
        <v>0</v>
      </c>
      <c r="BF26" s="727">
        <f t="shared" si="70"/>
        <v>0</v>
      </c>
      <c r="BG26" s="727">
        <f t="shared" si="71"/>
        <v>0</v>
      </c>
      <c r="BH26" s="727">
        <f t="shared" si="72"/>
        <v>0</v>
      </c>
      <c r="BI26" s="727">
        <f t="shared" si="73"/>
        <v>0</v>
      </c>
      <c r="BJ26" s="727">
        <f t="shared" si="74"/>
        <v>0</v>
      </c>
      <c r="BK26" s="727">
        <f t="shared" si="75"/>
        <v>0</v>
      </c>
      <c r="BL26" s="727">
        <f t="shared" si="76"/>
        <v>0</v>
      </c>
      <c r="BM26" s="727">
        <f t="shared" si="77"/>
        <v>0</v>
      </c>
    </row>
    <row r="27" spans="1:65" x14ac:dyDescent="0.3">
      <c r="B27" s="219" t="str">
        <f t="shared" si="78"/>
        <v>TRABDR00</v>
      </c>
      <c r="C27" s="224"/>
      <c r="D27" s="230"/>
      <c r="E27" s="224"/>
      <c r="F27" s="224"/>
      <c r="G27" s="224"/>
      <c r="H27" s="231">
        <v>2040</v>
      </c>
      <c r="I27" s="224"/>
      <c r="J27" s="232" t="s">
        <v>1064</v>
      </c>
      <c r="K27" s="232" t="s">
        <v>85</v>
      </c>
      <c r="L27" s="635">
        <f t="shared" si="93"/>
        <v>0</v>
      </c>
      <c r="M27" s="635">
        <f t="shared" si="79"/>
        <v>0</v>
      </c>
      <c r="N27" s="635">
        <f t="shared" si="80"/>
        <v>0</v>
      </c>
      <c r="O27" s="635">
        <f t="shared" si="81"/>
        <v>0</v>
      </c>
      <c r="P27" s="635">
        <f t="shared" si="82"/>
        <v>0</v>
      </c>
      <c r="Q27" s="635">
        <f t="shared" si="83"/>
        <v>0</v>
      </c>
      <c r="R27" s="635">
        <f t="shared" si="84"/>
        <v>0</v>
      </c>
      <c r="S27" s="635">
        <f t="shared" si="85"/>
        <v>0</v>
      </c>
      <c r="T27" s="635">
        <f t="shared" si="86"/>
        <v>0</v>
      </c>
      <c r="U27" s="635">
        <f t="shared" si="87"/>
        <v>0</v>
      </c>
      <c r="V27" s="635">
        <f t="shared" si="88"/>
        <v>0</v>
      </c>
      <c r="W27" s="635">
        <f t="shared" si="89"/>
        <v>0</v>
      </c>
      <c r="X27" s="635">
        <f t="shared" si="90"/>
        <v>0</v>
      </c>
      <c r="Y27" s="635">
        <f t="shared" si="91"/>
        <v>0</v>
      </c>
      <c r="Z27" s="635">
        <f t="shared" si="92"/>
        <v>0</v>
      </c>
      <c r="AB27" s="19"/>
      <c r="AE27" s="418" t="s">
        <v>1028</v>
      </c>
      <c r="AF27" s="829">
        <f t="shared" si="5"/>
        <v>0</v>
      </c>
      <c r="AG27" s="727">
        <f>SUMIF(TC_Private!$AV$6:$AV$24,TRA_Fuel!$AE27,TC_Private!AX$6:AX$24)+SUMIF(TB!$AV$6:$AV$24,TRA_Fuel!$AE27,TB!AX$6:AX$24)+SUMIF(TF_Private!$AV$11:$AV$29,TRA_Fuel!$AE27,TF_Private!AX$11:AX$29)</f>
        <v>0</v>
      </c>
      <c r="AH27" s="722">
        <f>SUMIF(TC_Private!$AV$6:$AV$24,TRA_Fuel!$AE27,TC_Private!AY$6:AY$24)+SUMIF(TB!$AV$6:$AV$24,TRA_Fuel!$AE27,TB!AY$6:AY$24)+SUMIF(TF_Private!$AV$11:$AV$29,TRA_Fuel!$AE27,TF_Private!AY$11:AY$29)</f>
        <v>0</v>
      </c>
      <c r="AI27" s="722">
        <f>SUMIF(TC_Private!$AV$6:$AV$24,TRA_Fuel!$AE27,TC_Private!AZ$6:AZ$24)+SUMIF(TB!$AV$6:$AV$24,TRA_Fuel!$AE27,TB!AZ$6:AZ$24)+SUMIF(TF_Private!$AV$11:$AV$29,TRA_Fuel!$AE27,TF_Private!AZ$11:AZ$29)</f>
        <v>0</v>
      </c>
      <c r="AJ27" s="722">
        <f>SUMIF(TC_Private!$AV$6:$AV$24,TRA_Fuel!$AE27,TC_Private!BA$6:BA$24)+SUMIF(TB!$AV$6:$AV$24,TRA_Fuel!$AE27,TB!BA$6:BA$24)+SUMIF(TF_Private!$AV$11:$AV$29,TRA_Fuel!$AE27,TF_Private!BA$11:BA$29)</f>
        <v>0</v>
      </c>
      <c r="AK27" s="722">
        <f>SUMIF(TC_Private!$AV$6:$AV$24,TRA_Fuel!$AE27,TC_Private!BB$6:BB$24)+SUMIF(TB!$AV$6:$AV$24,TRA_Fuel!$AE27,TB!BB$6:BB$24)+SUMIF(TF_Private!$AV$11:$AV$29,TRA_Fuel!$AE27,TF_Private!BB$11:BB$29)</f>
        <v>0</v>
      </c>
      <c r="AL27" s="722">
        <f>SUMIF(TC_Private!$AV$6:$AV$24,TRA_Fuel!$AE27,TC_Private!BC$6:BC$24)+SUMIF(TB!$AV$6:$AV$24,TRA_Fuel!$AE27,TB!BC$6:BC$24)+SUMIF(TF_Private!$AV$11:$AV$29,TRA_Fuel!$AE27,TF_Private!BC$11:BC$29)</f>
        <v>0</v>
      </c>
      <c r="AM27" s="722">
        <f>SUMIF(TC_Private!$AV$6:$AV$24,TRA_Fuel!$AE27,TC_Private!BD$6:BD$24)+SUMIF(TB!$AV$6:$AV$24,TRA_Fuel!$AE27,TB!BD$6:BD$24)+SUMIF(TF_Private!$AV$11:$AV$29,TRA_Fuel!$AE27,TF_Private!BD$11:BD$29)</f>
        <v>0</v>
      </c>
      <c r="AN27" s="722">
        <f>SUMIF(TC_Private!$AV$6:$AV$24,TRA_Fuel!$AE27,TC_Private!BE$6:BE$24)+SUMIF(TB!$AV$6:$AV$24,TRA_Fuel!$AE27,TB!BE$6:BE$24)+SUMIF(TF_Private!$AV$11:$AV$29,TRA_Fuel!$AE27,TF_Private!BE$11:BE$29)</f>
        <v>0</v>
      </c>
      <c r="AO27" s="722">
        <f>SUMIF(TC_Private!$AV$6:$AV$24,TRA_Fuel!$AE27,TC_Private!BF$6:BF$24)+SUMIF(TB!$AV$6:$AV$24,TRA_Fuel!$AE27,TB!BF$6:BF$24)+SUMIF(TF_Private!$AV$11:$AV$29,TRA_Fuel!$AE27,TF_Private!BF$11:BF$29)</f>
        <v>0</v>
      </c>
      <c r="AP27" s="722">
        <f>SUMIF(TC_Private!$AV$6:$AV$24,TRA_Fuel!$AE27,TC_Private!BG$6:BG$24)+SUMIF(TB!$AV$6:$AV$24,TRA_Fuel!$AE27,TB!BG$6:BG$24)+SUMIF(TF_Private!$AV$11:$AV$29,TRA_Fuel!$AE27,TF_Private!BG$11:BG$29)</f>
        <v>0</v>
      </c>
      <c r="AQ27" s="722">
        <f>SUMIF(TC_Private!$AV$6:$AV$24,TRA_Fuel!$AE27,TC_Private!BH$6:BH$24)+SUMIF(TB!$AV$6:$AV$24,TRA_Fuel!$AE27,TB!BH$6:BH$24)+SUMIF(TF_Private!$AV$11:$AV$29,TRA_Fuel!$AE27,TF_Private!BH$11:BH$29)</f>
        <v>0</v>
      </c>
      <c r="AR27" s="722">
        <f>SUMIF(TC_Private!$AV$6:$AV$24,TRA_Fuel!$AE27,TC_Private!BI$6:BI$24)+SUMIF(TB!$AV$6:$AV$24,TRA_Fuel!$AE27,TB!BI$6:BI$24)+SUMIF(TF_Private!$AV$11:$AV$29,TRA_Fuel!$AE27,TF_Private!BI$11:BI$29)</f>
        <v>0</v>
      </c>
      <c r="AS27" s="722">
        <f>SUMIF(TC_Private!$AV$6:$AV$24,TRA_Fuel!$AE27,TC_Private!BJ$6:BJ$24)+SUMIF(TB!$AV$6:$AV$24,TRA_Fuel!$AE27,TB!BJ$6:BJ$24)+SUMIF(TF_Private!$AV$11:$AV$29,TRA_Fuel!$AE27,TF_Private!BJ$11:BJ$29)</f>
        <v>0</v>
      </c>
      <c r="AT27" s="722">
        <f>SUMIF(TC_Private!$AV$6:$AV$24,TRA_Fuel!$AE27,TC_Private!BK$6:BK$24)+SUMIF(TB!$AV$6:$AV$24,TRA_Fuel!$AE27,TB!BK$6:BK$24)+SUMIF(TF_Private!$AV$11:$AV$29,TRA_Fuel!$AE27,TF_Private!BK$11:BK$29)</f>
        <v>0</v>
      </c>
      <c r="AU27" s="722">
        <f>SUMIF(TC_Private!$AV$6:$AV$24,TRA_Fuel!$AE27,TC_Private!BL$6:BL$24)+SUMIF(TB!$AV$6:$AV$24,TRA_Fuel!$AE27,TB!BL$6:BL$24)+SUMIF(TF_Private!$AV$11:$AV$29,TRA_Fuel!$AE27,TF_Private!BL$11:BL$29)</f>
        <v>0</v>
      </c>
      <c r="AW27" s="418" t="str">
        <f t="shared" si="61"/>
        <v>TRAKER</v>
      </c>
      <c r="AX27" s="829">
        <f t="shared" si="62"/>
        <v>0</v>
      </c>
      <c r="AY27" s="727">
        <f t="shared" si="63"/>
        <v>0</v>
      </c>
      <c r="AZ27" s="727">
        <f t="shared" si="64"/>
        <v>0</v>
      </c>
      <c r="BA27" s="727">
        <f t="shared" si="65"/>
        <v>0</v>
      </c>
      <c r="BB27" s="727">
        <f t="shared" si="66"/>
        <v>0</v>
      </c>
      <c r="BC27" s="727">
        <f t="shared" si="67"/>
        <v>0</v>
      </c>
      <c r="BD27" s="727">
        <f t="shared" si="68"/>
        <v>0</v>
      </c>
      <c r="BE27" s="727">
        <f t="shared" si="69"/>
        <v>0</v>
      </c>
      <c r="BF27" s="727">
        <f t="shared" si="70"/>
        <v>0</v>
      </c>
      <c r="BG27" s="727">
        <f t="shared" si="71"/>
        <v>0</v>
      </c>
      <c r="BH27" s="727">
        <f t="shared" si="72"/>
        <v>0</v>
      </c>
      <c r="BI27" s="727">
        <f t="shared" si="73"/>
        <v>0</v>
      </c>
      <c r="BJ27" s="727">
        <f t="shared" si="74"/>
        <v>0</v>
      </c>
      <c r="BK27" s="727">
        <f t="shared" si="75"/>
        <v>0</v>
      </c>
      <c r="BL27" s="727">
        <f t="shared" si="76"/>
        <v>0</v>
      </c>
      <c r="BM27" s="727">
        <f t="shared" si="77"/>
        <v>0</v>
      </c>
    </row>
    <row r="28" spans="1:65" x14ac:dyDescent="0.3">
      <c r="B28" s="233" t="str">
        <f t="shared" si="78"/>
        <v>TRABDR00</v>
      </c>
      <c r="C28" s="234"/>
      <c r="D28" s="235"/>
      <c r="E28" s="234"/>
      <c r="F28" s="234"/>
      <c r="G28" s="234"/>
      <c r="H28" s="236">
        <f>$K$5</f>
        <v>2050</v>
      </c>
      <c r="I28" s="224"/>
      <c r="J28" s="237" t="s">
        <v>1064</v>
      </c>
      <c r="K28" s="237" t="s">
        <v>85</v>
      </c>
      <c r="L28" s="636">
        <f t="shared" si="93"/>
        <v>0</v>
      </c>
      <c r="M28" s="636">
        <f t="shared" si="79"/>
        <v>0</v>
      </c>
      <c r="N28" s="636">
        <f t="shared" si="80"/>
        <v>0</v>
      </c>
      <c r="O28" s="636">
        <f t="shared" si="81"/>
        <v>0</v>
      </c>
      <c r="P28" s="636">
        <f t="shared" si="82"/>
        <v>0</v>
      </c>
      <c r="Q28" s="636">
        <f t="shared" si="83"/>
        <v>0</v>
      </c>
      <c r="R28" s="636">
        <f t="shared" si="84"/>
        <v>0</v>
      </c>
      <c r="S28" s="636">
        <f t="shared" si="85"/>
        <v>0</v>
      </c>
      <c r="T28" s="636">
        <f t="shared" si="86"/>
        <v>0</v>
      </c>
      <c r="U28" s="636">
        <f t="shared" si="87"/>
        <v>0</v>
      </c>
      <c r="V28" s="636">
        <f t="shared" si="88"/>
        <v>0</v>
      </c>
      <c r="W28" s="636">
        <f t="shared" si="89"/>
        <v>0</v>
      </c>
      <c r="X28" s="636">
        <f t="shared" si="90"/>
        <v>0</v>
      </c>
      <c r="Y28" s="636">
        <f t="shared" si="91"/>
        <v>0</v>
      </c>
      <c r="Z28" s="636">
        <f t="shared" si="92"/>
        <v>0</v>
      </c>
      <c r="AB28" s="19"/>
      <c r="AE28" s="418" t="s">
        <v>1030</v>
      </c>
      <c r="AF28" s="829">
        <f t="shared" si="5"/>
        <v>0</v>
      </c>
      <c r="AG28" s="727">
        <f>SUMIF(TC_Private!$AV$6:$AV$24,TRA_Fuel!$AE28,TC_Private!AX$6:AX$24)+SUMIF(TB!$AV$6:$AV$24,TRA_Fuel!$AE28,TB!AX$6:AX$24)+SUMIF(TF_Private!$AV$11:$AV$29,TRA_Fuel!$AE28,TF_Private!AX$11:AX$29)</f>
        <v>0</v>
      </c>
      <c r="AH28" s="722">
        <f>SUMIF(TC_Private!$AV$6:$AV$24,TRA_Fuel!$AE28,TC_Private!AY$6:AY$24)+SUMIF(TB!$AV$6:$AV$24,TRA_Fuel!$AE28,TB!AY$6:AY$24)+SUMIF(TF_Private!$AV$11:$AV$29,TRA_Fuel!$AE28,TF_Private!AY$11:AY$29)</f>
        <v>0</v>
      </c>
      <c r="AI28" s="722">
        <f>SUMIF(TC_Private!$AV$6:$AV$24,TRA_Fuel!$AE28,TC_Private!AZ$6:AZ$24)+SUMIF(TB!$AV$6:$AV$24,TRA_Fuel!$AE28,TB!AZ$6:AZ$24)+SUMIF(TF_Private!$AV$11:$AV$29,TRA_Fuel!$AE28,TF_Private!AZ$11:AZ$29)</f>
        <v>0</v>
      </c>
      <c r="AJ28" s="722">
        <f>SUMIF(TC_Private!$AV$6:$AV$24,TRA_Fuel!$AE28,TC_Private!BA$6:BA$24)+SUMIF(TB!$AV$6:$AV$24,TRA_Fuel!$AE28,TB!BA$6:BA$24)+SUMIF(TF_Private!$AV$11:$AV$29,TRA_Fuel!$AE28,TF_Private!BA$11:BA$29)</f>
        <v>0</v>
      </c>
      <c r="AK28" s="722">
        <f>SUMIF(TC_Private!$AV$6:$AV$24,TRA_Fuel!$AE28,TC_Private!BB$6:BB$24)+SUMIF(TB!$AV$6:$AV$24,TRA_Fuel!$AE28,TB!BB$6:BB$24)+SUMIF(TF_Private!$AV$11:$AV$29,TRA_Fuel!$AE28,TF_Private!BB$11:BB$29)</f>
        <v>0</v>
      </c>
      <c r="AL28" s="722">
        <f>SUMIF(TC_Private!$AV$6:$AV$24,TRA_Fuel!$AE28,TC_Private!BC$6:BC$24)+SUMIF(TB!$AV$6:$AV$24,TRA_Fuel!$AE28,TB!BC$6:BC$24)+SUMIF(TF_Private!$AV$11:$AV$29,TRA_Fuel!$AE28,TF_Private!BC$11:BC$29)</f>
        <v>0</v>
      </c>
      <c r="AM28" s="722">
        <f>SUMIF(TC_Private!$AV$6:$AV$24,TRA_Fuel!$AE28,TC_Private!BD$6:BD$24)+SUMIF(TB!$AV$6:$AV$24,TRA_Fuel!$AE28,TB!BD$6:BD$24)+SUMIF(TF_Private!$AV$11:$AV$29,TRA_Fuel!$AE28,TF_Private!BD$11:BD$29)</f>
        <v>0</v>
      </c>
      <c r="AN28" s="722">
        <f>SUMIF(TC_Private!$AV$6:$AV$24,TRA_Fuel!$AE28,TC_Private!BE$6:BE$24)+SUMIF(TB!$AV$6:$AV$24,TRA_Fuel!$AE28,TB!BE$6:BE$24)+SUMIF(TF_Private!$AV$11:$AV$29,TRA_Fuel!$AE28,TF_Private!BE$11:BE$29)</f>
        <v>0</v>
      </c>
      <c r="AO28" s="722">
        <f>SUMIF(TC_Private!$AV$6:$AV$24,TRA_Fuel!$AE28,TC_Private!BF$6:BF$24)+SUMIF(TB!$AV$6:$AV$24,TRA_Fuel!$AE28,TB!BF$6:BF$24)+SUMIF(TF_Private!$AV$11:$AV$29,TRA_Fuel!$AE28,TF_Private!BF$11:BF$29)</f>
        <v>0</v>
      </c>
      <c r="AP28" s="722">
        <f>SUMIF(TC_Private!$AV$6:$AV$24,TRA_Fuel!$AE28,TC_Private!BG$6:BG$24)+SUMIF(TB!$AV$6:$AV$24,TRA_Fuel!$AE28,TB!BG$6:BG$24)+SUMIF(TF_Private!$AV$11:$AV$29,TRA_Fuel!$AE28,TF_Private!BG$11:BG$29)</f>
        <v>0</v>
      </c>
      <c r="AQ28" s="722">
        <f>SUMIF(TC_Private!$AV$6:$AV$24,TRA_Fuel!$AE28,TC_Private!BH$6:BH$24)+SUMIF(TB!$AV$6:$AV$24,TRA_Fuel!$AE28,TB!BH$6:BH$24)+SUMIF(TF_Private!$AV$11:$AV$29,TRA_Fuel!$AE28,TF_Private!BH$11:BH$29)</f>
        <v>0</v>
      </c>
      <c r="AR28" s="722">
        <f>SUMIF(TC_Private!$AV$6:$AV$24,TRA_Fuel!$AE28,TC_Private!BI$6:BI$24)+SUMIF(TB!$AV$6:$AV$24,TRA_Fuel!$AE28,TB!BI$6:BI$24)+SUMIF(TF_Private!$AV$11:$AV$29,TRA_Fuel!$AE28,TF_Private!BI$11:BI$29)</f>
        <v>0</v>
      </c>
      <c r="AS28" s="722">
        <f>SUMIF(TC_Private!$AV$6:$AV$24,TRA_Fuel!$AE28,TC_Private!BJ$6:BJ$24)+SUMIF(TB!$AV$6:$AV$24,TRA_Fuel!$AE28,TB!BJ$6:BJ$24)+SUMIF(TF_Private!$AV$11:$AV$29,TRA_Fuel!$AE28,TF_Private!BJ$11:BJ$29)</f>
        <v>0</v>
      </c>
      <c r="AT28" s="722">
        <f>SUMIF(TC_Private!$AV$6:$AV$24,TRA_Fuel!$AE28,TC_Private!BK$6:BK$24)+SUMIF(TB!$AV$6:$AV$24,TRA_Fuel!$AE28,TB!BK$6:BK$24)+SUMIF(TF_Private!$AV$11:$AV$29,TRA_Fuel!$AE28,TF_Private!BK$11:BK$29)</f>
        <v>0</v>
      </c>
      <c r="AU28" s="722">
        <f>SUMIF(TC_Private!$AV$6:$AV$24,TRA_Fuel!$AE28,TC_Private!BL$6:BL$24)+SUMIF(TB!$AV$6:$AV$24,TRA_Fuel!$AE28,TB!BL$6:BL$24)+SUMIF(TF_Private!$AV$11:$AV$29,TRA_Fuel!$AE28,TF_Private!BL$11:BL$29)</f>
        <v>0</v>
      </c>
      <c r="AW28" s="418" t="str">
        <f t="shared" si="61"/>
        <v>TRALFO</v>
      </c>
      <c r="AX28" s="829">
        <f t="shared" si="62"/>
        <v>0</v>
      </c>
      <c r="AY28" s="727">
        <f t="shared" si="63"/>
        <v>0</v>
      </c>
      <c r="AZ28" s="727">
        <f t="shared" si="64"/>
        <v>0</v>
      </c>
      <c r="BA28" s="727">
        <f t="shared" si="65"/>
        <v>0</v>
      </c>
      <c r="BB28" s="727">
        <f t="shared" si="66"/>
        <v>0</v>
      </c>
      <c r="BC28" s="727">
        <f t="shared" si="67"/>
        <v>0</v>
      </c>
      <c r="BD28" s="727">
        <f t="shared" si="68"/>
        <v>0</v>
      </c>
      <c r="BE28" s="727">
        <f t="shared" si="69"/>
        <v>0</v>
      </c>
      <c r="BF28" s="727">
        <f t="shared" si="70"/>
        <v>0</v>
      </c>
      <c r="BG28" s="727">
        <f t="shared" si="71"/>
        <v>0</v>
      </c>
      <c r="BH28" s="727">
        <f t="shared" si="72"/>
        <v>0</v>
      </c>
      <c r="BI28" s="727">
        <f t="shared" si="73"/>
        <v>0</v>
      </c>
      <c r="BJ28" s="727">
        <f t="shared" si="74"/>
        <v>0</v>
      </c>
      <c r="BK28" s="727">
        <f t="shared" si="75"/>
        <v>0</v>
      </c>
      <c r="BL28" s="727">
        <f t="shared" si="76"/>
        <v>0</v>
      </c>
      <c r="BM28" s="727">
        <f t="shared" si="77"/>
        <v>0</v>
      </c>
    </row>
    <row r="29" spans="1:65" x14ac:dyDescent="0.3">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4">
        <v>1</v>
      </c>
      <c r="M29" s="634">
        <v>1</v>
      </c>
      <c r="N29" s="634">
        <v>1</v>
      </c>
      <c r="O29" s="634">
        <v>1</v>
      </c>
      <c r="P29" s="634">
        <v>1</v>
      </c>
      <c r="Q29" s="634">
        <v>1</v>
      </c>
      <c r="R29" s="634">
        <v>1</v>
      </c>
      <c r="S29" s="634">
        <v>1</v>
      </c>
      <c r="T29" s="634">
        <v>1</v>
      </c>
      <c r="U29" s="634">
        <v>1</v>
      </c>
      <c r="V29" s="634">
        <v>1</v>
      </c>
      <c r="W29" s="634">
        <v>1</v>
      </c>
      <c r="X29" s="634">
        <v>1</v>
      </c>
      <c r="Y29" s="634">
        <v>1</v>
      </c>
      <c r="Z29" s="634">
        <v>1</v>
      </c>
      <c r="AB29" s="19"/>
      <c r="AE29" s="418" t="s">
        <v>1032</v>
      </c>
      <c r="AF29" s="829">
        <f t="shared" si="5"/>
        <v>0</v>
      </c>
      <c r="AG29" s="727">
        <f>SUMIF(TC_Private!$AV$6:$AV$24,TRA_Fuel!$AE29,TC_Private!AX$6:AX$24)+SUMIF(TB!$AV$6:$AV$24,TRA_Fuel!$AE29,TB!AX$6:AX$24)+SUMIF(TF_Private!$AV$11:$AV$29,TRA_Fuel!$AE29,TF_Private!AX$11:AX$29)</f>
        <v>0</v>
      </c>
      <c r="AH29" s="722">
        <f>SUMIF(TC_Private!$AV$6:$AV$24,TRA_Fuel!$AE29,TC_Private!AY$6:AY$24)+SUMIF(TB!$AV$6:$AV$24,TRA_Fuel!$AE29,TB!AY$6:AY$24)+SUMIF(TF_Private!$AV$11:$AV$29,TRA_Fuel!$AE29,TF_Private!AY$11:AY$29)</f>
        <v>0</v>
      </c>
      <c r="AI29" s="722">
        <f>SUMIF(TC_Private!$AV$6:$AV$24,TRA_Fuel!$AE29,TC_Private!AZ$6:AZ$24)+SUMIF(TB!$AV$6:$AV$24,TRA_Fuel!$AE29,TB!AZ$6:AZ$24)+SUMIF(TF_Private!$AV$11:$AV$29,TRA_Fuel!$AE29,TF_Private!AZ$11:AZ$29)</f>
        <v>0</v>
      </c>
      <c r="AJ29" s="722">
        <f>SUMIF(TC_Private!$AV$6:$AV$24,TRA_Fuel!$AE29,TC_Private!BA$6:BA$24)+SUMIF(TB!$AV$6:$AV$24,TRA_Fuel!$AE29,TB!BA$6:BA$24)+SUMIF(TF_Private!$AV$11:$AV$29,TRA_Fuel!$AE29,TF_Private!BA$11:BA$29)</f>
        <v>0</v>
      </c>
      <c r="AK29" s="722">
        <f>SUMIF(TC_Private!$AV$6:$AV$24,TRA_Fuel!$AE29,TC_Private!BB$6:BB$24)+SUMIF(TB!$AV$6:$AV$24,TRA_Fuel!$AE29,TB!BB$6:BB$24)+SUMIF(TF_Private!$AV$11:$AV$29,TRA_Fuel!$AE29,TF_Private!BB$11:BB$29)</f>
        <v>0</v>
      </c>
      <c r="AL29" s="722">
        <f>SUMIF(TC_Private!$AV$6:$AV$24,TRA_Fuel!$AE29,TC_Private!BC$6:BC$24)+SUMIF(TB!$AV$6:$AV$24,TRA_Fuel!$AE29,TB!BC$6:BC$24)+SUMIF(TF_Private!$AV$11:$AV$29,TRA_Fuel!$AE29,TF_Private!BC$11:BC$29)</f>
        <v>0</v>
      </c>
      <c r="AM29" s="722">
        <f>SUMIF(TC_Private!$AV$6:$AV$24,TRA_Fuel!$AE29,TC_Private!BD$6:BD$24)+SUMIF(TB!$AV$6:$AV$24,TRA_Fuel!$AE29,TB!BD$6:BD$24)+SUMIF(TF_Private!$AV$11:$AV$29,TRA_Fuel!$AE29,TF_Private!BD$11:BD$29)</f>
        <v>0</v>
      </c>
      <c r="AN29" s="722">
        <f>SUMIF(TC_Private!$AV$6:$AV$24,TRA_Fuel!$AE29,TC_Private!BE$6:BE$24)+SUMIF(TB!$AV$6:$AV$24,TRA_Fuel!$AE29,TB!BE$6:BE$24)+SUMIF(TF_Private!$AV$11:$AV$29,TRA_Fuel!$AE29,TF_Private!BE$11:BE$29)</f>
        <v>0</v>
      </c>
      <c r="AO29" s="722">
        <f>SUMIF(TC_Private!$AV$6:$AV$24,TRA_Fuel!$AE29,TC_Private!BF$6:BF$24)+SUMIF(TB!$AV$6:$AV$24,TRA_Fuel!$AE29,TB!BF$6:BF$24)+SUMIF(TF_Private!$AV$11:$AV$29,TRA_Fuel!$AE29,TF_Private!BF$11:BF$29)</f>
        <v>0</v>
      </c>
      <c r="AP29" s="722">
        <f>SUMIF(TC_Private!$AV$6:$AV$24,TRA_Fuel!$AE29,TC_Private!BG$6:BG$24)+SUMIF(TB!$AV$6:$AV$24,TRA_Fuel!$AE29,TB!BG$6:BG$24)+SUMIF(TF_Private!$AV$11:$AV$29,TRA_Fuel!$AE29,TF_Private!BG$11:BG$29)</f>
        <v>0</v>
      </c>
      <c r="AQ29" s="722">
        <f>SUMIF(TC_Private!$AV$6:$AV$24,TRA_Fuel!$AE29,TC_Private!BH$6:BH$24)+SUMIF(TB!$AV$6:$AV$24,TRA_Fuel!$AE29,TB!BH$6:BH$24)+SUMIF(TF_Private!$AV$11:$AV$29,TRA_Fuel!$AE29,TF_Private!BH$11:BH$29)</f>
        <v>0</v>
      </c>
      <c r="AR29" s="722">
        <f>SUMIF(TC_Private!$AV$6:$AV$24,TRA_Fuel!$AE29,TC_Private!BI$6:BI$24)+SUMIF(TB!$AV$6:$AV$24,TRA_Fuel!$AE29,TB!BI$6:BI$24)+SUMIF(TF_Private!$AV$11:$AV$29,TRA_Fuel!$AE29,TF_Private!BI$11:BI$29)</f>
        <v>0</v>
      </c>
      <c r="AS29" s="722">
        <f>SUMIF(TC_Private!$AV$6:$AV$24,TRA_Fuel!$AE29,TC_Private!BJ$6:BJ$24)+SUMIF(TB!$AV$6:$AV$24,TRA_Fuel!$AE29,TB!BJ$6:BJ$24)+SUMIF(TF_Private!$AV$11:$AV$29,TRA_Fuel!$AE29,TF_Private!BJ$11:BJ$29)</f>
        <v>0</v>
      </c>
      <c r="AT29" s="722">
        <f>SUMIF(TC_Private!$AV$6:$AV$24,TRA_Fuel!$AE29,TC_Private!BK$6:BK$24)+SUMIF(TB!$AV$6:$AV$24,TRA_Fuel!$AE29,TB!BK$6:BK$24)+SUMIF(TF_Private!$AV$11:$AV$29,TRA_Fuel!$AE29,TF_Private!BK$11:BK$29)</f>
        <v>0</v>
      </c>
      <c r="AU29" s="722">
        <f>SUMIF(TC_Private!$AV$6:$AV$24,TRA_Fuel!$AE29,TC_Private!BL$6:BL$24)+SUMIF(TB!$AV$6:$AV$24,TRA_Fuel!$AE29,TB!BL$6:BL$24)+SUMIF(TF_Private!$AV$11:$AV$29,TRA_Fuel!$AE29,TF_Private!BL$11:BL$29)</f>
        <v>0</v>
      </c>
      <c r="AW29" s="418" t="str">
        <f>AE29</f>
        <v>TRALPG</v>
      </c>
      <c r="AX29" s="829">
        <f>SUM(AY29:BM29)</f>
        <v>0</v>
      </c>
      <c r="AY29" s="727">
        <f t="shared" ref="AY29:BM31" si="94">AG29/3.6*1000</f>
        <v>0</v>
      </c>
      <c r="AZ29" s="727">
        <f t="shared" si="94"/>
        <v>0</v>
      </c>
      <c r="BA29" s="727">
        <f t="shared" si="94"/>
        <v>0</v>
      </c>
      <c r="BB29" s="727">
        <f t="shared" si="94"/>
        <v>0</v>
      </c>
      <c r="BC29" s="727">
        <f t="shared" si="94"/>
        <v>0</v>
      </c>
      <c r="BD29" s="727">
        <f t="shared" si="94"/>
        <v>0</v>
      </c>
      <c r="BE29" s="727">
        <f t="shared" si="94"/>
        <v>0</v>
      </c>
      <c r="BF29" s="727">
        <f t="shared" si="94"/>
        <v>0</v>
      </c>
      <c r="BG29" s="727">
        <f t="shared" si="94"/>
        <v>0</v>
      </c>
      <c r="BH29" s="727">
        <f t="shared" si="94"/>
        <v>0</v>
      </c>
      <c r="BI29" s="727">
        <f t="shared" si="94"/>
        <v>0</v>
      </c>
      <c r="BJ29" s="727">
        <f t="shared" si="94"/>
        <v>0</v>
      </c>
      <c r="BK29" s="727">
        <f t="shared" si="94"/>
        <v>0</v>
      </c>
      <c r="BL29" s="727">
        <f t="shared" si="94"/>
        <v>0</v>
      </c>
      <c r="BM29" s="727">
        <f t="shared" si="94"/>
        <v>0</v>
      </c>
    </row>
    <row r="30" spans="1:65" x14ac:dyDescent="0.3">
      <c r="B30" s="219" t="str">
        <f>B29</f>
        <v>TRABGS00</v>
      </c>
      <c r="C30" s="224"/>
      <c r="D30" s="230"/>
      <c r="E30" s="224"/>
      <c r="F30" s="224"/>
      <c r="G30" s="224"/>
      <c r="H30" s="231">
        <f>$K$3</f>
        <v>2019</v>
      </c>
      <c r="I30" s="224"/>
      <c r="J30" s="232" t="s">
        <v>1064</v>
      </c>
      <c r="K30" s="232" t="s">
        <v>85</v>
      </c>
      <c r="L30" s="635" cm="1">
        <f t="array" ref="L30">LOOKUP($F29, $AE$11:$AE$34, AG$11:AG$34*$L$6)</f>
        <v>897.55113613050253</v>
      </c>
      <c r="M30" s="635">
        <f t="shared" ref="M30:Z30" si="95">LOOKUP($F29, $AE$11:$AE$34, AH$11:AH$34*$L$6)</f>
        <v>0</v>
      </c>
      <c r="N30" s="635">
        <f t="shared" si="95"/>
        <v>0</v>
      </c>
      <c r="O30" s="635">
        <f t="shared" si="95"/>
        <v>0</v>
      </c>
      <c r="P30" s="635">
        <f t="shared" si="95"/>
        <v>0</v>
      </c>
      <c r="Q30" s="635">
        <f t="shared" si="95"/>
        <v>0</v>
      </c>
      <c r="R30" s="635">
        <f t="shared" si="95"/>
        <v>0</v>
      </c>
      <c r="S30" s="635">
        <f t="shared" si="95"/>
        <v>0</v>
      </c>
      <c r="T30" s="635">
        <f t="shared" si="95"/>
        <v>0</v>
      </c>
      <c r="U30" s="635">
        <f t="shared" si="95"/>
        <v>0</v>
      </c>
      <c r="V30" s="635">
        <f t="shared" si="95"/>
        <v>0</v>
      </c>
      <c r="W30" s="635">
        <f t="shared" si="95"/>
        <v>0</v>
      </c>
      <c r="X30" s="635">
        <f t="shared" si="95"/>
        <v>0</v>
      </c>
      <c r="Y30" s="635">
        <f t="shared" si="95"/>
        <v>0</v>
      </c>
      <c r="Z30" s="635">
        <f t="shared" si="95"/>
        <v>0</v>
      </c>
      <c r="AB30" s="19"/>
      <c r="AE30" s="418" t="s">
        <v>1034</v>
      </c>
      <c r="AF30" s="829">
        <f t="shared" si="5"/>
        <v>0</v>
      </c>
      <c r="AG30" s="727">
        <f>SUMIF(TC_Private!$AV$6:$AV$24,TRA_Fuel!$AE30,TC_Private!AX$6:AX$24)+SUMIF(TB!$AV$6:$AV$24,TRA_Fuel!$AE30,TB!AX$6:AX$24)+SUMIF(TF_Private!$AV$11:$AV$29,TRA_Fuel!$AE30,TF_Private!AX$11:AX$29)</f>
        <v>0</v>
      </c>
      <c r="AH30" s="722">
        <f>SUMIF(TC_Private!$AV$6:$AV$24,TRA_Fuel!$AE30,TC_Private!AY$6:AY$24)+SUMIF(TB!$AV$6:$AV$24,TRA_Fuel!$AE30,TB!AY$6:AY$24)+SUMIF(TF_Private!$AV$11:$AV$29,TRA_Fuel!$AE30,TF_Private!AY$11:AY$29)</f>
        <v>0</v>
      </c>
      <c r="AI30" s="722">
        <f>SUMIF(TC_Private!$AV$6:$AV$24,TRA_Fuel!$AE30,TC_Private!AZ$6:AZ$24)+SUMIF(TB!$AV$6:$AV$24,TRA_Fuel!$AE30,TB!AZ$6:AZ$24)+SUMIF(TF_Private!$AV$11:$AV$29,TRA_Fuel!$AE30,TF_Private!AZ$11:AZ$29)</f>
        <v>0</v>
      </c>
      <c r="AJ30" s="722">
        <f>SUMIF(TC_Private!$AV$6:$AV$24,TRA_Fuel!$AE30,TC_Private!BA$6:BA$24)+SUMIF(TB!$AV$6:$AV$24,TRA_Fuel!$AE30,TB!BA$6:BA$24)+SUMIF(TF_Private!$AV$11:$AV$29,TRA_Fuel!$AE30,TF_Private!BA$11:BA$29)</f>
        <v>0</v>
      </c>
      <c r="AK30" s="722">
        <f>SUMIF(TC_Private!$AV$6:$AV$24,TRA_Fuel!$AE30,TC_Private!BB$6:BB$24)+SUMIF(TB!$AV$6:$AV$24,TRA_Fuel!$AE30,TB!BB$6:BB$24)+SUMIF(TF_Private!$AV$11:$AV$29,TRA_Fuel!$AE30,TF_Private!BB$11:BB$29)</f>
        <v>0</v>
      </c>
      <c r="AL30" s="722">
        <f>SUMIF(TC_Private!$AV$6:$AV$24,TRA_Fuel!$AE30,TC_Private!BC$6:BC$24)+SUMIF(TB!$AV$6:$AV$24,TRA_Fuel!$AE30,TB!BC$6:BC$24)+SUMIF(TF_Private!$AV$11:$AV$29,TRA_Fuel!$AE30,TF_Private!BC$11:BC$29)</f>
        <v>0</v>
      </c>
      <c r="AM30" s="722">
        <f>SUMIF(TC_Private!$AV$6:$AV$24,TRA_Fuel!$AE30,TC_Private!BD$6:BD$24)+SUMIF(TB!$AV$6:$AV$24,TRA_Fuel!$AE30,TB!BD$6:BD$24)+SUMIF(TF_Private!$AV$11:$AV$29,TRA_Fuel!$AE30,TF_Private!BD$11:BD$29)</f>
        <v>0</v>
      </c>
      <c r="AN30" s="722">
        <f>SUMIF(TC_Private!$AV$6:$AV$24,TRA_Fuel!$AE30,TC_Private!BE$6:BE$24)+SUMIF(TB!$AV$6:$AV$24,TRA_Fuel!$AE30,TB!BE$6:BE$24)+SUMIF(TF_Private!$AV$11:$AV$29,TRA_Fuel!$AE30,TF_Private!BE$11:BE$29)</f>
        <v>0</v>
      </c>
      <c r="AO30" s="722">
        <f>SUMIF(TC_Private!$AV$6:$AV$24,TRA_Fuel!$AE30,TC_Private!BF$6:BF$24)+SUMIF(TB!$AV$6:$AV$24,TRA_Fuel!$AE30,TB!BF$6:BF$24)+SUMIF(TF_Private!$AV$11:$AV$29,TRA_Fuel!$AE30,TF_Private!BF$11:BF$29)</f>
        <v>0</v>
      </c>
      <c r="AP30" s="722">
        <f>SUMIF(TC_Private!$AV$6:$AV$24,TRA_Fuel!$AE30,TC_Private!BG$6:BG$24)+SUMIF(TB!$AV$6:$AV$24,TRA_Fuel!$AE30,TB!BG$6:BG$24)+SUMIF(TF_Private!$AV$11:$AV$29,TRA_Fuel!$AE30,TF_Private!BG$11:BG$29)</f>
        <v>0</v>
      </c>
      <c r="AQ30" s="722">
        <f>SUMIF(TC_Private!$AV$6:$AV$24,TRA_Fuel!$AE30,TC_Private!BH$6:BH$24)+SUMIF(TB!$AV$6:$AV$24,TRA_Fuel!$AE30,TB!BH$6:BH$24)+SUMIF(TF_Private!$AV$11:$AV$29,TRA_Fuel!$AE30,TF_Private!BH$11:BH$29)</f>
        <v>0</v>
      </c>
      <c r="AR30" s="722">
        <f>SUMIF(TC_Private!$AV$6:$AV$24,TRA_Fuel!$AE30,TC_Private!BI$6:BI$24)+SUMIF(TB!$AV$6:$AV$24,TRA_Fuel!$AE30,TB!BI$6:BI$24)+SUMIF(TF_Private!$AV$11:$AV$29,TRA_Fuel!$AE30,TF_Private!BI$11:BI$29)</f>
        <v>0</v>
      </c>
      <c r="AS30" s="722">
        <f>SUMIF(TC_Private!$AV$6:$AV$24,TRA_Fuel!$AE30,TC_Private!BJ$6:BJ$24)+SUMIF(TB!$AV$6:$AV$24,TRA_Fuel!$AE30,TB!BJ$6:BJ$24)+SUMIF(TF_Private!$AV$11:$AV$29,TRA_Fuel!$AE30,TF_Private!BJ$11:BJ$29)</f>
        <v>0</v>
      </c>
      <c r="AT30" s="722">
        <f>SUMIF(TC_Private!$AV$6:$AV$24,TRA_Fuel!$AE30,TC_Private!BK$6:BK$24)+SUMIF(TB!$AV$6:$AV$24,TRA_Fuel!$AE30,TB!BK$6:BK$24)+SUMIF(TF_Private!$AV$11:$AV$29,TRA_Fuel!$AE30,TF_Private!BK$11:BK$29)</f>
        <v>0</v>
      </c>
      <c r="AU30" s="722">
        <f>SUMIF(TC_Private!$AV$6:$AV$24,TRA_Fuel!$AE30,TC_Private!BL$6:BL$24)+SUMIF(TB!$AV$6:$AV$24,TRA_Fuel!$AE30,TB!BL$6:BL$24)+SUMIF(TF_Private!$AV$11:$AV$29,TRA_Fuel!$AE30,TF_Private!BL$11:BL$29)</f>
        <v>0</v>
      </c>
      <c r="AW30" s="418" t="str">
        <f>AE30</f>
        <v>TRAMTH</v>
      </c>
      <c r="AX30" s="829">
        <f>SUM(AY30:BM30)</f>
        <v>0</v>
      </c>
      <c r="AY30" s="727">
        <f t="shared" si="94"/>
        <v>0</v>
      </c>
      <c r="AZ30" s="727">
        <f t="shared" si="94"/>
        <v>0</v>
      </c>
      <c r="BA30" s="727">
        <f t="shared" si="94"/>
        <v>0</v>
      </c>
      <c r="BB30" s="727">
        <f t="shared" si="94"/>
        <v>0</v>
      </c>
      <c r="BC30" s="727">
        <f t="shared" si="94"/>
        <v>0</v>
      </c>
      <c r="BD30" s="727">
        <f t="shared" si="94"/>
        <v>0</v>
      </c>
      <c r="BE30" s="727">
        <f t="shared" si="94"/>
        <v>0</v>
      </c>
      <c r="BF30" s="727">
        <f t="shared" si="94"/>
        <v>0</v>
      </c>
      <c r="BG30" s="727">
        <f t="shared" si="94"/>
        <v>0</v>
      </c>
      <c r="BH30" s="727">
        <f t="shared" si="94"/>
        <v>0</v>
      </c>
      <c r="BI30" s="727">
        <f t="shared" si="94"/>
        <v>0</v>
      </c>
      <c r="BJ30" s="727">
        <f t="shared" si="94"/>
        <v>0</v>
      </c>
      <c r="BK30" s="727">
        <f t="shared" si="94"/>
        <v>0</v>
      </c>
      <c r="BL30" s="727">
        <f t="shared" si="94"/>
        <v>0</v>
      </c>
      <c r="BM30" s="727">
        <f t="shared" si="94"/>
        <v>0</v>
      </c>
    </row>
    <row r="31" spans="1:65" x14ac:dyDescent="0.3">
      <c r="B31" s="219" t="str">
        <f t="shared" ref="B31:B33" si="96">B30</f>
        <v>TRABGS00</v>
      </c>
      <c r="C31" s="224"/>
      <c r="D31" s="230"/>
      <c r="E31" s="224"/>
      <c r="F31" s="224"/>
      <c r="G31" s="224"/>
      <c r="H31" s="231">
        <v>2020</v>
      </c>
      <c r="I31" s="224"/>
      <c r="J31" s="232" t="s">
        <v>1064</v>
      </c>
      <c r="K31" s="232" t="s">
        <v>85</v>
      </c>
      <c r="L31" s="635">
        <f t="shared" ref="L31:Z34" si="97">L$30*LOOKUP($H31, $AF$47:$AF$50, AG$47:AG$50)</f>
        <v>718.04090890440204</v>
      </c>
      <c r="M31" s="635">
        <f t="shared" si="97"/>
        <v>0</v>
      </c>
      <c r="N31" s="635">
        <f t="shared" si="97"/>
        <v>0</v>
      </c>
      <c r="O31" s="635">
        <f t="shared" si="97"/>
        <v>0</v>
      </c>
      <c r="P31" s="635">
        <f t="shared" si="97"/>
        <v>0</v>
      </c>
      <c r="Q31" s="635">
        <f t="shared" si="97"/>
        <v>0</v>
      </c>
      <c r="R31" s="635">
        <f t="shared" si="97"/>
        <v>0</v>
      </c>
      <c r="S31" s="635">
        <f t="shared" si="97"/>
        <v>0</v>
      </c>
      <c r="T31" s="635">
        <f t="shared" si="97"/>
        <v>0</v>
      </c>
      <c r="U31" s="635">
        <f t="shared" si="97"/>
        <v>0</v>
      </c>
      <c r="V31" s="635">
        <f t="shared" si="97"/>
        <v>0</v>
      </c>
      <c r="W31" s="635">
        <f t="shared" si="97"/>
        <v>0</v>
      </c>
      <c r="X31" s="635">
        <f t="shared" si="97"/>
        <v>0</v>
      </c>
      <c r="Y31" s="635">
        <f t="shared" si="97"/>
        <v>0</v>
      </c>
      <c r="Z31" s="635">
        <f t="shared" si="97"/>
        <v>0</v>
      </c>
      <c r="AB31" s="19"/>
      <c r="AE31" s="418" t="s">
        <v>1038</v>
      </c>
      <c r="AF31" s="829">
        <f t="shared" si="5"/>
        <v>102.71224630702677</v>
      </c>
      <c r="AG31" s="727">
        <f>SUMIF(TC_Private!$AV$6:$AV$24,TRA_Fuel!$AE31,TC_Private!AX$6:AX$24)+SUMIF(TB!$AV$6:$AV$24,TRA_Fuel!$AE31,TB!AX$6:AX$24)+SUMIF(TF_Private!$AV$11:$AV$29,TRA_Fuel!$AE31,TF_Private!AX$11:AX$29)</f>
        <v>102.71224630702677</v>
      </c>
      <c r="AH31" s="722">
        <f>SUMIF(TC_Private!$AV$6:$AV$24,TRA_Fuel!$AE31,TC_Private!AY$6:AY$24)+SUMIF(TB!$AV$6:$AV$24,TRA_Fuel!$AE31,TB!AY$6:AY$24)+SUMIF(TF_Private!$AV$11:$AV$29,TRA_Fuel!$AE31,TF_Private!AY$11:AY$29)</f>
        <v>0</v>
      </c>
      <c r="AI31" s="722">
        <f>SUMIF(TC_Private!$AV$6:$AV$24,TRA_Fuel!$AE31,TC_Private!AZ$6:AZ$24)+SUMIF(TB!$AV$6:$AV$24,TRA_Fuel!$AE31,TB!AZ$6:AZ$24)+SUMIF(TF_Private!$AV$11:$AV$29,TRA_Fuel!$AE31,TF_Private!AZ$11:AZ$29)</f>
        <v>0</v>
      </c>
      <c r="AJ31" s="722">
        <f>SUMIF(TC_Private!$AV$6:$AV$24,TRA_Fuel!$AE31,TC_Private!BA$6:BA$24)+SUMIF(TB!$AV$6:$AV$24,TRA_Fuel!$AE31,TB!BA$6:BA$24)+SUMIF(TF_Private!$AV$11:$AV$29,TRA_Fuel!$AE31,TF_Private!BA$11:BA$29)</f>
        <v>0</v>
      </c>
      <c r="AK31" s="722">
        <f>SUMIF(TC_Private!$AV$6:$AV$24,TRA_Fuel!$AE31,TC_Private!BB$6:BB$24)+SUMIF(TB!$AV$6:$AV$24,TRA_Fuel!$AE31,TB!BB$6:BB$24)+SUMIF(TF_Private!$AV$11:$AV$29,TRA_Fuel!$AE31,TF_Private!BB$11:BB$29)</f>
        <v>0</v>
      </c>
      <c r="AL31" s="722">
        <f>SUMIF(TC_Private!$AV$6:$AV$24,TRA_Fuel!$AE31,TC_Private!BC$6:BC$24)+SUMIF(TB!$AV$6:$AV$24,TRA_Fuel!$AE31,TB!BC$6:BC$24)+SUMIF(TF_Private!$AV$11:$AV$29,TRA_Fuel!$AE31,TF_Private!BC$11:BC$29)</f>
        <v>0</v>
      </c>
      <c r="AM31" s="722">
        <f>SUMIF(TC_Private!$AV$6:$AV$24,TRA_Fuel!$AE31,TC_Private!BD$6:BD$24)+SUMIF(TB!$AV$6:$AV$24,TRA_Fuel!$AE31,TB!BD$6:BD$24)+SUMIF(TF_Private!$AV$11:$AV$29,TRA_Fuel!$AE31,TF_Private!BD$11:BD$29)</f>
        <v>0</v>
      </c>
      <c r="AN31" s="722">
        <f>SUMIF(TC_Private!$AV$6:$AV$24,TRA_Fuel!$AE31,TC_Private!BE$6:BE$24)+SUMIF(TB!$AV$6:$AV$24,TRA_Fuel!$AE31,TB!BE$6:BE$24)+SUMIF(TF_Private!$AV$11:$AV$29,TRA_Fuel!$AE31,TF_Private!BE$11:BE$29)</f>
        <v>0</v>
      </c>
      <c r="AO31" s="722">
        <f>SUMIF(TC_Private!$AV$6:$AV$24,TRA_Fuel!$AE31,TC_Private!BF$6:BF$24)+SUMIF(TB!$AV$6:$AV$24,TRA_Fuel!$AE31,TB!BF$6:BF$24)+SUMIF(TF_Private!$AV$11:$AV$29,TRA_Fuel!$AE31,TF_Private!BF$11:BF$29)</f>
        <v>0</v>
      </c>
      <c r="AP31" s="722">
        <f>SUMIF(TC_Private!$AV$6:$AV$24,TRA_Fuel!$AE31,TC_Private!BG$6:BG$24)+SUMIF(TB!$AV$6:$AV$24,TRA_Fuel!$AE31,TB!BG$6:BG$24)+SUMIF(TF_Private!$AV$11:$AV$29,TRA_Fuel!$AE31,TF_Private!BG$11:BG$29)</f>
        <v>0</v>
      </c>
      <c r="AQ31" s="722">
        <f>SUMIF(TC_Private!$AV$6:$AV$24,TRA_Fuel!$AE31,TC_Private!BH$6:BH$24)+SUMIF(TB!$AV$6:$AV$24,TRA_Fuel!$AE31,TB!BH$6:BH$24)+SUMIF(TF_Private!$AV$11:$AV$29,TRA_Fuel!$AE31,TF_Private!BH$11:BH$29)</f>
        <v>0</v>
      </c>
      <c r="AR31" s="722">
        <f>SUMIF(TC_Private!$AV$6:$AV$24,TRA_Fuel!$AE31,TC_Private!BI$6:BI$24)+SUMIF(TB!$AV$6:$AV$24,TRA_Fuel!$AE31,TB!BI$6:BI$24)+SUMIF(TF_Private!$AV$11:$AV$29,TRA_Fuel!$AE31,TF_Private!BI$11:BI$29)</f>
        <v>0</v>
      </c>
      <c r="AS31" s="722">
        <f>SUMIF(TC_Private!$AV$6:$AV$24,TRA_Fuel!$AE31,TC_Private!BJ$6:BJ$24)+SUMIF(TB!$AV$6:$AV$24,TRA_Fuel!$AE31,TB!BJ$6:BJ$24)+SUMIF(TF_Private!$AV$11:$AV$29,TRA_Fuel!$AE31,TF_Private!BJ$11:BJ$29)</f>
        <v>0</v>
      </c>
      <c r="AT31" s="722">
        <f>SUMIF(TC_Private!$AV$6:$AV$24,TRA_Fuel!$AE31,TC_Private!BK$6:BK$24)+SUMIF(TB!$AV$6:$AV$24,TRA_Fuel!$AE31,TB!BK$6:BK$24)+SUMIF(TF_Private!$AV$11:$AV$29,TRA_Fuel!$AE31,TF_Private!BK$11:BK$29)</f>
        <v>0</v>
      </c>
      <c r="AU31" s="722">
        <f>SUMIF(TC_Private!$AV$6:$AV$24,TRA_Fuel!$AE31,TC_Private!BL$6:BL$24)+SUMIF(TB!$AV$6:$AV$24,TRA_Fuel!$AE31,TB!BL$6:BL$24)+SUMIF(TF_Private!$AV$11:$AV$29,TRA_Fuel!$AE31,TF_Private!BL$11:BL$29)</f>
        <v>0</v>
      </c>
      <c r="AW31" s="418" t="str">
        <f>AE31</f>
        <v>TRANGS</v>
      </c>
      <c r="AX31" s="829">
        <f>SUM(AY31:BM31)</f>
        <v>28531.179529729659</v>
      </c>
      <c r="AY31" s="727">
        <f t="shared" si="94"/>
        <v>28531.179529729659</v>
      </c>
      <c r="AZ31" s="727">
        <f t="shared" si="94"/>
        <v>0</v>
      </c>
      <c r="BA31" s="727">
        <f t="shared" si="94"/>
        <v>0</v>
      </c>
      <c r="BB31" s="727">
        <f t="shared" si="94"/>
        <v>0</v>
      </c>
      <c r="BC31" s="727">
        <f t="shared" si="94"/>
        <v>0</v>
      </c>
      <c r="BD31" s="727">
        <f t="shared" si="94"/>
        <v>0</v>
      </c>
      <c r="BE31" s="727">
        <f t="shared" si="94"/>
        <v>0</v>
      </c>
      <c r="BF31" s="727">
        <f t="shared" si="94"/>
        <v>0</v>
      </c>
      <c r="BG31" s="727">
        <f t="shared" si="94"/>
        <v>0</v>
      </c>
      <c r="BH31" s="727">
        <f t="shared" si="94"/>
        <v>0</v>
      </c>
      <c r="BI31" s="727">
        <f t="shared" si="94"/>
        <v>0</v>
      </c>
      <c r="BJ31" s="727">
        <f t="shared" si="94"/>
        <v>0</v>
      </c>
      <c r="BK31" s="727">
        <f t="shared" si="94"/>
        <v>0</v>
      </c>
      <c r="BL31" s="727">
        <f t="shared" si="94"/>
        <v>0</v>
      </c>
      <c r="BM31" s="727">
        <f t="shared" si="94"/>
        <v>0</v>
      </c>
    </row>
    <row r="32" spans="1:65" x14ac:dyDescent="0.3">
      <c r="B32" s="219" t="str">
        <f t="shared" si="96"/>
        <v>TRABGS00</v>
      </c>
      <c r="C32" s="224"/>
      <c r="D32" s="230"/>
      <c r="E32" s="224"/>
      <c r="F32" s="224"/>
      <c r="G32" s="224"/>
      <c r="H32" s="231">
        <v>2030</v>
      </c>
      <c r="I32" s="224"/>
      <c r="J32" s="232" t="s">
        <v>1064</v>
      </c>
      <c r="K32" s="232" t="s">
        <v>85</v>
      </c>
      <c r="L32" s="635">
        <f t="shared" si="97"/>
        <v>359.02045445220102</v>
      </c>
      <c r="M32" s="635">
        <f t="shared" si="97"/>
        <v>0</v>
      </c>
      <c r="N32" s="635">
        <f t="shared" si="97"/>
        <v>0</v>
      </c>
      <c r="O32" s="635">
        <f t="shared" si="97"/>
        <v>0</v>
      </c>
      <c r="P32" s="635">
        <f t="shared" si="97"/>
        <v>0</v>
      </c>
      <c r="Q32" s="635">
        <f t="shared" si="97"/>
        <v>0</v>
      </c>
      <c r="R32" s="635">
        <f t="shared" si="97"/>
        <v>0</v>
      </c>
      <c r="S32" s="635">
        <f t="shared" si="97"/>
        <v>0</v>
      </c>
      <c r="T32" s="635">
        <f t="shared" si="97"/>
        <v>0</v>
      </c>
      <c r="U32" s="635">
        <f t="shared" si="97"/>
        <v>0</v>
      </c>
      <c r="V32" s="635">
        <f t="shared" si="97"/>
        <v>0</v>
      </c>
      <c r="W32" s="635">
        <f t="shared" si="97"/>
        <v>0</v>
      </c>
      <c r="X32" s="635">
        <f t="shared" si="97"/>
        <v>0</v>
      </c>
      <c r="Y32" s="635">
        <f t="shared" si="97"/>
        <v>0</v>
      </c>
      <c r="Z32" s="635">
        <f t="shared" si="97"/>
        <v>0</v>
      </c>
      <c r="AB32" s="19"/>
      <c r="AE32" s="418"/>
      <c r="AF32" s="861"/>
      <c r="AG32" s="722"/>
      <c r="AH32" s="722"/>
      <c r="AI32" s="722"/>
      <c r="AJ32" s="722"/>
      <c r="AK32" s="722"/>
      <c r="AL32" s="722"/>
      <c r="AM32" s="722"/>
      <c r="AN32" s="722"/>
      <c r="AO32" s="722"/>
      <c r="AP32" s="722"/>
      <c r="AQ32" s="722"/>
      <c r="AR32" s="722"/>
      <c r="AS32" s="722"/>
      <c r="AT32" s="722"/>
      <c r="AU32" s="722"/>
      <c r="AW32" s="418"/>
      <c r="AX32" s="829"/>
      <c r="AY32" s="727"/>
      <c r="AZ32" s="727"/>
      <c r="BA32" s="727"/>
      <c r="BB32" s="727"/>
      <c r="BC32" s="727"/>
      <c r="BD32" s="727"/>
      <c r="BE32" s="727"/>
      <c r="BF32" s="727"/>
      <c r="BG32" s="727"/>
      <c r="BH32" s="727"/>
      <c r="BI32" s="727"/>
      <c r="BJ32" s="727"/>
      <c r="BK32" s="727"/>
      <c r="BL32" s="727"/>
      <c r="BM32" s="727"/>
    </row>
    <row r="33" spans="1:67" x14ac:dyDescent="0.3">
      <c r="B33" s="219" t="str">
        <f t="shared" si="96"/>
        <v>TRABGS00</v>
      </c>
      <c r="C33" s="224"/>
      <c r="D33" s="230"/>
      <c r="E33" s="224"/>
      <c r="F33" s="224"/>
      <c r="G33" s="224"/>
      <c r="H33" s="231">
        <v>2040</v>
      </c>
      <c r="I33" s="224"/>
      <c r="J33" s="232" t="s">
        <v>1064</v>
      </c>
      <c r="K33" s="232" t="s">
        <v>85</v>
      </c>
      <c r="L33" s="635">
        <f t="shared" si="97"/>
        <v>0</v>
      </c>
      <c r="M33" s="635">
        <f t="shared" si="97"/>
        <v>0</v>
      </c>
      <c r="N33" s="635">
        <f t="shared" si="97"/>
        <v>0</v>
      </c>
      <c r="O33" s="635">
        <f t="shared" si="97"/>
        <v>0</v>
      </c>
      <c r="P33" s="635">
        <f t="shared" si="97"/>
        <v>0</v>
      </c>
      <c r="Q33" s="635">
        <f t="shared" si="97"/>
        <v>0</v>
      </c>
      <c r="R33" s="635">
        <f t="shared" si="97"/>
        <v>0</v>
      </c>
      <c r="S33" s="635">
        <f t="shared" si="97"/>
        <v>0</v>
      </c>
      <c r="T33" s="635">
        <f t="shared" si="97"/>
        <v>0</v>
      </c>
      <c r="U33" s="635">
        <f t="shared" si="97"/>
        <v>0</v>
      </c>
      <c r="V33" s="635">
        <f t="shared" si="97"/>
        <v>0</v>
      </c>
      <c r="W33" s="635">
        <f t="shared" si="97"/>
        <v>0</v>
      </c>
      <c r="X33" s="635">
        <f t="shared" si="97"/>
        <v>0</v>
      </c>
      <c r="Y33" s="635">
        <f t="shared" si="97"/>
        <v>0</v>
      </c>
      <c r="Z33" s="635">
        <f t="shared" si="97"/>
        <v>0</v>
      </c>
      <c r="AB33" s="19"/>
      <c r="AE33" s="418"/>
      <c r="AF33" s="861"/>
      <c r="AG33" s="722"/>
      <c r="AH33" s="722"/>
      <c r="AI33" s="722"/>
      <c r="AJ33" s="722"/>
      <c r="AK33" s="722"/>
      <c r="AL33" s="722"/>
      <c r="AM33" s="722"/>
      <c r="AN33" s="722"/>
      <c r="AO33" s="722"/>
      <c r="AP33" s="722"/>
      <c r="AQ33" s="722"/>
      <c r="AR33" s="722"/>
      <c r="AS33" s="722"/>
      <c r="AT33" s="722"/>
      <c r="AU33" s="722"/>
      <c r="AW33" s="418"/>
      <c r="AX33" s="829"/>
      <c r="AY33" s="727"/>
      <c r="AZ33" s="727"/>
      <c r="BA33" s="727"/>
      <c r="BB33" s="727"/>
      <c r="BC33" s="727"/>
      <c r="BD33" s="727"/>
      <c r="BE33" s="727"/>
      <c r="BF33" s="727"/>
      <c r="BG33" s="727"/>
      <c r="BH33" s="727"/>
      <c r="BI33" s="727"/>
      <c r="BJ33" s="727"/>
      <c r="BK33" s="727"/>
      <c r="BL33" s="727"/>
      <c r="BM33" s="727"/>
    </row>
    <row r="34" spans="1:67" x14ac:dyDescent="0.3">
      <c r="B34" s="233" t="str">
        <f>B29</f>
        <v>TRABGS00</v>
      </c>
      <c r="C34" s="234"/>
      <c r="D34" s="235"/>
      <c r="E34" s="234"/>
      <c r="F34" s="234"/>
      <c r="G34" s="234"/>
      <c r="H34" s="236">
        <f>$K$5</f>
        <v>2050</v>
      </c>
      <c r="I34" s="224"/>
      <c r="J34" s="237" t="s">
        <v>1064</v>
      </c>
      <c r="K34" s="237" t="s">
        <v>85</v>
      </c>
      <c r="L34" s="636">
        <f t="shared" si="97"/>
        <v>0</v>
      </c>
      <c r="M34" s="636">
        <f t="shared" si="97"/>
        <v>0</v>
      </c>
      <c r="N34" s="636">
        <f t="shared" si="97"/>
        <v>0</v>
      </c>
      <c r="O34" s="636">
        <f t="shared" si="97"/>
        <v>0</v>
      </c>
      <c r="P34" s="636">
        <f t="shared" si="97"/>
        <v>0</v>
      </c>
      <c r="Q34" s="636">
        <f t="shared" si="97"/>
        <v>0</v>
      </c>
      <c r="R34" s="636">
        <f t="shared" si="97"/>
        <v>0</v>
      </c>
      <c r="S34" s="636">
        <f t="shared" si="97"/>
        <v>0</v>
      </c>
      <c r="T34" s="636">
        <f t="shared" si="97"/>
        <v>0</v>
      </c>
      <c r="U34" s="636">
        <f t="shared" si="97"/>
        <v>0</v>
      </c>
      <c r="V34" s="636">
        <f t="shared" si="97"/>
        <v>0</v>
      </c>
      <c r="W34" s="636">
        <f t="shared" si="97"/>
        <v>0</v>
      </c>
      <c r="X34" s="636">
        <f t="shared" si="97"/>
        <v>0</v>
      </c>
      <c r="Y34" s="636">
        <f t="shared" si="97"/>
        <v>0</v>
      </c>
      <c r="Z34" s="636">
        <f t="shared" si="97"/>
        <v>0</v>
      </c>
      <c r="AB34" s="19"/>
      <c r="AE34" s="418"/>
      <c r="AF34" s="861"/>
      <c r="AG34" s="722"/>
      <c r="AH34" s="722"/>
      <c r="AI34" s="722"/>
      <c r="AJ34" s="722"/>
      <c r="AK34" s="722"/>
      <c r="AL34" s="722"/>
      <c r="AM34" s="722"/>
      <c r="AN34" s="722"/>
      <c r="AO34" s="722"/>
      <c r="AP34" s="722"/>
      <c r="AQ34" s="722"/>
      <c r="AR34" s="722"/>
      <c r="AS34" s="722"/>
      <c r="AT34" s="722"/>
      <c r="AU34" s="722"/>
      <c r="AW34" s="418"/>
      <c r="AX34" s="829"/>
      <c r="AY34" s="727"/>
      <c r="AZ34" s="727"/>
      <c r="BA34" s="727"/>
      <c r="BB34" s="727"/>
      <c r="BC34" s="727"/>
      <c r="BD34" s="727"/>
      <c r="BE34" s="727"/>
      <c r="BF34" s="727"/>
      <c r="BG34" s="727"/>
      <c r="BH34" s="727"/>
      <c r="BI34" s="727"/>
      <c r="BJ34" s="727"/>
      <c r="BK34" s="727"/>
      <c r="BL34" s="727"/>
      <c r="BM34" s="727"/>
    </row>
    <row r="35" spans="1:67" x14ac:dyDescent="0.3">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4">
        <v>1</v>
      </c>
      <c r="M35" s="634">
        <v>1</v>
      </c>
      <c r="N35" s="634">
        <v>1</v>
      </c>
      <c r="O35" s="634">
        <v>1</v>
      </c>
      <c r="P35" s="634">
        <v>1</v>
      </c>
      <c r="Q35" s="634">
        <v>1</v>
      </c>
      <c r="R35" s="634">
        <v>1</v>
      </c>
      <c r="S35" s="634">
        <v>1</v>
      </c>
      <c r="T35" s="634">
        <v>1</v>
      </c>
      <c r="U35" s="634">
        <v>1</v>
      </c>
      <c r="V35" s="634">
        <v>1</v>
      </c>
      <c r="W35" s="634">
        <v>1</v>
      </c>
      <c r="X35" s="634">
        <v>1</v>
      </c>
      <c r="Y35" s="634">
        <v>1</v>
      </c>
      <c r="Z35" s="634">
        <v>1</v>
      </c>
      <c r="AB35" s="19"/>
    </row>
    <row r="36" spans="1:67" x14ac:dyDescent="0.3">
      <c r="B36" s="219" t="str">
        <f>B35</f>
        <v>TRABGSLM00</v>
      </c>
      <c r="C36" s="224"/>
      <c r="D36" s="230"/>
      <c r="E36" s="224"/>
      <c r="F36" s="224"/>
      <c r="G36" s="224"/>
      <c r="H36" s="231">
        <f>$K$3</f>
        <v>2019</v>
      </c>
      <c r="I36" s="224"/>
      <c r="J36" s="232" t="s">
        <v>1064</v>
      </c>
      <c r="K36" s="232" t="s">
        <v>85</v>
      </c>
      <c r="L36" s="635">
        <f t="shared" ref="L36:Z36" si="98">LOOKUP($F35, $AE$11:$AE$34, AG$11:AG$34*$L$6)</f>
        <v>0</v>
      </c>
      <c r="M36" s="635">
        <f t="shared" si="98"/>
        <v>0</v>
      </c>
      <c r="N36" s="635">
        <f t="shared" si="98"/>
        <v>0</v>
      </c>
      <c r="O36" s="635">
        <f t="shared" si="98"/>
        <v>0</v>
      </c>
      <c r="P36" s="635">
        <f t="shared" si="98"/>
        <v>0</v>
      </c>
      <c r="Q36" s="635">
        <f t="shared" si="98"/>
        <v>0</v>
      </c>
      <c r="R36" s="635">
        <f t="shared" si="98"/>
        <v>0</v>
      </c>
      <c r="S36" s="635">
        <f t="shared" si="98"/>
        <v>0</v>
      </c>
      <c r="T36" s="635">
        <f t="shared" si="98"/>
        <v>0</v>
      </c>
      <c r="U36" s="635">
        <f t="shared" si="98"/>
        <v>0</v>
      </c>
      <c r="V36" s="635">
        <f t="shared" si="98"/>
        <v>0</v>
      </c>
      <c r="W36" s="635">
        <f t="shared" si="98"/>
        <v>0</v>
      </c>
      <c r="X36" s="635">
        <f t="shared" si="98"/>
        <v>0</v>
      </c>
      <c r="Y36" s="635">
        <f t="shared" si="98"/>
        <v>0</v>
      </c>
      <c r="Z36" s="635">
        <f t="shared" si="98"/>
        <v>0</v>
      </c>
      <c r="AB36" s="19"/>
    </row>
    <row r="37" spans="1:67" x14ac:dyDescent="0.3">
      <c r="B37" s="219" t="str">
        <f t="shared" ref="B37:B39" si="99">B36</f>
        <v>TRABGSLM00</v>
      </c>
      <c r="C37" s="224"/>
      <c r="D37" s="230"/>
      <c r="E37" s="224"/>
      <c r="F37" s="224"/>
      <c r="G37" s="224"/>
      <c r="H37" s="231">
        <v>2020</v>
      </c>
      <c r="I37" s="224"/>
      <c r="J37" s="232" t="s">
        <v>1064</v>
      </c>
      <c r="K37" s="232" t="s">
        <v>85</v>
      </c>
      <c r="L37" s="635">
        <f>L$36*LOOKUP($H37, $AF$47:$AF$50, AG$47:AG$50)</f>
        <v>0</v>
      </c>
      <c r="M37" s="635">
        <f t="shared" ref="M37:M40" si="100">M$36*LOOKUP($H37, $AF$47:$AF$50, AH$47:AH$50)</f>
        <v>0</v>
      </c>
      <c r="N37" s="635">
        <f t="shared" ref="N37:N40" si="101">N$36*LOOKUP($H37, $AF$47:$AF$50, AI$47:AI$50)</f>
        <v>0</v>
      </c>
      <c r="O37" s="635">
        <f t="shared" ref="O37:O40" si="102">O$36*LOOKUP($H37, $AF$47:$AF$50, AJ$47:AJ$50)</f>
        <v>0</v>
      </c>
      <c r="P37" s="635">
        <f t="shared" ref="P37:P40" si="103">P$36*LOOKUP($H37, $AF$47:$AF$50, AK$47:AK$50)</f>
        <v>0</v>
      </c>
      <c r="Q37" s="635">
        <f t="shared" ref="Q37:Q40" si="104">Q$36*LOOKUP($H37, $AF$47:$AF$50, AL$47:AL$50)</f>
        <v>0</v>
      </c>
      <c r="R37" s="635">
        <f t="shared" ref="R37:R40" si="105">R$36*LOOKUP($H37, $AF$47:$AF$50, AM$47:AM$50)</f>
        <v>0</v>
      </c>
      <c r="S37" s="635">
        <f t="shared" ref="S37:S40" si="106">S$36*LOOKUP($H37, $AF$47:$AF$50, AN$47:AN$50)</f>
        <v>0</v>
      </c>
      <c r="T37" s="635">
        <f t="shared" ref="T37:T40" si="107">T$36*LOOKUP($H37, $AF$47:$AF$50, AO$47:AO$50)</f>
        <v>0</v>
      </c>
      <c r="U37" s="635">
        <f t="shared" ref="U37:U40" si="108">U$36*LOOKUP($H37, $AF$47:$AF$50, AP$47:AP$50)</f>
        <v>0</v>
      </c>
      <c r="V37" s="635">
        <f t="shared" ref="V37:V40" si="109">V$36*LOOKUP($H37, $AF$47:$AF$50, AQ$47:AQ$50)</f>
        <v>0</v>
      </c>
      <c r="W37" s="635">
        <f t="shared" ref="W37:W40" si="110">W$36*LOOKUP($H37, $AF$47:$AF$50, AR$47:AR$50)</f>
        <v>0</v>
      </c>
      <c r="X37" s="635">
        <f t="shared" ref="X37:X40" si="111">X$36*LOOKUP($H37, $AF$47:$AF$50, AS$47:AS$50)</f>
        <v>0</v>
      </c>
      <c r="Y37" s="635">
        <f t="shared" ref="Y37:Y40" si="112">Y$36*LOOKUP($H37, $AF$47:$AF$50, AT$47:AT$50)</f>
        <v>0</v>
      </c>
      <c r="Z37" s="635">
        <f t="shared" ref="Z37:Z40" si="113">Z$36*LOOKUP($H37, $AF$47:$AF$50, AU$47:AU$50)</f>
        <v>0</v>
      </c>
      <c r="AB37" s="19"/>
    </row>
    <row r="38" spans="1:67" x14ac:dyDescent="0.3">
      <c r="B38" s="219" t="str">
        <f t="shared" si="99"/>
        <v>TRABGSLM00</v>
      </c>
      <c r="C38" s="224"/>
      <c r="D38" s="230"/>
      <c r="E38" s="224"/>
      <c r="F38" s="224"/>
      <c r="G38" s="224"/>
      <c r="H38" s="231">
        <v>2030</v>
      </c>
      <c r="I38" s="224"/>
      <c r="J38" s="232" t="s">
        <v>1064</v>
      </c>
      <c r="K38" s="232" t="s">
        <v>85</v>
      </c>
      <c r="L38" s="635">
        <f t="shared" ref="L38:L40" si="114">L$36*LOOKUP($H38, $AF$47:$AF$50, AG$47:AG$50)</f>
        <v>0</v>
      </c>
      <c r="M38" s="635">
        <f t="shared" si="100"/>
        <v>0</v>
      </c>
      <c r="N38" s="635">
        <f t="shared" si="101"/>
        <v>0</v>
      </c>
      <c r="O38" s="635">
        <f t="shared" si="102"/>
        <v>0</v>
      </c>
      <c r="P38" s="635">
        <f t="shared" si="103"/>
        <v>0</v>
      </c>
      <c r="Q38" s="635">
        <f t="shared" si="104"/>
        <v>0</v>
      </c>
      <c r="R38" s="635">
        <f t="shared" si="105"/>
        <v>0</v>
      </c>
      <c r="S38" s="635">
        <f t="shared" si="106"/>
        <v>0</v>
      </c>
      <c r="T38" s="635">
        <f t="shared" si="107"/>
        <v>0</v>
      </c>
      <c r="U38" s="635">
        <f t="shared" si="108"/>
        <v>0</v>
      </c>
      <c r="V38" s="635">
        <f t="shared" si="109"/>
        <v>0</v>
      </c>
      <c r="W38" s="635">
        <f t="shared" si="110"/>
        <v>0</v>
      </c>
      <c r="X38" s="635">
        <f t="shared" si="111"/>
        <v>0</v>
      </c>
      <c r="Y38" s="635">
        <f t="shared" si="112"/>
        <v>0</v>
      </c>
      <c r="Z38" s="635">
        <f t="shared" si="113"/>
        <v>0</v>
      </c>
      <c r="AB38" s="19"/>
    </row>
    <row r="39" spans="1:67" x14ac:dyDescent="0.3">
      <c r="B39" s="219" t="str">
        <f t="shared" si="99"/>
        <v>TRABGSLM00</v>
      </c>
      <c r="C39" s="224"/>
      <c r="D39" s="230"/>
      <c r="E39" s="224"/>
      <c r="F39" s="224"/>
      <c r="G39" s="224"/>
      <c r="H39" s="231">
        <v>2040</v>
      </c>
      <c r="I39" s="224"/>
      <c r="J39" s="232" t="s">
        <v>1064</v>
      </c>
      <c r="K39" s="232" t="s">
        <v>85</v>
      </c>
      <c r="L39" s="635">
        <f t="shared" si="114"/>
        <v>0</v>
      </c>
      <c r="M39" s="635">
        <f t="shared" si="100"/>
        <v>0</v>
      </c>
      <c r="N39" s="635">
        <f t="shared" si="101"/>
        <v>0</v>
      </c>
      <c r="O39" s="635">
        <f t="shared" si="102"/>
        <v>0</v>
      </c>
      <c r="P39" s="635">
        <f t="shared" si="103"/>
        <v>0</v>
      </c>
      <c r="Q39" s="635">
        <f t="shared" si="104"/>
        <v>0</v>
      </c>
      <c r="R39" s="635">
        <f t="shared" si="105"/>
        <v>0</v>
      </c>
      <c r="S39" s="635">
        <f t="shared" si="106"/>
        <v>0</v>
      </c>
      <c r="T39" s="635">
        <f t="shared" si="107"/>
        <v>0</v>
      </c>
      <c r="U39" s="635">
        <f t="shared" si="108"/>
        <v>0</v>
      </c>
      <c r="V39" s="635">
        <f t="shared" si="109"/>
        <v>0</v>
      </c>
      <c r="W39" s="635">
        <f t="shared" si="110"/>
        <v>0</v>
      </c>
      <c r="X39" s="635">
        <f t="shared" si="111"/>
        <v>0</v>
      </c>
      <c r="Y39" s="635">
        <f t="shared" si="112"/>
        <v>0</v>
      </c>
      <c r="Z39" s="635">
        <f t="shared" si="113"/>
        <v>0</v>
      </c>
      <c r="AB39" s="19"/>
    </row>
    <row r="40" spans="1:67" x14ac:dyDescent="0.3">
      <c r="B40" s="233" t="str">
        <f>B35</f>
        <v>TRABGSLM00</v>
      </c>
      <c r="C40" s="234"/>
      <c r="D40" s="235"/>
      <c r="E40" s="234"/>
      <c r="F40" s="234"/>
      <c r="G40" s="234"/>
      <c r="H40" s="236">
        <f>$K$5</f>
        <v>2050</v>
      </c>
      <c r="I40" s="224"/>
      <c r="J40" s="237" t="s">
        <v>1064</v>
      </c>
      <c r="K40" s="237" t="s">
        <v>85</v>
      </c>
      <c r="L40" s="636">
        <f t="shared" si="114"/>
        <v>0</v>
      </c>
      <c r="M40" s="636">
        <f t="shared" si="100"/>
        <v>0</v>
      </c>
      <c r="N40" s="636">
        <f t="shared" si="101"/>
        <v>0</v>
      </c>
      <c r="O40" s="636">
        <f t="shared" si="102"/>
        <v>0</v>
      </c>
      <c r="P40" s="636">
        <f t="shared" si="103"/>
        <v>0</v>
      </c>
      <c r="Q40" s="636">
        <f t="shared" si="104"/>
        <v>0</v>
      </c>
      <c r="R40" s="636">
        <f t="shared" si="105"/>
        <v>0</v>
      </c>
      <c r="S40" s="636">
        <f t="shared" si="106"/>
        <v>0</v>
      </c>
      <c r="T40" s="636">
        <f t="shared" si="107"/>
        <v>0</v>
      </c>
      <c r="U40" s="636">
        <f t="shared" si="108"/>
        <v>0</v>
      </c>
      <c r="V40" s="636">
        <f t="shared" si="109"/>
        <v>0</v>
      </c>
      <c r="W40" s="636">
        <f t="shared" si="110"/>
        <v>0</v>
      </c>
      <c r="X40" s="636">
        <f t="shared" si="111"/>
        <v>0</v>
      </c>
      <c r="Y40" s="636">
        <f t="shared" si="112"/>
        <v>0</v>
      </c>
      <c r="Z40" s="636">
        <f t="shared" si="113"/>
        <v>0</v>
      </c>
      <c r="AB40" s="19"/>
    </row>
    <row r="41" spans="1:67" x14ac:dyDescent="0.3">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4">
        <v>1</v>
      </c>
      <c r="M41" s="634">
        <v>1</v>
      </c>
      <c r="N41" s="634">
        <v>1</v>
      </c>
      <c r="O41" s="634">
        <v>1</v>
      </c>
      <c r="P41" s="634">
        <v>1</v>
      </c>
      <c r="Q41" s="634">
        <v>1</v>
      </c>
      <c r="R41" s="634">
        <v>1</v>
      </c>
      <c r="S41" s="634">
        <v>1</v>
      </c>
      <c r="T41" s="634">
        <v>1</v>
      </c>
      <c r="U41" s="634">
        <v>1</v>
      </c>
      <c r="V41" s="634">
        <v>1</v>
      </c>
      <c r="W41" s="634">
        <v>1</v>
      </c>
      <c r="X41" s="634">
        <v>1</v>
      </c>
      <c r="Y41" s="634">
        <v>1</v>
      </c>
      <c r="Z41" s="634">
        <v>1</v>
      </c>
      <c r="AB41" s="19"/>
    </row>
    <row r="42" spans="1:67" x14ac:dyDescent="0.3">
      <c r="B42" s="219" t="str">
        <f>B41</f>
        <v>TRABJF00</v>
      </c>
      <c r="C42" s="224"/>
      <c r="D42" s="230"/>
      <c r="E42" s="224"/>
      <c r="F42" s="224"/>
      <c r="G42" s="224"/>
      <c r="H42" s="231">
        <f>$K$3</f>
        <v>2019</v>
      </c>
      <c r="I42" s="224"/>
      <c r="J42" s="232" t="s">
        <v>1064</v>
      </c>
      <c r="K42" s="232" t="s">
        <v>85</v>
      </c>
      <c r="L42" s="635">
        <f t="shared" ref="L42:Z42" si="115">LOOKUP($F41, $AE$11:$AE$34, AG$11:AG$34*$L$6)</f>
        <v>0</v>
      </c>
      <c r="M42" s="635">
        <f t="shared" si="115"/>
        <v>0</v>
      </c>
      <c r="N42" s="635">
        <f t="shared" si="115"/>
        <v>0</v>
      </c>
      <c r="O42" s="635">
        <f t="shared" si="115"/>
        <v>0</v>
      </c>
      <c r="P42" s="635">
        <f t="shared" si="115"/>
        <v>0</v>
      </c>
      <c r="Q42" s="635">
        <f t="shared" si="115"/>
        <v>0</v>
      </c>
      <c r="R42" s="635">
        <f t="shared" si="115"/>
        <v>0</v>
      </c>
      <c r="S42" s="635">
        <f t="shared" si="115"/>
        <v>0</v>
      </c>
      <c r="T42" s="635">
        <f t="shared" si="115"/>
        <v>0</v>
      </c>
      <c r="U42" s="635">
        <f t="shared" si="115"/>
        <v>0</v>
      </c>
      <c r="V42" s="635">
        <f t="shared" si="115"/>
        <v>0</v>
      </c>
      <c r="W42" s="635">
        <f t="shared" si="115"/>
        <v>0</v>
      </c>
      <c r="X42" s="635">
        <f t="shared" si="115"/>
        <v>0</v>
      </c>
      <c r="Y42" s="635">
        <f t="shared" si="115"/>
        <v>0</v>
      </c>
      <c r="Z42" s="635">
        <f t="shared" si="115"/>
        <v>0</v>
      </c>
      <c r="AB42" s="19"/>
    </row>
    <row r="43" spans="1:67" x14ac:dyDescent="0.3">
      <c r="B43" s="219" t="str">
        <f t="shared" ref="B43:B45" si="116">B42</f>
        <v>TRABJF00</v>
      </c>
      <c r="C43" s="224"/>
      <c r="D43" s="230"/>
      <c r="E43" s="224"/>
      <c r="F43" s="224"/>
      <c r="G43" s="224"/>
      <c r="H43" s="231">
        <v>2020</v>
      </c>
      <c r="I43" s="224"/>
      <c r="J43" s="232" t="s">
        <v>1064</v>
      </c>
      <c r="K43" s="232" t="s">
        <v>85</v>
      </c>
      <c r="L43" s="635">
        <f t="shared" ref="L43:Z46" si="117">L$42*LOOKUP($H43, $AF$47:$AF$50, AG$47:AG$50)</f>
        <v>0</v>
      </c>
      <c r="M43" s="635">
        <f t="shared" si="117"/>
        <v>0</v>
      </c>
      <c r="N43" s="635">
        <f t="shared" si="117"/>
        <v>0</v>
      </c>
      <c r="O43" s="635">
        <f t="shared" si="117"/>
        <v>0</v>
      </c>
      <c r="P43" s="635">
        <f t="shared" si="117"/>
        <v>0</v>
      </c>
      <c r="Q43" s="635">
        <f t="shared" si="117"/>
        <v>0</v>
      </c>
      <c r="R43" s="635">
        <f t="shared" si="117"/>
        <v>0</v>
      </c>
      <c r="S43" s="635">
        <f t="shared" si="117"/>
        <v>0</v>
      </c>
      <c r="T43" s="635">
        <f t="shared" si="117"/>
        <v>0</v>
      </c>
      <c r="U43" s="635">
        <f t="shared" si="117"/>
        <v>0</v>
      </c>
      <c r="V43" s="635">
        <f t="shared" si="117"/>
        <v>0</v>
      </c>
      <c r="W43" s="635">
        <f t="shared" si="117"/>
        <v>0</v>
      </c>
      <c r="X43" s="635">
        <f t="shared" si="117"/>
        <v>0</v>
      </c>
      <c r="Y43" s="635">
        <f t="shared" si="117"/>
        <v>0</v>
      </c>
      <c r="Z43" s="635">
        <f t="shared" si="117"/>
        <v>0</v>
      </c>
      <c r="AB43" s="19"/>
    </row>
    <row r="44" spans="1:67" x14ac:dyDescent="0.3">
      <c r="B44" s="219" t="str">
        <f t="shared" si="116"/>
        <v>TRABJF00</v>
      </c>
      <c r="C44" s="224"/>
      <c r="D44" s="230"/>
      <c r="E44" s="224"/>
      <c r="F44" s="224"/>
      <c r="G44" s="224"/>
      <c r="H44" s="231">
        <v>2030</v>
      </c>
      <c r="I44" s="224"/>
      <c r="J44" s="232" t="s">
        <v>1064</v>
      </c>
      <c r="K44" s="232" t="s">
        <v>85</v>
      </c>
      <c r="L44" s="635">
        <f t="shared" si="117"/>
        <v>0</v>
      </c>
      <c r="M44" s="635">
        <f t="shared" si="117"/>
        <v>0</v>
      </c>
      <c r="N44" s="635">
        <f t="shared" si="117"/>
        <v>0</v>
      </c>
      <c r="O44" s="635">
        <f t="shared" si="117"/>
        <v>0</v>
      </c>
      <c r="P44" s="635">
        <f t="shared" si="117"/>
        <v>0</v>
      </c>
      <c r="Q44" s="635">
        <f t="shared" si="117"/>
        <v>0</v>
      </c>
      <c r="R44" s="635">
        <f t="shared" si="117"/>
        <v>0</v>
      </c>
      <c r="S44" s="635">
        <f t="shared" si="117"/>
        <v>0</v>
      </c>
      <c r="T44" s="635">
        <f t="shared" si="117"/>
        <v>0</v>
      </c>
      <c r="U44" s="635">
        <f t="shared" si="117"/>
        <v>0</v>
      </c>
      <c r="V44" s="635">
        <f t="shared" si="117"/>
        <v>0</v>
      </c>
      <c r="W44" s="635">
        <f t="shared" si="117"/>
        <v>0</v>
      </c>
      <c r="X44" s="635">
        <f t="shared" si="117"/>
        <v>0</v>
      </c>
      <c r="Y44" s="635">
        <f t="shared" si="117"/>
        <v>0</v>
      </c>
      <c r="Z44" s="635">
        <f t="shared" si="117"/>
        <v>0</v>
      </c>
      <c r="AB44" s="19"/>
    </row>
    <row r="45" spans="1:67" x14ac:dyDescent="0.3">
      <c r="B45" s="219" t="str">
        <f t="shared" si="116"/>
        <v>TRABJF00</v>
      </c>
      <c r="C45" s="224"/>
      <c r="D45" s="230"/>
      <c r="E45" s="224"/>
      <c r="F45" s="224"/>
      <c r="G45" s="224"/>
      <c r="H45" s="231">
        <v>2040</v>
      </c>
      <c r="I45" s="224"/>
      <c r="J45" s="232" t="s">
        <v>1064</v>
      </c>
      <c r="K45" s="232" t="s">
        <v>85</v>
      </c>
      <c r="L45" s="635">
        <f t="shared" si="117"/>
        <v>0</v>
      </c>
      <c r="M45" s="635">
        <f t="shared" si="117"/>
        <v>0</v>
      </c>
      <c r="N45" s="635">
        <f t="shared" si="117"/>
        <v>0</v>
      </c>
      <c r="O45" s="635">
        <f t="shared" si="117"/>
        <v>0</v>
      </c>
      <c r="P45" s="635">
        <f t="shared" si="117"/>
        <v>0</v>
      </c>
      <c r="Q45" s="635">
        <f t="shared" si="117"/>
        <v>0</v>
      </c>
      <c r="R45" s="635">
        <f t="shared" si="117"/>
        <v>0</v>
      </c>
      <c r="S45" s="635">
        <f t="shared" si="117"/>
        <v>0</v>
      </c>
      <c r="T45" s="635">
        <f t="shared" si="117"/>
        <v>0</v>
      </c>
      <c r="U45" s="635">
        <f t="shared" si="117"/>
        <v>0</v>
      </c>
      <c r="V45" s="635">
        <f t="shared" si="117"/>
        <v>0</v>
      </c>
      <c r="W45" s="635">
        <f t="shared" si="117"/>
        <v>0</v>
      </c>
      <c r="X45" s="635">
        <f t="shared" si="117"/>
        <v>0</v>
      </c>
      <c r="Y45" s="635">
        <f t="shared" si="117"/>
        <v>0</v>
      </c>
      <c r="Z45" s="635">
        <f t="shared" si="117"/>
        <v>0</v>
      </c>
      <c r="AB45" s="19"/>
      <c r="AW45" s="749" t="s">
        <v>1069</v>
      </c>
      <c r="BO45" s="23" t="s">
        <v>1239</v>
      </c>
    </row>
    <row r="46" spans="1:67" x14ac:dyDescent="0.3">
      <c r="B46" s="233" t="str">
        <f>B41</f>
        <v>TRABJF00</v>
      </c>
      <c r="C46" s="234"/>
      <c r="D46" s="235"/>
      <c r="E46" s="234"/>
      <c r="F46" s="234"/>
      <c r="G46" s="234"/>
      <c r="H46" s="236">
        <f>$K$5</f>
        <v>2050</v>
      </c>
      <c r="I46" s="224"/>
      <c r="J46" s="237" t="s">
        <v>1064</v>
      </c>
      <c r="K46" s="237" t="s">
        <v>85</v>
      </c>
      <c r="L46" s="636">
        <f t="shared" si="117"/>
        <v>0</v>
      </c>
      <c r="M46" s="636">
        <f t="shared" si="117"/>
        <v>0</v>
      </c>
      <c r="N46" s="636">
        <f t="shared" si="117"/>
        <v>0</v>
      </c>
      <c r="O46" s="636">
        <f t="shared" si="117"/>
        <v>0</v>
      </c>
      <c r="P46" s="636">
        <f t="shared" si="117"/>
        <v>0</v>
      </c>
      <c r="Q46" s="636">
        <f t="shared" si="117"/>
        <v>0</v>
      </c>
      <c r="R46" s="636">
        <f t="shared" si="117"/>
        <v>0</v>
      </c>
      <c r="S46" s="636">
        <f t="shared" si="117"/>
        <v>0</v>
      </c>
      <c r="T46" s="636">
        <f t="shared" si="117"/>
        <v>0</v>
      </c>
      <c r="U46" s="636">
        <f t="shared" si="117"/>
        <v>0</v>
      </c>
      <c r="V46" s="636">
        <f t="shared" si="117"/>
        <v>0</v>
      </c>
      <c r="W46" s="636">
        <f t="shared" si="117"/>
        <v>0</v>
      </c>
      <c r="X46" s="636">
        <f t="shared" si="117"/>
        <v>0</v>
      </c>
      <c r="Y46" s="636">
        <f t="shared" si="117"/>
        <v>0</v>
      </c>
      <c r="Z46" s="636">
        <f t="shared" si="117"/>
        <v>0</v>
      </c>
      <c r="AB46" s="19"/>
      <c r="AE46" s="749" t="s">
        <v>1070</v>
      </c>
      <c r="AF46" s="700" t="s">
        <v>1055</v>
      </c>
      <c r="AG46" s="700" t="str">
        <f t="shared" ref="AG46:AU46" si="118">AG9</f>
        <v>Z01</v>
      </c>
      <c r="AH46" s="700" t="str">
        <f t="shared" si="118"/>
        <v>Z02</v>
      </c>
      <c r="AI46" s="700" t="str">
        <f t="shared" si="118"/>
        <v>Z03</v>
      </c>
      <c r="AJ46" s="700" t="str">
        <f t="shared" si="118"/>
        <v>Z04</v>
      </c>
      <c r="AK46" s="700" t="str">
        <f t="shared" si="118"/>
        <v>Z05</v>
      </c>
      <c r="AL46" s="700" t="str">
        <f t="shared" si="118"/>
        <v>Z06</v>
      </c>
      <c r="AM46" s="700" t="str">
        <f t="shared" si="118"/>
        <v>Z07</v>
      </c>
      <c r="AN46" s="700" t="str">
        <f t="shared" si="118"/>
        <v>Z08</v>
      </c>
      <c r="AO46" s="700" t="str">
        <f t="shared" si="118"/>
        <v>Z09</v>
      </c>
      <c r="AP46" s="700" t="str">
        <f t="shared" si="118"/>
        <v>Z10</v>
      </c>
      <c r="AQ46" s="700" t="str">
        <f t="shared" si="118"/>
        <v>Z11</v>
      </c>
      <c r="AR46" s="700" t="str">
        <f t="shared" si="118"/>
        <v>Z12</v>
      </c>
      <c r="AS46" s="700" t="str">
        <f t="shared" si="118"/>
        <v>Z13</v>
      </c>
      <c r="AT46" s="700" t="str">
        <f t="shared" si="118"/>
        <v>Z14</v>
      </c>
      <c r="AU46" s="700" t="str">
        <f t="shared" si="118"/>
        <v>Z15</v>
      </c>
      <c r="AW46" s="418" t="s">
        <v>1071</v>
      </c>
      <c r="AX46" s="419">
        <f>SUM(AY46:BM46)</f>
        <v>4802879.7014579633</v>
      </c>
      <c r="AY46" s="830">
        <f>AY17+AY18+AY23+AY25+AY27+AY28</f>
        <v>4802879.7014579633</v>
      </c>
      <c r="AZ46" s="830">
        <f t="shared" ref="AZ46:BM46" si="119">AZ17+AZ18+AZ23+AZ25+AZ27+AZ28</f>
        <v>0</v>
      </c>
      <c r="BA46" s="830">
        <f t="shared" si="119"/>
        <v>0</v>
      </c>
      <c r="BB46" s="830">
        <f t="shared" si="119"/>
        <v>0</v>
      </c>
      <c r="BC46" s="830">
        <f t="shared" si="119"/>
        <v>0</v>
      </c>
      <c r="BD46" s="830">
        <f t="shared" si="119"/>
        <v>0</v>
      </c>
      <c r="BE46" s="830">
        <f t="shared" si="119"/>
        <v>0</v>
      </c>
      <c r="BF46" s="830">
        <f t="shared" si="119"/>
        <v>0</v>
      </c>
      <c r="BG46" s="830">
        <f t="shared" si="119"/>
        <v>0</v>
      </c>
      <c r="BH46" s="830">
        <f t="shared" si="119"/>
        <v>0</v>
      </c>
      <c r="BI46" s="830">
        <f t="shared" si="119"/>
        <v>0</v>
      </c>
      <c r="BJ46" s="830">
        <f t="shared" si="119"/>
        <v>0</v>
      </c>
      <c r="BK46" s="830">
        <f t="shared" si="119"/>
        <v>0</v>
      </c>
      <c r="BL46" s="830">
        <f t="shared" si="119"/>
        <v>0</v>
      </c>
      <c r="BM46" s="830">
        <f t="shared" si="119"/>
        <v>0</v>
      </c>
      <c r="BO46" s="654">
        <v>9385925</v>
      </c>
    </row>
    <row r="47" spans="1:67" x14ac:dyDescent="0.3">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4">
        <v>1</v>
      </c>
      <c r="M47" s="634">
        <v>1</v>
      </c>
      <c r="N47" s="634">
        <v>1</v>
      </c>
      <c r="O47" s="634">
        <v>1</v>
      </c>
      <c r="P47" s="634">
        <v>1</v>
      </c>
      <c r="Q47" s="634">
        <v>1</v>
      </c>
      <c r="R47" s="634">
        <v>1</v>
      </c>
      <c r="S47" s="634">
        <v>1</v>
      </c>
      <c r="T47" s="634">
        <v>1</v>
      </c>
      <c r="U47" s="634">
        <v>1</v>
      </c>
      <c r="V47" s="634">
        <v>1</v>
      </c>
      <c r="W47" s="634">
        <v>1</v>
      </c>
      <c r="X47" s="634">
        <v>1</v>
      </c>
      <c r="Y47" s="634">
        <v>1</v>
      </c>
      <c r="Z47" s="634">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1227201.6207999985</v>
      </c>
      <c r="AY47" s="830">
        <f>AY11+AY12+AY21+AY22</f>
        <v>1227201.6207999985</v>
      </c>
      <c r="AZ47" s="830">
        <f t="shared" ref="AZ47:BM47" si="121">AZ11+AZ12+AZ21+AZ22</f>
        <v>0</v>
      </c>
      <c r="BA47" s="830">
        <f t="shared" si="121"/>
        <v>0</v>
      </c>
      <c r="BB47" s="830">
        <f t="shared" si="121"/>
        <v>0</v>
      </c>
      <c r="BC47" s="830">
        <f t="shared" si="121"/>
        <v>0</v>
      </c>
      <c r="BD47" s="830">
        <f t="shared" si="121"/>
        <v>0</v>
      </c>
      <c r="BE47" s="830">
        <f t="shared" si="121"/>
        <v>0</v>
      </c>
      <c r="BF47" s="830">
        <f t="shared" si="121"/>
        <v>0</v>
      </c>
      <c r="BG47" s="830">
        <f t="shared" si="121"/>
        <v>0</v>
      </c>
      <c r="BH47" s="830">
        <f t="shared" si="121"/>
        <v>0</v>
      </c>
      <c r="BI47" s="830">
        <f t="shared" si="121"/>
        <v>0</v>
      </c>
      <c r="BJ47" s="830">
        <f t="shared" si="121"/>
        <v>0</v>
      </c>
      <c r="BK47" s="830">
        <f t="shared" si="121"/>
        <v>0</v>
      </c>
      <c r="BL47" s="830">
        <f t="shared" si="121"/>
        <v>0</v>
      </c>
      <c r="BM47" s="830">
        <f t="shared" si="121"/>
        <v>0</v>
      </c>
      <c r="BO47" s="654">
        <v>2825050</v>
      </c>
    </row>
    <row r="48" spans="1:67" x14ac:dyDescent="0.3">
      <c r="B48" s="219" t="str">
        <f>B47</f>
        <v>TRADME00</v>
      </c>
      <c r="C48" s="224"/>
      <c r="D48" s="230"/>
      <c r="E48" s="224"/>
      <c r="F48" s="224"/>
      <c r="G48" s="224"/>
      <c r="H48" s="231">
        <f>$K$3</f>
        <v>2019</v>
      </c>
      <c r="I48" s="224"/>
      <c r="J48" s="232" t="s">
        <v>1064</v>
      </c>
      <c r="K48" s="232" t="s">
        <v>85</v>
      </c>
      <c r="L48" s="635">
        <f t="shared" ref="L48:Z48" si="122">LOOKUP($F47, $AE$11:$AE$34, AG$11:AG$34*$L$6)</f>
        <v>0</v>
      </c>
      <c r="M48" s="635">
        <f t="shared" si="122"/>
        <v>0</v>
      </c>
      <c r="N48" s="635">
        <f t="shared" si="122"/>
        <v>0</v>
      </c>
      <c r="O48" s="635">
        <f t="shared" si="122"/>
        <v>0</v>
      </c>
      <c r="P48" s="635">
        <f t="shared" si="122"/>
        <v>0</v>
      </c>
      <c r="Q48" s="635">
        <f t="shared" si="122"/>
        <v>0</v>
      </c>
      <c r="R48" s="635">
        <f t="shared" si="122"/>
        <v>0</v>
      </c>
      <c r="S48" s="635">
        <f t="shared" si="122"/>
        <v>0</v>
      </c>
      <c r="T48" s="635">
        <f t="shared" si="122"/>
        <v>0</v>
      </c>
      <c r="U48" s="635">
        <f t="shared" si="122"/>
        <v>0</v>
      </c>
      <c r="V48" s="635">
        <f t="shared" si="122"/>
        <v>0</v>
      </c>
      <c r="W48" s="635">
        <f t="shared" si="122"/>
        <v>0</v>
      </c>
      <c r="X48" s="635">
        <f t="shared" si="122"/>
        <v>0</v>
      </c>
      <c r="Y48" s="635">
        <f t="shared" si="122"/>
        <v>0</v>
      </c>
      <c r="Z48" s="635">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28531.179529729659</v>
      </c>
      <c r="AY48" s="830">
        <f>AY31</f>
        <v>28531.179529729659</v>
      </c>
      <c r="AZ48" s="830">
        <f t="shared" ref="AZ48:BM48" si="123">AZ31</f>
        <v>0</v>
      </c>
      <c r="BA48" s="830">
        <f t="shared" si="123"/>
        <v>0</v>
      </c>
      <c r="BB48" s="830">
        <f t="shared" si="123"/>
        <v>0</v>
      </c>
      <c r="BC48" s="830">
        <f t="shared" si="123"/>
        <v>0</v>
      </c>
      <c r="BD48" s="830">
        <f t="shared" si="123"/>
        <v>0</v>
      </c>
      <c r="BE48" s="830">
        <f t="shared" si="123"/>
        <v>0</v>
      </c>
      <c r="BF48" s="830">
        <f t="shared" si="123"/>
        <v>0</v>
      </c>
      <c r="BG48" s="830">
        <f t="shared" si="123"/>
        <v>0</v>
      </c>
      <c r="BH48" s="830">
        <f t="shared" si="123"/>
        <v>0</v>
      </c>
      <c r="BI48" s="830">
        <f t="shared" si="123"/>
        <v>0</v>
      </c>
      <c r="BJ48" s="830">
        <f t="shared" si="123"/>
        <v>0</v>
      </c>
      <c r="BK48" s="830">
        <f t="shared" si="123"/>
        <v>0</v>
      </c>
      <c r="BL48" s="830">
        <f t="shared" si="123"/>
        <v>0</v>
      </c>
      <c r="BM48" s="830">
        <f t="shared" si="123"/>
        <v>0</v>
      </c>
      <c r="BO48" s="654">
        <v>0</v>
      </c>
    </row>
    <row r="49" spans="1:67" x14ac:dyDescent="0.3">
      <c r="B49" s="219" t="str">
        <f t="shared" ref="B49:B51" si="124">B48</f>
        <v>TRADME00</v>
      </c>
      <c r="C49" s="224"/>
      <c r="D49" s="230"/>
      <c r="E49" s="224"/>
      <c r="F49" s="224"/>
      <c r="G49" s="224"/>
      <c r="H49" s="231">
        <v>2020</v>
      </c>
      <c r="I49" s="224"/>
      <c r="J49" s="232" t="s">
        <v>1064</v>
      </c>
      <c r="K49" s="232" t="s">
        <v>85</v>
      </c>
      <c r="L49" s="635">
        <f t="shared" ref="L49:Z52" si="125">L$48*LOOKUP($H49, $AF$47:$AF$50, AG$47:AG$50)</f>
        <v>0</v>
      </c>
      <c r="M49" s="635">
        <f t="shared" si="125"/>
        <v>0</v>
      </c>
      <c r="N49" s="635">
        <f t="shared" si="125"/>
        <v>0</v>
      </c>
      <c r="O49" s="635">
        <f t="shared" si="125"/>
        <v>0</v>
      </c>
      <c r="P49" s="635">
        <f t="shared" si="125"/>
        <v>0</v>
      </c>
      <c r="Q49" s="635">
        <f t="shared" si="125"/>
        <v>0</v>
      </c>
      <c r="R49" s="635">
        <f t="shared" si="125"/>
        <v>0</v>
      </c>
      <c r="S49" s="635">
        <f t="shared" si="125"/>
        <v>0</v>
      </c>
      <c r="T49" s="635">
        <f t="shared" si="125"/>
        <v>0</v>
      </c>
      <c r="U49" s="635">
        <f t="shared" si="125"/>
        <v>0</v>
      </c>
      <c r="V49" s="635">
        <f t="shared" si="125"/>
        <v>0</v>
      </c>
      <c r="W49" s="635">
        <f t="shared" si="125"/>
        <v>0</v>
      </c>
      <c r="X49" s="635">
        <f t="shared" si="125"/>
        <v>0</v>
      </c>
      <c r="Y49" s="635">
        <f t="shared" si="125"/>
        <v>0</v>
      </c>
      <c r="Z49" s="635">
        <f t="shared" si="125"/>
        <v>0</v>
      </c>
      <c r="AB49" s="19"/>
      <c r="AE49" s="394" t="s">
        <v>674</v>
      </c>
      <c r="AF49" s="394">
        <v>2040</v>
      </c>
      <c r="AG49" s="805">
        <v>0</v>
      </c>
      <c r="AH49" s="805">
        <v>0</v>
      </c>
      <c r="AI49" s="805">
        <v>0</v>
      </c>
      <c r="AJ49" s="805">
        <v>0</v>
      </c>
      <c r="AK49" s="805">
        <v>0</v>
      </c>
      <c r="AL49" s="805">
        <v>0</v>
      </c>
      <c r="AM49" s="805">
        <v>0</v>
      </c>
      <c r="AN49" s="805">
        <v>0</v>
      </c>
      <c r="AO49" s="805">
        <v>0</v>
      </c>
      <c r="AP49" s="805">
        <v>0</v>
      </c>
      <c r="AQ49" s="805">
        <v>0</v>
      </c>
      <c r="AR49" s="805">
        <v>0</v>
      </c>
      <c r="AS49" s="805">
        <v>0</v>
      </c>
      <c r="AT49" s="805">
        <v>0</v>
      </c>
      <c r="AU49" s="805">
        <v>0</v>
      </c>
      <c r="AW49" s="418" t="s">
        <v>1075</v>
      </c>
      <c r="AX49" s="419">
        <f t="shared" si="120"/>
        <v>0</v>
      </c>
      <c r="AY49" s="830">
        <f>AY14</f>
        <v>0</v>
      </c>
      <c r="AZ49" s="830">
        <f t="shared" ref="AZ49:BM49" si="126">AZ14</f>
        <v>0</v>
      </c>
      <c r="BA49" s="830">
        <f t="shared" si="126"/>
        <v>0</v>
      </c>
      <c r="BB49" s="830">
        <f t="shared" si="126"/>
        <v>0</v>
      </c>
      <c r="BC49" s="830">
        <f t="shared" si="126"/>
        <v>0</v>
      </c>
      <c r="BD49" s="830">
        <f t="shared" si="126"/>
        <v>0</v>
      </c>
      <c r="BE49" s="830">
        <f t="shared" si="126"/>
        <v>0</v>
      </c>
      <c r="BF49" s="830">
        <f t="shared" si="126"/>
        <v>0</v>
      </c>
      <c r="BG49" s="830">
        <f t="shared" si="126"/>
        <v>0</v>
      </c>
      <c r="BH49" s="830">
        <f t="shared" si="126"/>
        <v>0</v>
      </c>
      <c r="BI49" s="830">
        <f t="shared" si="126"/>
        <v>0</v>
      </c>
      <c r="BJ49" s="830">
        <f t="shared" si="126"/>
        <v>0</v>
      </c>
      <c r="BK49" s="830">
        <f t="shared" si="126"/>
        <v>0</v>
      </c>
      <c r="BL49" s="830">
        <f t="shared" si="126"/>
        <v>0</v>
      </c>
      <c r="BM49" s="830">
        <f t="shared" si="126"/>
        <v>0</v>
      </c>
      <c r="BO49" s="654">
        <v>0</v>
      </c>
    </row>
    <row r="50" spans="1:67" x14ac:dyDescent="0.3">
      <c r="B50" s="219" t="str">
        <f t="shared" si="124"/>
        <v>TRADME00</v>
      </c>
      <c r="C50" s="224"/>
      <c r="D50" s="230"/>
      <c r="E50" s="224"/>
      <c r="F50" s="224"/>
      <c r="G50" s="224"/>
      <c r="H50" s="231">
        <v>2030</v>
      </c>
      <c r="I50" s="224"/>
      <c r="J50" s="232" t="s">
        <v>1064</v>
      </c>
      <c r="K50" s="232" t="s">
        <v>85</v>
      </c>
      <c r="L50" s="635">
        <f t="shared" si="125"/>
        <v>0</v>
      </c>
      <c r="M50" s="635">
        <f t="shared" si="125"/>
        <v>0</v>
      </c>
      <c r="N50" s="635">
        <f t="shared" si="125"/>
        <v>0</v>
      </c>
      <c r="O50" s="635">
        <f t="shared" si="125"/>
        <v>0</v>
      </c>
      <c r="P50" s="635">
        <f t="shared" si="125"/>
        <v>0</v>
      </c>
      <c r="Q50" s="635">
        <f t="shared" si="125"/>
        <v>0</v>
      </c>
      <c r="R50" s="635">
        <f t="shared" si="125"/>
        <v>0</v>
      </c>
      <c r="S50" s="635">
        <f t="shared" si="125"/>
        <v>0</v>
      </c>
      <c r="T50" s="635">
        <f t="shared" si="125"/>
        <v>0</v>
      </c>
      <c r="U50" s="635">
        <f t="shared" si="125"/>
        <v>0</v>
      </c>
      <c r="V50" s="635">
        <f t="shared" si="125"/>
        <v>0</v>
      </c>
      <c r="W50" s="635">
        <f t="shared" si="125"/>
        <v>0</v>
      </c>
      <c r="X50" s="635">
        <f t="shared" si="125"/>
        <v>0</v>
      </c>
      <c r="Y50" s="635">
        <f t="shared" si="125"/>
        <v>0</v>
      </c>
      <c r="Z50" s="635">
        <f t="shared" si="125"/>
        <v>0</v>
      </c>
      <c r="AB50" s="19"/>
      <c r="AE50" s="394" t="s">
        <v>674</v>
      </c>
      <c r="AF50" s="394">
        <v>2050</v>
      </c>
      <c r="AG50" s="805">
        <v>0</v>
      </c>
      <c r="AH50" s="805">
        <v>0</v>
      </c>
      <c r="AI50" s="805">
        <v>0</v>
      </c>
      <c r="AJ50" s="805">
        <v>0</v>
      </c>
      <c r="AK50" s="805">
        <v>0</v>
      </c>
      <c r="AL50" s="805">
        <v>0</v>
      </c>
      <c r="AM50" s="805">
        <v>0</v>
      </c>
      <c r="AN50" s="805">
        <v>0</v>
      </c>
      <c r="AO50" s="805">
        <v>0</v>
      </c>
      <c r="AP50" s="805">
        <v>0</v>
      </c>
      <c r="AQ50" s="805">
        <v>0</v>
      </c>
      <c r="AR50" s="805">
        <v>0</v>
      </c>
      <c r="AS50" s="805">
        <v>0</v>
      </c>
      <c r="AT50" s="805">
        <v>0</v>
      </c>
      <c r="AU50" s="805">
        <v>0</v>
      </c>
      <c r="AW50" s="418" t="s">
        <v>1076</v>
      </c>
      <c r="AX50" s="419">
        <f t="shared" si="120"/>
        <v>193759.33809332823</v>
      </c>
      <c r="AY50" s="830">
        <f>AY19</f>
        <v>193759.33809332823</v>
      </c>
      <c r="AZ50" s="830">
        <f t="shared" ref="AZ50:BM50" si="127">AZ19</f>
        <v>0</v>
      </c>
      <c r="BA50" s="830">
        <f t="shared" si="127"/>
        <v>0</v>
      </c>
      <c r="BB50" s="830">
        <f t="shared" si="127"/>
        <v>0</v>
      </c>
      <c r="BC50" s="830">
        <f t="shared" si="127"/>
        <v>0</v>
      </c>
      <c r="BD50" s="830">
        <f t="shared" si="127"/>
        <v>0</v>
      </c>
      <c r="BE50" s="830">
        <f t="shared" si="127"/>
        <v>0</v>
      </c>
      <c r="BF50" s="830">
        <f t="shared" si="127"/>
        <v>0</v>
      </c>
      <c r="BG50" s="830">
        <f t="shared" si="127"/>
        <v>0</v>
      </c>
      <c r="BH50" s="830">
        <f t="shared" si="127"/>
        <v>0</v>
      </c>
      <c r="BI50" s="830">
        <f t="shared" si="127"/>
        <v>0</v>
      </c>
      <c r="BJ50" s="830">
        <f t="shared" si="127"/>
        <v>0</v>
      </c>
      <c r="BK50" s="830">
        <f t="shared" si="127"/>
        <v>0</v>
      </c>
      <c r="BL50" s="830">
        <f t="shared" si="127"/>
        <v>0</v>
      </c>
      <c r="BM50" s="830">
        <f t="shared" si="127"/>
        <v>0</v>
      </c>
      <c r="BO50" s="654">
        <v>864831</v>
      </c>
    </row>
    <row r="51" spans="1:67" x14ac:dyDescent="0.3">
      <c r="B51" s="219" t="str">
        <f t="shared" si="124"/>
        <v>TRADME00</v>
      </c>
      <c r="C51" s="224"/>
      <c r="D51" s="230"/>
      <c r="E51" s="224"/>
      <c r="F51" s="224"/>
      <c r="G51" s="224"/>
      <c r="H51" s="231">
        <v>2040</v>
      </c>
      <c r="I51" s="224"/>
      <c r="J51" s="232" t="s">
        <v>1064</v>
      </c>
      <c r="K51" s="232" t="s">
        <v>85</v>
      </c>
      <c r="L51" s="635">
        <f t="shared" si="125"/>
        <v>0</v>
      </c>
      <c r="M51" s="635">
        <f t="shared" si="125"/>
        <v>0</v>
      </c>
      <c r="N51" s="635">
        <f t="shared" si="125"/>
        <v>0</v>
      </c>
      <c r="O51" s="635">
        <f t="shared" si="125"/>
        <v>0</v>
      </c>
      <c r="P51" s="635">
        <f t="shared" si="125"/>
        <v>0</v>
      </c>
      <c r="Q51" s="635">
        <f t="shared" si="125"/>
        <v>0</v>
      </c>
      <c r="R51" s="635">
        <f t="shared" si="125"/>
        <v>0</v>
      </c>
      <c r="S51" s="635">
        <f t="shared" si="125"/>
        <v>0</v>
      </c>
      <c r="T51" s="635">
        <f t="shared" si="125"/>
        <v>0</v>
      </c>
      <c r="U51" s="635">
        <f t="shared" si="125"/>
        <v>0</v>
      </c>
      <c r="V51" s="635">
        <f t="shared" si="125"/>
        <v>0</v>
      </c>
      <c r="W51" s="635">
        <f t="shared" si="125"/>
        <v>0</v>
      </c>
      <c r="X51" s="635">
        <f t="shared" si="125"/>
        <v>0</v>
      </c>
      <c r="Y51" s="635">
        <f t="shared" si="125"/>
        <v>0</v>
      </c>
      <c r="Z51" s="635">
        <f t="shared" si="125"/>
        <v>0</v>
      </c>
      <c r="AB51" s="19"/>
      <c r="AW51" s="418" t="s">
        <v>1077</v>
      </c>
      <c r="AX51" s="419">
        <f t="shared" si="120"/>
        <v>0</v>
      </c>
      <c r="AY51" s="830">
        <f>AY24</f>
        <v>0</v>
      </c>
      <c r="AZ51" s="830">
        <f t="shared" ref="AZ51:BM51" si="128">AZ24</f>
        <v>0</v>
      </c>
      <c r="BA51" s="830">
        <f t="shared" si="128"/>
        <v>0</v>
      </c>
      <c r="BB51" s="830">
        <f t="shared" si="128"/>
        <v>0</v>
      </c>
      <c r="BC51" s="830">
        <f t="shared" si="128"/>
        <v>0</v>
      </c>
      <c r="BD51" s="830">
        <f t="shared" si="128"/>
        <v>0</v>
      </c>
      <c r="BE51" s="830">
        <f t="shared" si="128"/>
        <v>0</v>
      </c>
      <c r="BF51" s="830">
        <f t="shared" si="128"/>
        <v>0</v>
      </c>
      <c r="BG51" s="830">
        <f t="shared" si="128"/>
        <v>0</v>
      </c>
      <c r="BH51" s="830">
        <f t="shared" si="128"/>
        <v>0</v>
      </c>
      <c r="BI51" s="830">
        <f t="shared" si="128"/>
        <v>0</v>
      </c>
      <c r="BJ51" s="830">
        <f t="shared" si="128"/>
        <v>0</v>
      </c>
      <c r="BK51" s="830">
        <f t="shared" si="128"/>
        <v>0</v>
      </c>
      <c r="BL51" s="830">
        <f t="shared" si="128"/>
        <v>0</v>
      </c>
      <c r="BM51" s="830">
        <f t="shared" si="128"/>
        <v>0</v>
      </c>
      <c r="BO51" s="654">
        <v>0</v>
      </c>
    </row>
    <row r="52" spans="1:67" x14ac:dyDescent="0.3">
      <c r="B52" s="233" t="str">
        <f>B47</f>
        <v>TRADME00</v>
      </c>
      <c r="C52" s="234"/>
      <c r="D52" s="235"/>
      <c r="E52" s="234"/>
      <c r="F52" s="234"/>
      <c r="G52" s="234"/>
      <c r="H52" s="236">
        <f>$K$5</f>
        <v>2050</v>
      </c>
      <c r="I52" s="224"/>
      <c r="J52" s="237" t="s">
        <v>1064</v>
      </c>
      <c r="K52" s="237" t="s">
        <v>85</v>
      </c>
      <c r="L52" s="636">
        <f t="shared" si="125"/>
        <v>0</v>
      </c>
      <c r="M52" s="636">
        <f t="shared" si="125"/>
        <v>0</v>
      </c>
      <c r="N52" s="636">
        <f t="shared" si="125"/>
        <v>0</v>
      </c>
      <c r="O52" s="636">
        <f t="shared" si="125"/>
        <v>0</v>
      </c>
      <c r="P52" s="636">
        <f t="shared" si="125"/>
        <v>0</v>
      </c>
      <c r="Q52" s="636">
        <f t="shared" si="125"/>
        <v>0</v>
      </c>
      <c r="R52" s="636">
        <f t="shared" si="125"/>
        <v>0</v>
      </c>
      <c r="S52" s="636">
        <f t="shared" si="125"/>
        <v>0</v>
      </c>
      <c r="T52" s="636">
        <f t="shared" si="125"/>
        <v>0</v>
      </c>
      <c r="U52" s="636">
        <f t="shared" si="125"/>
        <v>0</v>
      </c>
      <c r="V52" s="636">
        <f t="shared" si="125"/>
        <v>0</v>
      </c>
      <c r="W52" s="636">
        <f t="shared" si="125"/>
        <v>0</v>
      </c>
      <c r="X52" s="636">
        <f t="shared" si="125"/>
        <v>0</v>
      </c>
      <c r="Y52" s="636">
        <f t="shared" si="125"/>
        <v>0</v>
      </c>
      <c r="Z52" s="636">
        <f t="shared" si="125"/>
        <v>0</v>
      </c>
      <c r="AB52" s="19"/>
      <c r="AW52" s="418" t="s">
        <v>1078</v>
      </c>
      <c r="AX52" s="419">
        <f t="shared" si="120"/>
        <v>6252371.8398810197</v>
      </c>
      <c r="AY52" s="830">
        <f>SUM(AY46:AY51)</f>
        <v>6252371.8398810197</v>
      </c>
      <c r="AZ52" s="830">
        <f t="shared" ref="AZ52:BM52" si="129">SUM(AZ46:AZ51)</f>
        <v>0</v>
      </c>
      <c r="BA52" s="830">
        <f t="shared" si="129"/>
        <v>0</v>
      </c>
      <c r="BB52" s="830">
        <f t="shared" si="129"/>
        <v>0</v>
      </c>
      <c r="BC52" s="830">
        <f t="shared" si="129"/>
        <v>0</v>
      </c>
      <c r="BD52" s="830">
        <f t="shared" si="129"/>
        <v>0</v>
      </c>
      <c r="BE52" s="830">
        <f t="shared" si="129"/>
        <v>0</v>
      </c>
      <c r="BF52" s="830">
        <f t="shared" si="129"/>
        <v>0</v>
      </c>
      <c r="BG52" s="830">
        <f t="shared" si="129"/>
        <v>0</v>
      </c>
      <c r="BH52" s="830">
        <f t="shared" si="129"/>
        <v>0</v>
      </c>
      <c r="BI52" s="830">
        <f t="shared" si="129"/>
        <v>0</v>
      </c>
      <c r="BJ52" s="830">
        <f t="shared" si="129"/>
        <v>0</v>
      </c>
      <c r="BK52" s="830">
        <f t="shared" si="129"/>
        <v>0</v>
      </c>
      <c r="BL52" s="830">
        <f t="shared" si="129"/>
        <v>0</v>
      </c>
      <c r="BM52" s="830">
        <f t="shared" si="129"/>
        <v>0</v>
      </c>
      <c r="BO52" s="654">
        <f>SUM(BO46:BO51)</f>
        <v>13075806</v>
      </c>
    </row>
    <row r="53" spans="1:67" x14ac:dyDescent="0.3">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4">
        <v>1</v>
      </c>
      <c r="M53" s="634">
        <v>1</v>
      </c>
      <c r="N53" s="634">
        <v>1</v>
      </c>
      <c r="O53" s="634">
        <v>1</v>
      </c>
      <c r="P53" s="634">
        <v>1</v>
      </c>
      <c r="Q53" s="634">
        <v>1</v>
      </c>
      <c r="R53" s="634">
        <v>1</v>
      </c>
      <c r="S53" s="634">
        <v>1</v>
      </c>
      <c r="T53" s="634">
        <v>1</v>
      </c>
      <c r="U53" s="634">
        <v>1</v>
      </c>
      <c r="V53" s="634">
        <v>1</v>
      </c>
      <c r="W53" s="634">
        <v>1</v>
      </c>
      <c r="X53" s="634">
        <v>1</v>
      </c>
      <c r="Y53" s="634">
        <v>1</v>
      </c>
      <c r="Z53" s="634">
        <v>1</v>
      </c>
      <c r="AB53" s="19"/>
      <c r="AW53" s="935"/>
      <c r="AX53" s="936"/>
      <c r="AY53" s="937"/>
      <c r="AZ53" s="937"/>
      <c r="BA53" s="937"/>
      <c r="BB53" s="937"/>
      <c r="BC53" s="937"/>
      <c r="BD53" s="937"/>
      <c r="BE53" s="937"/>
      <c r="BF53" s="937"/>
      <c r="BG53" s="937"/>
      <c r="BH53" s="937"/>
      <c r="BI53" s="937"/>
      <c r="BJ53" s="937"/>
      <c r="BK53" s="937"/>
      <c r="BL53" s="937"/>
      <c r="BM53" s="937"/>
    </row>
    <row r="54" spans="1:67" x14ac:dyDescent="0.3">
      <c r="B54" s="219" t="str">
        <f>B53</f>
        <v>TRAETH00</v>
      </c>
      <c r="C54" s="224"/>
      <c r="D54" s="230"/>
      <c r="E54" s="224"/>
      <c r="F54" s="224"/>
      <c r="G54" s="224"/>
      <c r="H54" s="231">
        <f>$K$3</f>
        <v>2019</v>
      </c>
      <c r="I54" s="224"/>
      <c r="J54" s="232" t="s">
        <v>1064</v>
      </c>
      <c r="K54" s="232" t="s">
        <v>85</v>
      </c>
      <c r="L54" s="635">
        <f t="shared" ref="L54:Z54" si="130">LOOKUP($F53, $AE$11:$AE$34, AG$11:AG$34*$L$6)</f>
        <v>1018.342962585707</v>
      </c>
      <c r="M54" s="635">
        <f t="shared" si="130"/>
        <v>0</v>
      </c>
      <c r="N54" s="635">
        <f t="shared" si="130"/>
        <v>0</v>
      </c>
      <c r="O54" s="635">
        <f t="shared" si="130"/>
        <v>0</v>
      </c>
      <c r="P54" s="635">
        <f t="shared" si="130"/>
        <v>0</v>
      </c>
      <c r="Q54" s="635">
        <f t="shared" si="130"/>
        <v>0</v>
      </c>
      <c r="R54" s="635">
        <f t="shared" si="130"/>
        <v>0</v>
      </c>
      <c r="S54" s="635">
        <f t="shared" si="130"/>
        <v>0</v>
      </c>
      <c r="T54" s="635">
        <f t="shared" si="130"/>
        <v>0</v>
      </c>
      <c r="U54" s="635">
        <f t="shared" si="130"/>
        <v>0</v>
      </c>
      <c r="V54" s="635">
        <f t="shared" si="130"/>
        <v>0</v>
      </c>
      <c r="W54" s="635">
        <f t="shared" si="130"/>
        <v>0</v>
      </c>
      <c r="X54" s="635">
        <f t="shared" si="130"/>
        <v>0</v>
      </c>
      <c r="Y54" s="635">
        <f t="shared" si="130"/>
        <v>0</v>
      </c>
      <c r="Z54" s="635">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5"/>
      <c r="AX54" s="936"/>
      <c r="AY54" s="937"/>
      <c r="AZ54" s="937"/>
      <c r="BA54" s="937"/>
      <c r="BB54" s="937"/>
      <c r="BC54" s="937"/>
      <c r="BD54" s="937"/>
      <c r="BE54" s="937"/>
      <c r="BF54" s="937"/>
      <c r="BG54" s="937"/>
      <c r="BH54" s="937"/>
      <c r="BI54" s="937"/>
      <c r="BJ54" s="937"/>
      <c r="BK54" s="937"/>
      <c r="BL54" s="937"/>
      <c r="BM54" s="937"/>
    </row>
    <row r="55" spans="1:67" x14ac:dyDescent="0.3">
      <c r="B55" s="219" t="str">
        <f t="shared" ref="B55:B57" si="131">B54</f>
        <v>TRAETH00</v>
      </c>
      <c r="C55" s="224"/>
      <c r="D55" s="230"/>
      <c r="E55" s="224"/>
      <c r="F55" s="224"/>
      <c r="G55" s="224"/>
      <c r="H55" s="231">
        <v>2020</v>
      </c>
      <c r="I55" s="224"/>
      <c r="J55" s="232" t="s">
        <v>1064</v>
      </c>
      <c r="K55" s="232" t="s">
        <v>85</v>
      </c>
      <c r="L55" s="635">
        <f t="shared" ref="L55:Z58" si="132">L$54*LOOKUP($H55, $AF$47:$AF$50, AG$47:AG$50)</f>
        <v>814.67437006856562</v>
      </c>
      <c r="M55" s="635">
        <f t="shared" si="132"/>
        <v>0</v>
      </c>
      <c r="N55" s="635">
        <f t="shared" si="132"/>
        <v>0</v>
      </c>
      <c r="O55" s="635">
        <f t="shared" si="132"/>
        <v>0</v>
      </c>
      <c r="P55" s="635">
        <f t="shared" si="132"/>
        <v>0</v>
      </c>
      <c r="Q55" s="635">
        <f t="shared" si="132"/>
        <v>0</v>
      </c>
      <c r="R55" s="635">
        <f t="shared" si="132"/>
        <v>0</v>
      </c>
      <c r="S55" s="635">
        <f t="shared" si="132"/>
        <v>0</v>
      </c>
      <c r="T55" s="635">
        <f t="shared" si="132"/>
        <v>0</v>
      </c>
      <c r="U55" s="635">
        <f t="shared" si="132"/>
        <v>0</v>
      </c>
      <c r="V55" s="635">
        <f t="shared" si="132"/>
        <v>0</v>
      </c>
      <c r="W55" s="635">
        <f t="shared" si="132"/>
        <v>0</v>
      </c>
      <c r="X55" s="635">
        <f t="shared" si="132"/>
        <v>0</v>
      </c>
      <c r="Y55" s="635">
        <f t="shared" si="132"/>
        <v>0</v>
      </c>
      <c r="Z55" s="635">
        <f t="shared" si="132"/>
        <v>0</v>
      </c>
      <c r="AB55" s="19"/>
      <c r="AE55" s="394" t="s">
        <v>674</v>
      </c>
      <c r="AF55" s="394">
        <v>2040</v>
      </c>
      <c r="AG55" s="805">
        <v>0</v>
      </c>
      <c r="AH55" s="805">
        <v>0</v>
      </c>
      <c r="AI55" s="805">
        <v>0</v>
      </c>
      <c r="AJ55" s="805">
        <v>0</v>
      </c>
      <c r="AK55" s="805">
        <v>0</v>
      </c>
      <c r="AL55" s="805">
        <v>0</v>
      </c>
      <c r="AM55" s="805">
        <v>0</v>
      </c>
      <c r="AN55" s="805">
        <v>0</v>
      </c>
      <c r="AO55" s="805">
        <v>0</v>
      </c>
      <c r="AP55" s="805">
        <v>0</v>
      </c>
      <c r="AQ55" s="805">
        <v>0</v>
      </c>
      <c r="AR55" s="805">
        <v>0</v>
      </c>
      <c r="AS55" s="805">
        <v>0</v>
      </c>
      <c r="AT55" s="805">
        <v>0</v>
      </c>
      <c r="AU55" s="805">
        <v>0</v>
      </c>
      <c r="AW55" s="935"/>
      <c r="AX55" s="936"/>
      <c r="AY55" s="937"/>
      <c r="AZ55" s="937"/>
      <c r="BA55" s="937"/>
      <c r="BB55" s="937"/>
      <c r="BC55" s="937"/>
      <c r="BD55" s="937"/>
      <c r="BE55" s="937"/>
      <c r="BF55" s="937"/>
      <c r="BG55" s="937"/>
      <c r="BH55" s="937"/>
      <c r="BI55" s="937"/>
      <c r="BJ55" s="937"/>
      <c r="BK55" s="937"/>
      <c r="BL55" s="937"/>
      <c r="BM55" s="937"/>
    </row>
    <row r="56" spans="1:67" x14ac:dyDescent="0.3">
      <c r="B56" s="219" t="str">
        <f t="shared" si="131"/>
        <v>TRAETH00</v>
      </c>
      <c r="C56" s="224"/>
      <c r="D56" s="230"/>
      <c r="E56" s="224"/>
      <c r="F56" s="224"/>
      <c r="G56" s="224"/>
      <c r="H56" s="231">
        <v>2030</v>
      </c>
      <c r="I56" s="224"/>
      <c r="J56" s="232" t="s">
        <v>1064</v>
      </c>
      <c r="K56" s="232" t="s">
        <v>85</v>
      </c>
      <c r="L56" s="635">
        <f t="shared" si="132"/>
        <v>407.33718503428281</v>
      </c>
      <c r="M56" s="635">
        <f t="shared" si="132"/>
        <v>0</v>
      </c>
      <c r="N56" s="635">
        <f t="shared" si="132"/>
        <v>0</v>
      </c>
      <c r="O56" s="635">
        <f t="shared" si="132"/>
        <v>0</v>
      </c>
      <c r="P56" s="635">
        <f t="shared" si="132"/>
        <v>0</v>
      </c>
      <c r="Q56" s="635">
        <f t="shared" si="132"/>
        <v>0</v>
      </c>
      <c r="R56" s="635">
        <f t="shared" si="132"/>
        <v>0</v>
      </c>
      <c r="S56" s="635">
        <f t="shared" si="132"/>
        <v>0</v>
      </c>
      <c r="T56" s="635">
        <f t="shared" si="132"/>
        <v>0</v>
      </c>
      <c r="U56" s="635">
        <f t="shared" si="132"/>
        <v>0</v>
      </c>
      <c r="V56" s="635">
        <f t="shared" si="132"/>
        <v>0</v>
      </c>
      <c r="W56" s="635">
        <f t="shared" si="132"/>
        <v>0</v>
      </c>
      <c r="X56" s="635">
        <f t="shared" si="132"/>
        <v>0</v>
      </c>
      <c r="Y56" s="635">
        <f t="shared" si="132"/>
        <v>0</v>
      </c>
      <c r="Z56" s="635">
        <f t="shared" si="132"/>
        <v>0</v>
      </c>
      <c r="AB56" s="19"/>
      <c r="AE56" s="394" t="s">
        <v>674</v>
      </c>
      <c r="AF56" s="394">
        <v>2050</v>
      </c>
      <c r="AG56" s="805">
        <v>0</v>
      </c>
      <c r="AH56" s="805">
        <v>0</v>
      </c>
      <c r="AI56" s="805">
        <v>0</v>
      </c>
      <c r="AJ56" s="805">
        <v>0</v>
      </c>
      <c r="AK56" s="805">
        <v>0</v>
      </c>
      <c r="AL56" s="805">
        <v>0</v>
      </c>
      <c r="AM56" s="805">
        <v>0</v>
      </c>
      <c r="AN56" s="805">
        <v>0</v>
      </c>
      <c r="AO56" s="805">
        <v>0</v>
      </c>
      <c r="AP56" s="805">
        <v>0</v>
      </c>
      <c r="AQ56" s="805">
        <v>0</v>
      </c>
      <c r="AR56" s="805">
        <v>0</v>
      </c>
      <c r="AS56" s="805">
        <v>0</v>
      </c>
      <c r="AT56" s="805">
        <v>0</v>
      </c>
      <c r="AU56" s="805">
        <v>0</v>
      </c>
      <c r="AW56" s="935"/>
      <c r="AX56" s="936"/>
      <c r="AY56" s="937"/>
      <c r="AZ56" s="937"/>
      <c r="BA56" s="937"/>
      <c r="BB56" s="937"/>
      <c r="BC56" s="937"/>
      <c r="BD56" s="937"/>
      <c r="BE56" s="937"/>
      <c r="BF56" s="937"/>
      <c r="BG56" s="937"/>
      <c r="BH56" s="937"/>
      <c r="BI56" s="937"/>
      <c r="BJ56" s="937"/>
      <c r="BK56" s="937"/>
      <c r="BL56" s="937"/>
      <c r="BM56" s="937"/>
    </row>
    <row r="57" spans="1:67" x14ac:dyDescent="0.3">
      <c r="B57" s="219" t="str">
        <f t="shared" si="131"/>
        <v>TRAETH00</v>
      </c>
      <c r="C57" s="224"/>
      <c r="D57" s="230"/>
      <c r="E57" s="224"/>
      <c r="F57" s="224"/>
      <c r="G57" s="224"/>
      <c r="H57" s="231">
        <v>2040</v>
      </c>
      <c r="I57" s="224"/>
      <c r="J57" s="232" t="s">
        <v>1064</v>
      </c>
      <c r="K57" s="232" t="s">
        <v>85</v>
      </c>
      <c r="L57" s="635">
        <f t="shared" si="132"/>
        <v>0</v>
      </c>
      <c r="M57" s="635">
        <f t="shared" si="132"/>
        <v>0</v>
      </c>
      <c r="N57" s="635">
        <f t="shared" si="132"/>
        <v>0</v>
      </c>
      <c r="O57" s="635">
        <f t="shared" si="132"/>
        <v>0</v>
      </c>
      <c r="P57" s="635">
        <f t="shared" si="132"/>
        <v>0</v>
      </c>
      <c r="Q57" s="635">
        <f t="shared" si="132"/>
        <v>0</v>
      </c>
      <c r="R57" s="635">
        <f t="shared" si="132"/>
        <v>0</v>
      </c>
      <c r="S57" s="635">
        <f t="shared" si="132"/>
        <v>0</v>
      </c>
      <c r="T57" s="635">
        <f t="shared" si="132"/>
        <v>0</v>
      </c>
      <c r="U57" s="635">
        <f t="shared" si="132"/>
        <v>0</v>
      </c>
      <c r="V57" s="635">
        <f t="shared" si="132"/>
        <v>0</v>
      </c>
      <c r="W57" s="635">
        <f t="shared" si="132"/>
        <v>0</v>
      </c>
      <c r="X57" s="635">
        <f t="shared" si="132"/>
        <v>0</v>
      </c>
      <c r="Y57" s="635">
        <f t="shared" si="132"/>
        <v>0</v>
      </c>
      <c r="Z57" s="635">
        <f t="shared" si="132"/>
        <v>0</v>
      </c>
      <c r="AB57" s="19"/>
      <c r="AW57" s="935"/>
      <c r="AX57" s="936"/>
      <c r="AY57" s="937"/>
      <c r="AZ57" s="937"/>
      <c r="BA57" s="937"/>
      <c r="BB57" s="937"/>
      <c r="BC57" s="937"/>
      <c r="BD57" s="937"/>
      <c r="BE57" s="937"/>
      <c r="BF57" s="937"/>
      <c r="BG57" s="937"/>
      <c r="BH57" s="937"/>
      <c r="BI57" s="937"/>
      <c r="BJ57" s="937"/>
      <c r="BK57" s="937"/>
      <c r="BL57" s="937"/>
      <c r="BM57" s="937"/>
    </row>
    <row r="58" spans="1:67" x14ac:dyDescent="0.3">
      <c r="B58" s="233" t="str">
        <f>B53</f>
        <v>TRAETH00</v>
      </c>
      <c r="C58" s="234"/>
      <c r="D58" s="235"/>
      <c r="E58" s="234"/>
      <c r="F58" s="234"/>
      <c r="G58" s="234"/>
      <c r="H58" s="236">
        <f>$K$5</f>
        <v>2050</v>
      </c>
      <c r="I58" s="224"/>
      <c r="J58" s="237" t="s">
        <v>1064</v>
      </c>
      <c r="K58" s="237" t="s">
        <v>85</v>
      </c>
      <c r="L58" s="636">
        <f t="shared" si="132"/>
        <v>0</v>
      </c>
      <c r="M58" s="636">
        <f t="shared" si="132"/>
        <v>0</v>
      </c>
      <c r="N58" s="636">
        <f t="shared" si="132"/>
        <v>0</v>
      </c>
      <c r="O58" s="636">
        <f t="shared" si="132"/>
        <v>0</v>
      </c>
      <c r="P58" s="636">
        <f t="shared" si="132"/>
        <v>0</v>
      </c>
      <c r="Q58" s="636">
        <f t="shared" si="132"/>
        <v>0</v>
      </c>
      <c r="R58" s="636">
        <f t="shared" si="132"/>
        <v>0</v>
      </c>
      <c r="S58" s="636">
        <f t="shared" si="132"/>
        <v>0</v>
      </c>
      <c r="T58" s="636">
        <f t="shared" si="132"/>
        <v>0</v>
      </c>
      <c r="U58" s="636">
        <f t="shared" si="132"/>
        <v>0</v>
      </c>
      <c r="V58" s="636">
        <f t="shared" si="132"/>
        <v>0</v>
      </c>
      <c r="W58" s="636">
        <f t="shared" si="132"/>
        <v>0</v>
      </c>
      <c r="X58" s="636">
        <f t="shared" si="132"/>
        <v>0</v>
      </c>
      <c r="Y58" s="636">
        <f t="shared" si="132"/>
        <v>0</v>
      </c>
      <c r="Z58" s="636">
        <f t="shared" si="132"/>
        <v>0</v>
      </c>
      <c r="AB58" s="19"/>
    </row>
    <row r="59" spans="1:67" x14ac:dyDescent="0.3">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4">
        <v>1</v>
      </c>
      <c r="M59" s="634">
        <v>1</v>
      </c>
      <c r="N59" s="634">
        <v>1</v>
      </c>
      <c r="O59" s="634">
        <v>1</v>
      </c>
      <c r="P59" s="634">
        <v>1</v>
      </c>
      <c r="Q59" s="634">
        <v>1</v>
      </c>
      <c r="R59" s="634">
        <v>1</v>
      </c>
      <c r="S59" s="634">
        <v>1</v>
      </c>
      <c r="T59" s="634">
        <v>1</v>
      </c>
      <c r="U59" s="634">
        <v>1</v>
      </c>
      <c r="V59" s="634">
        <v>1</v>
      </c>
      <c r="W59" s="634">
        <v>1</v>
      </c>
      <c r="X59" s="634">
        <v>1</v>
      </c>
      <c r="Y59" s="634">
        <v>1</v>
      </c>
      <c r="Z59" s="634">
        <v>1</v>
      </c>
      <c r="AB59" s="19"/>
    </row>
    <row r="60" spans="1:67" x14ac:dyDescent="0.3">
      <c r="B60" s="219" t="str">
        <f>B59</f>
        <v>TRAETHM00</v>
      </c>
      <c r="C60" s="224"/>
      <c r="D60" s="230"/>
      <c r="E60" s="224"/>
      <c r="F60" s="224"/>
      <c r="G60" s="224"/>
      <c r="H60" s="231">
        <f>$K$3</f>
        <v>2019</v>
      </c>
      <c r="I60" s="224"/>
      <c r="J60" s="232" t="s">
        <v>1064</v>
      </c>
      <c r="K60" s="232" t="s">
        <v>85</v>
      </c>
      <c r="L60" s="635">
        <f t="shared" ref="L60:Z60" si="133">LOOKUP($F59, $AE$11:$AE$34, AG$11:AG$34*$L$6)</f>
        <v>536.40802366584444</v>
      </c>
      <c r="M60" s="635">
        <f t="shared" si="133"/>
        <v>0</v>
      </c>
      <c r="N60" s="635">
        <f t="shared" si="133"/>
        <v>0</v>
      </c>
      <c r="O60" s="635">
        <f t="shared" si="133"/>
        <v>0</v>
      </c>
      <c r="P60" s="635">
        <f t="shared" si="133"/>
        <v>0</v>
      </c>
      <c r="Q60" s="635">
        <f t="shared" si="133"/>
        <v>0</v>
      </c>
      <c r="R60" s="635">
        <f t="shared" si="133"/>
        <v>0</v>
      </c>
      <c r="S60" s="635">
        <f t="shared" si="133"/>
        <v>0</v>
      </c>
      <c r="T60" s="635">
        <f t="shared" si="133"/>
        <v>0</v>
      </c>
      <c r="U60" s="635">
        <f t="shared" si="133"/>
        <v>0</v>
      </c>
      <c r="V60" s="635">
        <f t="shared" si="133"/>
        <v>0</v>
      </c>
      <c r="W60" s="635">
        <f t="shared" si="133"/>
        <v>0</v>
      </c>
      <c r="X60" s="635">
        <f t="shared" si="133"/>
        <v>0</v>
      </c>
      <c r="Y60" s="635">
        <f t="shared" si="133"/>
        <v>0</v>
      </c>
      <c r="Z60" s="635">
        <f t="shared" si="133"/>
        <v>0</v>
      </c>
      <c r="AB60" s="19"/>
    </row>
    <row r="61" spans="1:67" x14ac:dyDescent="0.3">
      <c r="B61" s="219" t="str">
        <f t="shared" ref="B61:B63" si="134">B60</f>
        <v>TRAETHM00</v>
      </c>
      <c r="C61" s="224"/>
      <c r="D61" s="230"/>
      <c r="E61" s="224"/>
      <c r="F61" s="224"/>
      <c r="G61" s="224"/>
      <c r="H61" s="231">
        <v>2020</v>
      </c>
      <c r="I61" s="224"/>
      <c r="J61" s="232" t="s">
        <v>1064</v>
      </c>
      <c r="K61" s="232" t="s">
        <v>85</v>
      </c>
      <c r="L61" s="635">
        <f t="shared" ref="L61:Z64" si="135">L$60*LOOKUP($H61, $AF$47:$AF$50, AG$47:AG$50)</f>
        <v>429.12641893267556</v>
      </c>
      <c r="M61" s="635">
        <f t="shared" si="135"/>
        <v>0</v>
      </c>
      <c r="N61" s="635">
        <f t="shared" si="135"/>
        <v>0</v>
      </c>
      <c r="O61" s="635">
        <f t="shared" si="135"/>
        <v>0</v>
      </c>
      <c r="P61" s="635">
        <f t="shared" si="135"/>
        <v>0</v>
      </c>
      <c r="Q61" s="635">
        <f t="shared" si="135"/>
        <v>0</v>
      </c>
      <c r="R61" s="635">
        <f t="shared" si="135"/>
        <v>0</v>
      </c>
      <c r="S61" s="635">
        <f t="shared" si="135"/>
        <v>0</v>
      </c>
      <c r="T61" s="635">
        <f t="shared" si="135"/>
        <v>0</v>
      </c>
      <c r="U61" s="635">
        <f t="shared" si="135"/>
        <v>0</v>
      </c>
      <c r="V61" s="635">
        <f t="shared" si="135"/>
        <v>0</v>
      </c>
      <c r="W61" s="635">
        <f t="shared" si="135"/>
        <v>0</v>
      </c>
      <c r="X61" s="635">
        <f t="shared" si="135"/>
        <v>0</v>
      </c>
      <c r="Y61" s="635">
        <f t="shared" si="135"/>
        <v>0</v>
      </c>
      <c r="Z61" s="635">
        <f t="shared" si="135"/>
        <v>0</v>
      </c>
      <c r="AB61" s="19"/>
      <c r="AW61" s="749" t="s">
        <v>1080</v>
      </c>
      <c r="BN61" s="421"/>
    </row>
    <row r="62" spans="1:67" x14ac:dyDescent="0.3">
      <c r="B62" s="219" t="str">
        <f t="shared" si="134"/>
        <v>TRAETHM00</v>
      </c>
      <c r="C62" s="224"/>
      <c r="D62" s="230"/>
      <c r="E62" s="224"/>
      <c r="F62" s="224"/>
      <c r="G62" s="224"/>
      <c r="H62" s="231">
        <v>2030</v>
      </c>
      <c r="I62" s="224"/>
      <c r="J62" s="232" t="s">
        <v>1064</v>
      </c>
      <c r="K62" s="232" t="s">
        <v>85</v>
      </c>
      <c r="L62" s="635">
        <f t="shared" si="135"/>
        <v>214.56320946633778</v>
      </c>
      <c r="M62" s="635">
        <f t="shared" si="135"/>
        <v>0</v>
      </c>
      <c r="N62" s="635">
        <f t="shared" si="135"/>
        <v>0</v>
      </c>
      <c r="O62" s="635">
        <f t="shared" si="135"/>
        <v>0</v>
      </c>
      <c r="P62" s="635">
        <f t="shared" si="135"/>
        <v>0</v>
      </c>
      <c r="Q62" s="635">
        <f t="shared" si="135"/>
        <v>0</v>
      </c>
      <c r="R62" s="635">
        <f t="shared" si="135"/>
        <v>0</v>
      </c>
      <c r="S62" s="635">
        <f t="shared" si="135"/>
        <v>0</v>
      </c>
      <c r="T62" s="635">
        <f t="shared" si="135"/>
        <v>0</v>
      </c>
      <c r="U62" s="635">
        <f t="shared" si="135"/>
        <v>0</v>
      </c>
      <c r="V62" s="635">
        <f t="shared" si="135"/>
        <v>0</v>
      </c>
      <c r="W62" s="635">
        <f t="shared" si="135"/>
        <v>0</v>
      </c>
      <c r="X62" s="635">
        <f t="shared" si="135"/>
        <v>0</v>
      </c>
      <c r="Y62" s="635">
        <f t="shared" si="135"/>
        <v>0</v>
      </c>
      <c r="Z62" s="635">
        <f t="shared" si="135"/>
        <v>0</v>
      </c>
      <c r="AB62" s="19"/>
      <c r="AW62" s="418" t="s">
        <v>1071</v>
      </c>
      <c r="AX62" s="832">
        <f>SUM(AY62:BM62)</f>
        <v>2541703</v>
      </c>
      <c r="AY62" s="831">
        <v>65410</v>
      </c>
      <c r="AZ62" s="831">
        <v>29232</v>
      </c>
      <c r="BA62" s="831">
        <v>31487</v>
      </c>
      <c r="BB62" s="831" t="s">
        <v>1081</v>
      </c>
      <c r="BC62" s="831">
        <v>57934</v>
      </c>
      <c r="BD62" s="831">
        <v>55971</v>
      </c>
      <c r="BE62" s="831">
        <v>121470</v>
      </c>
      <c r="BF62" s="831">
        <v>41394</v>
      </c>
      <c r="BG62" s="831">
        <v>36669</v>
      </c>
      <c r="BH62" s="831">
        <v>104425</v>
      </c>
      <c r="BI62" s="831">
        <v>103296</v>
      </c>
      <c r="BJ62" s="831">
        <v>64351</v>
      </c>
      <c r="BK62" s="831">
        <v>926393</v>
      </c>
      <c r="BL62" s="831">
        <v>183350</v>
      </c>
      <c r="BM62" s="831">
        <v>720321</v>
      </c>
      <c r="BN62" s="421"/>
    </row>
    <row r="63" spans="1:67" x14ac:dyDescent="0.3">
      <c r="B63" s="219" t="str">
        <f t="shared" si="134"/>
        <v>TRAETHM00</v>
      </c>
      <c r="C63" s="224"/>
      <c r="D63" s="230"/>
      <c r="E63" s="224"/>
      <c r="F63" s="224"/>
      <c r="G63" s="224"/>
      <c r="H63" s="231">
        <v>2040</v>
      </c>
      <c r="I63" s="224"/>
      <c r="J63" s="232" t="s">
        <v>1064</v>
      </c>
      <c r="K63" s="232" t="s">
        <v>85</v>
      </c>
      <c r="L63" s="635">
        <f t="shared" si="135"/>
        <v>0</v>
      </c>
      <c r="M63" s="635">
        <f t="shared" si="135"/>
        <v>0</v>
      </c>
      <c r="N63" s="635">
        <f t="shared" si="135"/>
        <v>0</v>
      </c>
      <c r="O63" s="635">
        <f t="shared" si="135"/>
        <v>0</v>
      </c>
      <c r="P63" s="635">
        <f t="shared" si="135"/>
        <v>0</v>
      </c>
      <c r="Q63" s="635">
        <f t="shared" si="135"/>
        <v>0</v>
      </c>
      <c r="R63" s="635">
        <f t="shared" si="135"/>
        <v>0</v>
      </c>
      <c r="S63" s="635">
        <f t="shared" si="135"/>
        <v>0</v>
      </c>
      <c r="T63" s="635">
        <f t="shared" si="135"/>
        <v>0</v>
      </c>
      <c r="U63" s="635">
        <f t="shared" si="135"/>
        <v>0</v>
      </c>
      <c r="V63" s="635">
        <f t="shared" si="135"/>
        <v>0</v>
      </c>
      <c r="W63" s="635">
        <f t="shared" si="135"/>
        <v>0</v>
      </c>
      <c r="X63" s="635">
        <f t="shared" si="135"/>
        <v>0</v>
      </c>
      <c r="Y63" s="635">
        <f t="shared" si="135"/>
        <v>0</v>
      </c>
      <c r="Z63" s="635">
        <f t="shared" si="135"/>
        <v>0</v>
      </c>
      <c r="AB63" s="19"/>
      <c r="AW63" s="418" t="s">
        <v>1073</v>
      </c>
      <c r="AX63" s="832">
        <f t="shared" ref="AX63:AX66" si="136">SUM(AY63:BM63)</f>
        <v>140222</v>
      </c>
      <c r="AY63" s="831">
        <v>5885</v>
      </c>
      <c r="AZ63" s="831">
        <v>2611</v>
      </c>
      <c r="BA63" s="831">
        <v>2707</v>
      </c>
      <c r="BB63" s="831">
        <v>3191</v>
      </c>
      <c r="BC63" s="831">
        <v>5022</v>
      </c>
      <c r="BD63" s="831">
        <v>5066</v>
      </c>
      <c r="BE63" s="831">
        <v>10315</v>
      </c>
      <c r="BF63" s="831">
        <v>3294</v>
      </c>
      <c r="BG63" s="831">
        <v>2875</v>
      </c>
      <c r="BH63" s="831">
        <v>9021</v>
      </c>
      <c r="BI63" s="831">
        <v>8622</v>
      </c>
      <c r="BJ63" s="831">
        <v>5585</v>
      </c>
      <c r="BK63" s="831" t="s">
        <v>1081</v>
      </c>
      <c r="BL63" s="831">
        <v>16062</v>
      </c>
      <c r="BM63" s="831">
        <v>59966</v>
      </c>
      <c r="BN63" s="421"/>
    </row>
    <row r="64" spans="1:67" x14ac:dyDescent="0.3">
      <c r="B64" s="233" t="str">
        <f>B59</f>
        <v>TRAETHM00</v>
      </c>
      <c r="C64" s="234"/>
      <c r="D64" s="235"/>
      <c r="E64" s="234"/>
      <c r="F64" s="234"/>
      <c r="G64" s="234"/>
      <c r="H64" s="236">
        <f>$K$5</f>
        <v>2050</v>
      </c>
      <c r="I64" s="224"/>
      <c r="J64" s="237" t="s">
        <v>1064</v>
      </c>
      <c r="K64" s="237" t="s">
        <v>85</v>
      </c>
      <c r="L64" s="636">
        <f t="shared" si="135"/>
        <v>0</v>
      </c>
      <c r="M64" s="636">
        <f t="shared" si="135"/>
        <v>0</v>
      </c>
      <c r="N64" s="636">
        <f t="shared" si="135"/>
        <v>0</v>
      </c>
      <c r="O64" s="636">
        <f t="shared" si="135"/>
        <v>0</v>
      </c>
      <c r="P64" s="636">
        <f t="shared" si="135"/>
        <v>0</v>
      </c>
      <c r="Q64" s="636">
        <f t="shared" si="135"/>
        <v>0</v>
      </c>
      <c r="R64" s="636">
        <f t="shared" si="135"/>
        <v>0</v>
      </c>
      <c r="S64" s="636">
        <f t="shared" si="135"/>
        <v>0</v>
      </c>
      <c r="T64" s="636">
        <f t="shared" si="135"/>
        <v>0</v>
      </c>
      <c r="U64" s="636">
        <f t="shared" si="135"/>
        <v>0</v>
      </c>
      <c r="V64" s="636">
        <f t="shared" si="135"/>
        <v>0</v>
      </c>
      <c r="W64" s="636">
        <f t="shared" si="135"/>
        <v>0</v>
      </c>
      <c r="X64" s="636">
        <f t="shared" si="135"/>
        <v>0</v>
      </c>
      <c r="Y64" s="636">
        <f t="shared" si="135"/>
        <v>0</v>
      </c>
      <c r="Z64" s="636">
        <f t="shared" si="135"/>
        <v>0</v>
      </c>
      <c r="AB64" s="19"/>
      <c r="AW64" s="418" t="s">
        <v>1074</v>
      </c>
      <c r="AX64" s="832">
        <f t="shared" si="136"/>
        <v>0</v>
      </c>
      <c r="AY64" s="831"/>
      <c r="AZ64" s="831"/>
      <c r="BA64" s="831"/>
      <c r="BB64" s="831"/>
      <c r="BC64" s="831"/>
      <c r="BD64" s="831"/>
      <c r="BE64" s="831"/>
      <c r="BF64" s="831"/>
      <c r="BG64" s="831"/>
      <c r="BH64" s="831"/>
      <c r="BI64" s="831"/>
      <c r="BJ64" s="831"/>
      <c r="BK64" s="831"/>
      <c r="BL64" s="831"/>
      <c r="BM64" s="831"/>
      <c r="BN64" s="421"/>
    </row>
    <row r="65" spans="1:66" x14ac:dyDescent="0.3">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4">
        <v>1</v>
      </c>
      <c r="M65" s="634">
        <v>1</v>
      </c>
      <c r="N65" s="634">
        <v>1</v>
      </c>
      <c r="O65" s="634">
        <v>1</v>
      </c>
      <c r="P65" s="634">
        <v>1</v>
      </c>
      <c r="Q65" s="634">
        <v>1</v>
      </c>
      <c r="R65" s="634">
        <v>1</v>
      </c>
      <c r="S65" s="634">
        <v>1</v>
      </c>
      <c r="T65" s="634">
        <v>1</v>
      </c>
      <c r="U65" s="634">
        <v>1</v>
      </c>
      <c r="V65" s="634">
        <v>1</v>
      </c>
      <c r="W65" s="634">
        <v>1</v>
      </c>
      <c r="X65" s="634">
        <v>1</v>
      </c>
      <c r="Y65" s="634">
        <v>1</v>
      </c>
      <c r="Z65" s="634">
        <v>1</v>
      </c>
      <c r="AB65" s="19"/>
      <c r="AW65" s="418" t="s">
        <v>1075</v>
      </c>
      <c r="AX65" s="832">
        <f t="shared" si="136"/>
        <v>0</v>
      </c>
      <c r="AY65" s="831"/>
      <c r="AZ65" s="831"/>
      <c r="BA65" s="831"/>
      <c r="BB65" s="831"/>
      <c r="BC65" s="831"/>
      <c r="BD65" s="831"/>
      <c r="BE65" s="831"/>
      <c r="BF65" s="831"/>
      <c r="BG65" s="831"/>
      <c r="BH65" s="831"/>
      <c r="BI65" s="831"/>
      <c r="BJ65" s="831"/>
      <c r="BK65" s="831"/>
      <c r="BL65" s="831"/>
      <c r="BM65" s="831"/>
      <c r="BN65" s="421"/>
    </row>
    <row r="66" spans="1:66" x14ac:dyDescent="0.3">
      <c r="B66" s="224" t="str">
        <f>B65</f>
        <v>TRAH2G00</v>
      </c>
      <c r="C66" s="224"/>
      <c r="D66" s="225"/>
      <c r="E66" s="224"/>
      <c r="F66" s="224"/>
      <c r="G66" s="224"/>
      <c r="H66" s="231">
        <f>$K$3</f>
        <v>2019</v>
      </c>
      <c r="I66" s="224"/>
      <c r="J66" s="232" t="s">
        <v>1064</v>
      </c>
      <c r="K66" s="232" t="s">
        <v>85</v>
      </c>
      <c r="L66" s="635">
        <f t="shared" ref="L66:Z66" si="137">LOOKUP($F65, $AE$11:$AE$34, AG$11:AG$34*$L$6)</f>
        <v>0</v>
      </c>
      <c r="M66" s="635">
        <f t="shared" si="137"/>
        <v>0</v>
      </c>
      <c r="N66" s="635">
        <f t="shared" si="137"/>
        <v>0</v>
      </c>
      <c r="O66" s="635">
        <f t="shared" si="137"/>
        <v>0</v>
      </c>
      <c r="P66" s="635">
        <f t="shared" si="137"/>
        <v>0</v>
      </c>
      <c r="Q66" s="635">
        <f t="shared" si="137"/>
        <v>0</v>
      </c>
      <c r="R66" s="635">
        <f t="shared" si="137"/>
        <v>0</v>
      </c>
      <c r="S66" s="635">
        <f t="shared" si="137"/>
        <v>0</v>
      </c>
      <c r="T66" s="635">
        <f t="shared" si="137"/>
        <v>0</v>
      </c>
      <c r="U66" s="635">
        <f t="shared" si="137"/>
        <v>0</v>
      </c>
      <c r="V66" s="635">
        <f t="shared" si="137"/>
        <v>0</v>
      </c>
      <c r="W66" s="635">
        <f t="shared" si="137"/>
        <v>0</v>
      </c>
      <c r="X66" s="635">
        <f t="shared" si="137"/>
        <v>0</v>
      </c>
      <c r="Y66" s="635">
        <f t="shared" si="137"/>
        <v>0</v>
      </c>
      <c r="Z66" s="635">
        <f t="shared" si="137"/>
        <v>0</v>
      </c>
      <c r="AB66" s="19"/>
      <c r="AW66" s="418" t="s">
        <v>1076</v>
      </c>
      <c r="AX66" s="832">
        <f t="shared" si="136"/>
        <v>60509</v>
      </c>
      <c r="AY66" s="831">
        <v>147</v>
      </c>
      <c r="AZ66" s="831">
        <v>41</v>
      </c>
      <c r="BA66" s="831">
        <v>117</v>
      </c>
      <c r="BB66" s="831">
        <v>114</v>
      </c>
      <c r="BC66" s="831">
        <v>260</v>
      </c>
      <c r="BD66" s="831">
        <v>105</v>
      </c>
      <c r="BE66" s="831">
        <v>125</v>
      </c>
      <c r="BF66" s="831">
        <v>184</v>
      </c>
      <c r="BG66" s="831">
        <v>6</v>
      </c>
      <c r="BH66" s="831">
        <v>1940</v>
      </c>
      <c r="BI66" s="831">
        <v>31</v>
      </c>
      <c r="BJ66" s="831">
        <v>0</v>
      </c>
      <c r="BK66" s="831" t="s">
        <v>1081</v>
      </c>
      <c r="BL66" s="831">
        <v>542</v>
      </c>
      <c r="BM66" s="831">
        <v>56897</v>
      </c>
      <c r="BN66" s="421"/>
    </row>
    <row r="67" spans="1:66" x14ac:dyDescent="0.3">
      <c r="B67" s="219" t="str">
        <f t="shared" ref="B67:B69" si="138">B66</f>
        <v>TRAH2G00</v>
      </c>
      <c r="C67" s="224"/>
      <c r="D67" s="230"/>
      <c r="E67" s="224"/>
      <c r="F67" s="224"/>
      <c r="G67" s="224"/>
      <c r="H67" s="231">
        <v>2020</v>
      </c>
      <c r="I67" s="224"/>
      <c r="J67" s="232" t="s">
        <v>1064</v>
      </c>
      <c r="K67" s="232" t="s">
        <v>85</v>
      </c>
      <c r="L67" s="635">
        <f t="shared" ref="L67:Z70" si="139">L$66*LOOKUP($H67, $AF$47:$AF$50, AG$47:AG$50)</f>
        <v>0</v>
      </c>
      <c r="M67" s="635">
        <f t="shared" si="139"/>
        <v>0</v>
      </c>
      <c r="N67" s="635">
        <f t="shared" si="139"/>
        <v>0</v>
      </c>
      <c r="O67" s="635">
        <f t="shared" si="139"/>
        <v>0</v>
      </c>
      <c r="P67" s="635">
        <f t="shared" si="139"/>
        <v>0</v>
      </c>
      <c r="Q67" s="635">
        <f t="shared" si="139"/>
        <v>0</v>
      </c>
      <c r="R67" s="635">
        <f t="shared" si="139"/>
        <v>0</v>
      </c>
      <c r="S67" s="635">
        <f t="shared" si="139"/>
        <v>0</v>
      </c>
      <c r="T67" s="635">
        <f t="shared" si="139"/>
        <v>0</v>
      </c>
      <c r="U67" s="635">
        <f t="shared" si="139"/>
        <v>0</v>
      </c>
      <c r="V67" s="635">
        <f t="shared" si="139"/>
        <v>0</v>
      </c>
      <c r="W67" s="635">
        <f t="shared" si="139"/>
        <v>0</v>
      </c>
      <c r="X67" s="635">
        <f t="shared" si="139"/>
        <v>0</v>
      </c>
      <c r="Y67" s="635">
        <f t="shared" si="139"/>
        <v>0</v>
      </c>
      <c r="Z67" s="635">
        <f t="shared" si="139"/>
        <v>0</v>
      </c>
      <c r="AB67" s="19"/>
      <c r="AW67" s="418" t="s">
        <v>1077</v>
      </c>
      <c r="AX67" s="832">
        <f t="shared" ref="AX67" si="140">SUM(AY67:BM67)</f>
        <v>0</v>
      </c>
      <c r="AY67" s="831"/>
      <c r="AZ67" s="831"/>
      <c r="BA67" s="831"/>
      <c r="BB67" s="831"/>
      <c r="BC67" s="831"/>
      <c r="BD67" s="831"/>
      <c r="BE67" s="831"/>
      <c r="BF67" s="831"/>
      <c r="BG67" s="831"/>
      <c r="BH67" s="831"/>
      <c r="BI67" s="831"/>
      <c r="BJ67" s="831"/>
      <c r="BK67" s="831"/>
      <c r="BL67" s="831"/>
      <c r="BM67" s="831"/>
      <c r="BN67" s="421"/>
    </row>
    <row r="68" spans="1:66" x14ac:dyDescent="0.3">
      <c r="B68" s="219" t="str">
        <f t="shared" si="138"/>
        <v>TRAH2G00</v>
      </c>
      <c r="C68" s="224"/>
      <c r="D68" s="230"/>
      <c r="E68" s="224"/>
      <c r="F68" s="224"/>
      <c r="G68" s="224"/>
      <c r="H68" s="231">
        <v>2030</v>
      </c>
      <c r="I68" s="224"/>
      <c r="J68" s="232" t="s">
        <v>1064</v>
      </c>
      <c r="K68" s="232" t="s">
        <v>85</v>
      </c>
      <c r="L68" s="635">
        <f t="shared" si="139"/>
        <v>0</v>
      </c>
      <c r="M68" s="635">
        <f t="shared" si="139"/>
        <v>0</v>
      </c>
      <c r="N68" s="635">
        <f t="shared" si="139"/>
        <v>0</v>
      </c>
      <c r="O68" s="635">
        <f t="shared" si="139"/>
        <v>0</v>
      </c>
      <c r="P68" s="635">
        <f t="shared" si="139"/>
        <v>0</v>
      </c>
      <c r="Q68" s="635">
        <f t="shared" si="139"/>
        <v>0</v>
      </c>
      <c r="R68" s="635">
        <f t="shared" si="139"/>
        <v>0</v>
      </c>
      <c r="S68" s="635">
        <f t="shared" si="139"/>
        <v>0</v>
      </c>
      <c r="T68" s="635">
        <f t="shared" si="139"/>
        <v>0</v>
      </c>
      <c r="U68" s="635">
        <f t="shared" si="139"/>
        <v>0</v>
      </c>
      <c r="V68" s="635">
        <f t="shared" si="139"/>
        <v>0</v>
      </c>
      <c r="W68" s="635">
        <f t="shared" si="139"/>
        <v>0</v>
      </c>
      <c r="X68" s="635">
        <f t="shared" si="139"/>
        <v>0</v>
      </c>
      <c r="Y68" s="635">
        <f t="shared" si="139"/>
        <v>0</v>
      </c>
      <c r="Z68" s="635">
        <f t="shared" si="139"/>
        <v>0</v>
      </c>
      <c r="AB68" s="19"/>
      <c r="AW68" s="418" t="s">
        <v>1078</v>
      </c>
      <c r="AX68" s="832">
        <f>SUM(AX50:AX67)</f>
        <v>9188565.177974347</v>
      </c>
      <c r="AY68" s="831">
        <f t="shared" ref="AY68:BJ68" si="141">SUM(AY50:AY67)</f>
        <v>6517573.177974348</v>
      </c>
      <c r="AZ68" s="831">
        <f t="shared" si="141"/>
        <v>31884</v>
      </c>
      <c r="BA68" s="831">
        <f t="shared" si="141"/>
        <v>34311</v>
      </c>
      <c r="BB68" s="831">
        <f t="shared" si="141"/>
        <v>3305</v>
      </c>
      <c r="BC68" s="831">
        <f t="shared" si="141"/>
        <v>63216</v>
      </c>
      <c r="BD68" s="831">
        <f t="shared" si="141"/>
        <v>61142</v>
      </c>
      <c r="BE68" s="831">
        <f t="shared" si="141"/>
        <v>131910</v>
      </c>
      <c r="BF68" s="831">
        <f t="shared" si="141"/>
        <v>44872</v>
      </c>
      <c r="BG68" s="831">
        <f t="shared" si="141"/>
        <v>39550</v>
      </c>
      <c r="BH68" s="831">
        <f t="shared" si="141"/>
        <v>115386</v>
      </c>
      <c r="BI68" s="831">
        <f t="shared" si="141"/>
        <v>111949</v>
      </c>
      <c r="BJ68" s="831">
        <f t="shared" si="141"/>
        <v>69936</v>
      </c>
      <c r="BK68" s="831">
        <v>1013104</v>
      </c>
      <c r="BL68" s="831">
        <f t="shared" ref="BL68:BM68" si="142">SUM(BL50:BL67)</f>
        <v>199954</v>
      </c>
      <c r="BM68" s="831">
        <f t="shared" si="142"/>
        <v>837184</v>
      </c>
    </row>
    <row r="69" spans="1:66" x14ac:dyDescent="0.3">
      <c r="B69" s="219" t="str">
        <f t="shared" si="138"/>
        <v>TRAH2G00</v>
      </c>
      <c r="C69" s="224"/>
      <c r="D69" s="230"/>
      <c r="E69" s="224"/>
      <c r="F69" s="224"/>
      <c r="G69" s="224"/>
      <c r="H69" s="231">
        <v>2040</v>
      </c>
      <c r="I69" s="224"/>
      <c r="J69" s="232" t="s">
        <v>1064</v>
      </c>
      <c r="K69" s="232" t="s">
        <v>85</v>
      </c>
      <c r="L69" s="635">
        <f t="shared" si="139"/>
        <v>0</v>
      </c>
      <c r="M69" s="635">
        <f t="shared" si="139"/>
        <v>0</v>
      </c>
      <c r="N69" s="635">
        <f t="shared" si="139"/>
        <v>0</v>
      </c>
      <c r="O69" s="635">
        <f t="shared" si="139"/>
        <v>0</v>
      </c>
      <c r="P69" s="635">
        <f t="shared" si="139"/>
        <v>0</v>
      </c>
      <c r="Q69" s="635">
        <f t="shared" si="139"/>
        <v>0</v>
      </c>
      <c r="R69" s="635">
        <f t="shared" si="139"/>
        <v>0</v>
      </c>
      <c r="S69" s="635">
        <f t="shared" si="139"/>
        <v>0</v>
      </c>
      <c r="T69" s="635">
        <f t="shared" si="139"/>
        <v>0</v>
      </c>
      <c r="U69" s="635">
        <f t="shared" si="139"/>
        <v>0</v>
      </c>
      <c r="V69" s="635">
        <f t="shared" si="139"/>
        <v>0</v>
      </c>
      <c r="W69" s="635">
        <f t="shared" si="139"/>
        <v>0</v>
      </c>
      <c r="X69" s="635">
        <f t="shared" si="139"/>
        <v>0</v>
      </c>
      <c r="Y69" s="635">
        <f t="shared" si="139"/>
        <v>0</v>
      </c>
      <c r="Z69" s="635">
        <f t="shared" si="139"/>
        <v>0</v>
      </c>
      <c r="AB69" s="19"/>
    </row>
    <row r="70" spans="1:66" x14ac:dyDescent="0.3">
      <c r="B70" s="234" t="str">
        <f>B66</f>
        <v>TRAH2G00</v>
      </c>
      <c r="C70" s="234"/>
      <c r="D70" s="240"/>
      <c r="E70" s="234"/>
      <c r="F70" s="234"/>
      <c r="G70" s="234"/>
      <c r="H70" s="236">
        <f>$K$5</f>
        <v>2050</v>
      </c>
      <c r="I70" s="234"/>
      <c r="J70" s="237" t="s">
        <v>1064</v>
      </c>
      <c r="K70" s="237" t="s">
        <v>85</v>
      </c>
      <c r="L70" s="636">
        <f t="shared" si="139"/>
        <v>0</v>
      </c>
      <c r="M70" s="636">
        <f t="shared" si="139"/>
        <v>0</v>
      </c>
      <c r="N70" s="636">
        <f t="shared" si="139"/>
        <v>0</v>
      </c>
      <c r="O70" s="636">
        <f t="shared" si="139"/>
        <v>0</v>
      </c>
      <c r="P70" s="636">
        <f t="shared" si="139"/>
        <v>0</v>
      </c>
      <c r="Q70" s="636">
        <f t="shared" si="139"/>
        <v>0</v>
      </c>
      <c r="R70" s="636">
        <f t="shared" si="139"/>
        <v>0</v>
      </c>
      <c r="S70" s="636">
        <f t="shared" si="139"/>
        <v>0</v>
      </c>
      <c r="T70" s="636">
        <f t="shared" si="139"/>
        <v>0</v>
      </c>
      <c r="U70" s="636">
        <f t="shared" si="139"/>
        <v>0</v>
      </c>
      <c r="V70" s="636">
        <f t="shared" si="139"/>
        <v>0</v>
      </c>
      <c r="W70" s="636">
        <f t="shared" si="139"/>
        <v>0</v>
      </c>
      <c r="X70" s="636">
        <f t="shared" si="139"/>
        <v>0</v>
      </c>
      <c r="Y70" s="636">
        <f t="shared" si="139"/>
        <v>0</v>
      </c>
      <c r="Z70" s="636">
        <f t="shared" si="139"/>
        <v>0</v>
      </c>
      <c r="AB70" s="19"/>
    </row>
    <row r="71" spans="1:66" x14ac:dyDescent="0.3">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4">
        <v>1</v>
      </c>
      <c r="M71" s="634">
        <v>1</v>
      </c>
      <c r="N71" s="634">
        <v>1</v>
      </c>
      <c r="O71" s="634">
        <v>1</v>
      </c>
      <c r="P71" s="634">
        <v>1</v>
      </c>
      <c r="Q71" s="634">
        <v>1</v>
      </c>
      <c r="R71" s="634">
        <v>1</v>
      </c>
      <c r="S71" s="634">
        <v>1</v>
      </c>
      <c r="T71" s="634">
        <v>1</v>
      </c>
      <c r="U71" s="634">
        <v>1</v>
      </c>
      <c r="V71" s="634">
        <v>1</v>
      </c>
      <c r="W71" s="634">
        <v>1</v>
      </c>
      <c r="X71" s="634">
        <v>1</v>
      </c>
      <c r="Y71" s="634">
        <v>1</v>
      </c>
      <c r="Z71" s="634">
        <v>1</v>
      </c>
      <c r="AB71" s="19"/>
    </row>
    <row r="72" spans="1:66" x14ac:dyDescent="0.3">
      <c r="B72" s="219" t="str">
        <f>B71</f>
        <v>TRANGS00</v>
      </c>
      <c r="C72" s="224"/>
      <c r="D72" s="230"/>
      <c r="E72" s="224"/>
      <c r="F72" s="224"/>
      <c r="G72" s="224"/>
      <c r="H72" s="231">
        <f>$K$3</f>
        <v>2019</v>
      </c>
      <c r="I72" s="224"/>
      <c r="J72" s="232" t="s">
        <v>1064</v>
      </c>
      <c r="K72" s="232" t="s">
        <v>85</v>
      </c>
      <c r="L72" s="635">
        <f t="shared" ref="L72:Z72" si="143">LOOKUP($F71, $AE$11:$AE$34, AG$11:AG$34*$L$6)</f>
        <v>128.39030788378346</v>
      </c>
      <c r="M72" s="635">
        <f t="shared" si="143"/>
        <v>0</v>
      </c>
      <c r="N72" s="635">
        <f t="shared" si="143"/>
        <v>0</v>
      </c>
      <c r="O72" s="635">
        <f t="shared" si="143"/>
        <v>0</v>
      </c>
      <c r="P72" s="635">
        <f t="shared" si="143"/>
        <v>0</v>
      </c>
      <c r="Q72" s="635">
        <f t="shared" si="143"/>
        <v>0</v>
      </c>
      <c r="R72" s="635">
        <f t="shared" si="143"/>
        <v>0</v>
      </c>
      <c r="S72" s="635">
        <f t="shared" si="143"/>
        <v>0</v>
      </c>
      <c r="T72" s="635">
        <f t="shared" si="143"/>
        <v>0</v>
      </c>
      <c r="U72" s="635">
        <f t="shared" si="143"/>
        <v>0</v>
      </c>
      <c r="V72" s="635">
        <f t="shared" si="143"/>
        <v>0</v>
      </c>
      <c r="W72" s="635">
        <f t="shared" si="143"/>
        <v>0</v>
      </c>
      <c r="X72" s="635">
        <f t="shared" si="143"/>
        <v>0</v>
      </c>
      <c r="Y72" s="635">
        <f t="shared" si="143"/>
        <v>0</v>
      </c>
      <c r="Z72" s="635">
        <f t="shared" si="143"/>
        <v>0</v>
      </c>
      <c r="AB72" s="19"/>
    </row>
    <row r="73" spans="1:66" x14ac:dyDescent="0.3">
      <c r="B73" s="219" t="str">
        <f t="shared" ref="B73:B75" si="144">B72</f>
        <v>TRANGS00</v>
      </c>
      <c r="C73" s="224"/>
      <c r="D73" s="230"/>
      <c r="E73" s="224"/>
      <c r="F73" s="224"/>
      <c r="G73" s="224"/>
      <c r="H73" s="231">
        <v>2020</v>
      </c>
      <c r="I73" s="224"/>
      <c r="J73" s="232" t="s">
        <v>1064</v>
      </c>
      <c r="K73" s="232" t="s">
        <v>85</v>
      </c>
      <c r="L73" s="635">
        <f t="shared" ref="L73:Z76" si="145">L$72*LOOKUP($H73, $AF$47:$AF$50, AG$47:AG$50)</f>
        <v>102.71224630702677</v>
      </c>
      <c r="M73" s="635">
        <f t="shared" si="145"/>
        <v>0</v>
      </c>
      <c r="N73" s="635">
        <f t="shared" si="145"/>
        <v>0</v>
      </c>
      <c r="O73" s="635">
        <f t="shared" si="145"/>
        <v>0</v>
      </c>
      <c r="P73" s="635">
        <f t="shared" si="145"/>
        <v>0</v>
      </c>
      <c r="Q73" s="635">
        <f t="shared" si="145"/>
        <v>0</v>
      </c>
      <c r="R73" s="635">
        <f t="shared" si="145"/>
        <v>0</v>
      </c>
      <c r="S73" s="635">
        <f t="shared" si="145"/>
        <v>0</v>
      </c>
      <c r="T73" s="635">
        <f t="shared" si="145"/>
        <v>0</v>
      </c>
      <c r="U73" s="635">
        <f t="shared" si="145"/>
        <v>0</v>
      </c>
      <c r="V73" s="635">
        <f t="shared" si="145"/>
        <v>0</v>
      </c>
      <c r="W73" s="635">
        <f t="shared" si="145"/>
        <v>0</v>
      </c>
      <c r="X73" s="635">
        <f t="shared" si="145"/>
        <v>0</v>
      </c>
      <c r="Y73" s="635">
        <f t="shared" si="145"/>
        <v>0</v>
      </c>
      <c r="Z73" s="635">
        <f t="shared" si="145"/>
        <v>0</v>
      </c>
      <c r="AB73" s="19"/>
    </row>
    <row r="74" spans="1:66" x14ac:dyDescent="0.3">
      <c r="B74" s="219" t="str">
        <f t="shared" si="144"/>
        <v>TRANGS00</v>
      </c>
      <c r="C74" s="224"/>
      <c r="D74" s="230"/>
      <c r="E74" s="224"/>
      <c r="F74" s="224"/>
      <c r="G74" s="224"/>
      <c r="H74" s="231">
        <v>2030</v>
      </c>
      <c r="I74" s="224"/>
      <c r="J74" s="232" t="s">
        <v>1064</v>
      </c>
      <c r="K74" s="232" t="s">
        <v>85</v>
      </c>
      <c r="L74" s="635">
        <f t="shared" si="145"/>
        <v>51.356123153513387</v>
      </c>
      <c r="M74" s="635">
        <f t="shared" si="145"/>
        <v>0</v>
      </c>
      <c r="N74" s="635">
        <f t="shared" si="145"/>
        <v>0</v>
      </c>
      <c r="O74" s="635">
        <f t="shared" si="145"/>
        <v>0</v>
      </c>
      <c r="P74" s="635">
        <f t="shared" si="145"/>
        <v>0</v>
      </c>
      <c r="Q74" s="635">
        <f t="shared" si="145"/>
        <v>0</v>
      </c>
      <c r="R74" s="635">
        <f t="shared" si="145"/>
        <v>0</v>
      </c>
      <c r="S74" s="635">
        <f t="shared" si="145"/>
        <v>0</v>
      </c>
      <c r="T74" s="635">
        <f t="shared" si="145"/>
        <v>0</v>
      </c>
      <c r="U74" s="635">
        <f t="shared" si="145"/>
        <v>0</v>
      </c>
      <c r="V74" s="635">
        <f t="shared" si="145"/>
        <v>0</v>
      </c>
      <c r="W74" s="635">
        <f t="shared" si="145"/>
        <v>0</v>
      </c>
      <c r="X74" s="635">
        <f t="shared" si="145"/>
        <v>0</v>
      </c>
      <c r="Y74" s="635">
        <f t="shared" si="145"/>
        <v>0</v>
      </c>
      <c r="Z74" s="635">
        <f t="shared" si="145"/>
        <v>0</v>
      </c>
      <c r="AB74" s="19"/>
    </row>
    <row r="75" spans="1:66" x14ac:dyDescent="0.3">
      <c r="B75" s="219" t="str">
        <f t="shared" si="144"/>
        <v>TRANGS00</v>
      </c>
      <c r="C75" s="224"/>
      <c r="D75" s="230"/>
      <c r="E75" s="224"/>
      <c r="F75" s="224"/>
      <c r="G75" s="224"/>
      <c r="H75" s="231">
        <v>2040</v>
      </c>
      <c r="I75" s="224"/>
      <c r="J75" s="232" t="s">
        <v>1064</v>
      </c>
      <c r="K75" s="232" t="s">
        <v>85</v>
      </c>
      <c r="L75" s="635">
        <f t="shared" si="145"/>
        <v>0</v>
      </c>
      <c r="M75" s="635">
        <f t="shared" si="145"/>
        <v>0</v>
      </c>
      <c r="N75" s="635">
        <f t="shared" si="145"/>
        <v>0</v>
      </c>
      <c r="O75" s="635">
        <f t="shared" si="145"/>
        <v>0</v>
      </c>
      <c r="P75" s="635">
        <f t="shared" si="145"/>
        <v>0</v>
      </c>
      <c r="Q75" s="635">
        <f t="shared" si="145"/>
        <v>0</v>
      </c>
      <c r="R75" s="635">
        <f t="shared" si="145"/>
        <v>0</v>
      </c>
      <c r="S75" s="635">
        <f t="shared" si="145"/>
        <v>0</v>
      </c>
      <c r="T75" s="635">
        <f t="shared" si="145"/>
        <v>0</v>
      </c>
      <c r="U75" s="635">
        <f t="shared" si="145"/>
        <v>0</v>
      </c>
      <c r="V75" s="635">
        <f t="shared" si="145"/>
        <v>0</v>
      </c>
      <c r="W75" s="635">
        <f t="shared" si="145"/>
        <v>0</v>
      </c>
      <c r="X75" s="635">
        <f t="shared" si="145"/>
        <v>0</v>
      </c>
      <c r="Y75" s="635">
        <f t="shared" si="145"/>
        <v>0</v>
      </c>
      <c r="Z75" s="635">
        <f t="shared" si="145"/>
        <v>0</v>
      </c>
      <c r="AB75" s="19"/>
    </row>
    <row r="76" spans="1:66" x14ac:dyDescent="0.3">
      <c r="B76" s="233" t="str">
        <f>B72</f>
        <v>TRANGS00</v>
      </c>
      <c r="C76" s="234"/>
      <c r="D76" s="235"/>
      <c r="E76" s="234"/>
      <c r="F76" s="234"/>
      <c r="G76" s="234"/>
      <c r="H76" s="236">
        <f>$K$5</f>
        <v>2050</v>
      </c>
      <c r="I76" s="224"/>
      <c r="J76" s="237" t="s">
        <v>1064</v>
      </c>
      <c r="K76" s="237" t="s">
        <v>85</v>
      </c>
      <c r="L76" s="636">
        <f t="shared" si="145"/>
        <v>0</v>
      </c>
      <c r="M76" s="636">
        <f t="shared" si="145"/>
        <v>0</v>
      </c>
      <c r="N76" s="636">
        <f t="shared" si="145"/>
        <v>0</v>
      </c>
      <c r="O76" s="636">
        <f t="shared" si="145"/>
        <v>0</v>
      </c>
      <c r="P76" s="636">
        <f t="shared" si="145"/>
        <v>0</v>
      </c>
      <c r="Q76" s="636">
        <f t="shared" si="145"/>
        <v>0</v>
      </c>
      <c r="R76" s="636">
        <f t="shared" si="145"/>
        <v>0</v>
      </c>
      <c r="S76" s="636">
        <f t="shared" si="145"/>
        <v>0</v>
      </c>
      <c r="T76" s="636">
        <f t="shared" si="145"/>
        <v>0</v>
      </c>
      <c r="U76" s="636">
        <f t="shared" si="145"/>
        <v>0</v>
      </c>
      <c r="V76" s="636">
        <f t="shared" si="145"/>
        <v>0</v>
      </c>
      <c r="W76" s="636">
        <f t="shared" si="145"/>
        <v>0</v>
      </c>
      <c r="X76" s="636">
        <f t="shared" si="145"/>
        <v>0</v>
      </c>
      <c r="Y76" s="636">
        <f t="shared" si="145"/>
        <v>0</v>
      </c>
      <c r="Z76" s="636">
        <f t="shared" si="145"/>
        <v>0</v>
      </c>
      <c r="AB76" s="19"/>
    </row>
    <row r="77" spans="1:66" x14ac:dyDescent="0.3">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4">
        <v>1</v>
      </c>
      <c r="M77" s="634">
        <v>1</v>
      </c>
      <c r="N77" s="634">
        <v>1</v>
      </c>
      <c r="O77" s="634">
        <v>1</v>
      </c>
      <c r="P77" s="634">
        <v>1</v>
      </c>
      <c r="Q77" s="634">
        <v>1</v>
      </c>
      <c r="R77" s="634">
        <v>1</v>
      </c>
      <c r="S77" s="634">
        <v>1</v>
      </c>
      <c r="T77" s="634">
        <v>1</v>
      </c>
      <c r="U77" s="634">
        <v>1</v>
      </c>
      <c r="V77" s="634">
        <v>1</v>
      </c>
      <c r="W77" s="634">
        <v>1</v>
      </c>
      <c r="X77" s="634">
        <v>1</v>
      </c>
      <c r="Y77" s="634">
        <v>1</v>
      </c>
      <c r="Z77" s="634">
        <v>1</v>
      </c>
      <c r="AB77" s="19"/>
    </row>
    <row r="78" spans="1:66" x14ac:dyDescent="0.3">
      <c r="B78" s="219" t="str">
        <f>B77</f>
        <v>TRAHUM00</v>
      </c>
      <c r="C78" s="224"/>
      <c r="D78" s="230"/>
      <c r="E78" s="224"/>
      <c r="F78" s="224"/>
      <c r="G78" s="224"/>
      <c r="H78" s="231">
        <f>$K$3</f>
        <v>2019</v>
      </c>
      <c r="I78" s="224"/>
      <c r="J78" s="232" t="s">
        <v>1064</v>
      </c>
      <c r="K78" s="232" t="s">
        <v>85</v>
      </c>
      <c r="L78" s="635"/>
      <c r="M78" s="635"/>
      <c r="N78" s="635"/>
      <c r="O78" s="635"/>
      <c r="P78" s="635"/>
      <c r="Q78" s="635"/>
      <c r="R78" s="635"/>
      <c r="S78" s="635"/>
      <c r="T78" s="635"/>
      <c r="U78" s="635"/>
      <c r="V78" s="635"/>
      <c r="W78" s="635"/>
      <c r="X78" s="635"/>
      <c r="Y78" s="635"/>
      <c r="Z78" s="635"/>
      <c r="AB78" s="19"/>
    </row>
    <row r="79" spans="1:66" x14ac:dyDescent="0.3">
      <c r="B79" s="219" t="str">
        <f t="shared" ref="B79:B81" si="146">B78</f>
        <v>TRAHUM00</v>
      </c>
      <c r="C79" s="224"/>
      <c r="D79" s="230"/>
      <c r="E79" s="224"/>
      <c r="F79" s="224"/>
      <c r="G79" s="224"/>
      <c r="H79" s="231">
        <v>2020</v>
      </c>
      <c r="I79" s="224"/>
      <c r="J79" s="232" t="s">
        <v>1064</v>
      </c>
      <c r="K79" s="232" t="s">
        <v>85</v>
      </c>
      <c r="L79" s="635"/>
      <c r="M79" s="635"/>
      <c r="N79" s="635"/>
      <c r="O79" s="635"/>
      <c r="P79" s="635"/>
      <c r="Q79" s="635"/>
      <c r="R79" s="635"/>
      <c r="S79" s="635"/>
      <c r="T79" s="635"/>
      <c r="U79" s="635"/>
      <c r="V79" s="635"/>
      <c r="W79" s="635"/>
      <c r="X79" s="635"/>
      <c r="Y79" s="635"/>
      <c r="Z79" s="635"/>
      <c r="AB79" s="19"/>
    </row>
    <row r="80" spans="1:66" x14ac:dyDescent="0.3">
      <c r="B80" s="219" t="str">
        <f t="shared" si="146"/>
        <v>TRAHUM00</v>
      </c>
      <c r="C80" s="224"/>
      <c r="D80" s="230"/>
      <c r="E80" s="224"/>
      <c r="F80" s="224"/>
      <c r="G80" s="224"/>
      <c r="H80" s="231">
        <v>2030</v>
      </c>
      <c r="I80" s="224"/>
      <c r="J80" s="232" t="s">
        <v>1064</v>
      </c>
      <c r="K80" s="232" t="s">
        <v>85</v>
      </c>
      <c r="L80" s="635"/>
      <c r="M80" s="635"/>
      <c r="N80" s="635"/>
      <c r="O80" s="635"/>
      <c r="P80" s="635"/>
      <c r="Q80" s="635"/>
      <c r="R80" s="635"/>
      <c r="S80" s="635"/>
      <c r="T80" s="635"/>
      <c r="U80" s="635"/>
      <c r="V80" s="635"/>
      <c r="W80" s="635"/>
      <c r="X80" s="635"/>
      <c r="Y80" s="635"/>
      <c r="Z80" s="635"/>
      <c r="AB80" s="19"/>
    </row>
    <row r="81" spans="1:31" x14ac:dyDescent="0.3">
      <c r="B81" s="219" t="str">
        <f t="shared" si="146"/>
        <v>TRAHUM00</v>
      </c>
      <c r="C81" s="224"/>
      <c r="D81" s="230"/>
      <c r="E81" s="224"/>
      <c r="F81" s="224"/>
      <c r="G81" s="224"/>
      <c r="H81" s="231">
        <v>2040</v>
      </c>
      <c r="I81" s="224"/>
      <c r="J81" s="232" t="s">
        <v>1064</v>
      </c>
      <c r="K81" s="232" t="s">
        <v>85</v>
      </c>
      <c r="L81" s="635"/>
      <c r="M81" s="635"/>
      <c r="N81" s="635"/>
      <c r="O81" s="635"/>
      <c r="P81" s="635"/>
      <c r="Q81" s="635"/>
      <c r="R81" s="635"/>
      <c r="S81" s="635"/>
      <c r="T81" s="635"/>
      <c r="U81" s="635"/>
      <c r="V81" s="635"/>
      <c r="W81" s="635"/>
      <c r="X81" s="635"/>
      <c r="Y81" s="635"/>
      <c r="Z81" s="635"/>
      <c r="AB81" s="19"/>
      <c r="AE81" s="19"/>
    </row>
    <row r="82" spans="1:31" x14ac:dyDescent="0.3">
      <c r="B82" s="233" t="str">
        <f>B78</f>
        <v>TRAHUM00</v>
      </c>
      <c r="C82" s="234"/>
      <c r="D82" s="235"/>
      <c r="E82" s="234"/>
      <c r="F82" s="234"/>
      <c r="G82" s="234"/>
      <c r="H82" s="236">
        <f>$K$5</f>
        <v>2050</v>
      </c>
      <c r="I82" s="224"/>
      <c r="J82" s="237" t="s">
        <v>1064</v>
      </c>
      <c r="K82" s="237" t="s">
        <v>85</v>
      </c>
      <c r="L82" s="636"/>
      <c r="M82" s="636"/>
      <c r="N82" s="636"/>
      <c r="O82" s="636"/>
      <c r="P82" s="636"/>
      <c r="Q82" s="636"/>
      <c r="R82" s="636"/>
      <c r="S82" s="636"/>
      <c r="T82" s="636"/>
      <c r="U82" s="636"/>
      <c r="V82" s="636"/>
      <c r="W82" s="636"/>
      <c r="X82" s="636"/>
      <c r="Y82" s="636"/>
      <c r="Z82" s="636"/>
      <c r="AB82" s="19"/>
      <c r="AE82" s="19"/>
    </row>
    <row r="83" spans="1:31" x14ac:dyDescent="0.3">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4">
        <v>1</v>
      </c>
      <c r="M83" s="634">
        <v>1</v>
      </c>
      <c r="N83" s="634">
        <v>1</v>
      </c>
      <c r="O83" s="634">
        <v>1</v>
      </c>
      <c r="P83" s="634">
        <v>1</v>
      </c>
      <c r="Q83" s="634">
        <v>1</v>
      </c>
      <c r="R83" s="634">
        <v>1</v>
      </c>
      <c r="S83" s="634">
        <v>1</v>
      </c>
      <c r="T83" s="634">
        <v>1</v>
      </c>
      <c r="U83" s="634">
        <v>1</v>
      </c>
      <c r="V83" s="634">
        <v>1</v>
      </c>
      <c r="W83" s="634">
        <v>1</v>
      </c>
      <c r="X83" s="634">
        <v>1</v>
      </c>
      <c r="Y83" s="634">
        <v>1</v>
      </c>
      <c r="Z83" s="634">
        <v>1</v>
      </c>
      <c r="AB83" s="19"/>
    </row>
    <row r="84" spans="1:31" x14ac:dyDescent="0.3">
      <c r="B84" s="219" t="str">
        <f>B83</f>
        <v>TRADSR00</v>
      </c>
      <c r="C84" s="224"/>
      <c r="D84" s="230"/>
      <c r="E84" s="224"/>
      <c r="F84" s="224"/>
      <c r="G84" s="224"/>
      <c r="H84" s="231">
        <f>$K$3</f>
        <v>2019</v>
      </c>
      <c r="I84" s="224"/>
      <c r="J84" s="232" t="s">
        <v>1064</v>
      </c>
      <c r="K84" s="232" t="s">
        <v>85</v>
      </c>
      <c r="L84" s="635">
        <f t="shared" ref="L84:Z84" si="147">LOOKUP($F83, $AE$11:$AE$34, AG$11:AG$34*$L$6)</f>
        <v>0</v>
      </c>
      <c r="M84" s="635">
        <f t="shared" si="147"/>
        <v>0</v>
      </c>
      <c r="N84" s="635">
        <f t="shared" si="147"/>
        <v>0</v>
      </c>
      <c r="O84" s="635">
        <f t="shared" si="147"/>
        <v>0</v>
      </c>
      <c r="P84" s="635">
        <f t="shared" si="147"/>
        <v>0</v>
      </c>
      <c r="Q84" s="635">
        <f t="shared" si="147"/>
        <v>0</v>
      </c>
      <c r="R84" s="635">
        <f t="shared" si="147"/>
        <v>0</v>
      </c>
      <c r="S84" s="635">
        <f t="shared" si="147"/>
        <v>0</v>
      </c>
      <c r="T84" s="635">
        <f t="shared" si="147"/>
        <v>0</v>
      </c>
      <c r="U84" s="635">
        <f t="shared" si="147"/>
        <v>0</v>
      </c>
      <c r="V84" s="635">
        <f t="shared" si="147"/>
        <v>0</v>
      </c>
      <c r="W84" s="635">
        <f t="shared" si="147"/>
        <v>0</v>
      </c>
      <c r="X84" s="635">
        <f t="shared" si="147"/>
        <v>0</v>
      </c>
      <c r="Y84" s="635">
        <f t="shared" si="147"/>
        <v>0</v>
      </c>
      <c r="Z84" s="635">
        <f t="shared" si="147"/>
        <v>0</v>
      </c>
      <c r="AB84" s="19"/>
    </row>
    <row r="85" spans="1:31" x14ac:dyDescent="0.3">
      <c r="B85" s="219" t="str">
        <f t="shared" ref="B85:B87" si="148">B84</f>
        <v>TRADSR00</v>
      </c>
      <c r="C85" s="224"/>
      <c r="D85" s="230"/>
      <c r="E85" s="224"/>
      <c r="F85" s="224"/>
      <c r="G85" s="224"/>
      <c r="H85" s="231">
        <v>2020</v>
      </c>
      <c r="I85" s="224"/>
      <c r="J85" s="232" t="s">
        <v>1064</v>
      </c>
      <c r="K85" s="232" t="s">
        <v>85</v>
      </c>
      <c r="L85" s="635">
        <f t="shared" ref="L85:Z88" si="149">L$84*LOOKUP($H85, $AF$47:$AF$50, AG$47:AG$50)</f>
        <v>0</v>
      </c>
      <c r="M85" s="635">
        <f t="shared" si="149"/>
        <v>0</v>
      </c>
      <c r="N85" s="635">
        <f t="shared" si="149"/>
        <v>0</v>
      </c>
      <c r="O85" s="635">
        <f t="shared" si="149"/>
        <v>0</v>
      </c>
      <c r="P85" s="635">
        <f t="shared" si="149"/>
        <v>0</v>
      </c>
      <c r="Q85" s="635">
        <f t="shared" si="149"/>
        <v>0</v>
      </c>
      <c r="R85" s="635">
        <f t="shared" si="149"/>
        <v>0</v>
      </c>
      <c r="S85" s="635">
        <f t="shared" si="149"/>
        <v>0</v>
      </c>
      <c r="T85" s="635">
        <f t="shared" si="149"/>
        <v>0</v>
      </c>
      <c r="U85" s="635">
        <f t="shared" si="149"/>
        <v>0</v>
      </c>
      <c r="V85" s="635">
        <f t="shared" si="149"/>
        <v>0</v>
      </c>
      <c r="W85" s="635">
        <f t="shared" si="149"/>
        <v>0</v>
      </c>
      <c r="X85" s="635">
        <f t="shared" si="149"/>
        <v>0</v>
      </c>
      <c r="Y85" s="635">
        <f t="shared" si="149"/>
        <v>0</v>
      </c>
      <c r="Z85" s="635">
        <f t="shared" si="149"/>
        <v>0</v>
      </c>
      <c r="AB85" s="19"/>
    </row>
    <row r="86" spans="1:31" x14ac:dyDescent="0.3">
      <c r="B86" s="219" t="str">
        <f t="shared" si="148"/>
        <v>TRADSR00</v>
      </c>
      <c r="C86" s="224"/>
      <c r="D86" s="230"/>
      <c r="E86" s="224"/>
      <c r="F86" s="224"/>
      <c r="G86" s="224"/>
      <c r="H86" s="231">
        <v>2030</v>
      </c>
      <c r="I86" s="224"/>
      <c r="J86" s="232" t="s">
        <v>1064</v>
      </c>
      <c r="K86" s="232" t="s">
        <v>85</v>
      </c>
      <c r="L86" s="635">
        <f t="shared" si="149"/>
        <v>0</v>
      </c>
      <c r="M86" s="635">
        <f t="shared" si="149"/>
        <v>0</v>
      </c>
      <c r="N86" s="635">
        <f t="shared" si="149"/>
        <v>0</v>
      </c>
      <c r="O86" s="635">
        <f t="shared" si="149"/>
        <v>0</v>
      </c>
      <c r="P86" s="635">
        <f t="shared" si="149"/>
        <v>0</v>
      </c>
      <c r="Q86" s="635">
        <f t="shared" si="149"/>
        <v>0</v>
      </c>
      <c r="R86" s="635">
        <f t="shared" si="149"/>
        <v>0</v>
      </c>
      <c r="S86" s="635">
        <f t="shared" si="149"/>
        <v>0</v>
      </c>
      <c r="T86" s="635">
        <f t="shared" si="149"/>
        <v>0</v>
      </c>
      <c r="U86" s="635">
        <f t="shared" si="149"/>
        <v>0</v>
      </c>
      <c r="V86" s="635">
        <f t="shared" si="149"/>
        <v>0</v>
      </c>
      <c r="W86" s="635">
        <f t="shared" si="149"/>
        <v>0</v>
      </c>
      <c r="X86" s="635">
        <f t="shared" si="149"/>
        <v>0</v>
      </c>
      <c r="Y86" s="635">
        <f t="shared" si="149"/>
        <v>0</v>
      </c>
      <c r="Z86" s="635">
        <f t="shared" si="149"/>
        <v>0</v>
      </c>
      <c r="AB86" s="19"/>
    </row>
    <row r="87" spans="1:31" x14ac:dyDescent="0.3">
      <c r="B87" s="219" t="str">
        <f t="shared" si="148"/>
        <v>TRADSR00</v>
      </c>
      <c r="C87" s="224"/>
      <c r="D87" s="230"/>
      <c r="E87" s="224"/>
      <c r="F87" s="224"/>
      <c r="G87" s="224"/>
      <c r="H87" s="231">
        <v>2040</v>
      </c>
      <c r="I87" s="224"/>
      <c r="J87" s="232" t="s">
        <v>1064</v>
      </c>
      <c r="K87" s="232" t="s">
        <v>85</v>
      </c>
      <c r="L87" s="635">
        <f t="shared" si="149"/>
        <v>0</v>
      </c>
      <c r="M87" s="635">
        <f t="shared" si="149"/>
        <v>0</v>
      </c>
      <c r="N87" s="635">
        <f t="shared" si="149"/>
        <v>0</v>
      </c>
      <c r="O87" s="635">
        <f t="shared" si="149"/>
        <v>0</v>
      </c>
      <c r="P87" s="635">
        <f t="shared" si="149"/>
        <v>0</v>
      </c>
      <c r="Q87" s="635">
        <f t="shared" si="149"/>
        <v>0</v>
      </c>
      <c r="R87" s="635">
        <f t="shared" si="149"/>
        <v>0</v>
      </c>
      <c r="S87" s="635">
        <f t="shared" si="149"/>
        <v>0</v>
      </c>
      <c r="T87" s="635">
        <f t="shared" si="149"/>
        <v>0</v>
      </c>
      <c r="U87" s="635">
        <f t="shared" si="149"/>
        <v>0</v>
      </c>
      <c r="V87" s="635">
        <f t="shared" si="149"/>
        <v>0</v>
      </c>
      <c r="W87" s="635">
        <f t="shared" si="149"/>
        <v>0</v>
      </c>
      <c r="X87" s="635">
        <f t="shared" si="149"/>
        <v>0</v>
      </c>
      <c r="Y87" s="635">
        <f t="shared" si="149"/>
        <v>0</v>
      </c>
      <c r="Z87" s="635">
        <f t="shared" si="149"/>
        <v>0</v>
      </c>
      <c r="AB87" s="19"/>
      <c r="AE87" s="19"/>
    </row>
    <row r="88" spans="1:31" x14ac:dyDescent="0.3">
      <c r="B88" s="233" t="str">
        <f>B83</f>
        <v>TRADSR00</v>
      </c>
      <c r="C88" s="234"/>
      <c r="D88" s="235"/>
      <c r="E88" s="234"/>
      <c r="F88" s="234"/>
      <c r="G88" s="234"/>
      <c r="H88" s="236">
        <f>$K$5</f>
        <v>2050</v>
      </c>
      <c r="I88" s="224"/>
      <c r="J88" s="237" t="s">
        <v>1064</v>
      </c>
      <c r="K88" s="237" t="s">
        <v>85</v>
      </c>
      <c r="L88" s="636">
        <f t="shared" si="149"/>
        <v>0</v>
      </c>
      <c r="M88" s="636">
        <f t="shared" si="149"/>
        <v>0</v>
      </c>
      <c r="N88" s="636">
        <f t="shared" si="149"/>
        <v>0</v>
      </c>
      <c r="O88" s="636">
        <f t="shared" si="149"/>
        <v>0</v>
      </c>
      <c r="P88" s="636">
        <f t="shared" si="149"/>
        <v>0</v>
      </c>
      <c r="Q88" s="636">
        <f t="shared" si="149"/>
        <v>0</v>
      </c>
      <c r="R88" s="636">
        <f t="shared" si="149"/>
        <v>0</v>
      </c>
      <c r="S88" s="636">
        <f t="shared" si="149"/>
        <v>0</v>
      </c>
      <c r="T88" s="636">
        <f t="shared" si="149"/>
        <v>0</v>
      </c>
      <c r="U88" s="636">
        <f t="shared" si="149"/>
        <v>0</v>
      </c>
      <c r="V88" s="636">
        <f t="shared" si="149"/>
        <v>0</v>
      </c>
      <c r="W88" s="636">
        <f t="shared" si="149"/>
        <v>0</v>
      </c>
      <c r="X88" s="636">
        <f t="shared" si="149"/>
        <v>0</v>
      </c>
      <c r="Y88" s="636">
        <f t="shared" si="149"/>
        <v>0</v>
      </c>
      <c r="Z88" s="636">
        <f t="shared" si="149"/>
        <v>0</v>
      </c>
      <c r="AB88" s="19"/>
      <c r="AE88" s="19"/>
    </row>
    <row r="89" spans="1:31" x14ac:dyDescent="0.3">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4">
        <v>1</v>
      </c>
      <c r="M89" s="634">
        <v>1</v>
      </c>
      <c r="N89" s="634">
        <v>1</v>
      </c>
      <c r="O89" s="634">
        <v>1</v>
      </c>
      <c r="P89" s="634">
        <v>1</v>
      </c>
      <c r="Q89" s="634">
        <v>1</v>
      </c>
      <c r="R89" s="634">
        <v>1</v>
      </c>
      <c r="S89" s="634">
        <v>1</v>
      </c>
      <c r="T89" s="634">
        <v>1</v>
      </c>
      <c r="U89" s="634">
        <v>1</v>
      </c>
      <c r="V89" s="634">
        <v>1</v>
      </c>
      <c r="W89" s="634">
        <v>1</v>
      </c>
      <c r="X89" s="634">
        <v>1</v>
      </c>
      <c r="Y89" s="634">
        <v>1</v>
      </c>
      <c r="Z89" s="634">
        <v>1</v>
      </c>
      <c r="AB89" s="19"/>
    </row>
    <row r="90" spans="1:31" x14ac:dyDescent="0.3">
      <c r="B90" s="219" t="str">
        <f>B89</f>
        <v>TRADST00</v>
      </c>
      <c r="C90" s="224"/>
      <c r="D90" s="230"/>
      <c r="E90" s="224"/>
      <c r="F90" s="224"/>
      <c r="G90" s="224"/>
      <c r="H90" s="231">
        <f>$K$3</f>
        <v>2019</v>
      </c>
      <c r="I90" s="224"/>
      <c r="J90" s="232" t="s">
        <v>1064</v>
      </c>
      <c r="K90" s="232" t="s">
        <v>85</v>
      </c>
      <c r="L90" s="635">
        <f t="shared" ref="L90:Z90" si="150">LOOKUP($F89, $AE$11:$AE$34, AG$11:AG$34*$L$6)</f>
        <v>11184.992913659244</v>
      </c>
      <c r="M90" s="635">
        <f t="shared" si="150"/>
        <v>0</v>
      </c>
      <c r="N90" s="635">
        <f t="shared" si="150"/>
        <v>0</v>
      </c>
      <c r="O90" s="635">
        <f t="shared" si="150"/>
        <v>0</v>
      </c>
      <c r="P90" s="635">
        <f t="shared" si="150"/>
        <v>0</v>
      </c>
      <c r="Q90" s="635">
        <f t="shared" si="150"/>
        <v>0</v>
      </c>
      <c r="R90" s="635">
        <f t="shared" si="150"/>
        <v>0</v>
      </c>
      <c r="S90" s="635">
        <f t="shared" si="150"/>
        <v>0</v>
      </c>
      <c r="T90" s="635">
        <f t="shared" si="150"/>
        <v>0</v>
      </c>
      <c r="U90" s="635">
        <f t="shared" si="150"/>
        <v>0</v>
      </c>
      <c r="V90" s="635">
        <f t="shared" si="150"/>
        <v>0</v>
      </c>
      <c r="W90" s="635">
        <f t="shared" si="150"/>
        <v>0</v>
      </c>
      <c r="X90" s="635">
        <f t="shared" si="150"/>
        <v>0</v>
      </c>
      <c r="Y90" s="635">
        <f t="shared" si="150"/>
        <v>0</v>
      </c>
      <c r="Z90" s="635">
        <f t="shared" si="150"/>
        <v>0</v>
      </c>
      <c r="AB90" s="19"/>
      <c r="AD90" s="19"/>
    </row>
    <row r="91" spans="1:31" x14ac:dyDescent="0.3">
      <c r="B91" s="219" t="str">
        <f t="shared" ref="B91:B93" si="151">B90</f>
        <v>TRADST00</v>
      </c>
      <c r="C91" s="224"/>
      <c r="D91" s="230"/>
      <c r="E91" s="224"/>
      <c r="F91" s="224"/>
      <c r="G91" s="224"/>
      <c r="H91" s="231">
        <v>2020</v>
      </c>
      <c r="I91" s="224"/>
      <c r="J91" s="232" t="s">
        <v>1064</v>
      </c>
      <c r="K91" s="232" t="s">
        <v>85</v>
      </c>
      <c r="L91" s="635">
        <f t="shared" ref="L91:Z94" si="152">L$90*LOOKUP($H91, $AF$47:$AF$50, AG$47:AG$50)</f>
        <v>8947.9943309273949</v>
      </c>
      <c r="M91" s="635">
        <f t="shared" si="152"/>
        <v>0</v>
      </c>
      <c r="N91" s="635">
        <f t="shared" si="152"/>
        <v>0</v>
      </c>
      <c r="O91" s="635">
        <f t="shared" si="152"/>
        <v>0</v>
      </c>
      <c r="P91" s="635">
        <f t="shared" si="152"/>
        <v>0</v>
      </c>
      <c r="Q91" s="635">
        <f t="shared" si="152"/>
        <v>0</v>
      </c>
      <c r="R91" s="635">
        <f t="shared" si="152"/>
        <v>0</v>
      </c>
      <c r="S91" s="635">
        <f t="shared" si="152"/>
        <v>0</v>
      </c>
      <c r="T91" s="635">
        <f t="shared" si="152"/>
        <v>0</v>
      </c>
      <c r="U91" s="635">
        <f t="shared" si="152"/>
        <v>0</v>
      </c>
      <c r="V91" s="635">
        <f t="shared" si="152"/>
        <v>0</v>
      </c>
      <c r="W91" s="635">
        <f t="shared" si="152"/>
        <v>0</v>
      </c>
      <c r="X91" s="635">
        <f t="shared" si="152"/>
        <v>0</v>
      </c>
      <c r="Y91" s="635">
        <f t="shared" si="152"/>
        <v>0</v>
      </c>
      <c r="Z91" s="635">
        <f t="shared" si="152"/>
        <v>0</v>
      </c>
      <c r="AB91" s="19"/>
    </row>
    <row r="92" spans="1:31" x14ac:dyDescent="0.3">
      <c r="B92" s="219" t="str">
        <f t="shared" si="151"/>
        <v>TRADST00</v>
      </c>
      <c r="C92" s="224"/>
      <c r="D92" s="230"/>
      <c r="E92" s="224"/>
      <c r="F92" s="224"/>
      <c r="G92" s="224"/>
      <c r="H92" s="231">
        <v>2030</v>
      </c>
      <c r="I92" s="224"/>
      <c r="J92" s="232" t="s">
        <v>1064</v>
      </c>
      <c r="K92" s="232" t="s">
        <v>85</v>
      </c>
      <c r="L92" s="635">
        <f t="shared" si="152"/>
        <v>4473.9971654636975</v>
      </c>
      <c r="M92" s="635">
        <f t="shared" si="152"/>
        <v>0</v>
      </c>
      <c r="N92" s="635">
        <f t="shared" si="152"/>
        <v>0</v>
      </c>
      <c r="O92" s="635">
        <f t="shared" si="152"/>
        <v>0</v>
      </c>
      <c r="P92" s="635">
        <f t="shared" si="152"/>
        <v>0</v>
      </c>
      <c r="Q92" s="635">
        <f t="shared" si="152"/>
        <v>0</v>
      </c>
      <c r="R92" s="635">
        <f t="shared" si="152"/>
        <v>0</v>
      </c>
      <c r="S92" s="635">
        <f t="shared" si="152"/>
        <v>0</v>
      </c>
      <c r="T92" s="635">
        <f t="shared" si="152"/>
        <v>0</v>
      </c>
      <c r="U92" s="635">
        <f t="shared" si="152"/>
        <v>0</v>
      </c>
      <c r="V92" s="635">
        <f t="shared" si="152"/>
        <v>0</v>
      </c>
      <c r="W92" s="635">
        <f t="shared" si="152"/>
        <v>0</v>
      </c>
      <c r="X92" s="635">
        <f t="shared" si="152"/>
        <v>0</v>
      </c>
      <c r="Y92" s="635">
        <f t="shared" si="152"/>
        <v>0</v>
      </c>
      <c r="Z92" s="635">
        <f t="shared" si="152"/>
        <v>0</v>
      </c>
      <c r="AB92" s="19"/>
      <c r="AE92" s="19"/>
    </row>
    <row r="93" spans="1:31" x14ac:dyDescent="0.3">
      <c r="B93" s="219" t="str">
        <f t="shared" si="151"/>
        <v>TRADST00</v>
      </c>
      <c r="C93" s="224"/>
      <c r="D93" s="230"/>
      <c r="E93" s="224"/>
      <c r="F93" s="224"/>
      <c r="G93" s="224"/>
      <c r="H93" s="231">
        <v>2040</v>
      </c>
      <c r="I93" s="224"/>
      <c r="J93" s="232" t="s">
        <v>1064</v>
      </c>
      <c r="K93" s="232" t="s">
        <v>85</v>
      </c>
      <c r="L93" s="635">
        <f t="shared" si="152"/>
        <v>0</v>
      </c>
      <c r="M93" s="635">
        <f t="shared" si="152"/>
        <v>0</v>
      </c>
      <c r="N93" s="635">
        <f t="shared" si="152"/>
        <v>0</v>
      </c>
      <c r="O93" s="635">
        <f t="shared" si="152"/>
        <v>0</v>
      </c>
      <c r="P93" s="635">
        <f t="shared" si="152"/>
        <v>0</v>
      </c>
      <c r="Q93" s="635">
        <f t="shared" si="152"/>
        <v>0</v>
      </c>
      <c r="R93" s="635">
        <f t="shared" si="152"/>
        <v>0</v>
      </c>
      <c r="S93" s="635">
        <f t="shared" si="152"/>
        <v>0</v>
      </c>
      <c r="T93" s="635">
        <f t="shared" si="152"/>
        <v>0</v>
      </c>
      <c r="U93" s="635">
        <f t="shared" si="152"/>
        <v>0</v>
      </c>
      <c r="V93" s="635">
        <f t="shared" si="152"/>
        <v>0</v>
      </c>
      <c r="W93" s="635">
        <f t="shared" si="152"/>
        <v>0</v>
      </c>
      <c r="X93" s="635">
        <f t="shared" si="152"/>
        <v>0</v>
      </c>
      <c r="Y93" s="635">
        <f t="shared" si="152"/>
        <v>0</v>
      </c>
      <c r="Z93" s="635">
        <f t="shared" si="152"/>
        <v>0</v>
      </c>
      <c r="AB93" s="19"/>
    </row>
    <row r="94" spans="1:31" x14ac:dyDescent="0.3">
      <c r="B94" s="233" t="str">
        <f>B89</f>
        <v>TRADST00</v>
      </c>
      <c r="C94" s="234"/>
      <c r="D94" s="235"/>
      <c r="E94" s="234"/>
      <c r="F94" s="234"/>
      <c r="G94" s="234"/>
      <c r="H94" s="236">
        <f>$K$5</f>
        <v>2050</v>
      </c>
      <c r="I94" s="224"/>
      <c r="J94" s="237" t="s">
        <v>1064</v>
      </c>
      <c r="K94" s="237" t="s">
        <v>85</v>
      </c>
      <c r="L94" s="636">
        <f t="shared" si="152"/>
        <v>0</v>
      </c>
      <c r="M94" s="636">
        <f t="shared" si="152"/>
        <v>0</v>
      </c>
      <c r="N94" s="636">
        <f t="shared" si="152"/>
        <v>0</v>
      </c>
      <c r="O94" s="636">
        <f t="shared" si="152"/>
        <v>0</v>
      </c>
      <c r="P94" s="636">
        <f t="shared" si="152"/>
        <v>0</v>
      </c>
      <c r="Q94" s="636">
        <f t="shared" si="152"/>
        <v>0</v>
      </c>
      <c r="R94" s="636">
        <f t="shared" si="152"/>
        <v>0</v>
      </c>
      <c r="S94" s="636">
        <f t="shared" si="152"/>
        <v>0</v>
      </c>
      <c r="T94" s="636">
        <f t="shared" si="152"/>
        <v>0</v>
      </c>
      <c r="U94" s="636">
        <f t="shared" si="152"/>
        <v>0</v>
      </c>
      <c r="V94" s="636">
        <f t="shared" si="152"/>
        <v>0</v>
      </c>
      <c r="W94" s="636">
        <f t="shared" si="152"/>
        <v>0</v>
      </c>
      <c r="X94" s="636">
        <f t="shared" si="152"/>
        <v>0</v>
      </c>
      <c r="Y94" s="636">
        <f t="shared" si="152"/>
        <v>0</v>
      </c>
      <c r="Z94" s="636">
        <f t="shared" si="152"/>
        <v>0</v>
      </c>
      <c r="AB94" s="19"/>
    </row>
    <row r="95" spans="1:31" x14ac:dyDescent="0.3">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4">
        <v>1</v>
      </c>
      <c r="M95" s="634">
        <v>1</v>
      </c>
      <c r="N95" s="634">
        <v>1</v>
      </c>
      <c r="O95" s="634">
        <v>1</v>
      </c>
      <c r="P95" s="634">
        <v>1</v>
      </c>
      <c r="Q95" s="634">
        <v>1</v>
      </c>
      <c r="R95" s="634">
        <v>1</v>
      </c>
      <c r="S95" s="634">
        <v>1</v>
      </c>
      <c r="T95" s="634">
        <v>1</v>
      </c>
      <c r="U95" s="634">
        <v>1</v>
      </c>
      <c r="V95" s="634">
        <v>1</v>
      </c>
      <c r="W95" s="634">
        <v>1</v>
      </c>
      <c r="X95" s="634">
        <v>1</v>
      </c>
      <c r="Y95" s="634">
        <v>1</v>
      </c>
      <c r="Z95" s="634">
        <v>1</v>
      </c>
      <c r="AB95" s="19"/>
    </row>
    <row r="96" spans="1:31" x14ac:dyDescent="0.3">
      <c r="B96" s="219" t="str">
        <f>B95</f>
        <v>TRAGSL00</v>
      </c>
      <c r="C96" s="224"/>
      <c r="D96" s="230"/>
      <c r="E96" s="224"/>
      <c r="F96" s="224"/>
      <c r="G96" s="224"/>
      <c r="H96" s="231">
        <f>$K$3</f>
        <v>2019</v>
      </c>
      <c r="I96" s="224"/>
      <c r="J96" s="232" t="s">
        <v>1064</v>
      </c>
      <c r="K96" s="232" t="s">
        <v>85</v>
      </c>
      <c r="L96" s="635">
        <f t="shared" ref="L96:Z96" si="153">LOOKUP($F95, $AE$11:$AE$34, AG$11:AG$34*$L$6)</f>
        <v>10427.96574290159</v>
      </c>
      <c r="M96" s="635">
        <f t="shared" si="153"/>
        <v>0</v>
      </c>
      <c r="N96" s="635">
        <f t="shared" si="153"/>
        <v>0</v>
      </c>
      <c r="O96" s="635">
        <f t="shared" si="153"/>
        <v>0</v>
      </c>
      <c r="P96" s="635">
        <f t="shared" si="153"/>
        <v>0</v>
      </c>
      <c r="Q96" s="635">
        <f t="shared" si="153"/>
        <v>0</v>
      </c>
      <c r="R96" s="635">
        <f t="shared" si="153"/>
        <v>0</v>
      </c>
      <c r="S96" s="635">
        <f t="shared" si="153"/>
        <v>0</v>
      </c>
      <c r="T96" s="635">
        <f t="shared" si="153"/>
        <v>0</v>
      </c>
      <c r="U96" s="635">
        <f t="shared" si="153"/>
        <v>0</v>
      </c>
      <c r="V96" s="635">
        <f t="shared" si="153"/>
        <v>0</v>
      </c>
      <c r="W96" s="635">
        <f t="shared" si="153"/>
        <v>0</v>
      </c>
      <c r="X96" s="635">
        <f t="shared" si="153"/>
        <v>0</v>
      </c>
      <c r="Y96" s="635">
        <f t="shared" si="153"/>
        <v>0</v>
      </c>
      <c r="Z96" s="635">
        <f t="shared" si="153"/>
        <v>0</v>
      </c>
      <c r="AB96" s="19"/>
    </row>
    <row r="97" spans="1:28" x14ac:dyDescent="0.3">
      <c r="B97" s="219" t="str">
        <f t="shared" ref="B97:B99" si="154">B96</f>
        <v>TRAGSL00</v>
      </c>
      <c r="C97" s="224"/>
      <c r="D97" s="230"/>
      <c r="E97" s="224"/>
      <c r="F97" s="224"/>
      <c r="G97" s="224"/>
      <c r="H97" s="231">
        <v>2020</v>
      </c>
      <c r="I97" s="224"/>
      <c r="J97" s="232" t="s">
        <v>1064</v>
      </c>
      <c r="K97" s="232" t="s">
        <v>85</v>
      </c>
      <c r="L97" s="635">
        <f t="shared" ref="L97:Z100" si="155">L$96*LOOKUP($H97, $AF$47:$AF$50, AG$47:AG$50)</f>
        <v>8342.3725943212721</v>
      </c>
      <c r="M97" s="635">
        <f t="shared" si="155"/>
        <v>0</v>
      </c>
      <c r="N97" s="635">
        <f t="shared" si="155"/>
        <v>0</v>
      </c>
      <c r="O97" s="635">
        <f t="shared" si="155"/>
        <v>0</v>
      </c>
      <c r="P97" s="635">
        <f t="shared" si="155"/>
        <v>0</v>
      </c>
      <c r="Q97" s="635">
        <f t="shared" si="155"/>
        <v>0</v>
      </c>
      <c r="R97" s="635">
        <f t="shared" si="155"/>
        <v>0</v>
      </c>
      <c r="S97" s="635">
        <f t="shared" si="155"/>
        <v>0</v>
      </c>
      <c r="T97" s="635">
        <f t="shared" si="155"/>
        <v>0</v>
      </c>
      <c r="U97" s="635">
        <f t="shared" si="155"/>
        <v>0</v>
      </c>
      <c r="V97" s="635">
        <f t="shared" si="155"/>
        <v>0</v>
      </c>
      <c r="W97" s="635">
        <f t="shared" si="155"/>
        <v>0</v>
      </c>
      <c r="X97" s="635">
        <f t="shared" si="155"/>
        <v>0</v>
      </c>
      <c r="Y97" s="635">
        <f t="shared" si="155"/>
        <v>0</v>
      </c>
      <c r="Z97" s="635">
        <f t="shared" si="155"/>
        <v>0</v>
      </c>
      <c r="AB97" s="19"/>
    </row>
    <row r="98" spans="1:28" x14ac:dyDescent="0.3">
      <c r="B98" s="219" t="str">
        <f t="shared" si="154"/>
        <v>TRAGSL00</v>
      </c>
      <c r="C98" s="224"/>
      <c r="D98" s="230"/>
      <c r="E98" s="224"/>
      <c r="F98" s="224"/>
      <c r="G98" s="224"/>
      <c r="H98" s="231">
        <v>2030</v>
      </c>
      <c r="I98" s="224"/>
      <c r="J98" s="232" t="s">
        <v>1064</v>
      </c>
      <c r="K98" s="232" t="s">
        <v>85</v>
      </c>
      <c r="L98" s="635">
        <f t="shared" si="155"/>
        <v>4171.1862971606361</v>
      </c>
      <c r="M98" s="635">
        <f t="shared" si="155"/>
        <v>0</v>
      </c>
      <c r="N98" s="635">
        <f t="shared" si="155"/>
        <v>0</v>
      </c>
      <c r="O98" s="635">
        <f t="shared" si="155"/>
        <v>0</v>
      </c>
      <c r="P98" s="635">
        <f t="shared" si="155"/>
        <v>0</v>
      </c>
      <c r="Q98" s="635">
        <f t="shared" si="155"/>
        <v>0</v>
      </c>
      <c r="R98" s="635">
        <f t="shared" si="155"/>
        <v>0</v>
      </c>
      <c r="S98" s="635">
        <f t="shared" si="155"/>
        <v>0</v>
      </c>
      <c r="T98" s="635">
        <f t="shared" si="155"/>
        <v>0</v>
      </c>
      <c r="U98" s="635">
        <f t="shared" si="155"/>
        <v>0</v>
      </c>
      <c r="V98" s="635">
        <f t="shared" si="155"/>
        <v>0</v>
      </c>
      <c r="W98" s="635">
        <f t="shared" si="155"/>
        <v>0</v>
      </c>
      <c r="X98" s="635">
        <f t="shared" si="155"/>
        <v>0</v>
      </c>
      <c r="Y98" s="635">
        <f t="shared" si="155"/>
        <v>0</v>
      </c>
      <c r="Z98" s="635">
        <f t="shared" si="155"/>
        <v>0</v>
      </c>
      <c r="AB98" s="19"/>
    </row>
    <row r="99" spans="1:28" x14ac:dyDescent="0.3">
      <c r="B99" s="219" t="str">
        <f t="shared" si="154"/>
        <v>TRAGSL00</v>
      </c>
      <c r="C99" s="224"/>
      <c r="D99" s="230"/>
      <c r="E99" s="224"/>
      <c r="F99" s="224"/>
      <c r="G99" s="224"/>
      <c r="H99" s="231">
        <v>2040</v>
      </c>
      <c r="I99" s="224"/>
      <c r="J99" s="232" t="s">
        <v>1064</v>
      </c>
      <c r="K99" s="232" t="s">
        <v>85</v>
      </c>
      <c r="L99" s="635">
        <f t="shared" si="155"/>
        <v>0</v>
      </c>
      <c r="M99" s="635">
        <f t="shared" si="155"/>
        <v>0</v>
      </c>
      <c r="N99" s="635">
        <f t="shared" si="155"/>
        <v>0</v>
      </c>
      <c r="O99" s="635">
        <f t="shared" si="155"/>
        <v>0</v>
      </c>
      <c r="P99" s="635">
        <f t="shared" si="155"/>
        <v>0</v>
      </c>
      <c r="Q99" s="635">
        <f t="shared" si="155"/>
        <v>0</v>
      </c>
      <c r="R99" s="635">
        <f t="shared" si="155"/>
        <v>0</v>
      </c>
      <c r="S99" s="635">
        <f t="shared" si="155"/>
        <v>0</v>
      </c>
      <c r="T99" s="635">
        <f t="shared" si="155"/>
        <v>0</v>
      </c>
      <c r="U99" s="635">
        <f t="shared" si="155"/>
        <v>0</v>
      </c>
      <c r="V99" s="635">
        <f t="shared" si="155"/>
        <v>0</v>
      </c>
      <c r="W99" s="635">
        <f t="shared" si="155"/>
        <v>0</v>
      </c>
      <c r="X99" s="635">
        <f t="shared" si="155"/>
        <v>0</v>
      </c>
      <c r="Y99" s="635">
        <f t="shared" si="155"/>
        <v>0</v>
      </c>
      <c r="Z99" s="635">
        <f t="shared" si="155"/>
        <v>0</v>
      </c>
      <c r="AB99" s="19"/>
    </row>
    <row r="100" spans="1:28" x14ac:dyDescent="0.3">
      <c r="B100" s="233" t="str">
        <f>B95</f>
        <v>TRAGSL00</v>
      </c>
      <c r="C100" s="234"/>
      <c r="D100" s="235"/>
      <c r="E100" s="234"/>
      <c r="F100" s="234"/>
      <c r="G100" s="234"/>
      <c r="H100" s="236">
        <f>$K$5</f>
        <v>2050</v>
      </c>
      <c r="I100" s="224"/>
      <c r="J100" s="237" t="s">
        <v>1064</v>
      </c>
      <c r="K100" s="237" t="s">
        <v>85</v>
      </c>
      <c r="L100" s="636">
        <f t="shared" si="155"/>
        <v>0</v>
      </c>
      <c r="M100" s="636">
        <f t="shared" si="155"/>
        <v>0</v>
      </c>
      <c r="N100" s="636">
        <f t="shared" si="155"/>
        <v>0</v>
      </c>
      <c r="O100" s="636">
        <f t="shared" si="155"/>
        <v>0</v>
      </c>
      <c r="P100" s="636">
        <f t="shared" si="155"/>
        <v>0</v>
      </c>
      <c r="Q100" s="636">
        <f t="shared" si="155"/>
        <v>0</v>
      </c>
      <c r="R100" s="636">
        <f t="shared" si="155"/>
        <v>0</v>
      </c>
      <c r="S100" s="636">
        <f t="shared" si="155"/>
        <v>0</v>
      </c>
      <c r="T100" s="636">
        <f t="shared" si="155"/>
        <v>0</v>
      </c>
      <c r="U100" s="636">
        <f t="shared" si="155"/>
        <v>0</v>
      </c>
      <c r="V100" s="636">
        <f t="shared" si="155"/>
        <v>0</v>
      </c>
      <c r="W100" s="636">
        <f t="shared" si="155"/>
        <v>0</v>
      </c>
      <c r="X100" s="636">
        <f t="shared" si="155"/>
        <v>0</v>
      </c>
      <c r="Y100" s="636">
        <f t="shared" si="155"/>
        <v>0</v>
      </c>
      <c r="Z100" s="636">
        <f t="shared" si="155"/>
        <v>0</v>
      </c>
      <c r="AB100" s="19"/>
    </row>
    <row r="101" spans="1:28" x14ac:dyDescent="0.3">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4">
        <v>1</v>
      </c>
      <c r="M101" s="634">
        <v>1</v>
      </c>
      <c r="N101" s="634">
        <v>1</v>
      </c>
      <c r="O101" s="634">
        <v>1</v>
      </c>
      <c r="P101" s="634">
        <v>1</v>
      </c>
      <c r="Q101" s="634">
        <v>1</v>
      </c>
      <c r="R101" s="634">
        <v>1</v>
      </c>
      <c r="S101" s="634">
        <v>1</v>
      </c>
      <c r="T101" s="634">
        <v>1</v>
      </c>
      <c r="U101" s="634">
        <v>1</v>
      </c>
      <c r="V101" s="634">
        <v>1</v>
      </c>
      <c r="W101" s="634">
        <v>1</v>
      </c>
      <c r="X101" s="634">
        <v>1</v>
      </c>
      <c r="Y101" s="634">
        <v>1</v>
      </c>
      <c r="Z101" s="634">
        <v>1</v>
      </c>
      <c r="AB101" s="19"/>
    </row>
    <row r="102" spans="1:28" x14ac:dyDescent="0.3">
      <c r="B102" s="219" t="str">
        <f>B101</f>
        <v>TRAKER00</v>
      </c>
      <c r="C102" s="224"/>
      <c r="D102" s="230"/>
      <c r="E102" s="224"/>
      <c r="F102" s="224"/>
      <c r="G102" s="224"/>
      <c r="H102" s="231">
        <f>$K$3</f>
        <v>2019</v>
      </c>
      <c r="I102" s="224"/>
      <c r="J102" s="232" t="s">
        <v>1064</v>
      </c>
      <c r="K102" s="232" t="s">
        <v>85</v>
      </c>
      <c r="L102" s="635">
        <f t="shared" ref="L102:Z102" si="156">LOOKUP($F101, $AE$11:$AE$34, AG$11:AG$34*$L$6)</f>
        <v>0</v>
      </c>
      <c r="M102" s="635">
        <f t="shared" si="156"/>
        <v>0</v>
      </c>
      <c r="N102" s="635">
        <f t="shared" si="156"/>
        <v>0</v>
      </c>
      <c r="O102" s="635">
        <f t="shared" si="156"/>
        <v>0</v>
      </c>
      <c r="P102" s="635">
        <f t="shared" si="156"/>
        <v>0</v>
      </c>
      <c r="Q102" s="635">
        <f t="shared" si="156"/>
        <v>0</v>
      </c>
      <c r="R102" s="635">
        <f t="shared" si="156"/>
        <v>0</v>
      </c>
      <c r="S102" s="635">
        <f t="shared" si="156"/>
        <v>0</v>
      </c>
      <c r="T102" s="635">
        <f t="shared" si="156"/>
        <v>0</v>
      </c>
      <c r="U102" s="635">
        <f t="shared" si="156"/>
        <v>0</v>
      </c>
      <c r="V102" s="635">
        <f t="shared" si="156"/>
        <v>0</v>
      </c>
      <c r="W102" s="635">
        <f t="shared" si="156"/>
        <v>0</v>
      </c>
      <c r="X102" s="635">
        <f t="shared" si="156"/>
        <v>0</v>
      </c>
      <c r="Y102" s="635">
        <f t="shared" si="156"/>
        <v>0</v>
      </c>
      <c r="Z102" s="635">
        <f t="shared" si="156"/>
        <v>0</v>
      </c>
      <c r="AB102" s="19"/>
    </row>
    <row r="103" spans="1:28" x14ac:dyDescent="0.3">
      <c r="B103" s="219" t="str">
        <f t="shared" ref="B103:B105" si="157">B102</f>
        <v>TRAKER00</v>
      </c>
      <c r="C103" s="224"/>
      <c r="D103" s="230"/>
      <c r="E103" s="224"/>
      <c r="F103" s="224"/>
      <c r="G103" s="224"/>
      <c r="H103" s="231">
        <v>2020</v>
      </c>
      <c r="I103" s="224"/>
      <c r="J103" s="232" t="s">
        <v>1064</v>
      </c>
      <c r="K103" s="232" t="s">
        <v>85</v>
      </c>
      <c r="L103" s="635">
        <f t="shared" ref="L103:Z106" si="158">L$102*LOOKUP($H103, $AF$47:$AF$50, AG$47:AG$50)</f>
        <v>0</v>
      </c>
      <c r="M103" s="635">
        <f t="shared" si="158"/>
        <v>0</v>
      </c>
      <c r="N103" s="635">
        <f t="shared" si="158"/>
        <v>0</v>
      </c>
      <c r="O103" s="635">
        <f t="shared" si="158"/>
        <v>0</v>
      </c>
      <c r="P103" s="635">
        <f t="shared" si="158"/>
        <v>0</v>
      </c>
      <c r="Q103" s="635">
        <f t="shared" si="158"/>
        <v>0</v>
      </c>
      <c r="R103" s="635">
        <f t="shared" si="158"/>
        <v>0</v>
      </c>
      <c r="S103" s="635">
        <f t="shared" si="158"/>
        <v>0</v>
      </c>
      <c r="T103" s="635">
        <f t="shared" si="158"/>
        <v>0</v>
      </c>
      <c r="U103" s="635">
        <f t="shared" si="158"/>
        <v>0</v>
      </c>
      <c r="V103" s="635">
        <f t="shared" si="158"/>
        <v>0</v>
      </c>
      <c r="W103" s="635">
        <f t="shared" si="158"/>
        <v>0</v>
      </c>
      <c r="X103" s="635">
        <f t="shared" si="158"/>
        <v>0</v>
      </c>
      <c r="Y103" s="635">
        <f t="shared" si="158"/>
        <v>0</v>
      </c>
      <c r="Z103" s="635">
        <f t="shared" si="158"/>
        <v>0</v>
      </c>
      <c r="AB103" s="19"/>
    </row>
    <row r="104" spans="1:28" x14ac:dyDescent="0.3">
      <c r="B104" s="219" t="str">
        <f t="shared" si="157"/>
        <v>TRAKER00</v>
      </c>
      <c r="C104" s="224"/>
      <c r="D104" s="230"/>
      <c r="E104" s="224"/>
      <c r="F104" s="224"/>
      <c r="G104" s="224"/>
      <c r="H104" s="231">
        <v>2030</v>
      </c>
      <c r="I104" s="224"/>
      <c r="J104" s="232" t="s">
        <v>1064</v>
      </c>
      <c r="K104" s="232" t="s">
        <v>85</v>
      </c>
      <c r="L104" s="635">
        <f t="shared" si="158"/>
        <v>0</v>
      </c>
      <c r="M104" s="635">
        <f t="shared" si="158"/>
        <v>0</v>
      </c>
      <c r="N104" s="635">
        <f t="shared" si="158"/>
        <v>0</v>
      </c>
      <c r="O104" s="635">
        <f t="shared" si="158"/>
        <v>0</v>
      </c>
      <c r="P104" s="635">
        <f t="shared" si="158"/>
        <v>0</v>
      </c>
      <c r="Q104" s="635">
        <f t="shared" si="158"/>
        <v>0</v>
      </c>
      <c r="R104" s="635">
        <f t="shared" si="158"/>
        <v>0</v>
      </c>
      <c r="S104" s="635">
        <f t="shared" si="158"/>
        <v>0</v>
      </c>
      <c r="T104" s="635">
        <f t="shared" si="158"/>
        <v>0</v>
      </c>
      <c r="U104" s="635">
        <f t="shared" si="158"/>
        <v>0</v>
      </c>
      <c r="V104" s="635">
        <f t="shared" si="158"/>
        <v>0</v>
      </c>
      <c r="W104" s="635">
        <f t="shared" si="158"/>
        <v>0</v>
      </c>
      <c r="X104" s="635">
        <f t="shared" si="158"/>
        <v>0</v>
      </c>
      <c r="Y104" s="635">
        <f t="shared" si="158"/>
        <v>0</v>
      </c>
      <c r="Z104" s="635">
        <f t="shared" si="158"/>
        <v>0</v>
      </c>
      <c r="AB104" s="19"/>
    </row>
    <row r="105" spans="1:28" x14ac:dyDescent="0.3">
      <c r="B105" s="219" t="str">
        <f t="shared" si="157"/>
        <v>TRAKER00</v>
      </c>
      <c r="C105" s="224"/>
      <c r="D105" s="230"/>
      <c r="E105" s="224"/>
      <c r="F105" s="224"/>
      <c r="G105" s="224"/>
      <c r="H105" s="231">
        <v>2040</v>
      </c>
      <c r="I105" s="224"/>
      <c r="J105" s="232" t="s">
        <v>1064</v>
      </c>
      <c r="K105" s="232" t="s">
        <v>85</v>
      </c>
      <c r="L105" s="635">
        <f t="shared" si="158"/>
        <v>0</v>
      </c>
      <c r="M105" s="635">
        <f t="shared" si="158"/>
        <v>0</v>
      </c>
      <c r="N105" s="635">
        <f t="shared" si="158"/>
        <v>0</v>
      </c>
      <c r="O105" s="635">
        <f t="shared" si="158"/>
        <v>0</v>
      </c>
      <c r="P105" s="635">
        <f t="shared" si="158"/>
        <v>0</v>
      </c>
      <c r="Q105" s="635">
        <f t="shared" si="158"/>
        <v>0</v>
      </c>
      <c r="R105" s="635">
        <f t="shared" si="158"/>
        <v>0</v>
      </c>
      <c r="S105" s="635">
        <f t="shared" si="158"/>
        <v>0</v>
      </c>
      <c r="T105" s="635">
        <f t="shared" si="158"/>
        <v>0</v>
      </c>
      <c r="U105" s="635">
        <f t="shared" si="158"/>
        <v>0</v>
      </c>
      <c r="V105" s="635">
        <f t="shared" si="158"/>
        <v>0</v>
      </c>
      <c r="W105" s="635">
        <f t="shared" si="158"/>
        <v>0</v>
      </c>
      <c r="X105" s="635">
        <f t="shared" si="158"/>
        <v>0</v>
      </c>
      <c r="Y105" s="635">
        <f t="shared" si="158"/>
        <v>0</v>
      </c>
      <c r="Z105" s="635">
        <f t="shared" si="158"/>
        <v>0</v>
      </c>
      <c r="AB105" s="19"/>
    </row>
    <row r="106" spans="1:28" x14ac:dyDescent="0.3">
      <c r="B106" s="233" t="str">
        <f>B102</f>
        <v>TRAKER00</v>
      </c>
      <c r="C106" s="234"/>
      <c r="D106" s="235"/>
      <c r="E106" s="234"/>
      <c r="F106" s="234"/>
      <c r="G106" s="234"/>
      <c r="H106" s="236">
        <f>$K$5</f>
        <v>2050</v>
      </c>
      <c r="I106" s="224"/>
      <c r="J106" s="237" t="s">
        <v>1064</v>
      </c>
      <c r="K106" s="237" t="s">
        <v>85</v>
      </c>
      <c r="L106" s="636">
        <f t="shared" si="158"/>
        <v>0</v>
      </c>
      <c r="M106" s="636">
        <f t="shared" si="158"/>
        <v>0</v>
      </c>
      <c r="N106" s="636">
        <f t="shared" si="158"/>
        <v>0</v>
      </c>
      <c r="O106" s="636">
        <f t="shared" si="158"/>
        <v>0</v>
      </c>
      <c r="P106" s="636">
        <f t="shared" si="158"/>
        <v>0</v>
      </c>
      <c r="Q106" s="636">
        <f t="shared" si="158"/>
        <v>0</v>
      </c>
      <c r="R106" s="636">
        <f t="shared" si="158"/>
        <v>0</v>
      </c>
      <c r="S106" s="636">
        <f t="shared" si="158"/>
        <v>0</v>
      </c>
      <c r="T106" s="636">
        <f t="shared" si="158"/>
        <v>0</v>
      </c>
      <c r="U106" s="636">
        <f t="shared" si="158"/>
        <v>0</v>
      </c>
      <c r="V106" s="636">
        <f t="shared" si="158"/>
        <v>0</v>
      </c>
      <c r="W106" s="636">
        <f t="shared" si="158"/>
        <v>0</v>
      </c>
      <c r="X106" s="636">
        <f t="shared" si="158"/>
        <v>0</v>
      </c>
      <c r="Y106" s="636">
        <f t="shared" si="158"/>
        <v>0</v>
      </c>
      <c r="Z106" s="636">
        <f t="shared" si="158"/>
        <v>0</v>
      </c>
      <c r="AB106" s="19"/>
    </row>
    <row r="107" spans="1:28" x14ac:dyDescent="0.3">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4">
        <v>1</v>
      </c>
      <c r="M107" s="634">
        <v>1</v>
      </c>
      <c r="N107" s="634">
        <v>1</v>
      </c>
      <c r="O107" s="634">
        <v>1</v>
      </c>
      <c r="P107" s="634">
        <v>1</v>
      </c>
      <c r="Q107" s="634">
        <v>1</v>
      </c>
      <c r="R107" s="634">
        <v>1</v>
      </c>
      <c r="S107" s="634">
        <v>1</v>
      </c>
      <c r="T107" s="634">
        <v>1</v>
      </c>
      <c r="U107" s="634">
        <v>1</v>
      </c>
      <c r="V107" s="634">
        <v>1</v>
      </c>
      <c r="W107" s="634">
        <v>1</v>
      </c>
      <c r="X107" s="634">
        <v>1</v>
      </c>
      <c r="Y107" s="634">
        <v>1</v>
      </c>
      <c r="Z107" s="634">
        <v>1</v>
      </c>
      <c r="AB107" s="19"/>
    </row>
    <row r="108" spans="1:28" x14ac:dyDescent="0.3">
      <c r="B108" s="219" t="str">
        <f>B107</f>
        <v>TRAHFO00</v>
      </c>
      <c r="C108" s="224"/>
      <c r="D108" s="230"/>
      <c r="E108" s="224"/>
      <c r="F108" s="224"/>
      <c r="G108" s="224"/>
      <c r="H108" s="231">
        <f>$K$3</f>
        <v>2019</v>
      </c>
      <c r="I108" s="224"/>
      <c r="J108" s="232" t="s">
        <v>1064</v>
      </c>
      <c r="K108" s="232" t="s">
        <v>85</v>
      </c>
      <c r="L108" s="635">
        <f t="shared" ref="L108:Z108" si="159">LOOKUP($F107, $AE$11:$AE$34, AG$11:AG$34*$L$6)</f>
        <v>0</v>
      </c>
      <c r="M108" s="635">
        <f t="shared" si="159"/>
        <v>0</v>
      </c>
      <c r="N108" s="635">
        <f t="shared" si="159"/>
        <v>0</v>
      </c>
      <c r="O108" s="635">
        <f t="shared" si="159"/>
        <v>0</v>
      </c>
      <c r="P108" s="635">
        <f t="shared" si="159"/>
        <v>0</v>
      </c>
      <c r="Q108" s="635">
        <f t="shared" si="159"/>
        <v>0</v>
      </c>
      <c r="R108" s="635">
        <f t="shared" si="159"/>
        <v>0</v>
      </c>
      <c r="S108" s="635">
        <f t="shared" si="159"/>
        <v>0</v>
      </c>
      <c r="T108" s="635">
        <f t="shared" si="159"/>
        <v>0</v>
      </c>
      <c r="U108" s="635">
        <f t="shared" si="159"/>
        <v>0</v>
      </c>
      <c r="V108" s="635">
        <f t="shared" si="159"/>
        <v>0</v>
      </c>
      <c r="W108" s="635">
        <f t="shared" si="159"/>
        <v>0</v>
      </c>
      <c r="X108" s="635">
        <f t="shared" si="159"/>
        <v>0</v>
      </c>
      <c r="Y108" s="635">
        <f t="shared" si="159"/>
        <v>0</v>
      </c>
      <c r="Z108" s="635">
        <f t="shared" si="159"/>
        <v>0</v>
      </c>
      <c r="AB108" s="19"/>
    </row>
    <row r="109" spans="1:28" x14ac:dyDescent="0.3">
      <c r="B109" s="219" t="str">
        <f t="shared" ref="B109:B111" si="160">B108</f>
        <v>TRAHFO00</v>
      </c>
      <c r="C109" s="224"/>
      <c r="D109" s="230"/>
      <c r="E109" s="224"/>
      <c r="F109" s="224"/>
      <c r="G109" s="224"/>
      <c r="H109" s="231">
        <v>2020</v>
      </c>
      <c r="I109" s="224"/>
      <c r="J109" s="232" t="s">
        <v>1064</v>
      </c>
      <c r="K109" s="232" t="s">
        <v>85</v>
      </c>
      <c r="L109" s="635">
        <f t="shared" ref="L109:Z112" si="161">L$108*LOOKUP($H109, $AF$47:$AF$50, AG$47:AG$50)</f>
        <v>0</v>
      </c>
      <c r="M109" s="635">
        <f t="shared" si="161"/>
        <v>0</v>
      </c>
      <c r="N109" s="635">
        <f t="shared" si="161"/>
        <v>0</v>
      </c>
      <c r="O109" s="635">
        <f t="shared" si="161"/>
        <v>0</v>
      </c>
      <c r="P109" s="635">
        <f t="shared" si="161"/>
        <v>0</v>
      </c>
      <c r="Q109" s="635">
        <f t="shared" si="161"/>
        <v>0</v>
      </c>
      <c r="R109" s="635">
        <f t="shared" si="161"/>
        <v>0</v>
      </c>
      <c r="S109" s="635">
        <f t="shared" si="161"/>
        <v>0</v>
      </c>
      <c r="T109" s="635">
        <f t="shared" si="161"/>
        <v>0</v>
      </c>
      <c r="U109" s="635">
        <f t="shared" si="161"/>
        <v>0</v>
      </c>
      <c r="V109" s="635">
        <f t="shared" si="161"/>
        <v>0</v>
      </c>
      <c r="W109" s="635">
        <f t="shared" si="161"/>
        <v>0</v>
      </c>
      <c r="X109" s="635">
        <f t="shared" si="161"/>
        <v>0</v>
      </c>
      <c r="Y109" s="635">
        <f t="shared" si="161"/>
        <v>0</v>
      </c>
      <c r="Z109" s="635">
        <f t="shared" si="161"/>
        <v>0</v>
      </c>
      <c r="AB109" s="19"/>
    </row>
    <row r="110" spans="1:28" x14ac:dyDescent="0.3">
      <c r="B110" s="219" t="str">
        <f t="shared" si="160"/>
        <v>TRAHFO00</v>
      </c>
      <c r="C110" s="224"/>
      <c r="D110" s="230"/>
      <c r="E110" s="224"/>
      <c r="F110" s="224"/>
      <c r="G110" s="224"/>
      <c r="H110" s="231">
        <v>2030</v>
      </c>
      <c r="I110" s="224"/>
      <c r="J110" s="232" t="s">
        <v>1064</v>
      </c>
      <c r="K110" s="232" t="s">
        <v>85</v>
      </c>
      <c r="L110" s="635">
        <f t="shared" si="161"/>
        <v>0</v>
      </c>
      <c r="M110" s="635">
        <f t="shared" si="161"/>
        <v>0</v>
      </c>
      <c r="N110" s="635">
        <f t="shared" si="161"/>
        <v>0</v>
      </c>
      <c r="O110" s="635">
        <f t="shared" si="161"/>
        <v>0</v>
      </c>
      <c r="P110" s="635">
        <f t="shared" si="161"/>
        <v>0</v>
      </c>
      <c r="Q110" s="635">
        <f t="shared" si="161"/>
        <v>0</v>
      </c>
      <c r="R110" s="635">
        <f t="shared" si="161"/>
        <v>0</v>
      </c>
      <c r="S110" s="635">
        <f t="shared" si="161"/>
        <v>0</v>
      </c>
      <c r="T110" s="635">
        <f t="shared" si="161"/>
        <v>0</v>
      </c>
      <c r="U110" s="635">
        <f t="shared" si="161"/>
        <v>0</v>
      </c>
      <c r="V110" s="635">
        <f t="shared" si="161"/>
        <v>0</v>
      </c>
      <c r="W110" s="635">
        <f t="shared" si="161"/>
        <v>0</v>
      </c>
      <c r="X110" s="635">
        <f t="shared" si="161"/>
        <v>0</v>
      </c>
      <c r="Y110" s="635">
        <f t="shared" si="161"/>
        <v>0</v>
      </c>
      <c r="Z110" s="635">
        <f t="shared" si="161"/>
        <v>0</v>
      </c>
      <c r="AB110" s="19"/>
    </row>
    <row r="111" spans="1:28" x14ac:dyDescent="0.3">
      <c r="B111" s="219" t="str">
        <f t="shared" si="160"/>
        <v>TRAHFO00</v>
      </c>
      <c r="C111" s="224"/>
      <c r="D111" s="230"/>
      <c r="E111" s="224"/>
      <c r="F111" s="224"/>
      <c r="G111" s="224"/>
      <c r="H111" s="231">
        <v>2040</v>
      </c>
      <c r="I111" s="224"/>
      <c r="J111" s="232" t="s">
        <v>1064</v>
      </c>
      <c r="K111" s="232" t="s">
        <v>85</v>
      </c>
      <c r="L111" s="635">
        <f t="shared" si="161"/>
        <v>0</v>
      </c>
      <c r="M111" s="635">
        <f t="shared" si="161"/>
        <v>0</v>
      </c>
      <c r="N111" s="635">
        <f t="shared" si="161"/>
        <v>0</v>
      </c>
      <c r="O111" s="635">
        <f t="shared" si="161"/>
        <v>0</v>
      </c>
      <c r="P111" s="635">
        <f t="shared" si="161"/>
        <v>0</v>
      </c>
      <c r="Q111" s="635">
        <f t="shared" si="161"/>
        <v>0</v>
      </c>
      <c r="R111" s="635">
        <f t="shared" si="161"/>
        <v>0</v>
      </c>
      <c r="S111" s="635">
        <f t="shared" si="161"/>
        <v>0</v>
      </c>
      <c r="T111" s="635">
        <f t="shared" si="161"/>
        <v>0</v>
      </c>
      <c r="U111" s="635">
        <f t="shared" si="161"/>
        <v>0</v>
      </c>
      <c r="V111" s="635">
        <f t="shared" si="161"/>
        <v>0</v>
      </c>
      <c r="W111" s="635">
        <f t="shared" si="161"/>
        <v>0</v>
      </c>
      <c r="X111" s="635">
        <f t="shared" si="161"/>
        <v>0</v>
      </c>
      <c r="Y111" s="635">
        <f t="shared" si="161"/>
        <v>0</v>
      </c>
      <c r="Z111" s="635">
        <f t="shared" si="161"/>
        <v>0</v>
      </c>
      <c r="AB111" s="19"/>
    </row>
    <row r="112" spans="1:28" x14ac:dyDescent="0.3">
      <c r="B112" s="233" t="str">
        <f>B108</f>
        <v>TRAHFO00</v>
      </c>
      <c r="C112" s="234"/>
      <c r="D112" s="235"/>
      <c r="E112" s="234"/>
      <c r="F112" s="234"/>
      <c r="G112" s="234"/>
      <c r="H112" s="236">
        <f>$K$5</f>
        <v>2050</v>
      </c>
      <c r="I112" s="224"/>
      <c r="J112" s="237" t="s">
        <v>1064</v>
      </c>
      <c r="K112" s="237" t="s">
        <v>85</v>
      </c>
      <c r="L112" s="636">
        <f t="shared" si="161"/>
        <v>0</v>
      </c>
      <c r="M112" s="636">
        <f t="shared" si="161"/>
        <v>0</v>
      </c>
      <c r="N112" s="636">
        <f t="shared" si="161"/>
        <v>0</v>
      </c>
      <c r="O112" s="636">
        <f t="shared" si="161"/>
        <v>0</v>
      </c>
      <c r="P112" s="636">
        <f t="shared" si="161"/>
        <v>0</v>
      </c>
      <c r="Q112" s="636">
        <f t="shared" si="161"/>
        <v>0</v>
      </c>
      <c r="R112" s="636">
        <f t="shared" si="161"/>
        <v>0</v>
      </c>
      <c r="S112" s="636">
        <f t="shared" si="161"/>
        <v>0</v>
      </c>
      <c r="T112" s="636">
        <f t="shared" si="161"/>
        <v>0</v>
      </c>
      <c r="U112" s="636">
        <f t="shared" si="161"/>
        <v>0</v>
      </c>
      <c r="V112" s="636">
        <f t="shared" si="161"/>
        <v>0</v>
      </c>
      <c r="W112" s="636">
        <f t="shared" si="161"/>
        <v>0</v>
      </c>
      <c r="X112" s="636">
        <f t="shared" si="161"/>
        <v>0</v>
      </c>
      <c r="Y112" s="636">
        <f t="shared" si="161"/>
        <v>0</v>
      </c>
      <c r="Z112" s="636">
        <f t="shared" si="161"/>
        <v>0</v>
      </c>
      <c r="AB112" s="19"/>
    </row>
    <row r="113" spans="1:67" x14ac:dyDescent="0.3">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4">
        <v>1</v>
      </c>
      <c r="M113" s="634">
        <v>1</v>
      </c>
      <c r="N113" s="634">
        <v>1</v>
      </c>
      <c r="O113" s="634">
        <v>1</v>
      </c>
      <c r="P113" s="634">
        <v>1</v>
      </c>
      <c r="Q113" s="634">
        <v>1</v>
      </c>
      <c r="R113" s="634">
        <v>1</v>
      </c>
      <c r="S113" s="634">
        <v>1</v>
      </c>
      <c r="T113" s="634">
        <v>1</v>
      </c>
      <c r="U113" s="634">
        <v>1</v>
      </c>
      <c r="V113" s="634">
        <v>1</v>
      </c>
      <c r="W113" s="634">
        <v>1</v>
      </c>
      <c r="X113" s="634">
        <v>1</v>
      </c>
      <c r="Y113" s="634">
        <v>1</v>
      </c>
      <c r="Z113" s="634">
        <v>1</v>
      </c>
      <c r="AB113" s="19"/>
    </row>
    <row r="114" spans="1:67" x14ac:dyDescent="0.3">
      <c r="B114" s="219" t="str">
        <f>B113</f>
        <v>TRALFO00</v>
      </c>
      <c r="C114" s="224"/>
      <c r="D114" s="230"/>
      <c r="E114" s="224"/>
      <c r="F114" s="224"/>
      <c r="G114" s="224"/>
      <c r="H114" s="231">
        <f>$K$3</f>
        <v>2019</v>
      </c>
      <c r="I114" s="224"/>
      <c r="J114" s="232" t="s">
        <v>1064</v>
      </c>
      <c r="K114" s="232" t="s">
        <v>85</v>
      </c>
      <c r="L114" s="635">
        <f t="shared" ref="L114:Z114" si="162">LOOKUP($F113, $AE$11:$AE$34, AG$11:AG$34*$L$6)</f>
        <v>0</v>
      </c>
      <c r="M114" s="635">
        <f t="shared" si="162"/>
        <v>0</v>
      </c>
      <c r="N114" s="635">
        <f t="shared" si="162"/>
        <v>0</v>
      </c>
      <c r="O114" s="635">
        <f t="shared" si="162"/>
        <v>0</v>
      </c>
      <c r="P114" s="635">
        <f t="shared" si="162"/>
        <v>0</v>
      </c>
      <c r="Q114" s="635">
        <f t="shared" si="162"/>
        <v>0</v>
      </c>
      <c r="R114" s="635">
        <f t="shared" si="162"/>
        <v>0</v>
      </c>
      <c r="S114" s="635">
        <f t="shared" si="162"/>
        <v>0</v>
      </c>
      <c r="T114" s="635">
        <f t="shared" si="162"/>
        <v>0</v>
      </c>
      <c r="U114" s="635">
        <f t="shared" si="162"/>
        <v>0</v>
      </c>
      <c r="V114" s="635">
        <f t="shared" si="162"/>
        <v>0</v>
      </c>
      <c r="W114" s="635">
        <f t="shared" si="162"/>
        <v>0</v>
      </c>
      <c r="X114" s="635">
        <f t="shared" si="162"/>
        <v>0</v>
      </c>
      <c r="Y114" s="635">
        <f t="shared" si="162"/>
        <v>0</v>
      </c>
      <c r="Z114" s="635">
        <f t="shared" si="162"/>
        <v>0</v>
      </c>
      <c r="AB114" s="19"/>
    </row>
    <row r="115" spans="1:67" x14ac:dyDescent="0.3">
      <c r="B115" s="219" t="str">
        <f t="shared" ref="B115:B117" si="163">B114</f>
        <v>TRALFO00</v>
      </c>
      <c r="C115" s="224"/>
      <c r="D115" s="230"/>
      <c r="E115" s="224"/>
      <c r="F115" s="224"/>
      <c r="G115" s="224"/>
      <c r="H115" s="231">
        <v>2020</v>
      </c>
      <c r="I115" s="224"/>
      <c r="J115" s="232" t="s">
        <v>1064</v>
      </c>
      <c r="K115" s="232" t="s">
        <v>85</v>
      </c>
      <c r="L115" s="635">
        <f t="shared" ref="L115:Z118" si="164">L$114*LOOKUP($H115, $AF$47:$AF$50, AG$47:AG$50)</f>
        <v>0</v>
      </c>
      <c r="M115" s="635">
        <f t="shared" si="164"/>
        <v>0</v>
      </c>
      <c r="N115" s="635">
        <f t="shared" si="164"/>
        <v>0</v>
      </c>
      <c r="O115" s="635">
        <f t="shared" si="164"/>
        <v>0</v>
      </c>
      <c r="P115" s="635">
        <f t="shared" si="164"/>
        <v>0</v>
      </c>
      <c r="Q115" s="635">
        <f t="shared" si="164"/>
        <v>0</v>
      </c>
      <c r="R115" s="635">
        <f t="shared" si="164"/>
        <v>0</v>
      </c>
      <c r="S115" s="635">
        <f t="shared" si="164"/>
        <v>0</v>
      </c>
      <c r="T115" s="635">
        <f t="shared" si="164"/>
        <v>0</v>
      </c>
      <c r="U115" s="635">
        <f t="shared" si="164"/>
        <v>0</v>
      </c>
      <c r="V115" s="635">
        <f t="shared" si="164"/>
        <v>0</v>
      </c>
      <c r="W115" s="635">
        <f t="shared" si="164"/>
        <v>0</v>
      </c>
      <c r="X115" s="635">
        <f t="shared" si="164"/>
        <v>0</v>
      </c>
      <c r="Y115" s="635">
        <f t="shared" si="164"/>
        <v>0</v>
      </c>
      <c r="Z115" s="635">
        <f t="shared" si="164"/>
        <v>0</v>
      </c>
      <c r="AB115" s="19"/>
    </row>
    <row r="116" spans="1:67" x14ac:dyDescent="0.3">
      <c r="B116" s="219" t="str">
        <f t="shared" si="163"/>
        <v>TRALFO00</v>
      </c>
      <c r="C116" s="224"/>
      <c r="D116" s="230"/>
      <c r="E116" s="224"/>
      <c r="F116" s="224"/>
      <c r="G116" s="224"/>
      <c r="H116" s="231">
        <v>2030</v>
      </c>
      <c r="I116" s="224"/>
      <c r="J116" s="232" t="s">
        <v>1064</v>
      </c>
      <c r="K116" s="232" t="s">
        <v>85</v>
      </c>
      <c r="L116" s="635">
        <f t="shared" si="164"/>
        <v>0</v>
      </c>
      <c r="M116" s="635">
        <f t="shared" si="164"/>
        <v>0</v>
      </c>
      <c r="N116" s="635">
        <f t="shared" si="164"/>
        <v>0</v>
      </c>
      <c r="O116" s="635">
        <f t="shared" si="164"/>
        <v>0</v>
      </c>
      <c r="P116" s="635">
        <f t="shared" si="164"/>
        <v>0</v>
      </c>
      <c r="Q116" s="635">
        <f t="shared" si="164"/>
        <v>0</v>
      </c>
      <c r="R116" s="635">
        <f t="shared" si="164"/>
        <v>0</v>
      </c>
      <c r="S116" s="635">
        <f t="shared" si="164"/>
        <v>0</v>
      </c>
      <c r="T116" s="635">
        <f t="shared" si="164"/>
        <v>0</v>
      </c>
      <c r="U116" s="635">
        <f t="shared" si="164"/>
        <v>0</v>
      </c>
      <c r="V116" s="635">
        <f t="shared" si="164"/>
        <v>0</v>
      </c>
      <c r="W116" s="635">
        <f t="shared" si="164"/>
        <v>0</v>
      </c>
      <c r="X116" s="635">
        <f t="shared" si="164"/>
        <v>0</v>
      </c>
      <c r="Y116" s="635">
        <f t="shared" si="164"/>
        <v>0</v>
      </c>
      <c r="Z116" s="635">
        <f t="shared" si="164"/>
        <v>0</v>
      </c>
      <c r="AB116" s="19"/>
    </row>
    <row r="117" spans="1:67" x14ac:dyDescent="0.3">
      <c r="B117" s="219" t="str">
        <f t="shared" si="163"/>
        <v>TRALFO00</v>
      </c>
      <c r="C117" s="224"/>
      <c r="D117" s="230"/>
      <c r="E117" s="224"/>
      <c r="F117" s="224"/>
      <c r="G117" s="224"/>
      <c r="H117" s="231">
        <v>2040</v>
      </c>
      <c r="I117" s="224"/>
      <c r="J117" s="232" t="s">
        <v>1064</v>
      </c>
      <c r="K117" s="232" t="s">
        <v>85</v>
      </c>
      <c r="L117" s="635">
        <f t="shared" si="164"/>
        <v>0</v>
      </c>
      <c r="M117" s="635">
        <f t="shared" si="164"/>
        <v>0</v>
      </c>
      <c r="N117" s="635">
        <f t="shared" si="164"/>
        <v>0</v>
      </c>
      <c r="O117" s="635">
        <f t="shared" si="164"/>
        <v>0</v>
      </c>
      <c r="P117" s="635">
        <f t="shared" si="164"/>
        <v>0</v>
      </c>
      <c r="Q117" s="635">
        <f t="shared" si="164"/>
        <v>0</v>
      </c>
      <c r="R117" s="635">
        <f t="shared" si="164"/>
        <v>0</v>
      </c>
      <c r="S117" s="635">
        <f t="shared" si="164"/>
        <v>0</v>
      </c>
      <c r="T117" s="635">
        <f t="shared" si="164"/>
        <v>0</v>
      </c>
      <c r="U117" s="635">
        <f t="shared" si="164"/>
        <v>0</v>
      </c>
      <c r="V117" s="635">
        <f t="shared" si="164"/>
        <v>0</v>
      </c>
      <c r="W117" s="635">
        <f t="shared" si="164"/>
        <v>0</v>
      </c>
      <c r="X117" s="635">
        <f t="shared" si="164"/>
        <v>0</v>
      </c>
      <c r="Y117" s="635">
        <f t="shared" si="164"/>
        <v>0</v>
      </c>
      <c r="Z117" s="635">
        <f t="shared" si="164"/>
        <v>0</v>
      </c>
      <c r="AB117" s="19"/>
    </row>
    <row r="118" spans="1:67" x14ac:dyDescent="0.3">
      <c r="B118" s="233" t="str">
        <f>B114</f>
        <v>TRALFO00</v>
      </c>
      <c r="C118" s="234"/>
      <c r="D118" s="235"/>
      <c r="E118" s="234"/>
      <c r="F118" s="234"/>
      <c r="G118" s="234"/>
      <c r="H118" s="236">
        <f>$K$5</f>
        <v>2050</v>
      </c>
      <c r="I118" s="234"/>
      <c r="J118" s="237" t="s">
        <v>1064</v>
      </c>
      <c r="K118" s="237" t="s">
        <v>85</v>
      </c>
      <c r="L118" s="636">
        <f t="shared" si="164"/>
        <v>0</v>
      </c>
      <c r="M118" s="636">
        <f t="shared" si="164"/>
        <v>0</v>
      </c>
      <c r="N118" s="636">
        <f t="shared" si="164"/>
        <v>0</v>
      </c>
      <c r="O118" s="636">
        <f t="shared" si="164"/>
        <v>0</v>
      </c>
      <c r="P118" s="636">
        <f t="shared" si="164"/>
        <v>0</v>
      </c>
      <c r="Q118" s="636">
        <f t="shared" si="164"/>
        <v>0</v>
      </c>
      <c r="R118" s="636">
        <f t="shared" si="164"/>
        <v>0</v>
      </c>
      <c r="S118" s="636">
        <f t="shared" si="164"/>
        <v>0</v>
      </c>
      <c r="T118" s="636">
        <f t="shared" si="164"/>
        <v>0</v>
      </c>
      <c r="U118" s="636">
        <f t="shared" si="164"/>
        <v>0</v>
      </c>
      <c r="V118" s="636">
        <f t="shared" si="164"/>
        <v>0</v>
      </c>
      <c r="W118" s="636">
        <f t="shared" si="164"/>
        <v>0</v>
      </c>
      <c r="X118" s="636">
        <f t="shared" si="164"/>
        <v>0</v>
      </c>
      <c r="Y118" s="636">
        <f t="shared" si="164"/>
        <v>0</v>
      </c>
      <c r="Z118" s="636">
        <f t="shared" si="164"/>
        <v>0</v>
      </c>
      <c r="AB118" s="19"/>
    </row>
    <row r="119" spans="1:67" x14ac:dyDescent="0.3">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4">
        <v>1</v>
      </c>
      <c r="M119" s="634">
        <v>1</v>
      </c>
      <c r="N119" s="634">
        <v>1</v>
      </c>
      <c r="O119" s="634">
        <v>1</v>
      </c>
      <c r="P119" s="634">
        <v>1</v>
      </c>
      <c r="Q119" s="634">
        <v>1</v>
      </c>
      <c r="R119" s="634">
        <v>1</v>
      </c>
      <c r="S119" s="634">
        <v>1</v>
      </c>
      <c r="T119" s="634">
        <v>1</v>
      </c>
      <c r="U119" s="634">
        <v>1</v>
      </c>
      <c r="V119" s="634">
        <v>1</v>
      </c>
      <c r="W119" s="634">
        <v>1</v>
      </c>
      <c r="X119" s="634">
        <v>1</v>
      </c>
      <c r="Y119" s="634">
        <v>1</v>
      </c>
      <c r="Z119" s="634">
        <v>1</v>
      </c>
      <c r="AB119" s="19"/>
    </row>
    <row r="120" spans="1:67" x14ac:dyDescent="0.3">
      <c r="B120" s="219" t="str">
        <f>B119</f>
        <v>TRALPG00</v>
      </c>
      <c r="C120" s="224"/>
      <c r="D120" s="230"/>
      <c r="E120" s="224"/>
      <c r="F120" s="224"/>
      <c r="G120" s="224"/>
      <c r="H120" s="231">
        <f>$K$3</f>
        <v>2019</v>
      </c>
      <c r="I120" s="224"/>
      <c r="J120" s="232" t="s">
        <v>1064</v>
      </c>
      <c r="K120" s="232" t="s">
        <v>85</v>
      </c>
      <c r="L120" s="635">
        <f t="shared" ref="L120:Z120" si="165">LOOKUP($F119, $AE$11:$AE$34, AG$11:AG$34*$L$6)</f>
        <v>0</v>
      </c>
      <c r="M120" s="635">
        <f t="shared" si="165"/>
        <v>0</v>
      </c>
      <c r="N120" s="635">
        <f t="shared" si="165"/>
        <v>0</v>
      </c>
      <c r="O120" s="635">
        <f t="shared" si="165"/>
        <v>0</v>
      </c>
      <c r="P120" s="635">
        <f t="shared" si="165"/>
        <v>0</v>
      </c>
      <c r="Q120" s="635">
        <f t="shared" si="165"/>
        <v>0</v>
      </c>
      <c r="R120" s="635">
        <f t="shared" si="165"/>
        <v>0</v>
      </c>
      <c r="S120" s="635">
        <f t="shared" si="165"/>
        <v>0</v>
      </c>
      <c r="T120" s="635">
        <f t="shared" si="165"/>
        <v>0</v>
      </c>
      <c r="U120" s="635">
        <f t="shared" si="165"/>
        <v>0</v>
      </c>
      <c r="V120" s="635">
        <f t="shared" si="165"/>
        <v>0</v>
      </c>
      <c r="W120" s="635">
        <f t="shared" si="165"/>
        <v>0</v>
      </c>
      <c r="X120" s="635">
        <f t="shared" si="165"/>
        <v>0</v>
      </c>
      <c r="Y120" s="635">
        <f t="shared" si="165"/>
        <v>0</v>
      </c>
      <c r="Z120" s="635">
        <f t="shared" si="165"/>
        <v>0</v>
      </c>
      <c r="AB120" s="19"/>
    </row>
    <row r="121" spans="1:67" x14ac:dyDescent="0.3">
      <c r="B121" s="219" t="str">
        <f t="shared" ref="B121:B123" si="166">B120</f>
        <v>TRALPG00</v>
      </c>
      <c r="C121" s="224"/>
      <c r="D121" s="230"/>
      <c r="E121" s="224"/>
      <c r="F121" s="224"/>
      <c r="G121" s="224"/>
      <c r="H121" s="231">
        <v>2020</v>
      </c>
      <c r="I121" s="224"/>
      <c r="J121" s="232" t="s">
        <v>1064</v>
      </c>
      <c r="K121" s="232" t="s">
        <v>85</v>
      </c>
      <c r="L121" s="635">
        <f t="shared" ref="L121:Z124" si="167">L$120*LOOKUP($H121, $AF$47:$AF$50, AG$47:AG$50)</f>
        <v>0</v>
      </c>
      <c r="M121" s="635">
        <f t="shared" si="167"/>
        <v>0</v>
      </c>
      <c r="N121" s="635">
        <f t="shared" si="167"/>
        <v>0</v>
      </c>
      <c r="O121" s="635">
        <f t="shared" si="167"/>
        <v>0</v>
      </c>
      <c r="P121" s="635">
        <f t="shared" si="167"/>
        <v>0</v>
      </c>
      <c r="Q121" s="635">
        <f t="shared" si="167"/>
        <v>0</v>
      </c>
      <c r="R121" s="635">
        <f t="shared" si="167"/>
        <v>0</v>
      </c>
      <c r="S121" s="635">
        <f t="shared" si="167"/>
        <v>0</v>
      </c>
      <c r="T121" s="635">
        <f t="shared" si="167"/>
        <v>0</v>
      </c>
      <c r="U121" s="635">
        <f t="shared" si="167"/>
        <v>0</v>
      </c>
      <c r="V121" s="635">
        <f t="shared" si="167"/>
        <v>0</v>
      </c>
      <c r="W121" s="635">
        <f t="shared" si="167"/>
        <v>0</v>
      </c>
      <c r="X121" s="635">
        <f t="shared" si="167"/>
        <v>0</v>
      </c>
      <c r="Y121" s="635">
        <f t="shared" si="167"/>
        <v>0</v>
      </c>
      <c r="Z121" s="635">
        <f t="shared" si="167"/>
        <v>0</v>
      </c>
      <c r="AB121" s="19"/>
    </row>
    <row r="122" spans="1:67" x14ac:dyDescent="0.3">
      <c r="B122" s="219" t="str">
        <f t="shared" si="166"/>
        <v>TRALPG00</v>
      </c>
      <c r="C122" s="224"/>
      <c r="D122" s="230"/>
      <c r="E122" s="224"/>
      <c r="F122" s="224"/>
      <c r="G122" s="224"/>
      <c r="H122" s="231">
        <v>2030</v>
      </c>
      <c r="I122" s="224"/>
      <c r="J122" s="232" t="s">
        <v>1064</v>
      </c>
      <c r="K122" s="232" t="s">
        <v>85</v>
      </c>
      <c r="L122" s="635">
        <f t="shared" si="167"/>
        <v>0</v>
      </c>
      <c r="M122" s="635">
        <f t="shared" si="167"/>
        <v>0</v>
      </c>
      <c r="N122" s="635">
        <f t="shared" si="167"/>
        <v>0</v>
      </c>
      <c r="O122" s="635">
        <f t="shared" si="167"/>
        <v>0</v>
      </c>
      <c r="P122" s="635">
        <f t="shared" si="167"/>
        <v>0</v>
      </c>
      <c r="Q122" s="635">
        <f t="shared" si="167"/>
        <v>0</v>
      </c>
      <c r="R122" s="635">
        <f t="shared" si="167"/>
        <v>0</v>
      </c>
      <c r="S122" s="635">
        <f t="shared" si="167"/>
        <v>0</v>
      </c>
      <c r="T122" s="635">
        <f t="shared" si="167"/>
        <v>0</v>
      </c>
      <c r="U122" s="635">
        <f t="shared" si="167"/>
        <v>0</v>
      </c>
      <c r="V122" s="635">
        <f t="shared" si="167"/>
        <v>0</v>
      </c>
      <c r="W122" s="635">
        <f t="shared" si="167"/>
        <v>0</v>
      </c>
      <c r="X122" s="635">
        <f t="shared" si="167"/>
        <v>0</v>
      </c>
      <c r="Y122" s="635">
        <f t="shared" si="167"/>
        <v>0</v>
      </c>
      <c r="Z122" s="635">
        <f t="shared" si="167"/>
        <v>0</v>
      </c>
      <c r="AB122" s="19"/>
    </row>
    <row r="123" spans="1:67" x14ac:dyDescent="0.3">
      <c r="B123" s="219" t="str">
        <f t="shared" si="166"/>
        <v>TRALPG00</v>
      </c>
      <c r="C123" s="224"/>
      <c r="D123" s="230"/>
      <c r="E123" s="224"/>
      <c r="F123" s="224"/>
      <c r="G123" s="224"/>
      <c r="H123" s="231">
        <v>2040</v>
      </c>
      <c r="I123" s="224"/>
      <c r="J123" s="232" t="s">
        <v>1064</v>
      </c>
      <c r="K123" s="232" t="s">
        <v>85</v>
      </c>
      <c r="L123" s="635">
        <f t="shared" si="167"/>
        <v>0</v>
      </c>
      <c r="M123" s="635">
        <f t="shared" si="167"/>
        <v>0</v>
      </c>
      <c r="N123" s="635">
        <f t="shared" si="167"/>
        <v>0</v>
      </c>
      <c r="O123" s="635">
        <f t="shared" si="167"/>
        <v>0</v>
      </c>
      <c r="P123" s="635">
        <f t="shared" si="167"/>
        <v>0</v>
      </c>
      <c r="Q123" s="635">
        <f t="shared" si="167"/>
        <v>0</v>
      </c>
      <c r="R123" s="635">
        <f t="shared" si="167"/>
        <v>0</v>
      </c>
      <c r="S123" s="635">
        <f t="shared" si="167"/>
        <v>0</v>
      </c>
      <c r="T123" s="635">
        <f t="shared" si="167"/>
        <v>0</v>
      </c>
      <c r="U123" s="635">
        <f t="shared" si="167"/>
        <v>0</v>
      </c>
      <c r="V123" s="635">
        <f t="shared" si="167"/>
        <v>0</v>
      </c>
      <c r="W123" s="635">
        <f t="shared" si="167"/>
        <v>0</v>
      </c>
      <c r="X123" s="635">
        <f t="shared" si="167"/>
        <v>0</v>
      </c>
      <c r="Y123" s="635">
        <f t="shared" si="167"/>
        <v>0</v>
      </c>
      <c r="Z123" s="635">
        <f t="shared" si="167"/>
        <v>0</v>
      </c>
      <c r="AB123" s="19"/>
    </row>
    <row r="124" spans="1:67" x14ac:dyDescent="0.3">
      <c r="B124" s="233" t="str">
        <f>B120</f>
        <v>TRALPG00</v>
      </c>
      <c r="C124" s="234"/>
      <c r="D124" s="235"/>
      <c r="E124" s="234"/>
      <c r="F124" s="234"/>
      <c r="G124" s="234"/>
      <c r="H124" s="236">
        <f>$K$5</f>
        <v>2050</v>
      </c>
      <c r="I124" s="234"/>
      <c r="J124" s="237" t="s">
        <v>1064</v>
      </c>
      <c r="K124" s="237" t="s">
        <v>85</v>
      </c>
      <c r="L124" s="636">
        <f t="shared" si="167"/>
        <v>0</v>
      </c>
      <c r="M124" s="636">
        <f t="shared" si="167"/>
        <v>0</v>
      </c>
      <c r="N124" s="636">
        <f t="shared" si="167"/>
        <v>0</v>
      </c>
      <c r="O124" s="636">
        <f t="shared" si="167"/>
        <v>0</v>
      </c>
      <c r="P124" s="636">
        <f t="shared" si="167"/>
        <v>0</v>
      </c>
      <c r="Q124" s="636">
        <f t="shared" si="167"/>
        <v>0</v>
      </c>
      <c r="R124" s="636">
        <f t="shared" si="167"/>
        <v>0</v>
      </c>
      <c r="S124" s="636">
        <f t="shared" si="167"/>
        <v>0</v>
      </c>
      <c r="T124" s="636">
        <f t="shared" si="167"/>
        <v>0</v>
      </c>
      <c r="U124" s="636">
        <f t="shared" si="167"/>
        <v>0</v>
      </c>
      <c r="V124" s="636">
        <f t="shared" si="167"/>
        <v>0</v>
      </c>
      <c r="W124" s="636">
        <f t="shared" si="167"/>
        <v>0</v>
      </c>
      <c r="X124" s="636">
        <f t="shared" si="167"/>
        <v>0</v>
      </c>
      <c r="Y124" s="636">
        <f t="shared" si="167"/>
        <v>0</v>
      </c>
      <c r="Z124" s="636">
        <f t="shared" si="167"/>
        <v>0</v>
      </c>
      <c r="AB124" s="19"/>
    </row>
    <row r="125" spans="1:67" x14ac:dyDescent="0.3">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4">
        <v>1</v>
      </c>
      <c r="M125" s="634">
        <v>1</v>
      </c>
      <c r="N125" s="634">
        <v>1</v>
      </c>
      <c r="O125" s="634">
        <v>1</v>
      </c>
      <c r="P125" s="634">
        <v>1</v>
      </c>
      <c r="Q125" s="634">
        <v>1</v>
      </c>
      <c r="R125" s="634">
        <v>1</v>
      </c>
      <c r="S125" s="634">
        <v>1</v>
      </c>
      <c r="T125" s="634">
        <v>1</v>
      </c>
      <c r="U125" s="634">
        <v>1</v>
      </c>
      <c r="V125" s="634">
        <v>1</v>
      </c>
      <c r="W125" s="634">
        <v>1</v>
      </c>
      <c r="X125" s="634">
        <v>1</v>
      </c>
      <c r="Y125" s="634">
        <v>1</v>
      </c>
      <c r="Z125" s="634">
        <v>1</v>
      </c>
      <c r="AB125" s="19"/>
    </row>
    <row r="126" spans="1:67" s="19" customFormat="1" x14ac:dyDescent="0.3">
      <c r="A126"/>
      <c r="B126" s="219" t="str">
        <f>B125</f>
        <v>TRAMTH00</v>
      </c>
      <c r="C126" s="224"/>
      <c r="D126" s="230"/>
      <c r="E126" s="224"/>
      <c r="F126" s="224"/>
      <c r="G126" s="224"/>
      <c r="H126" s="231">
        <f>$K$3</f>
        <v>2019</v>
      </c>
      <c r="I126" s="224"/>
      <c r="J126" s="232" t="s">
        <v>1064</v>
      </c>
      <c r="K126" s="232" t="s">
        <v>85</v>
      </c>
      <c r="L126" s="635">
        <f t="shared" ref="L126:Z126" si="168">LOOKUP($F125, $AE$11:$AE$34, AG$11:AG$34*$L$6)</f>
        <v>0</v>
      </c>
      <c r="M126" s="635">
        <f t="shared" si="168"/>
        <v>0</v>
      </c>
      <c r="N126" s="635">
        <f t="shared" si="168"/>
        <v>0</v>
      </c>
      <c r="O126" s="635">
        <f t="shared" si="168"/>
        <v>0</v>
      </c>
      <c r="P126" s="635">
        <f t="shared" si="168"/>
        <v>0</v>
      </c>
      <c r="Q126" s="635">
        <f t="shared" si="168"/>
        <v>0</v>
      </c>
      <c r="R126" s="635">
        <f t="shared" si="168"/>
        <v>0</v>
      </c>
      <c r="S126" s="635">
        <f t="shared" si="168"/>
        <v>0</v>
      </c>
      <c r="T126" s="635">
        <f t="shared" si="168"/>
        <v>0</v>
      </c>
      <c r="U126" s="635">
        <f t="shared" si="168"/>
        <v>0</v>
      </c>
      <c r="V126" s="635">
        <f t="shared" si="168"/>
        <v>0</v>
      </c>
      <c r="W126" s="635">
        <f t="shared" si="168"/>
        <v>0</v>
      </c>
      <c r="X126" s="635">
        <f t="shared" si="168"/>
        <v>0</v>
      </c>
      <c r="Y126" s="635">
        <f t="shared" si="168"/>
        <v>0</v>
      </c>
      <c r="Z126" s="635">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3" customFormat="1" x14ac:dyDescent="0.3">
      <c r="A127"/>
      <c r="B127" s="219" t="str">
        <f t="shared" ref="B127:B129" si="169">B126</f>
        <v>TRAMTH00</v>
      </c>
      <c r="C127" s="224"/>
      <c r="D127" s="230"/>
      <c r="E127" s="224"/>
      <c r="F127" s="224"/>
      <c r="G127" s="224"/>
      <c r="H127" s="231">
        <v>2020</v>
      </c>
      <c r="I127" s="224"/>
      <c r="J127" s="232" t="s">
        <v>1064</v>
      </c>
      <c r="K127" s="232" t="s">
        <v>85</v>
      </c>
      <c r="L127" s="635">
        <f t="shared" ref="L127:Z130" si="170">L$126*LOOKUP($H127, $AF$47:$AF$50, AG$47:AG$50)</f>
        <v>0</v>
      </c>
      <c r="M127" s="635">
        <f t="shared" si="170"/>
        <v>0</v>
      </c>
      <c r="N127" s="635">
        <f t="shared" si="170"/>
        <v>0</v>
      </c>
      <c r="O127" s="635">
        <f t="shared" si="170"/>
        <v>0</v>
      </c>
      <c r="P127" s="635">
        <f t="shared" si="170"/>
        <v>0</v>
      </c>
      <c r="Q127" s="635">
        <f t="shared" si="170"/>
        <v>0</v>
      </c>
      <c r="R127" s="635">
        <f t="shared" si="170"/>
        <v>0</v>
      </c>
      <c r="S127" s="635">
        <f t="shared" si="170"/>
        <v>0</v>
      </c>
      <c r="T127" s="635">
        <f t="shared" si="170"/>
        <v>0</v>
      </c>
      <c r="U127" s="635">
        <f t="shared" si="170"/>
        <v>0</v>
      </c>
      <c r="V127" s="635">
        <f t="shared" si="170"/>
        <v>0</v>
      </c>
      <c r="W127" s="635">
        <f t="shared" si="170"/>
        <v>0</v>
      </c>
      <c r="X127" s="635">
        <f t="shared" si="170"/>
        <v>0</v>
      </c>
      <c r="Y127" s="635">
        <f t="shared" si="170"/>
        <v>0</v>
      </c>
      <c r="Z127" s="635">
        <f t="shared" si="170"/>
        <v>0</v>
      </c>
      <c r="AA127"/>
      <c r="AB127" s="835" t="s">
        <v>1058</v>
      </c>
      <c r="AC127" s="835"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3" customFormat="1" x14ac:dyDescent="0.3">
      <c r="A128"/>
      <c r="B128" s="219" t="str">
        <f t="shared" si="169"/>
        <v>TRAMTH00</v>
      </c>
      <c r="C128" s="224"/>
      <c r="D128" s="230"/>
      <c r="E128" s="224"/>
      <c r="F128" s="224"/>
      <c r="G128" s="224"/>
      <c r="H128" s="231">
        <v>2030</v>
      </c>
      <c r="I128" s="224"/>
      <c r="J128" s="232" t="s">
        <v>1064</v>
      </c>
      <c r="K128" s="232" t="s">
        <v>85</v>
      </c>
      <c r="L128" s="635">
        <f t="shared" si="170"/>
        <v>0</v>
      </c>
      <c r="M128" s="635">
        <f t="shared" si="170"/>
        <v>0</v>
      </c>
      <c r="N128" s="635">
        <f t="shared" si="170"/>
        <v>0</v>
      </c>
      <c r="O128" s="635">
        <f t="shared" si="170"/>
        <v>0</v>
      </c>
      <c r="P128" s="635">
        <f t="shared" si="170"/>
        <v>0</v>
      </c>
      <c r="Q128" s="635">
        <f t="shared" si="170"/>
        <v>0</v>
      </c>
      <c r="R128" s="635">
        <f t="shared" si="170"/>
        <v>0</v>
      </c>
      <c r="S128" s="635">
        <f t="shared" si="170"/>
        <v>0</v>
      </c>
      <c r="T128" s="635">
        <f t="shared" si="170"/>
        <v>0</v>
      </c>
      <c r="U128" s="635">
        <f t="shared" si="170"/>
        <v>0</v>
      </c>
      <c r="V128" s="635">
        <f t="shared" si="170"/>
        <v>0</v>
      </c>
      <c r="W128" s="635">
        <f t="shared" si="170"/>
        <v>0</v>
      </c>
      <c r="X128" s="635">
        <f t="shared" si="170"/>
        <v>0</v>
      </c>
      <c r="Y128" s="635">
        <f t="shared" si="170"/>
        <v>0</v>
      </c>
      <c r="Z128" s="635">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3" customFormat="1" x14ac:dyDescent="0.3">
      <c r="A129"/>
      <c r="B129" s="219" t="str">
        <f t="shared" si="169"/>
        <v>TRAMTH00</v>
      </c>
      <c r="C129" s="224"/>
      <c r="D129" s="230"/>
      <c r="E129" s="224"/>
      <c r="F129" s="224"/>
      <c r="G129" s="224"/>
      <c r="H129" s="231">
        <v>2040</v>
      </c>
      <c r="I129" s="224"/>
      <c r="J129" s="232" t="s">
        <v>1064</v>
      </c>
      <c r="K129" s="232" t="s">
        <v>85</v>
      </c>
      <c r="L129" s="635">
        <f t="shared" si="170"/>
        <v>0</v>
      </c>
      <c r="M129" s="635">
        <f t="shared" si="170"/>
        <v>0</v>
      </c>
      <c r="N129" s="635">
        <f t="shared" si="170"/>
        <v>0</v>
      </c>
      <c r="O129" s="635">
        <f t="shared" si="170"/>
        <v>0</v>
      </c>
      <c r="P129" s="635">
        <f t="shared" si="170"/>
        <v>0</v>
      </c>
      <c r="Q129" s="635">
        <f t="shared" si="170"/>
        <v>0</v>
      </c>
      <c r="R129" s="635">
        <f t="shared" si="170"/>
        <v>0</v>
      </c>
      <c r="S129" s="635">
        <f t="shared" si="170"/>
        <v>0</v>
      </c>
      <c r="T129" s="635">
        <f t="shared" si="170"/>
        <v>0</v>
      </c>
      <c r="U129" s="635">
        <f t="shared" si="170"/>
        <v>0</v>
      </c>
      <c r="V129" s="635">
        <f t="shared" si="170"/>
        <v>0</v>
      </c>
      <c r="W129" s="635">
        <f t="shared" si="170"/>
        <v>0</v>
      </c>
      <c r="X129" s="635">
        <f t="shared" si="170"/>
        <v>0</v>
      </c>
      <c r="Y129" s="635">
        <f t="shared" si="170"/>
        <v>0</v>
      </c>
      <c r="Z129" s="635">
        <f t="shared" si="170"/>
        <v>0</v>
      </c>
      <c r="AA129"/>
      <c r="BO129" s="23"/>
    </row>
    <row r="130" spans="1:67" s="833" customFormat="1" x14ac:dyDescent="0.3">
      <c r="A130"/>
      <c r="B130" s="233" t="str">
        <f>B126</f>
        <v>TRAMTH00</v>
      </c>
      <c r="C130" s="234"/>
      <c r="D130" s="235"/>
      <c r="E130" s="234"/>
      <c r="F130" s="234"/>
      <c r="G130" s="234"/>
      <c r="H130" s="236">
        <f>$K$5</f>
        <v>2050</v>
      </c>
      <c r="I130" s="234"/>
      <c r="J130" s="237" t="s">
        <v>1064</v>
      </c>
      <c r="K130" s="237" t="s">
        <v>85</v>
      </c>
      <c r="L130" s="636">
        <f t="shared" si="170"/>
        <v>0</v>
      </c>
      <c r="M130" s="636">
        <f t="shared" si="170"/>
        <v>0</v>
      </c>
      <c r="N130" s="636">
        <f t="shared" si="170"/>
        <v>0</v>
      </c>
      <c r="O130" s="636">
        <f t="shared" si="170"/>
        <v>0</v>
      </c>
      <c r="P130" s="636">
        <f t="shared" si="170"/>
        <v>0</v>
      </c>
      <c r="Q130" s="636">
        <f t="shared" si="170"/>
        <v>0</v>
      </c>
      <c r="R130" s="636">
        <f t="shared" si="170"/>
        <v>0</v>
      </c>
      <c r="S130" s="636">
        <f t="shared" si="170"/>
        <v>0</v>
      </c>
      <c r="T130" s="636">
        <f t="shared" si="170"/>
        <v>0</v>
      </c>
      <c r="U130" s="636">
        <f t="shared" si="170"/>
        <v>0</v>
      </c>
      <c r="V130" s="636">
        <f t="shared" si="170"/>
        <v>0</v>
      </c>
      <c r="W130" s="636">
        <f t="shared" si="170"/>
        <v>0</v>
      </c>
      <c r="X130" s="636">
        <f t="shared" si="170"/>
        <v>0</v>
      </c>
      <c r="Y130" s="636">
        <f t="shared" si="170"/>
        <v>0</v>
      </c>
      <c r="Z130" s="636">
        <f t="shared" si="170"/>
        <v>0</v>
      </c>
      <c r="AA130"/>
      <c r="BO130" s="23"/>
    </row>
    <row r="131" spans="1:67" x14ac:dyDescent="0.3">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4">
        <v>1</v>
      </c>
      <c r="M131" s="634">
        <v>1</v>
      </c>
      <c r="N131" s="634">
        <v>1</v>
      </c>
      <c r="O131" s="634">
        <v>1</v>
      </c>
      <c r="P131" s="634">
        <v>1</v>
      </c>
      <c r="Q131" s="634">
        <v>1</v>
      </c>
      <c r="R131" s="634">
        <v>1</v>
      </c>
      <c r="S131" s="634">
        <v>1</v>
      </c>
      <c r="T131" s="634">
        <v>1</v>
      </c>
      <c r="U131" s="634">
        <v>1</v>
      </c>
      <c r="V131" s="634">
        <v>1</v>
      </c>
      <c r="W131" s="634">
        <v>1</v>
      </c>
      <c r="X131" s="634">
        <v>1</v>
      </c>
      <c r="Y131" s="634">
        <v>1</v>
      </c>
      <c r="Z131" s="634">
        <v>1</v>
      </c>
      <c r="AB131" s="19"/>
    </row>
    <row r="132" spans="1:67" s="19" customFormat="1" x14ac:dyDescent="0.3">
      <c r="A132"/>
      <c r="B132" s="219" t="str">
        <f>B131</f>
        <v>TRAMTHM00</v>
      </c>
      <c r="C132" s="224"/>
      <c r="D132" s="230"/>
      <c r="E132" s="224"/>
      <c r="F132" s="224"/>
      <c r="G132" s="224"/>
      <c r="H132" s="231">
        <f>$K$3</f>
        <v>2019</v>
      </c>
      <c r="I132" s="224"/>
      <c r="J132" s="232" t="s">
        <v>1064</v>
      </c>
      <c r="K132" s="232" t="s">
        <v>85</v>
      </c>
      <c r="L132" s="635">
        <f t="shared" ref="L132:Z132" si="171">LOOKUP($F131, $AE$11:$AE$34, AG$11:AG$34*$L$6)</f>
        <v>0</v>
      </c>
      <c r="M132" s="635">
        <f t="shared" si="171"/>
        <v>0</v>
      </c>
      <c r="N132" s="635">
        <f t="shared" si="171"/>
        <v>0</v>
      </c>
      <c r="O132" s="635">
        <f t="shared" si="171"/>
        <v>0</v>
      </c>
      <c r="P132" s="635">
        <f t="shared" si="171"/>
        <v>0</v>
      </c>
      <c r="Q132" s="635">
        <f t="shared" si="171"/>
        <v>0</v>
      </c>
      <c r="R132" s="635">
        <f t="shared" si="171"/>
        <v>0</v>
      </c>
      <c r="S132" s="635">
        <f t="shared" si="171"/>
        <v>0</v>
      </c>
      <c r="T132" s="635">
        <f t="shared" si="171"/>
        <v>0</v>
      </c>
      <c r="U132" s="635">
        <f t="shared" si="171"/>
        <v>0</v>
      </c>
      <c r="V132" s="635">
        <f t="shared" si="171"/>
        <v>0</v>
      </c>
      <c r="W132" s="635">
        <f t="shared" si="171"/>
        <v>0</v>
      </c>
      <c r="X132" s="635">
        <f t="shared" si="171"/>
        <v>0</v>
      </c>
      <c r="Y132" s="635">
        <f t="shared" si="171"/>
        <v>0</v>
      </c>
      <c r="Z132" s="635">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3" customFormat="1" x14ac:dyDescent="0.3">
      <c r="A133"/>
      <c r="B133" s="219" t="str">
        <f t="shared" ref="B133:B135" si="172">B132</f>
        <v>TRAMTHM00</v>
      </c>
      <c r="C133" s="224"/>
      <c r="D133" s="230"/>
      <c r="E133" s="224"/>
      <c r="F133" s="224"/>
      <c r="G133" s="224"/>
      <c r="H133" s="231">
        <v>2020</v>
      </c>
      <c r="I133" s="224"/>
      <c r="J133" s="232" t="s">
        <v>1064</v>
      </c>
      <c r="K133" s="232" t="s">
        <v>85</v>
      </c>
      <c r="L133" s="635">
        <f t="shared" ref="L133:L136" si="173">L$126*LOOKUP($H133, $AF$47:$AF$50, AG$47:AG$50)</f>
        <v>0</v>
      </c>
      <c r="M133" s="635">
        <f t="shared" ref="M133:M136" si="174">M$126*LOOKUP($H133, $AF$47:$AF$50, AH$47:AH$50)</f>
        <v>0</v>
      </c>
      <c r="N133" s="635">
        <f t="shared" ref="N133:N136" si="175">N$126*LOOKUP($H133, $AF$47:$AF$50, AI$47:AI$50)</f>
        <v>0</v>
      </c>
      <c r="O133" s="635">
        <f t="shared" ref="O133:O136" si="176">O$126*LOOKUP($H133, $AF$47:$AF$50, AJ$47:AJ$50)</f>
        <v>0</v>
      </c>
      <c r="P133" s="635">
        <f t="shared" ref="P133:P136" si="177">P$126*LOOKUP($H133, $AF$47:$AF$50, AK$47:AK$50)</f>
        <v>0</v>
      </c>
      <c r="Q133" s="635">
        <f t="shared" ref="Q133:Q136" si="178">Q$126*LOOKUP($H133, $AF$47:$AF$50, AL$47:AL$50)</f>
        <v>0</v>
      </c>
      <c r="R133" s="635">
        <f t="shared" ref="R133:R136" si="179">R$126*LOOKUP($H133, $AF$47:$AF$50, AM$47:AM$50)</f>
        <v>0</v>
      </c>
      <c r="S133" s="635">
        <f t="shared" ref="S133:S136" si="180">S$126*LOOKUP($H133, $AF$47:$AF$50, AN$47:AN$50)</f>
        <v>0</v>
      </c>
      <c r="T133" s="635">
        <f t="shared" ref="T133:T136" si="181">T$126*LOOKUP($H133, $AF$47:$AF$50, AO$47:AO$50)</f>
        <v>0</v>
      </c>
      <c r="U133" s="635">
        <f t="shared" ref="U133:U136" si="182">U$126*LOOKUP($H133, $AF$47:$AF$50, AP$47:AP$50)</f>
        <v>0</v>
      </c>
      <c r="V133" s="635">
        <f t="shared" ref="V133:V136" si="183">V$126*LOOKUP($H133, $AF$47:$AF$50, AQ$47:AQ$50)</f>
        <v>0</v>
      </c>
      <c r="W133" s="635">
        <f t="shared" ref="W133:W136" si="184">W$126*LOOKUP($H133, $AF$47:$AF$50, AR$47:AR$50)</f>
        <v>0</v>
      </c>
      <c r="X133" s="635">
        <f t="shared" ref="X133:X136" si="185">X$126*LOOKUP($H133, $AF$47:$AF$50, AS$47:AS$50)</f>
        <v>0</v>
      </c>
      <c r="Y133" s="635">
        <f t="shared" ref="Y133:Y136" si="186">Y$126*LOOKUP($H133, $AF$47:$AF$50, AT$47:AT$50)</f>
        <v>0</v>
      </c>
      <c r="Z133" s="635">
        <f t="shared" ref="Z133:Z136" si="187">Z$126*LOOKUP($H133, $AF$47:$AF$50, AU$47:AU$50)</f>
        <v>0</v>
      </c>
      <c r="AA133"/>
      <c r="AB133" s="835" t="s">
        <v>1058</v>
      </c>
      <c r="AC133" s="835"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3" customFormat="1" x14ac:dyDescent="0.3">
      <c r="A134"/>
      <c r="B134" s="219" t="str">
        <f t="shared" si="172"/>
        <v>TRAMTHM00</v>
      </c>
      <c r="C134" s="224"/>
      <c r="D134" s="230"/>
      <c r="E134" s="224"/>
      <c r="F134" s="224"/>
      <c r="G134" s="224"/>
      <c r="H134" s="231">
        <v>2030</v>
      </c>
      <c r="I134" s="224"/>
      <c r="J134" s="232" t="s">
        <v>1064</v>
      </c>
      <c r="K134" s="232" t="s">
        <v>85</v>
      </c>
      <c r="L134" s="635">
        <f t="shared" si="173"/>
        <v>0</v>
      </c>
      <c r="M134" s="635">
        <f t="shared" si="174"/>
        <v>0</v>
      </c>
      <c r="N134" s="635">
        <f t="shared" si="175"/>
        <v>0</v>
      </c>
      <c r="O134" s="635">
        <f t="shared" si="176"/>
        <v>0</v>
      </c>
      <c r="P134" s="635">
        <f t="shared" si="177"/>
        <v>0</v>
      </c>
      <c r="Q134" s="635">
        <f t="shared" si="178"/>
        <v>0</v>
      </c>
      <c r="R134" s="635">
        <f t="shared" si="179"/>
        <v>0</v>
      </c>
      <c r="S134" s="635">
        <f t="shared" si="180"/>
        <v>0</v>
      </c>
      <c r="T134" s="635">
        <f t="shared" si="181"/>
        <v>0</v>
      </c>
      <c r="U134" s="635">
        <f t="shared" si="182"/>
        <v>0</v>
      </c>
      <c r="V134" s="635">
        <f t="shared" si="183"/>
        <v>0</v>
      </c>
      <c r="W134" s="635">
        <f t="shared" si="184"/>
        <v>0</v>
      </c>
      <c r="X134" s="635">
        <f t="shared" si="185"/>
        <v>0</v>
      </c>
      <c r="Y134" s="635">
        <f t="shared" si="186"/>
        <v>0</v>
      </c>
      <c r="Z134" s="635">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3" customFormat="1" x14ac:dyDescent="0.3">
      <c r="A135"/>
      <c r="B135" s="219" t="str">
        <f t="shared" si="172"/>
        <v>TRAMTHM00</v>
      </c>
      <c r="C135" s="224"/>
      <c r="D135" s="230"/>
      <c r="E135" s="224"/>
      <c r="F135" s="224"/>
      <c r="G135" s="224"/>
      <c r="H135" s="231">
        <v>2040</v>
      </c>
      <c r="I135" s="224"/>
      <c r="J135" s="232" t="s">
        <v>1064</v>
      </c>
      <c r="K135" s="232" t="s">
        <v>85</v>
      </c>
      <c r="L135" s="635">
        <f t="shared" si="173"/>
        <v>0</v>
      </c>
      <c r="M135" s="635">
        <f t="shared" si="174"/>
        <v>0</v>
      </c>
      <c r="N135" s="635">
        <f t="shared" si="175"/>
        <v>0</v>
      </c>
      <c r="O135" s="635">
        <f t="shared" si="176"/>
        <v>0</v>
      </c>
      <c r="P135" s="635">
        <f t="shared" si="177"/>
        <v>0</v>
      </c>
      <c r="Q135" s="635">
        <f t="shared" si="178"/>
        <v>0</v>
      </c>
      <c r="R135" s="635">
        <f t="shared" si="179"/>
        <v>0</v>
      </c>
      <c r="S135" s="635">
        <f t="shared" si="180"/>
        <v>0</v>
      </c>
      <c r="T135" s="635">
        <f t="shared" si="181"/>
        <v>0</v>
      </c>
      <c r="U135" s="635">
        <f t="shared" si="182"/>
        <v>0</v>
      </c>
      <c r="V135" s="635">
        <f t="shared" si="183"/>
        <v>0</v>
      </c>
      <c r="W135" s="635">
        <f t="shared" si="184"/>
        <v>0</v>
      </c>
      <c r="X135" s="635">
        <f t="shared" si="185"/>
        <v>0</v>
      </c>
      <c r="Y135" s="635">
        <f t="shared" si="186"/>
        <v>0</v>
      </c>
      <c r="Z135" s="635">
        <f t="shared" si="187"/>
        <v>0</v>
      </c>
      <c r="AA135"/>
      <c r="BO135" s="23"/>
    </row>
    <row r="136" spans="1:67" s="833" customFormat="1" x14ac:dyDescent="0.3">
      <c r="A136"/>
      <c r="B136" s="233" t="str">
        <f>B132</f>
        <v>TRAMTHM00</v>
      </c>
      <c r="C136" s="234"/>
      <c r="D136" s="235"/>
      <c r="E136" s="234"/>
      <c r="F136" s="234"/>
      <c r="G136" s="234"/>
      <c r="H136" s="236">
        <f>$K$5</f>
        <v>2050</v>
      </c>
      <c r="I136" s="234"/>
      <c r="J136" s="237" t="s">
        <v>1064</v>
      </c>
      <c r="K136" s="237" t="s">
        <v>85</v>
      </c>
      <c r="L136" s="636">
        <f t="shared" si="173"/>
        <v>0</v>
      </c>
      <c r="M136" s="636">
        <f t="shared" si="174"/>
        <v>0</v>
      </c>
      <c r="N136" s="636">
        <f t="shared" si="175"/>
        <v>0</v>
      </c>
      <c r="O136" s="636">
        <f t="shared" si="176"/>
        <v>0</v>
      </c>
      <c r="P136" s="636">
        <f t="shared" si="177"/>
        <v>0</v>
      </c>
      <c r="Q136" s="636">
        <f t="shared" si="178"/>
        <v>0</v>
      </c>
      <c r="R136" s="636">
        <f t="shared" si="179"/>
        <v>0</v>
      </c>
      <c r="S136" s="636">
        <f t="shared" si="180"/>
        <v>0</v>
      </c>
      <c r="T136" s="636">
        <f t="shared" si="181"/>
        <v>0</v>
      </c>
      <c r="U136" s="636">
        <f t="shared" si="182"/>
        <v>0</v>
      </c>
      <c r="V136" s="636">
        <f t="shared" si="183"/>
        <v>0</v>
      </c>
      <c r="W136" s="636">
        <f t="shared" si="184"/>
        <v>0</v>
      </c>
      <c r="X136" s="636">
        <f t="shared" si="185"/>
        <v>0</v>
      </c>
      <c r="Y136" s="636">
        <f t="shared" si="186"/>
        <v>0</v>
      </c>
      <c r="Z136" s="636">
        <f t="shared" si="187"/>
        <v>0</v>
      </c>
      <c r="AA136"/>
      <c r="BO136" s="23"/>
    </row>
    <row r="137" spans="1:67" s="833" customFormat="1" hidden="1" x14ac:dyDescent="0.3">
      <c r="A137"/>
      <c r="B137"/>
      <c r="C137"/>
      <c r="D137"/>
      <c r="E137"/>
      <c r="F137"/>
      <c r="G137"/>
      <c r="H137"/>
      <c r="I137"/>
      <c r="J137"/>
      <c r="K137"/>
      <c r="L137"/>
      <c r="M137"/>
      <c r="N137"/>
      <c r="O137"/>
      <c r="P137"/>
      <c r="Q137"/>
      <c r="R137"/>
      <c r="S137"/>
      <c r="T137"/>
      <c r="U137"/>
      <c r="V137"/>
      <c r="W137"/>
      <c r="X137"/>
      <c r="Y137"/>
      <c r="Z137"/>
      <c r="AA137"/>
      <c r="BO137" s="23"/>
    </row>
    <row r="138" spans="1:67" s="833" customFormat="1" hidden="1" x14ac:dyDescent="0.3">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3" customFormat="1" hidden="1" x14ac:dyDescent="0.3">
      <c r="B139" s="834" t="s">
        <v>1052</v>
      </c>
      <c r="C139" s="835" t="s">
        <v>104</v>
      </c>
      <c r="D139" s="835" t="s">
        <v>1053</v>
      </c>
      <c r="E139" s="835" t="s">
        <v>672</v>
      </c>
      <c r="F139" s="835" t="s">
        <v>673</v>
      </c>
      <c r="G139" s="835" t="s">
        <v>1054</v>
      </c>
      <c r="H139" s="836" t="s">
        <v>1055</v>
      </c>
      <c r="I139" s="835" t="s">
        <v>981</v>
      </c>
      <c r="J139" s="835" t="s">
        <v>1056</v>
      </c>
      <c r="K139" s="835" t="s">
        <v>1057</v>
      </c>
      <c r="L139" s="835" t="str">
        <f t="shared" ref="L139:Z139" si="188">L$2</f>
        <v>Z01</v>
      </c>
      <c r="M139" s="835" t="str">
        <f t="shared" si="188"/>
        <v>Z02</v>
      </c>
      <c r="N139" s="835" t="str">
        <f t="shared" si="188"/>
        <v>Z03</v>
      </c>
      <c r="O139" s="835" t="str">
        <f t="shared" si="188"/>
        <v>Z04</v>
      </c>
      <c r="P139" s="835" t="str">
        <f t="shared" si="188"/>
        <v>Z05</v>
      </c>
      <c r="Q139" s="835" t="str">
        <f t="shared" si="188"/>
        <v>Z06</v>
      </c>
      <c r="R139" s="835" t="str">
        <f t="shared" si="188"/>
        <v>Z07</v>
      </c>
      <c r="S139" s="835" t="str">
        <f t="shared" si="188"/>
        <v>Z08</v>
      </c>
      <c r="T139" s="835" t="str">
        <f t="shared" si="188"/>
        <v>Z09</v>
      </c>
      <c r="U139" s="835" t="str">
        <f t="shared" si="188"/>
        <v>Z10</v>
      </c>
      <c r="V139" s="835" t="str">
        <f t="shared" si="188"/>
        <v>Z11</v>
      </c>
      <c r="W139" s="835" t="str">
        <f t="shared" si="188"/>
        <v>Z12</v>
      </c>
      <c r="X139" s="835" t="str">
        <f t="shared" si="188"/>
        <v>Z13</v>
      </c>
      <c r="Y139" s="835" t="str">
        <f t="shared" si="188"/>
        <v>Z14</v>
      </c>
      <c r="Z139" s="835" t="str">
        <f t="shared" si="188"/>
        <v>Z15</v>
      </c>
      <c r="AA139" s="837"/>
      <c r="BO139" s="23"/>
    </row>
    <row r="140" spans="1:67" s="833" customFormat="1" hidden="1" x14ac:dyDescent="0.3">
      <c r="B140" s="838"/>
      <c r="C140" s="838"/>
      <c r="D140" s="838" t="s">
        <v>1061</v>
      </c>
      <c r="E140" s="838"/>
      <c r="F140" s="838"/>
      <c r="G140" s="838"/>
      <c r="H140" s="839"/>
      <c r="I140" s="838"/>
      <c r="J140" s="838"/>
      <c r="K140" s="838"/>
      <c r="L140" s="838"/>
      <c r="M140" s="838"/>
      <c r="N140" s="838"/>
      <c r="O140" s="838"/>
      <c r="P140" s="838"/>
      <c r="Q140" s="838"/>
      <c r="R140" s="838"/>
      <c r="S140" s="838"/>
      <c r="T140" s="838"/>
      <c r="U140" s="838"/>
      <c r="V140" s="838"/>
      <c r="W140" s="838"/>
      <c r="X140" s="838"/>
      <c r="Y140" s="838"/>
      <c r="Z140" s="838"/>
      <c r="BO140" s="23"/>
    </row>
    <row r="141" spans="1:67" s="833" customFormat="1" hidden="1" x14ac:dyDescent="0.3">
      <c r="A141" s="840"/>
      <c r="B141" s="841" t="str">
        <f>C141</f>
        <v>TRABDL00</v>
      </c>
      <c r="C141" s="841" t="str">
        <f>CONCATENATE(F141,"00")</f>
        <v>TRABDL00</v>
      </c>
      <c r="D141" s="842" t="str">
        <f>CONCATENATE("Fuel Tech - ",LOOKUP(F141,TRA_Comm!$C$6:$C$28,TRA_Comm!$D$6:$D$28))</f>
        <v>Fuel Tech - Biodiesel (TRA)</v>
      </c>
      <c r="E141" s="841" t="s">
        <v>1093</v>
      </c>
      <c r="F141" s="841" t="s">
        <v>987</v>
      </c>
      <c r="G141" s="843"/>
      <c r="H141" s="844"/>
      <c r="I141" s="845"/>
      <c r="J141" s="846" t="s">
        <v>1063</v>
      </c>
      <c r="K141" s="846"/>
      <c r="L141" s="847">
        <v>1</v>
      </c>
      <c r="M141" s="847">
        <v>1</v>
      </c>
      <c r="N141" s="847">
        <v>1</v>
      </c>
      <c r="O141" s="847">
        <v>1</v>
      </c>
      <c r="P141" s="847">
        <v>1</v>
      </c>
      <c r="Q141" s="847">
        <v>1</v>
      </c>
      <c r="R141" s="847">
        <v>1</v>
      </c>
      <c r="S141" s="847">
        <v>1</v>
      </c>
      <c r="T141" s="847">
        <v>1</v>
      </c>
      <c r="U141" s="847">
        <v>1</v>
      </c>
      <c r="V141" s="847">
        <v>1</v>
      </c>
      <c r="W141" s="847">
        <v>1</v>
      </c>
      <c r="X141" s="847">
        <v>1</v>
      </c>
      <c r="Y141" s="847">
        <v>1</v>
      </c>
      <c r="Z141" s="847">
        <v>1</v>
      </c>
      <c r="BO141" s="23"/>
    </row>
    <row r="142" spans="1:67" s="833" customFormat="1" hidden="1" x14ac:dyDescent="0.3">
      <c r="B142" s="841" t="str">
        <f>B141</f>
        <v>TRABDL00</v>
      </c>
      <c r="C142" s="841"/>
      <c r="D142" s="848"/>
      <c r="E142" s="841"/>
      <c r="F142" s="841"/>
      <c r="G142" s="841"/>
      <c r="H142" s="849">
        <f>$K$3</f>
        <v>2019</v>
      </c>
      <c r="I142" s="841"/>
      <c r="J142" s="850" t="s">
        <v>1064</v>
      </c>
      <c r="K142" s="850" t="s">
        <v>85</v>
      </c>
      <c r="L142" s="851"/>
      <c r="M142" s="851"/>
      <c r="N142" s="851"/>
      <c r="O142" s="851"/>
      <c r="P142" s="851"/>
      <c r="Q142" s="851"/>
      <c r="R142" s="851"/>
      <c r="S142" s="851"/>
      <c r="T142" s="851"/>
      <c r="U142" s="851"/>
      <c r="V142" s="851"/>
      <c r="W142" s="851"/>
      <c r="X142" s="851"/>
      <c r="Y142" s="851"/>
      <c r="Z142" s="851"/>
      <c r="BO142" s="23"/>
    </row>
    <row r="143" spans="1:67" s="833" customFormat="1" hidden="1" x14ac:dyDescent="0.3">
      <c r="B143" s="852" t="str">
        <f>B142</f>
        <v>TRABDL00</v>
      </c>
      <c r="C143" s="852"/>
      <c r="D143" s="853"/>
      <c r="E143" s="852"/>
      <c r="F143" s="852"/>
      <c r="G143" s="852"/>
      <c r="H143" s="854">
        <f>$K$5</f>
        <v>2050</v>
      </c>
      <c r="I143" s="841"/>
      <c r="J143" s="855" t="s">
        <v>1064</v>
      </c>
      <c r="K143" s="855" t="s">
        <v>85</v>
      </c>
      <c r="L143" s="856"/>
      <c r="M143" s="856"/>
      <c r="N143" s="856"/>
      <c r="O143" s="856"/>
      <c r="P143" s="856"/>
      <c r="Q143" s="856"/>
      <c r="R143" s="856"/>
      <c r="S143" s="856"/>
      <c r="T143" s="856"/>
      <c r="U143" s="856"/>
      <c r="V143" s="856"/>
      <c r="W143" s="856"/>
      <c r="X143" s="856"/>
      <c r="Y143" s="856"/>
      <c r="Z143" s="856"/>
      <c r="BO143" s="23"/>
    </row>
    <row r="144" spans="1:67" s="833" customFormat="1" hidden="1" x14ac:dyDescent="0.3">
      <c r="A144" s="840"/>
      <c r="B144" s="841" t="str">
        <f>C144</f>
        <v>TRABGS00</v>
      </c>
      <c r="C144" s="841" t="str">
        <f>CONCATENATE(F144,"00")</f>
        <v>TRABGS00</v>
      </c>
      <c r="D144" s="842" t="str">
        <f>CONCATENATE("Fuel Tech - ",LOOKUP(F144,TRA_Comm!$C$6:$C$28,TRA_Comm!$D$6:$D$28))</f>
        <v>Fuel Tech - Biogas (gaseous) (TRA)</v>
      </c>
      <c r="E144" s="841" t="s">
        <v>1066</v>
      </c>
      <c r="F144" s="841" t="s">
        <v>993</v>
      </c>
      <c r="G144" s="843"/>
      <c r="H144" s="844"/>
      <c r="I144" s="845"/>
      <c r="J144" s="846" t="s">
        <v>1063</v>
      </c>
      <c r="K144" s="846"/>
      <c r="L144" s="847">
        <v>1</v>
      </c>
      <c r="M144" s="847">
        <v>1</v>
      </c>
      <c r="N144" s="847">
        <v>1</v>
      </c>
      <c r="O144" s="847">
        <v>1</v>
      </c>
      <c r="P144" s="847">
        <v>1</v>
      </c>
      <c r="Q144" s="847">
        <v>1</v>
      </c>
      <c r="R144" s="847">
        <v>1</v>
      </c>
      <c r="S144" s="847">
        <v>1</v>
      </c>
      <c r="T144" s="847">
        <v>1</v>
      </c>
      <c r="U144" s="847">
        <v>1</v>
      </c>
      <c r="V144" s="847">
        <v>1</v>
      </c>
      <c r="W144" s="847">
        <v>1</v>
      </c>
      <c r="X144" s="847">
        <v>1</v>
      </c>
      <c r="Y144" s="847">
        <v>1</v>
      </c>
      <c r="Z144" s="847">
        <v>1</v>
      </c>
      <c r="BO144" s="23"/>
    </row>
    <row r="145" spans="1:67" s="833" customFormat="1" hidden="1" x14ac:dyDescent="0.3">
      <c r="B145" s="841" t="str">
        <f>B144</f>
        <v>TRABGS00</v>
      </c>
      <c r="C145" s="841"/>
      <c r="D145" s="848"/>
      <c r="E145" s="841"/>
      <c r="F145" s="841"/>
      <c r="G145" s="841"/>
      <c r="H145" s="849">
        <f>$K$3</f>
        <v>2019</v>
      </c>
      <c r="I145" s="841"/>
      <c r="J145" s="850" t="s">
        <v>1064</v>
      </c>
      <c r="K145" s="850" t="s">
        <v>85</v>
      </c>
      <c r="L145" s="851"/>
      <c r="M145" s="851"/>
      <c r="N145" s="851"/>
      <c r="O145" s="851"/>
      <c r="P145" s="851"/>
      <c r="Q145" s="851"/>
      <c r="R145" s="851"/>
      <c r="S145" s="851"/>
      <c r="T145" s="851"/>
      <c r="U145" s="851"/>
      <c r="V145" s="851"/>
      <c r="W145" s="851"/>
      <c r="X145" s="851"/>
      <c r="Y145" s="851"/>
      <c r="Z145" s="851"/>
      <c r="BO145" s="23"/>
    </row>
    <row r="146" spans="1:67" s="833" customFormat="1" hidden="1" x14ac:dyDescent="0.3">
      <c r="B146" s="852" t="str">
        <f>B144</f>
        <v>TRABGS00</v>
      </c>
      <c r="C146" s="852"/>
      <c r="D146" s="853"/>
      <c r="E146" s="852"/>
      <c r="F146" s="852"/>
      <c r="G146" s="852"/>
      <c r="H146" s="854">
        <f>$K$5</f>
        <v>2050</v>
      </c>
      <c r="I146" s="841"/>
      <c r="J146" s="855" t="s">
        <v>1064</v>
      </c>
      <c r="K146" s="855" t="s">
        <v>85</v>
      </c>
      <c r="L146" s="856"/>
      <c r="M146" s="856"/>
      <c r="N146" s="856"/>
      <c r="O146" s="856"/>
      <c r="P146" s="856"/>
      <c r="Q146" s="856"/>
      <c r="R146" s="856"/>
      <c r="S146" s="856"/>
      <c r="T146" s="856"/>
      <c r="U146" s="856"/>
      <c r="V146" s="856"/>
      <c r="W146" s="856"/>
      <c r="X146" s="856"/>
      <c r="Y146" s="856"/>
      <c r="Z146" s="856"/>
      <c r="BO146" s="23"/>
    </row>
    <row r="147" spans="1:67" s="833" customFormat="1" hidden="1" x14ac:dyDescent="0.3">
      <c r="A147" s="840"/>
      <c r="B147" s="841" t="str">
        <f>C147</f>
        <v>TRABJF00</v>
      </c>
      <c r="C147" s="841" t="s">
        <v>919</v>
      </c>
      <c r="D147" s="842" t="str">
        <f>CONCATENATE("Fuel Tech - ",LOOKUP(F147,TRA_Comm!$C$6:$C$28,TRA_Comm!$D$6:$D$28))</f>
        <v>Fuel Tech - Bio Jet Fuel (TRA)</v>
      </c>
      <c r="E147" s="841" t="s">
        <v>1068</v>
      </c>
      <c r="F147" s="841" t="s">
        <v>997</v>
      </c>
      <c r="G147" s="843"/>
      <c r="H147" s="844"/>
      <c r="I147" s="845"/>
      <c r="J147" s="846" t="s">
        <v>1063</v>
      </c>
      <c r="K147" s="846"/>
      <c r="L147" s="847">
        <v>1</v>
      </c>
      <c r="M147" s="847">
        <v>1</v>
      </c>
      <c r="N147" s="847">
        <v>1</v>
      </c>
      <c r="O147" s="847">
        <v>1</v>
      </c>
      <c r="P147" s="847">
        <v>1</v>
      </c>
      <c r="Q147" s="847">
        <v>1</v>
      </c>
      <c r="R147" s="847">
        <v>1</v>
      </c>
      <c r="S147" s="847">
        <v>1</v>
      </c>
      <c r="T147" s="847">
        <v>1</v>
      </c>
      <c r="U147" s="847">
        <v>1</v>
      </c>
      <c r="V147" s="847">
        <v>1</v>
      </c>
      <c r="W147" s="847">
        <v>1</v>
      </c>
      <c r="X147" s="847">
        <v>1</v>
      </c>
      <c r="Y147" s="847">
        <v>1</v>
      </c>
      <c r="Z147" s="847">
        <v>1</v>
      </c>
      <c r="BO147" s="23"/>
    </row>
    <row r="148" spans="1:67" s="833" customFormat="1" hidden="1" x14ac:dyDescent="0.3">
      <c r="B148" s="841" t="str">
        <f>B147</f>
        <v>TRABJF00</v>
      </c>
      <c r="C148" s="841"/>
      <c r="D148" s="848"/>
      <c r="E148" s="841"/>
      <c r="F148" s="841"/>
      <c r="G148" s="841"/>
      <c r="H148" s="849">
        <f>$K$3</f>
        <v>2019</v>
      </c>
      <c r="I148" s="841"/>
      <c r="J148" s="850" t="s">
        <v>1064</v>
      </c>
      <c r="K148" s="850" t="s">
        <v>85</v>
      </c>
      <c r="L148" s="851"/>
      <c r="M148" s="851"/>
      <c r="N148" s="851"/>
      <c r="O148" s="851"/>
      <c r="P148" s="851"/>
      <c r="Q148" s="851"/>
      <c r="R148" s="851"/>
      <c r="S148" s="851"/>
      <c r="T148" s="851"/>
      <c r="U148" s="851"/>
      <c r="V148" s="851"/>
      <c r="W148" s="851"/>
      <c r="X148" s="851"/>
      <c r="Y148" s="851"/>
      <c r="Z148" s="851"/>
      <c r="BO148" s="23"/>
    </row>
    <row r="149" spans="1:67" s="833" customFormat="1" hidden="1" x14ac:dyDescent="0.3">
      <c r="B149" s="852" t="str">
        <f>B147</f>
        <v>TRABJF00</v>
      </c>
      <c r="C149" s="852"/>
      <c r="D149" s="853"/>
      <c r="E149" s="852"/>
      <c r="F149" s="852"/>
      <c r="G149" s="852"/>
      <c r="H149" s="854">
        <f>$K$5</f>
        <v>2050</v>
      </c>
      <c r="I149" s="841"/>
      <c r="J149" s="855" t="s">
        <v>1064</v>
      </c>
      <c r="K149" s="855" t="s">
        <v>85</v>
      </c>
      <c r="L149" s="856"/>
      <c r="M149" s="856"/>
      <c r="N149" s="856"/>
      <c r="O149" s="856"/>
      <c r="P149" s="856"/>
      <c r="Q149" s="856"/>
      <c r="R149" s="856"/>
      <c r="S149" s="856"/>
      <c r="T149" s="856"/>
      <c r="U149" s="856"/>
      <c r="V149" s="856"/>
      <c r="W149" s="856"/>
      <c r="X149" s="856"/>
      <c r="Y149" s="856"/>
      <c r="Z149" s="856"/>
      <c r="BO149" s="23"/>
    </row>
    <row r="150" spans="1:67" s="833" customFormat="1" hidden="1" x14ac:dyDescent="0.3">
      <c r="A150" s="840"/>
      <c r="B150" s="841" t="str">
        <f>C150</f>
        <v>TRADME00</v>
      </c>
      <c r="C150" s="841" t="s">
        <v>922</v>
      </c>
      <c r="D150" s="842" t="str">
        <f>CONCATENATE("Fuel Tech - ",LOOKUP(F150,TRA_Comm!$C$6:$C$28,TRA_Comm!$D$6:$D$28))</f>
        <v>Fuel Tech - Dimethyle Ether (TRA)</v>
      </c>
      <c r="E150" s="841" t="s">
        <v>1072</v>
      </c>
      <c r="F150" s="841" t="s">
        <v>999</v>
      </c>
      <c r="G150" s="843"/>
      <c r="H150" s="844"/>
      <c r="I150" s="845"/>
      <c r="J150" s="846" t="s">
        <v>1063</v>
      </c>
      <c r="K150" s="846"/>
      <c r="L150" s="847">
        <v>1</v>
      </c>
      <c r="M150" s="847">
        <v>1</v>
      </c>
      <c r="N150" s="847">
        <v>1</v>
      </c>
      <c r="O150" s="847">
        <v>1</v>
      </c>
      <c r="P150" s="847">
        <v>1</v>
      </c>
      <c r="Q150" s="847">
        <v>1</v>
      </c>
      <c r="R150" s="847">
        <v>1</v>
      </c>
      <c r="S150" s="847">
        <v>1</v>
      </c>
      <c r="T150" s="847">
        <v>1</v>
      </c>
      <c r="U150" s="847">
        <v>1</v>
      </c>
      <c r="V150" s="847">
        <v>1</v>
      </c>
      <c r="W150" s="847">
        <v>1</v>
      </c>
      <c r="X150" s="847">
        <v>1</v>
      </c>
      <c r="Y150" s="847">
        <v>1</v>
      </c>
      <c r="Z150" s="847">
        <v>1</v>
      </c>
      <c r="BO150" s="23"/>
    </row>
    <row r="151" spans="1:67" s="833" customFormat="1" hidden="1" x14ac:dyDescent="0.3">
      <c r="B151" s="841" t="str">
        <f>B150</f>
        <v>TRADME00</v>
      </c>
      <c r="C151" s="841"/>
      <c r="D151" s="848"/>
      <c r="E151" s="841"/>
      <c r="F151" s="841"/>
      <c r="G151" s="841"/>
      <c r="H151" s="849">
        <f>$K$3</f>
        <v>2019</v>
      </c>
      <c r="I151" s="841"/>
      <c r="J151" s="850" t="s">
        <v>1064</v>
      </c>
      <c r="K151" s="850" t="s">
        <v>85</v>
      </c>
      <c r="L151" s="851"/>
      <c r="M151" s="851"/>
      <c r="N151" s="851"/>
      <c r="O151" s="851"/>
      <c r="P151" s="851"/>
      <c r="Q151" s="851"/>
      <c r="R151" s="851"/>
      <c r="S151" s="851"/>
      <c r="T151" s="851"/>
      <c r="U151" s="851"/>
      <c r="V151" s="851"/>
      <c r="W151" s="851"/>
      <c r="X151" s="851"/>
      <c r="Y151" s="851"/>
      <c r="Z151" s="851"/>
      <c r="BO151" s="23"/>
    </row>
    <row r="152" spans="1:67" s="833" customFormat="1" hidden="1" x14ac:dyDescent="0.3">
      <c r="B152" s="852" t="str">
        <f>B150</f>
        <v>TRADME00</v>
      </c>
      <c r="C152" s="852"/>
      <c r="D152" s="853"/>
      <c r="E152" s="852"/>
      <c r="F152" s="852"/>
      <c r="G152" s="852"/>
      <c r="H152" s="854">
        <f>$K$5</f>
        <v>2050</v>
      </c>
      <c r="I152" s="841"/>
      <c r="J152" s="855" t="s">
        <v>1064</v>
      </c>
      <c r="K152" s="855" t="s">
        <v>85</v>
      </c>
      <c r="L152" s="856"/>
      <c r="M152" s="856"/>
      <c r="N152" s="856"/>
      <c r="O152" s="856"/>
      <c r="P152" s="856"/>
      <c r="Q152" s="856"/>
      <c r="R152" s="856"/>
      <c r="S152" s="856"/>
      <c r="T152" s="856"/>
      <c r="U152" s="856"/>
      <c r="V152" s="856"/>
      <c r="W152" s="856"/>
      <c r="X152" s="856"/>
      <c r="Y152" s="856"/>
      <c r="Z152" s="856"/>
      <c r="BO152" s="23"/>
    </row>
    <row r="153" spans="1:67" s="833" customFormat="1" hidden="1" x14ac:dyDescent="0.3">
      <c r="A153" s="840"/>
      <c r="B153" s="841" t="str">
        <f>C153</f>
        <v>TRAETH00</v>
      </c>
      <c r="C153" s="841" t="str">
        <f>CONCATENATE(F153,"00")</f>
        <v>TRAETH00</v>
      </c>
      <c r="D153" s="842" t="str">
        <f>CONCATENATE("Fuel Tech - ",LOOKUP(F153,TRA_Comm!$C$6:$C$28,TRA_Comm!$D$6:$D$28))</f>
        <v>Fuel Tech - Ethanol (TRA)</v>
      </c>
      <c r="E153" s="841" t="s">
        <v>1094</v>
      </c>
      <c r="F153" s="841" t="s">
        <v>1009</v>
      </c>
      <c r="G153" s="843"/>
      <c r="H153" s="844"/>
      <c r="I153" s="845"/>
      <c r="J153" s="846" t="s">
        <v>1063</v>
      </c>
      <c r="K153" s="846"/>
      <c r="L153" s="847">
        <v>1</v>
      </c>
      <c r="M153" s="847">
        <v>1</v>
      </c>
      <c r="N153" s="847">
        <v>1</v>
      </c>
      <c r="O153" s="847">
        <v>1</v>
      </c>
      <c r="P153" s="847">
        <v>1</v>
      </c>
      <c r="Q153" s="847">
        <v>1</v>
      </c>
      <c r="R153" s="847">
        <v>1</v>
      </c>
      <c r="S153" s="847">
        <v>1</v>
      </c>
      <c r="T153" s="847">
        <v>1</v>
      </c>
      <c r="U153" s="847">
        <v>1</v>
      </c>
      <c r="V153" s="847">
        <v>1</v>
      </c>
      <c r="W153" s="847">
        <v>1</v>
      </c>
      <c r="X153" s="847">
        <v>1</v>
      </c>
      <c r="Y153" s="847">
        <v>1</v>
      </c>
      <c r="Z153" s="847">
        <v>1</v>
      </c>
      <c r="BO153" s="23"/>
    </row>
    <row r="154" spans="1:67" s="833" customFormat="1" hidden="1" x14ac:dyDescent="0.3">
      <c r="B154" s="841" t="str">
        <f>B153</f>
        <v>TRAETH00</v>
      </c>
      <c r="C154" s="841"/>
      <c r="D154" s="848"/>
      <c r="E154" s="841"/>
      <c r="F154" s="841" t="s">
        <v>1011</v>
      </c>
      <c r="G154" s="841"/>
      <c r="H154" s="849">
        <f>$K$3</f>
        <v>2019</v>
      </c>
      <c r="I154" s="841"/>
      <c r="J154" s="850" t="s">
        <v>1064</v>
      </c>
      <c r="K154" s="850" t="s">
        <v>85</v>
      </c>
      <c r="L154" s="851"/>
      <c r="M154" s="851"/>
      <c r="N154" s="851"/>
      <c r="O154" s="851"/>
      <c r="P154" s="851"/>
      <c r="Q154" s="851"/>
      <c r="R154" s="851"/>
      <c r="S154" s="851"/>
      <c r="T154" s="851"/>
      <c r="U154" s="851"/>
      <c r="V154" s="851"/>
      <c r="W154" s="851"/>
      <c r="X154" s="851"/>
      <c r="Y154" s="851"/>
      <c r="Z154" s="851"/>
      <c r="BO154" s="23"/>
    </row>
    <row r="155" spans="1:67" s="833" customFormat="1" hidden="1" x14ac:dyDescent="0.3">
      <c r="B155" s="852" t="str">
        <f>B153</f>
        <v>TRAETH00</v>
      </c>
      <c r="C155" s="852"/>
      <c r="D155" s="853"/>
      <c r="E155" s="852"/>
      <c r="F155" s="852"/>
      <c r="G155" s="852"/>
      <c r="H155" s="854">
        <f>$K$5</f>
        <v>2050</v>
      </c>
      <c r="I155" s="841"/>
      <c r="J155" s="855" t="s">
        <v>1064</v>
      </c>
      <c r="K155" s="855" t="s">
        <v>85</v>
      </c>
      <c r="L155" s="856"/>
      <c r="M155" s="856"/>
      <c r="N155" s="856"/>
      <c r="O155" s="856"/>
      <c r="P155" s="856"/>
      <c r="Q155" s="856"/>
      <c r="R155" s="856"/>
      <c r="S155" s="856"/>
      <c r="T155" s="856"/>
      <c r="U155" s="856"/>
      <c r="V155" s="856"/>
      <c r="W155" s="856"/>
      <c r="X155" s="856"/>
      <c r="Y155" s="856"/>
      <c r="Z155" s="856"/>
      <c r="BO155" s="23"/>
    </row>
    <row r="156" spans="1:67" s="833" customFormat="1" hidden="1" x14ac:dyDescent="0.3">
      <c r="A156" s="840"/>
      <c r="B156" s="841" t="str">
        <f>C156</f>
        <v>TRAH2G00</v>
      </c>
      <c r="C156" s="841" t="str">
        <f>CONCATENATE(F156,"00")</f>
        <v>TRAH2G00</v>
      </c>
      <c r="D156" s="842" t="str">
        <f>CONCATENATE("Fuel Tech - ",LOOKUP(F156,TRA_Comm!$C$6:$C$28,TRA_Comm!$D$6:$D$28))</f>
        <v>Fuel Tech - H2 (gaseous) (TRA)</v>
      </c>
      <c r="E156" s="841" t="s">
        <v>1082</v>
      </c>
      <c r="F156" s="841" t="s">
        <v>1015</v>
      </c>
      <c r="G156" s="843"/>
      <c r="H156" s="844"/>
      <c r="I156" s="843"/>
      <c r="J156" s="846" t="s">
        <v>1063</v>
      </c>
      <c r="K156" s="846"/>
      <c r="L156" s="847">
        <v>1</v>
      </c>
      <c r="M156" s="847">
        <v>1</v>
      </c>
      <c r="N156" s="847">
        <v>1</v>
      </c>
      <c r="O156" s="847">
        <v>1</v>
      </c>
      <c r="P156" s="847">
        <v>1</v>
      </c>
      <c r="Q156" s="847">
        <v>1</v>
      </c>
      <c r="R156" s="847">
        <v>1</v>
      </c>
      <c r="S156" s="847">
        <v>1</v>
      </c>
      <c r="T156" s="847">
        <v>1</v>
      </c>
      <c r="U156" s="847">
        <v>1</v>
      </c>
      <c r="V156" s="847">
        <v>1</v>
      </c>
      <c r="W156" s="847">
        <v>1</v>
      </c>
      <c r="X156" s="847">
        <v>1</v>
      </c>
      <c r="Y156" s="847">
        <v>1</v>
      </c>
      <c r="Z156" s="847">
        <v>1</v>
      </c>
      <c r="BO156" s="23"/>
    </row>
    <row r="157" spans="1:67" s="833" customFormat="1" hidden="1" x14ac:dyDescent="0.3">
      <c r="B157" s="841" t="str">
        <f>B156</f>
        <v>TRAH2G00</v>
      </c>
      <c r="C157" s="841"/>
      <c r="D157" s="842"/>
      <c r="E157" s="841"/>
      <c r="F157" s="841"/>
      <c r="G157" s="841"/>
      <c r="H157" s="849">
        <f>$K$3</f>
        <v>2019</v>
      </c>
      <c r="I157" s="841"/>
      <c r="J157" s="850" t="s">
        <v>1064</v>
      </c>
      <c r="K157" s="850" t="s">
        <v>85</v>
      </c>
      <c r="L157" s="851"/>
      <c r="M157" s="851"/>
      <c r="N157" s="851"/>
      <c r="O157" s="851"/>
      <c r="P157" s="851"/>
      <c r="Q157" s="851"/>
      <c r="R157" s="851"/>
      <c r="S157" s="851"/>
      <c r="T157" s="851"/>
      <c r="U157" s="851"/>
      <c r="V157" s="851"/>
      <c r="W157" s="851"/>
      <c r="X157" s="851"/>
      <c r="Y157" s="851"/>
      <c r="Z157" s="851"/>
      <c r="BO157" s="23"/>
    </row>
    <row r="158" spans="1:67" s="833" customFormat="1" hidden="1" x14ac:dyDescent="0.3">
      <c r="B158" s="852" t="str">
        <f>B157</f>
        <v>TRAH2G00</v>
      </c>
      <c r="C158" s="852"/>
      <c r="D158" s="857"/>
      <c r="E158" s="852"/>
      <c r="F158" s="852"/>
      <c r="G158" s="852"/>
      <c r="H158" s="854">
        <f>$K$5</f>
        <v>2050</v>
      </c>
      <c r="I158" s="852"/>
      <c r="J158" s="855" t="s">
        <v>1064</v>
      </c>
      <c r="K158" s="855" t="s">
        <v>85</v>
      </c>
      <c r="L158" s="856"/>
      <c r="M158" s="856"/>
      <c r="N158" s="856"/>
      <c r="O158" s="856"/>
      <c r="P158" s="856"/>
      <c r="Q158" s="856"/>
      <c r="R158" s="856"/>
      <c r="S158" s="856"/>
      <c r="T158" s="856"/>
      <c r="U158" s="856"/>
      <c r="V158" s="856"/>
      <c r="W158" s="856"/>
      <c r="X158" s="856"/>
      <c r="Y158" s="856"/>
      <c r="Z158" s="856"/>
      <c r="BO158" s="23"/>
    </row>
    <row r="159" spans="1:67" s="833" customFormat="1" hidden="1" x14ac:dyDescent="0.3">
      <c r="A159" s="840"/>
      <c r="B159" s="841" t="str">
        <f>C159</f>
        <v>TRANGS00</v>
      </c>
      <c r="C159" s="841" t="str">
        <f>CONCATENATE(F159,"00")</f>
        <v>TRANGS00</v>
      </c>
      <c r="D159" s="842" t="str">
        <f>CONCATENATE("Fuel Tech - ",LOOKUP(F159,TRA_Comm!$C$6:$C$28,TRA_Comm!$D$6:$D$28))</f>
        <v>Fuel Tech - Natural Gas (TRA)</v>
      </c>
      <c r="E159" s="841" t="s">
        <v>1083</v>
      </c>
      <c r="F159" s="841" t="s">
        <v>1038</v>
      </c>
      <c r="G159" s="858"/>
      <c r="H159" s="849"/>
      <c r="I159" s="858"/>
      <c r="J159" s="858" t="s">
        <v>1063</v>
      </c>
      <c r="K159" s="858"/>
      <c r="L159" s="847">
        <v>1</v>
      </c>
      <c r="M159" s="847">
        <v>1</v>
      </c>
      <c r="N159" s="847">
        <v>1</v>
      </c>
      <c r="O159" s="847">
        <v>1</v>
      </c>
      <c r="P159" s="847">
        <v>1</v>
      </c>
      <c r="Q159" s="847">
        <v>1</v>
      </c>
      <c r="R159" s="847">
        <v>1</v>
      </c>
      <c r="S159" s="847">
        <v>1</v>
      </c>
      <c r="T159" s="847">
        <v>1</v>
      </c>
      <c r="U159" s="847">
        <v>1</v>
      </c>
      <c r="V159" s="847">
        <v>1</v>
      </c>
      <c r="W159" s="847">
        <v>1</v>
      </c>
      <c r="X159" s="847">
        <v>1</v>
      </c>
      <c r="Y159" s="847">
        <v>1</v>
      </c>
      <c r="Z159" s="847">
        <v>1</v>
      </c>
      <c r="BO159" s="23"/>
    </row>
    <row r="160" spans="1:67" s="833" customFormat="1" hidden="1" x14ac:dyDescent="0.3">
      <c r="B160" s="841" t="str">
        <f>B159</f>
        <v>TRANGS00</v>
      </c>
      <c r="C160" s="841"/>
      <c r="D160" s="848"/>
      <c r="E160" s="841"/>
      <c r="F160" s="841"/>
      <c r="G160" s="841"/>
      <c r="H160" s="849">
        <f>$K$3</f>
        <v>2019</v>
      </c>
      <c r="I160" s="841"/>
      <c r="J160" s="850" t="s">
        <v>1064</v>
      </c>
      <c r="K160" s="850" t="s">
        <v>85</v>
      </c>
      <c r="L160" s="851"/>
      <c r="M160" s="851"/>
      <c r="N160" s="851"/>
      <c r="O160" s="851"/>
      <c r="P160" s="851"/>
      <c r="Q160" s="851"/>
      <c r="R160" s="851"/>
      <c r="S160" s="851"/>
      <c r="T160" s="851"/>
      <c r="U160" s="851"/>
      <c r="V160" s="851"/>
      <c r="W160" s="851"/>
      <c r="X160" s="851"/>
      <c r="Y160" s="851"/>
      <c r="Z160" s="851"/>
      <c r="BO160" s="23"/>
    </row>
    <row r="161" spans="1:67" s="833" customFormat="1" hidden="1" x14ac:dyDescent="0.3">
      <c r="B161" s="852" t="str">
        <f>B160</f>
        <v>TRANGS00</v>
      </c>
      <c r="C161" s="852"/>
      <c r="D161" s="853"/>
      <c r="E161" s="852"/>
      <c r="F161" s="852"/>
      <c r="G161" s="852"/>
      <c r="H161" s="854">
        <f>$K$5</f>
        <v>2050</v>
      </c>
      <c r="I161" s="841"/>
      <c r="J161" s="855" t="s">
        <v>1064</v>
      </c>
      <c r="K161" s="855" t="s">
        <v>85</v>
      </c>
      <c r="L161" s="856"/>
      <c r="M161" s="856"/>
      <c r="N161" s="856"/>
      <c r="O161" s="856"/>
      <c r="P161" s="856"/>
      <c r="Q161" s="856"/>
      <c r="R161" s="856"/>
      <c r="S161" s="856"/>
      <c r="T161" s="856"/>
      <c r="U161" s="856"/>
      <c r="V161" s="856"/>
      <c r="W161" s="856"/>
      <c r="X161" s="856"/>
      <c r="Y161" s="856"/>
      <c r="Z161" s="856"/>
      <c r="BO161" s="23"/>
    </row>
    <row r="162" spans="1:67" s="833" customFormat="1" hidden="1" x14ac:dyDescent="0.3">
      <c r="A162" s="840"/>
      <c r="B162" s="841" t="str">
        <f>C162</f>
        <v>TRAHUM00</v>
      </c>
      <c r="C162" s="841" t="str">
        <f>CONCATENATE(F162,"00")</f>
        <v>TRAHUM00</v>
      </c>
      <c r="D162" s="842" t="str">
        <f>CONCATENATE("Fuel Tech - ",LOOKUP(F162,TRA_Comm!$C$6:$C$28,TRA_Comm!$D$6:$D$28))</f>
        <v>Fuel Tech - Human power</v>
      </c>
      <c r="E162" s="841" t="s">
        <v>1084</v>
      </c>
      <c r="F162" s="841" t="s">
        <v>680</v>
      </c>
      <c r="G162" s="843"/>
      <c r="H162" s="844"/>
      <c r="I162" s="845"/>
      <c r="J162" s="846" t="s">
        <v>1063</v>
      </c>
      <c r="K162" s="846"/>
      <c r="L162" s="847">
        <v>1</v>
      </c>
      <c r="M162" s="847">
        <v>1</v>
      </c>
      <c r="N162" s="847">
        <v>1</v>
      </c>
      <c r="O162" s="847">
        <v>1</v>
      </c>
      <c r="P162" s="847">
        <v>1</v>
      </c>
      <c r="Q162" s="847">
        <v>1</v>
      </c>
      <c r="R162" s="847">
        <v>1</v>
      </c>
      <c r="S162" s="847">
        <v>1</v>
      </c>
      <c r="T162" s="847">
        <v>1</v>
      </c>
      <c r="U162" s="847">
        <v>1</v>
      </c>
      <c r="V162" s="847">
        <v>1</v>
      </c>
      <c r="W162" s="847">
        <v>1</v>
      </c>
      <c r="X162" s="847">
        <v>1</v>
      </c>
      <c r="Y162" s="847">
        <v>1</v>
      </c>
      <c r="Z162" s="847">
        <v>1</v>
      </c>
      <c r="AC162" s="833" t="s">
        <v>1086</v>
      </c>
      <c r="BO162" s="23"/>
    </row>
    <row r="163" spans="1:67" s="833" customFormat="1" hidden="1" x14ac:dyDescent="0.3">
      <c r="B163" s="841" t="str">
        <f>B162</f>
        <v>TRAHUM00</v>
      </c>
      <c r="C163" s="841"/>
      <c r="D163" s="848"/>
      <c r="E163" s="841"/>
      <c r="F163" s="841"/>
      <c r="G163" s="841"/>
      <c r="H163" s="849">
        <f>$K$3</f>
        <v>2019</v>
      </c>
      <c r="I163" s="841"/>
      <c r="J163" s="850" t="s">
        <v>1064</v>
      </c>
      <c r="K163" s="850" t="s">
        <v>85</v>
      </c>
      <c r="L163" s="851"/>
      <c r="M163" s="851"/>
      <c r="N163" s="851"/>
      <c r="O163" s="851"/>
      <c r="P163" s="851"/>
      <c r="Q163" s="851"/>
      <c r="R163" s="851"/>
      <c r="S163" s="851"/>
      <c r="T163" s="851"/>
      <c r="U163" s="851"/>
      <c r="V163" s="851"/>
      <c r="W163" s="851"/>
      <c r="X163" s="851"/>
      <c r="Y163" s="851"/>
      <c r="Z163" s="851"/>
      <c r="BO163" s="23"/>
    </row>
    <row r="164" spans="1:67" s="833" customFormat="1" hidden="1" x14ac:dyDescent="0.3">
      <c r="B164" s="852" t="str">
        <f>B163</f>
        <v>TRAHUM00</v>
      </c>
      <c r="C164" s="852"/>
      <c r="D164" s="853"/>
      <c r="E164" s="852"/>
      <c r="F164" s="852"/>
      <c r="G164" s="852"/>
      <c r="H164" s="854">
        <f>$K$5</f>
        <v>2050</v>
      </c>
      <c r="I164" s="841"/>
      <c r="J164" s="855" t="s">
        <v>1064</v>
      </c>
      <c r="K164" s="855" t="s">
        <v>85</v>
      </c>
      <c r="L164" s="856"/>
      <c r="M164" s="856"/>
      <c r="N164" s="856"/>
      <c r="O164" s="856"/>
      <c r="P164" s="856"/>
      <c r="Q164" s="856"/>
      <c r="R164" s="856"/>
      <c r="S164" s="856"/>
      <c r="T164" s="856"/>
      <c r="U164" s="856"/>
      <c r="V164" s="856"/>
      <c r="W164" s="856"/>
      <c r="X164" s="856"/>
      <c r="Y164" s="856"/>
      <c r="Z164" s="856"/>
      <c r="BO164" s="23"/>
    </row>
    <row r="165" spans="1:67" s="833" customFormat="1" hidden="1" x14ac:dyDescent="0.3">
      <c r="B165" s="859" t="str">
        <f>C165</f>
        <v>TRADST00</v>
      </c>
      <c r="C165" s="841" t="str">
        <f>CONCATENATE(F165,"00")</f>
        <v>TRADST00</v>
      </c>
      <c r="D165" s="842" t="str">
        <f>CONCATENATE("Fuel Tech - ",LOOKUP(F165,TRA_Comm!$C$6:$C$28,TRA_Comm!$D$6:$D$28))</f>
        <v>Fuel Tech - Diesel (TRA)</v>
      </c>
      <c r="E165" s="841" t="s">
        <v>1085</v>
      </c>
      <c r="F165" s="841" t="s">
        <v>185</v>
      </c>
      <c r="G165" s="841"/>
      <c r="H165" s="844"/>
      <c r="I165" s="845"/>
      <c r="J165" s="846" t="s">
        <v>1063</v>
      </c>
      <c r="K165" s="846"/>
      <c r="L165" s="847">
        <v>1</v>
      </c>
      <c r="M165" s="847">
        <v>1</v>
      </c>
      <c r="N165" s="847">
        <v>1</v>
      </c>
      <c r="O165" s="847">
        <v>1</v>
      </c>
      <c r="P165" s="847">
        <v>1</v>
      </c>
      <c r="Q165" s="847">
        <v>1</v>
      </c>
      <c r="R165" s="847">
        <v>1</v>
      </c>
      <c r="S165" s="847">
        <v>1</v>
      </c>
      <c r="T165" s="847">
        <v>1</v>
      </c>
      <c r="U165" s="847">
        <v>1</v>
      </c>
      <c r="V165" s="847">
        <v>1</v>
      </c>
      <c r="W165" s="847">
        <v>1</v>
      </c>
      <c r="X165" s="847">
        <v>1</v>
      </c>
      <c r="Y165" s="847">
        <v>1</v>
      </c>
      <c r="Z165" s="847">
        <v>1</v>
      </c>
      <c r="BO165" s="23"/>
    </row>
    <row r="166" spans="1:67" s="833" customFormat="1" hidden="1" x14ac:dyDescent="0.3">
      <c r="B166" s="841" t="str">
        <f>B165</f>
        <v>TRADST00</v>
      </c>
      <c r="C166" s="841"/>
      <c r="D166" s="848"/>
      <c r="E166" s="841"/>
      <c r="F166" s="841"/>
      <c r="G166" s="841"/>
      <c r="H166" s="849">
        <f>$K$3</f>
        <v>2019</v>
      </c>
      <c r="I166" s="841"/>
      <c r="J166" s="850" t="s">
        <v>1064</v>
      </c>
      <c r="K166" s="850" t="s">
        <v>85</v>
      </c>
      <c r="L166" s="851"/>
      <c r="M166" s="851"/>
      <c r="N166" s="851"/>
      <c r="O166" s="851"/>
      <c r="P166" s="851"/>
      <c r="Q166" s="851"/>
      <c r="R166" s="851"/>
      <c r="S166" s="851"/>
      <c r="T166" s="851"/>
      <c r="U166" s="851"/>
      <c r="V166" s="851"/>
      <c r="W166" s="851"/>
      <c r="X166" s="851"/>
      <c r="Y166" s="851"/>
      <c r="Z166" s="851"/>
      <c r="BO166" s="23"/>
    </row>
    <row r="167" spans="1:67" s="833" customFormat="1" hidden="1" x14ac:dyDescent="0.3">
      <c r="B167" s="852" t="str">
        <f>B165</f>
        <v>TRADST00</v>
      </c>
      <c r="C167" s="852"/>
      <c r="D167" s="853"/>
      <c r="E167" s="852"/>
      <c r="F167" s="852"/>
      <c r="G167" s="852"/>
      <c r="H167" s="854">
        <f>$K$5</f>
        <v>2050</v>
      </c>
      <c r="I167" s="841"/>
      <c r="J167" s="855" t="s">
        <v>1064</v>
      </c>
      <c r="K167" s="855" t="s">
        <v>85</v>
      </c>
      <c r="L167" s="856"/>
      <c r="M167" s="856"/>
      <c r="N167" s="856"/>
      <c r="O167" s="856"/>
      <c r="P167" s="856"/>
      <c r="Q167" s="856"/>
      <c r="R167" s="856"/>
      <c r="S167" s="856"/>
      <c r="T167" s="856"/>
      <c r="U167" s="856"/>
      <c r="V167" s="856"/>
      <c r="W167" s="856"/>
      <c r="X167" s="856"/>
      <c r="Y167" s="856"/>
      <c r="Z167" s="856"/>
      <c r="BO167" s="23"/>
    </row>
    <row r="168" spans="1:67" s="833" customFormat="1" hidden="1" x14ac:dyDescent="0.3">
      <c r="A168" s="840"/>
      <c r="B168" s="841" t="str">
        <f>C168</f>
        <v>TRAGSL00</v>
      </c>
      <c r="C168" s="841" t="str">
        <f>CONCATENATE(F168,"00")</f>
        <v>TRAGSL00</v>
      </c>
      <c r="D168" s="842" t="str">
        <f>CONCATENATE("Fuel Tech - ",LOOKUP(F168,TRA_Comm!$C$6:$C$28,TRA_Comm!$D$6:$D$28))</f>
        <v>Fuel Tech - Gasoline (TRA)</v>
      </c>
      <c r="E168" s="841" t="s">
        <v>1087</v>
      </c>
      <c r="F168" s="841" t="s">
        <v>1013</v>
      </c>
      <c r="G168" s="843"/>
      <c r="H168" s="844"/>
      <c r="I168" s="845"/>
      <c r="J168" s="846" t="s">
        <v>1063</v>
      </c>
      <c r="K168" s="846"/>
      <c r="L168" s="847">
        <v>1</v>
      </c>
      <c r="M168" s="847">
        <v>1</v>
      </c>
      <c r="N168" s="847">
        <v>1</v>
      </c>
      <c r="O168" s="847">
        <v>1</v>
      </c>
      <c r="P168" s="847">
        <v>1</v>
      </c>
      <c r="Q168" s="847">
        <v>1</v>
      </c>
      <c r="R168" s="847">
        <v>1</v>
      </c>
      <c r="S168" s="847">
        <v>1</v>
      </c>
      <c r="T168" s="847">
        <v>1</v>
      </c>
      <c r="U168" s="847">
        <v>1</v>
      </c>
      <c r="V168" s="847">
        <v>1</v>
      </c>
      <c r="W168" s="847">
        <v>1</v>
      </c>
      <c r="X168" s="847">
        <v>1</v>
      </c>
      <c r="Y168" s="847">
        <v>1</v>
      </c>
      <c r="Z168" s="847">
        <v>1</v>
      </c>
      <c r="BO168" s="23"/>
    </row>
    <row r="169" spans="1:67" s="833" customFormat="1" hidden="1" x14ac:dyDescent="0.3">
      <c r="B169" s="841" t="str">
        <f>B168</f>
        <v>TRAGSL00</v>
      </c>
      <c r="C169" s="841"/>
      <c r="D169" s="848"/>
      <c r="E169" s="841"/>
      <c r="F169" s="841"/>
      <c r="G169" s="841"/>
      <c r="H169" s="849">
        <f>$K$3</f>
        <v>2019</v>
      </c>
      <c r="I169" s="841"/>
      <c r="J169" s="850" t="s">
        <v>1064</v>
      </c>
      <c r="K169" s="850" t="s">
        <v>85</v>
      </c>
      <c r="L169" s="851"/>
      <c r="M169" s="851"/>
      <c r="N169" s="851"/>
      <c r="O169" s="851"/>
      <c r="P169" s="851"/>
      <c r="Q169" s="851"/>
      <c r="R169" s="851"/>
      <c r="S169" s="851"/>
      <c r="T169" s="851"/>
      <c r="U169" s="851"/>
      <c r="V169" s="851"/>
      <c r="W169" s="851"/>
      <c r="X169" s="851"/>
      <c r="Y169" s="851"/>
      <c r="Z169" s="851"/>
      <c r="BO169" s="23"/>
    </row>
    <row r="170" spans="1:67" s="833" customFormat="1" hidden="1" x14ac:dyDescent="0.3">
      <c r="B170" s="852" t="str">
        <f>B168</f>
        <v>TRAGSL00</v>
      </c>
      <c r="C170" s="852"/>
      <c r="D170" s="853"/>
      <c r="E170" s="852"/>
      <c r="F170" s="852"/>
      <c r="G170" s="852"/>
      <c r="H170" s="854">
        <f>$K$5</f>
        <v>2050</v>
      </c>
      <c r="I170" s="841"/>
      <c r="J170" s="855" t="s">
        <v>1064</v>
      </c>
      <c r="K170" s="855" t="s">
        <v>85</v>
      </c>
      <c r="L170" s="856"/>
      <c r="M170" s="856"/>
      <c r="N170" s="856"/>
      <c r="O170" s="856"/>
      <c r="P170" s="856"/>
      <c r="Q170" s="856"/>
      <c r="R170" s="856"/>
      <c r="S170" s="856"/>
      <c r="T170" s="856"/>
      <c r="U170" s="856"/>
      <c r="V170" s="856"/>
      <c r="W170" s="856"/>
      <c r="X170" s="856"/>
      <c r="Y170" s="856"/>
      <c r="Z170" s="856"/>
      <c r="BO170" s="23"/>
    </row>
    <row r="171" spans="1:67" s="833" customFormat="1" hidden="1" x14ac:dyDescent="0.3">
      <c r="A171" s="840"/>
      <c r="B171" s="841" t="str">
        <f>C171</f>
        <v>TRAKER00</v>
      </c>
      <c r="C171" s="841" t="str">
        <f>CONCATENATE(F171,"00")</f>
        <v>TRAKER00</v>
      </c>
      <c r="D171" s="842" t="str">
        <f>CONCATENATE("Fuel Tech - ",LOOKUP(F171,TRA_Comm!$C$6:$C$28,TRA_Comm!$D$6:$D$28))</f>
        <v>Fuel Tech - Kerosene - Jet Fuels (TRA)</v>
      </c>
      <c r="E171" s="841" t="s">
        <v>1088</v>
      </c>
      <c r="F171" s="841" t="s">
        <v>1028</v>
      </c>
      <c r="G171" s="843"/>
      <c r="H171" s="844"/>
      <c r="I171" s="845"/>
      <c r="J171" s="846" t="s">
        <v>1063</v>
      </c>
      <c r="K171" s="846"/>
      <c r="L171" s="847">
        <v>1</v>
      </c>
      <c r="M171" s="847">
        <v>1</v>
      </c>
      <c r="N171" s="847">
        <v>1</v>
      </c>
      <c r="O171" s="847">
        <v>1</v>
      </c>
      <c r="P171" s="847">
        <v>1</v>
      </c>
      <c r="Q171" s="847">
        <v>1</v>
      </c>
      <c r="R171" s="847">
        <v>1</v>
      </c>
      <c r="S171" s="847">
        <v>1</v>
      </c>
      <c r="T171" s="847">
        <v>1</v>
      </c>
      <c r="U171" s="847">
        <v>1</v>
      </c>
      <c r="V171" s="847">
        <v>1</v>
      </c>
      <c r="W171" s="847">
        <v>1</v>
      </c>
      <c r="X171" s="847">
        <v>1</v>
      </c>
      <c r="Y171" s="847">
        <v>1</v>
      </c>
      <c r="Z171" s="847">
        <v>1</v>
      </c>
      <c r="BO171" s="23"/>
    </row>
    <row r="172" spans="1:67" s="833" customFormat="1" hidden="1" x14ac:dyDescent="0.3">
      <c r="B172" s="841" t="str">
        <f>B171</f>
        <v>TRAKER00</v>
      </c>
      <c r="C172" s="841"/>
      <c r="D172" s="848"/>
      <c r="E172" s="841"/>
      <c r="F172" s="841"/>
      <c r="G172" s="841"/>
      <c r="H172" s="849">
        <f>$K$3</f>
        <v>2019</v>
      </c>
      <c r="I172" s="841"/>
      <c r="J172" s="850" t="s">
        <v>1064</v>
      </c>
      <c r="K172" s="850" t="s">
        <v>85</v>
      </c>
      <c r="L172" s="851"/>
      <c r="M172" s="851"/>
      <c r="N172" s="851"/>
      <c r="O172" s="851"/>
      <c r="P172" s="851"/>
      <c r="Q172" s="851"/>
      <c r="R172" s="851"/>
      <c r="S172" s="851"/>
      <c r="T172" s="851"/>
      <c r="U172" s="851"/>
      <c r="V172" s="851"/>
      <c r="W172" s="851"/>
      <c r="X172" s="851"/>
      <c r="Y172" s="851"/>
      <c r="Z172" s="851"/>
      <c r="BO172" s="23"/>
    </row>
    <row r="173" spans="1:67" s="833" customFormat="1" hidden="1" x14ac:dyDescent="0.3">
      <c r="B173" s="852" t="str">
        <f>B172</f>
        <v>TRAKER00</v>
      </c>
      <c r="C173" s="852"/>
      <c r="D173" s="853"/>
      <c r="E173" s="852"/>
      <c r="F173" s="852"/>
      <c r="G173" s="852"/>
      <c r="H173" s="854">
        <f>$K$5</f>
        <v>2050</v>
      </c>
      <c r="I173" s="841"/>
      <c r="J173" s="855" t="s">
        <v>1064</v>
      </c>
      <c r="K173" s="855" t="s">
        <v>85</v>
      </c>
      <c r="L173" s="856"/>
      <c r="M173" s="856"/>
      <c r="N173" s="856"/>
      <c r="O173" s="856"/>
      <c r="P173" s="856"/>
      <c r="Q173" s="856"/>
      <c r="R173" s="856"/>
      <c r="S173" s="856"/>
      <c r="T173" s="856"/>
      <c r="U173" s="856"/>
      <c r="V173" s="856"/>
      <c r="W173" s="856"/>
      <c r="X173" s="856"/>
      <c r="Y173" s="856"/>
      <c r="Z173" s="856"/>
      <c r="BO173" s="23"/>
    </row>
    <row r="174" spans="1:67" s="833" customFormat="1" hidden="1" x14ac:dyDescent="0.3">
      <c r="A174" s="840"/>
      <c r="B174" s="841" t="str">
        <f>C174</f>
        <v>TRAHFO00</v>
      </c>
      <c r="C174" s="841" t="str">
        <f>CONCATENATE(F174,"00")</f>
        <v>TRAHFO00</v>
      </c>
      <c r="D174" s="842" t="str">
        <f>CONCATENATE("Fuel Tech - ",LOOKUP(F174,TRA_Comm!$C$6:$C$28,TRA_Comm!$D$6:$D$28))</f>
        <v>Fuel Tech - Heavy Fuel Oil (TRA)</v>
      </c>
      <c r="E174" s="841" t="s">
        <v>1089</v>
      </c>
      <c r="F174" s="841" t="s">
        <v>1022</v>
      </c>
      <c r="G174" s="843"/>
      <c r="H174" s="844"/>
      <c r="I174" s="845"/>
      <c r="J174" s="846" t="s">
        <v>1063</v>
      </c>
      <c r="K174" s="846"/>
      <c r="L174" s="847">
        <v>1</v>
      </c>
      <c r="M174" s="847">
        <v>1</v>
      </c>
      <c r="N174" s="847">
        <v>1</v>
      </c>
      <c r="O174" s="847">
        <v>1</v>
      </c>
      <c r="P174" s="847">
        <v>1</v>
      </c>
      <c r="Q174" s="847">
        <v>1</v>
      </c>
      <c r="R174" s="847">
        <v>1</v>
      </c>
      <c r="S174" s="847">
        <v>1</v>
      </c>
      <c r="T174" s="847">
        <v>1</v>
      </c>
      <c r="U174" s="847">
        <v>1</v>
      </c>
      <c r="V174" s="847">
        <v>1</v>
      </c>
      <c r="W174" s="847">
        <v>1</v>
      </c>
      <c r="X174" s="847">
        <v>1</v>
      </c>
      <c r="Y174" s="847">
        <v>1</v>
      </c>
      <c r="Z174" s="847">
        <v>1</v>
      </c>
      <c r="BO174" s="23"/>
    </row>
    <row r="175" spans="1:67" s="833" customFormat="1" hidden="1" x14ac:dyDescent="0.3">
      <c r="B175" s="841" t="str">
        <f>B174</f>
        <v>TRAHFO00</v>
      </c>
      <c r="C175" s="841"/>
      <c r="D175" s="848"/>
      <c r="E175" s="841"/>
      <c r="F175" s="841"/>
      <c r="G175" s="841"/>
      <c r="H175" s="849">
        <f>$K$3</f>
        <v>2019</v>
      </c>
      <c r="I175" s="841"/>
      <c r="J175" s="850" t="s">
        <v>1064</v>
      </c>
      <c r="K175" s="850" t="s">
        <v>85</v>
      </c>
      <c r="L175" s="851"/>
      <c r="M175" s="851"/>
      <c r="N175" s="851"/>
      <c r="O175" s="851"/>
      <c r="P175" s="851"/>
      <c r="Q175" s="851"/>
      <c r="R175" s="851"/>
      <c r="S175" s="851"/>
      <c r="T175" s="851"/>
      <c r="U175" s="851"/>
      <c r="V175" s="851"/>
      <c r="W175" s="851"/>
      <c r="X175" s="851"/>
      <c r="Y175" s="851"/>
      <c r="Z175" s="851"/>
      <c r="BO175" s="23"/>
    </row>
    <row r="176" spans="1:67" s="833" customFormat="1" hidden="1" x14ac:dyDescent="0.3">
      <c r="B176" s="852" t="str">
        <f>B175</f>
        <v>TRAHFO00</v>
      </c>
      <c r="C176" s="852"/>
      <c r="D176" s="853"/>
      <c r="E176" s="852"/>
      <c r="F176" s="852"/>
      <c r="G176" s="852"/>
      <c r="H176" s="854">
        <f>$K$5</f>
        <v>2050</v>
      </c>
      <c r="I176" s="841"/>
      <c r="J176" s="855" t="s">
        <v>1064</v>
      </c>
      <c r="K176" s="855" t="s">
        <v>85</v>
      </c>
      <c r="L176" s="856"/>
      <c r="M176" s="856"/>
      <c r="N176" s="856"/>
      <c r="O176" s="856"/>
      <c r="P176" s="856"/>
      <c r="Q176" s="856"/>
      <c r="R176" s="856"/>
      <c r="S176" s="856"/>
      <c r="T176" s="856"/>
      <c r="U176" s="856"/>
      <c r="V176" s="856"/>
      <c r="W176" s="856"/>
      <c r="X176" s="856"/>
      <c r="Y176" s="856"/>
      <c r="Z176" s="856"/>
      <c r="BO176" s="23"/>
    </row>
    <row r="177" spans="1:67" s="833" customFormat="1" hidden="1" x14ac:dyDescent="0.3">
      <c r="A177" s="840"/>
      <c r="B177" s="841" t="str">
        <f>C177</f>
        <v>TRALFO00</v>
      </c>
      <c r="C177" s="841" t="str">
        <f>CONCATENATE(F177,"00")</f>
        <v>TRALFO00</v>
      </c>
      <c r="D177" s="842" t="str">
        <f>CONCATENATE("Fuel Tech - ",LOOKUP(F177,TRA_Comm!$C$6:$C$28,TRA_Comm!$D$6:$D$28))</f>
        <v>Fuel Tech - Light Fuel Oil (TRA)</v>
      </c>
      <c r="E177" s="841" t="s">
        <v>1090</v>
      </c>
      <c r="F177" s="841" t="s">
        <v>1030</v>
      </c>
      <c r="G177" s="843"/>
      <c r="H177" s="844"/>
      <c r="I177" s="845"/>
      <c r="J177" s="846" t="s">
        <v>1063</v>
      </c>
      <c r="K177" s="846"/>
      <c r="L177" s="847">
        <v>1</v>
      </c>
      <c r="M177" s="847">
        <v>1</v>
      </c>
      <c r="N177" s="847">
        <v>1</v>
      </c>
      <c r="O177" s="847">
        <v>1</v>
      </c>
      <c r="P177" s="847">
        <v>1</v>
      </c>
      <c r="Q177" s="847">
        <v>1</v>
      </c>
      <c r="R177" s="847">
        <v>1</v>
      </c>
      <c r="S177" s="847">
        <v>1</v>
      </c>
      <c r="T177" s="847">
        <v>1</v>
      </c>
      <c r="U177" s="847">
        <v>1</v>
      </c>
      <c r="V177" s="847">
        <v>1</v>
      </c>
      <c r="W177" s="847">
        <v>1</v>
      </c>
      <c r="X177" s="847">
        <v>1</v>
      </c>
      <c r="Y177" s="847">
        <v>1</v>
      </c>
      <c r="Z177" s="847">
        <v>1</v>
      </c>
      <c r="BO177" s="23"/>
    </row>
    <row r="178" spans="1:67" s="833" customFormat="1" hidden="1" x14ac:dyDescent="0.3">
      <c r="B178" s="841" t="str">
        <f>B177</f>
        <v>TRALFO00</v>
      </c>
      <c r="C178" s="841"/>
      <c r="D178" s="848"/>
      <c r="E178" s="841"/>
      <c r="F178" s="841"/>
      <c r="G178" s="841"/>
      <c r="H178" s="849">
        <f>$K$3</f>
        <v>2019</v>
      </c>
      <c r="I178" s="841"/>
      <c r="J178" s="850" t="s">
        <v>1064</v>
      </c>
      <c r="K178" s="850" t="s">
        <v>85</v>
      </c>
      <c r="L178" s="851"/>
      <c r="M178" s="851"/>
      <c r="N178" s="851"/>
      <c r="O178" s="851"/>
      <c r="P178" s="851"/>
      <c r="Q178" s="851"/>
      <c r="R178" s="851"/>
      <c r="S178" s="851"/>
      <c r="T178" s="851"/>
      <c r="U178" s="851"/>
      <c r="V178" s="851"/>
      <c r="W178" s="851"/>
      <c r="X178" s="851"/>
      <c r="Y178" s="851"/>
      <c r="Z178" s="851"/>
      <c r="BO178" s="23"/>
    </row>
    <row r="179" spans="1:67" s="833" customFormat="1" hidden="1" x14ac:dyDescent="0.3">
      <c r="B179" s="852" t="str">
        <f>B178</f>
        <v>TRALFO00</v>
      </c>
      <c r="C179" s="852"/>
      <c r="D179" s="853"/>
      <c r="E179" s="852"/>
      <c r="F179" s="852"/>
      <c r="G179" s="852"/>
      <c r="H179" s="854">
        <f>$K$5</f>
        <v>2050</v>
      </c>
      <c r="I179" s="852"/>
      <c r="J179" s="855" t="s">
        <v>1064</v>
      </c>
      <c r="K179" s="855" t="s">
        <v>85</v>
      </c>
      <c r="L179" s="856"/>
      <c r="M179" s="856"/>
      <c r="N179" s="856"/>
      <c r="O179" s="856"/>
      <c r="P179" s="856"/>
      <c r="Q179" s="856"/>
      <c r="R179" s="856"/>
      <c r="S179" s="856"/>
      <c r="T179" s="856"/>
      <c r="U179" s="856"/>
      <c r="V179" s="856"/>
      <c r="W179" s="856"/>
      <c r="X179" s="856"/>
      <c r="Y179" s="856"/>
      <c r="Z179" s="856"/>
      <c r="BO179" s="23"/>
    </row>
    <row r="180" spans="1:67" hidden="1" x14ac:dyDescent="0.3">
      <c r="A180" s="840"/>
      <c r="B180" s="841" t="str">
        <f>C180</f>
        <v>TRALPG00</v>
      </c>
      <c r="C180" s="841" t="str">
        <f>CONCATENATE(F180,"00")</f>
        <v>TRALPG00</v>
      </c>
      <c r="D180" s="842" t="str">
        <f>CONCATENATE("Fuel Tech - ",LOOKUP(F180,TRA_Comm!$C$6:$C$28,TRA_Comm!$D$6:$D$28))</f>
        <v>Fuel Tech - Liquified Petroleum Gas (TRA)</v>
      </c>
      <c r="E180" s="841" t="s">
        <v>1091</v>
      </c>
      <c r="F180" s="841" t="s">
        <v>1032</v>
      </c>
      <c r="G180" s="858"/>
      <c r="H180" s="849"/>
      <c r="I180" s="858"/>
      <c r="J180" s="858" t="s">
        <v>1063</v>
      </c>
      <c r="K180" s="858"/>
      <c r="L180" s="847">
        <v>1</v>
      </c>
      <c r="M180" s="847">
        <v>1</v>
      </c>
      <c r="N180" s="847">
        <v>1</v>
      </c>
      <c r="O180" s="847">
        <v>1</v>
      </c>
      <c r="P180" s="847">
        <v>1</v>
      </c>
      <c r="Q180" s="847">
        <v>1</v>
      </c>
      <c r="R180" s="847">
        <v>1</v>
      </c>
      <c r="S180" s="847">
        <v>1</v>
      </c>
      <c r="T180" s="847">
        <v>1</v>
      </c>
      <c r="U180" s="847">
        <v>1</v>
      </c>
      <c r="V180" s="847">
        <v>1</v>
      </c>
      <c r="W180" s="847">
        <v>1</v>
      </c>
      <c r="X180" s="847">
        <v>1</v>
      </c>
      <c r="Y180" s="847">
        <v>1</v>
      </c>
      <c r="Z180" s="847">
        <v>1</v>
      </c>
      <c r="AA180" s="833"/>
      <c r="AB180" s="19"/>
      <c r="AD180" s="833"/>
      <c r="AE180" s="833"/>
      <c r="AF180" s="833"/>
      <c r="AG180" s="833"/>
      <c r="AH180" s="833"/>
      <c r="AI180" s="833"/>
      <c r="AJ180" s="833"/>
      <c r="AK180" s="833"/>
      <c r="AL180" s="833"/>
      <c r="AM180" s="833"/>
      <c r="AN180" s="833"/>
      <c r="AO180" s="833"/>
      <c r="AP180" s="833"/>
      <c r="AQ180" s="833"/>
      <c r="AR180" s="833"/>
      <c r="AS180" s="833"/>
      <c r="AT180" s="833"/>
      <c r="AU180" s="833"/>
      <c r="AV180" s="833"/>
      <c r="AW180" s="833"/>
      <c r="AX180" s="833"/>
      <c r="AY180" s="833"/>
      <c r="AZ180" s="833"/>
      <c r="BA180" s="833"/>
      <c r="BB180" s="833"/>
      <c r="BC180" s="833"/>
      <c r="BD180" s="833"/>
      <c r="BE180" s="833"/>
      <c r="BF180" s="833"/>
      <c r="BG180" s="833"/>
      <c r="BH180" s="833"/>
      <c r="BI180" s="833"/>
      <c r="BJ180" s="833"/>
      <c r="BK180" s="833"/>
      <c r="BL180" s="833"/>
      <c r="BM180" s="833"/>
      <c r="BN180" s="833"/>
    </row>
    <row r="181" spans="1:67" hidden="1" x14ac:dyDescent="0.3">
      <c r="A181" s="833"/>
      <c r="B181" s="841" t="str">
        <f>B180</f>
        <v>TRALPG00</v>
      </c>
      <c r="C181" s="841"/>
      <c r="D181" s="848"/>
      <c r="E181" s="841"/>
      <c r="F181" s="841"/>
      <c r="G181" s="841"/>
      <c r="H181" s="849">
        <f>$K$3</f>
        <v>2019</v>
      </c>
      <c r="I181" s="841"/>
      <c r="J181" s="850" t="s">
        <v>1064</v>
      </c>
      <c r="K181" s="850" t="s">
        <v>85</v>
      </c>
      <c r="L181" s="851"/>
      <c r="M181" s="851"/>
      <c r="N181" s="851"/>
      <c r="O181" s="851"/>
      <c r="P181" s="851"/>
      <c r="Q181" s="851"/>
      <c r="R181" s="851"/>
      <c r="S181" s="851"/>
      <c r="T181" s="851"/>
      <c r="U181" s="851"/>
      <c r="V181" s="851"/>
      <c r="W181" s="851"/>
      <c r="X181" s="851"/>
      <c r="Y181" s="851"/>
      <c r="Z181" s="851"/>
      <c r="AA181" s="833"/>
      <c r="AB181" s="19"/>
      <c r="AE181" s="833"/>
      <c r="AF181" s="833"/>
      <c r="AG181" s="833"/>
      <c r="AH181" s="833"/>
      <c r="AI181" s="833"/>
      <c r="AJ181" s="833"/>
      <c r="AK181" s="833"/>
      <c r="AL181" s="833"/>
      <c r="AM181" s="833"/>
      <c r="AN181" s="833"/>
      <c r="AO181" s="833"/>
      <c r="AP181" s="833"/>
      <c r="AQ181" s="833"/>
      <c r="AR181" s="833"/>
      <c r="AS181" s="833"/>
      <c r="AT181" s="833"/>
      <c r="AU181" s="833"/>
      <c r="AV181" s="833"/>
      <c r="AW181" s="833"/>
      <c r="AX181" s="833"/>
      <c r="AY181" s="833"/>
      <c r="AZ181" s="833"/>
      <c r="BA181" s="833"/>
      <c r="BB181" s="833"/>
      <c r="BC181" s="833"/>
      <c r="BD181" s="833"/>
      <c r="BE181" s="833"/>
      <c r="BF181" s="833"/>
      <c r="BG181" s="833"/>
      <c r="BH181" s="833"/>
      <c r="BI181" s="833"/>
      <c r="BJ181" s="833"/>
      <c r="BK181" s="833"/>
      <c r="BL181" s="833"/>
      <c r="BM181" s="833"/>
    </row>
    <row r="182" spans="1:67" hidden="1" x14ac:dyDescent="0.3">
      <c r="A182" s="833"/>
      <c r="B182" s="852" t="str">
        <f>B181</f>
        <v>TRALPG00</v>
      </c>
      <c r="C182" s="852"/>
      <c r="D182" s="853"/>
      <c r="E182" s="852"/>
      <c r="F182" s="852"/>
      <c r="G182" s="852"/>
      <c r="H182" s="854">
        <f>$K$5</f>
        <v>2050</v>
      </c>
      <c r="I182" s="852"/>
      <c r="J182" s="855" t="s">
        <v>1064</v>
      </c>
      <c r="K182" s="855" t="s">
        <v>85</v>
      </c>
      <c r="L182" s="856"/>
      <c r="M182" s="856"/>
      <c r="N182" s="856"/>
      <c r="O182" s="856"/>
      <c r="P182" s="856"/>
      <c r="Q182" s="856"/>
      <c r="R182" s="856"/>
      <c r="S182" s="856"/>
      <c r="T182" s="856"/>
      <c r="U182" s="856"/>
      <c r="V182" s="856"/>
      <c r="W182" s="856"/>
      <c r="X182" s="856"/>
      <c r="Y182" s="856"/>
      <c r="Z182" s="856"/>
      <c r="AA182" s="833"/>
      <c r="AB182" s="19"/>
    </row>
    <row r="183" spans="1:67" hidden="1" x14ac:dyDescent="0.3">
      <c r="A183" s="840"/>
      <c r="B183" s="841" t="str">
        <f>C183</f>
        <v>TRAMTH00</v>
      </c>
      <c r="C183" s="841" t="str">
        <f>CONCATENATE(F183,"00")</f>
        <v>TRAMTH00</v>
      </c>
      <c r="D183" s="842" t="str">
        <f>CONCATENATE("Fuel Tech - ",LOOKUP(F183,TRA_Comm!$C$6:$C$28,TRA_Comm!$D$6:$D$28))</f>
        <v>Fuel Tech - Methanol (TRA)</v>
      </c>
      <c r="E183" s="841" t="s">
        <v>1092</v>
      </c>
      <c r="F183" s="841" t="s">
        <v>1034</v>
      </c>
      <c r="G183" s="858"/>
      <c r="H183" s="849"/>
      <c r="I183" s="858"/>
      <c r="J183" s="858" t="s">
        <v>1063</v>
      </c>
      <c r="K183" s="858"/>
      <c r="L183" s="847">
        <v>1</v>
      </c>
      <c r="M183" s="847">
        <v>1</v>
      </c>
      <c r="N183" s="847">
        <v>1</v>
      </c>
      <c r="O183" s="847">
        <v>1</v>
      </c>
      <c r="P183" s="847">
        <v>1</v>
      </c>
      <c r="Q183" s="847">
        <v>1</v>
      </c>
      <c r="R183" s="847">
        <v>1</v>
      </c>
      <c r="S183" s="847">
        <v>1</v>
      </c>
      <c r="T183" s="847">
        <v>1</v>
      </c>
      <c r="U183" s="847">
        <v>1</v>
      </c>
      <c r="V183" s="847">
        <v>1</v>
      </c>
      <c r="W183" s="847">
        <v>1</v>
      </c>
      <c r="X183" s="847">
        <v>1</v>
      </c>
      <c r="Y183" s="847">
        <v>1</v>
      </c>
      <c r="Z183" s="847">
        <v>1</v>
      </c>
      <c r="AA183" s="833"/>
      <c r="AB183" s="19"/>
    </row>
    <row r="184" spans="1:67" hidden="1" x14ac:dyDescent="0.3">
      <c r="A184" s="833"/>
      <c r="B184" s="841" t="str">
        <f>B183</f>
        <v>TRAMTH00</v>
      </c>
      <c r="C184" s="841"/>
      <c r="D184" s="848"/>
      <c r="E184" s="841"/>
      <c r="F184" s="841"/>
      <c r="G184" s="841"/>
      <c r="H184" s="849">
        <f>$K$3</f>
        <v>2019</v>
      </c>
      <c r="I184" s="841"/>
      <c r="J184" s="850" t="s">
        <v>1064</v>
      </c>
      <c r="K184" s="850" t="s">
        <v>85</v>
      </c>
      <c r="L184" s="851"/>
      <c r="M184" s="851"/>
      <c r="N184" s="851"/>
      <c r="O184" s="851"/>
      <c r="P184" s="851"/>
      <c r="Q184" s="851"/>
      <c r="R184" s="851"/>
      <c r="S184" s="851"/>
      <c r="T184" s="851"/>
      <c r="U184" s="851"/>
      <c r="V184" s="851"/>
      <c r="W184" s="851"/>
      <c r="X184" s="851"/>
      <c r="Y184" s="851"/>
      <c r="Z184" s="851"/>
      <c r="AA184" s="833"/>
      <c r="AB184" s="19"/>
    </row>
    <row r="185" spans="1:67" hidden="1" x14ac:dyDescent="0.3">
      <c r="A185" s="833"/>
      <c r="B185" s="852" t="str">
        <f>B184</f>
        <v>TRAMTH00</v>
      </c>
      <c r="C185" s="852"/>
      <c r="D185" s="853"/>
      <c r="E185" s="852"/>
      <c r="F185" s="852"/>
      <c r="G185" s="852"/>
      <c r="H185" s="854">
        <f>$K$5</f>
        <v>2050</v>
      </c>
      <c r="I185" s="852"/>
      <c r="J185" s="855" t="s">
        <v>1064</v>
      </c>
      <c r="K185" s="855" t="s">
        <v>85</v>
      </c>
      <c r="L185" s="856"/>
      <c r="M185" s="856"/>
      <c r="N185" s="856"/>
      <c r="O185" s="856"/>
      <c r="P185" s="856"/>
      <c r="Q185" s="856"/>
      <c r="R185" s="856"/>
      <c r="S185" s="856"/>
      <c r="T185" s="856"/>
      <c r="U185" s="856"/>
      <c r="V185" s="856"/>
      <c r="W185" s="856"/>
      <c r="X185" s="856"/>
      <c r="Y185" s="856"/>
      <c r="Z185" s="856"/>
      <c r="AA185" s="833"/>
      <c r="AB185" s="42" t="s">
        <v>1058</v>
      </c>
      <c r="AC185" s="42" t="s">
        <v>1059</v>
      </c>
    </row>
    <row r="186" spans="1:67" s="13" customFormat="1" x14ac:dyDescent="0.3">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8"/>
    </row>
    <row r="187" spans="1:67" s="13" customFormat="1" x14ac:dyDescent="0.3">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8"/>
    </row>
    <row r="188" spans="1:67" s="13" customFormat="1" ht="17.25" customHeight="1" x14ac:dyDescent="0.3">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8"/>
    </row>
    <row r="189" spans="1:67" s="13" customFormat="1" x14ac:dyDescent="0.3">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8"/>
    </row>
    <row r="190" spans="1:67" s="13" customFormat="1" x14ac:dyDescent="0.3">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8"/>
    </row>
    <row r="191" spans="1:67" s="13" customFormat="1" x14ac:dyDescent="0.3">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8"/>
    </row>
    <row r="192" spans="1:67" s="13" customFormat="1" ht="17.25" customHeight="1" x14ac:dyDescent="0.3">
      <c r="A192"/>
      <c r="B192" s="639" t="s">
        <v>1052</v>
      </c>
      <c r="C192" s="638" t="s">
        <v>104</v>
      </c>
      <c r="D192" s="638" t="s">
        <v>1053</v>
      </c>
      <c r="E192" s="638" t="s">
        <v>672</v>
      </c>
      <c r="F192" s="638" t="s">
        <v>673</v>
      </c>
      <c r="G192" s="638" t="s">
        <v>1054</v>
      </c>
      <c r="H192" s="640" t="s">
        <v>1055</v>
      </c>
      <c r="I192" s="42" t="s">
        <v>981</v>
      </c>
      <c r="J192" s="42" t="s">
        <v>1056</v>
      </c>
      <c r="K192" s="42" t="s">
        <v>1057</v>
      </c>
      <c r="L192" s="638" t="str">
        <f t="shared" ref="L192:Z192" si="189">L$2</f>
        <v>Z01</v>
      </c>
      <c r="M192" s="638" t="str">
        <f t="shared" si="189"/>
        <v>Z02</v>
      </c>
      <c r="N192" s="638" t="str">
        <f t="shared" si="189"/>
        <v>Z03</v>
      </c>
      <c r="O192" s="638" t="str">
        <f t="shared" si="189"/>
        <v>Z04</v>
      </c>
      <c r="P192" s="638" t="str">
        <f t="shared" si="189"/>
        <v>Z05</v>
      </c>
      <c r="Q192" s="638" t="str">
        <f t="shared" si="189"/>
        <v>Z06</v>
      </c>
      <c r="R192" s="638" t="str">
        <f t="shared" si="189"/>
        <v>Z07</v>
      </c>
      <c r="S192" s="638" t="str">
        <f t="shared" si="189"/>
        <v>Z08</v>
      </c>
      <c r="T192" s="638" t="str">
        <f t="shared" si="189"/>
        <v>Z09</v>
      </c>
      <c r="U192" s="638" t="str">
        <f t="shared" si="189"/>
        <v>Z10</v>
      </c>
      <c r="V192" s="638" t="str">
        <f t="shared" si="189"/>
        <v>Z11</v>
      </c>
      <c r="W192" s="638" t="str">
        <f t="shared" si="189"/>
        <v>Z12</v>
      </c>
      <c r="X192" s="638" t="str">
        <f t="shared" si="189"/>
        <v>Z13</v>
      </c>
      <c r="Y192" s="638" t="str">
        <f t="shared" si="189"/>
        <v>Z14</v>
      </c>
      <c r="Z192" s="638"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8"/>
    </row>
    <row r="193" spans="1:67" s="31" customFormat="1" x14ac:dyDescent="0.3">
      <c r="A193" s="100"/>
      <c r="B193" s="736" t="str">
        <f>C193</f>
        <v>TRABDL01</v>
      </c>
      <c r="C193" s="245" t="str">
        <f>CONCATENATE(F193,"01")</f>
        <v>TRABDL01</v>
      </c>
      <c r="D193" s="737" t="str">
        <f>REPLACE(D11,1,9,"Fuel Tech New")</f>
        <v>Fuel Tech New - Biodiesel (TRA)</v>
      </c>
      <c r="E193" s="324" t="str">
        <f>E11</f>
        <v>BFUHVO1, BFUHVO2, BFUHVO3, BFUHVO4</v>
      </c>
      <c r="F193" s="738" t="str">
        <f>F11</f>
        <v>TRABDL</v>
      </c>
      <c r="G193" s="738"/>
      <c r="H193" s="738"/>
      <c r="I193" s="739"/>
      <c r="J193" s="740" t="s">
        <v>1063</v>
      </c>
      <c r="K193" s="740"/>
      <c r="L193" s="741">
        <v>1</v>
      </c>
      <c r="M193" s="741">
        <v>1</v>
      </c>
      <c r="N193" s="741">
        <v>1</v>
      </c>
      <c r="O193" s="741">
        <v>1</v>
      </c>
      <c r="P193" s="741">
        <v>1</v>
      </c>
      <c r="Q193" s="741">
        <v>1</v>
      </c>
      <c r="R193" s="741">
        <v>1</v>
      </c>
      <c r="S193" s="741">
        <v>1</v>
      </c>
      <c r="T193" s="741">
        <v>1</v>
      </c>
      <c r="U193" s="741">
        <v>1</v>
      </c>
      <c r="V193" s="741">
        <v>1</v>
      </c>
      <c r="W193" s="741">
        <v>1</v>
      </c>
      <c r="X193" s="741">
        <v>1</v>
      </c>
      <c r="Y193" s="741">
        <v>1</v>
      </c>
      <c r="Z193" s="741">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8"/>
    </row>
    <row r="194" spans="1:67" s="31" customFormat="1" x14ac:dyDescent="0.3">
      <c r="A194" s="13"/>
      <c r="B194" s="736" t="str">
        <f>B193</f>
        <v>TRABDL01</v>
      </c>
      <c r="C194" s="245"/>
      <c r="D194" s="742"/>
      <c r="E194" s="245"/>
      <c r="F194" s="738"/>
      <c r="G194" s="245"/>
      <c r="H194" s="743"/>
      <c r="I194" s="245"/>
      <c r="J194" s="744" t="s">
        <v>1096</v>
      </c>
      <c r="K194" s="744"/>
      <c r="L194" s="745">
        <f>$K$4</f>
        <v>2020</v>
      </c>
      <c r="M194" s="745">
        <f t="shared" ref="M194:Z194" si="190">$K$4</f>
        <v>2020</v>
      </c>
      <c r="N194" s="745">
        <f t="shared" si="190"/>
        <v>2020</v>
      </c>
      <c r="O194" s="745">
        <f t="shared" si="190"/>
        <v>2020</v>
      </c>
      <c r="P194" s="745">
        <f t="shared" si="190"/>
        <v>2020</v>
      </c>
      <c r="Q194" s="745">
        <f t="shared" si="190"/>
        <v>2020</v>
      </c>
      <c r="R194" s="745">
        <f t="shared" si="190"/>
        <v>2020</v>
      </c>
      <c r="S194" s="745">
        <f t="shared" si="190"/>
        <v>2020</v>
      </c>
      <c r="T194" s="745">
        <f t="shared" si="190"/>
        <v>2020</v>
      </c>
      <c r="U194" s="745">
        <f t="shared" si="190"/>
        <v>2020</v>
      </c>
      <c r="V194" s="745">
        <f t="shared" si="190"/>
        <v>2020</v>
      </c>
      <c r="W194" s="745">
        <f t="shared" si="190"/>
        <v>2020</v>
      </c>
      <c r="X194" s="745">
        <f t="shared" si="190"/>
        <v>2020</v>
      </c>
      <c r="Y194" s="745">
        <f t="shared" si="190"/>
        <v>2020</v>
      </c>
      <c r="Z194" s="745">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8"/>
    </row>
    <row r="195" spans="1:67" s="31" customFormat="1" x14ac:dyDescent="0.3">
      <c r="A195" s="13"/>
      <c r="B195" s="746" t="str">
        <f>B193</f>
        <v>TRABDL01</v>
      </c>
      <c r="C195" s="250"/>
      <c r="D195" s="732"/>
      <c r="E195" s="250"/>
      <c r="F195" s="250"/>
      <c r="G195" s="250"/>
      <c r="H195" s="733"/>
      <c r="I195" s="250"/>
      <c r="J195" s="734" t="s">
        <v>1097</v>
      </c>
      <c r="K195" s="734" t="s">
        <v>1098</v>
      </c>
      <c r="L195" s="735"/>
      <c r="M195" s="735"/>
      <c r="N195" s="735"/>
      <c r="O195" s="735"/>
      <c r="P195" s="735"/>
      <c r="Q195" s="735"/>
      <c r="R195" s="735"/>
      <c r="S195" s="735"/>
      <c r="T195" s="735"/>
      <c r="U195" s="735"/>
      <c r="V195" s="735"/>
      <c r="W195" s="735"/>
      <c r="X195" s="735"/>
      <c r="Y195" s="735"/>
      <c r="Z195" s="735"/>
      <c r="AA195" s="13"/>
      <c r="AC195" s="748"/>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8"/>
    </row>
    <row r="196" spans="1:67" s="31" customFormat="1" x14ac:dyDescent="0.3">
      <c r="A196" s="100"/>
      <c r="B196" s="736" t="str">
        <f>C196</f>
        <v>TRABDLM01</v>
      </c>
      <c r="C196" s="245" t="str">
        <f>CONCATENATE(F196,"01")</f>
        <v>TRABDLM01</v>
      </c>
      <c r="D196" s="737" t="str">
        <f>REPLACE(D14,1,9,"Fuel Tech New")</f>
        <v>Fuel Tech New</v>
      </c>
      <c r="E196" s="324" t="str">
        <f>E17</f>
        <v>BFUFAME1, BFUFAME2, BFUFAME3, BFUFAME4</v>
      </c>
      <c r="F196" s="738" t="s">
        <v>989</v>
      </c>
      <c r="G196" s="738"/>
      <c r="H196" s="738"/>
      <c r="I196" s="739"/>
      <c r="J196" s="740" t="s">
        <v>1063</v>
      </c>
      <c r="K196" s="740"/>
      <c r="L196" s="741">
        <v>1</v>
      </c>
      <c r="M196" s="741">
        <v>1</v>
      </c>
      <c r="N196" s="741">
        <v>1</v>
      </c>
      <c r="O196" s="741">
        <v>1</v>
      </c>
      <c r="P196" s="741">
        <v>1</v>
      </c>
      <c r="Q196" s="741">
        <v>1</v>
      </c>
      <c r="R196" s="741">
        <v>1</v>
      </c>
      <c r="S196" s="741">
        <v>1</v>
      </c>
      <c r="T196" s="741">
        <v>1</v>
      </c>
      <c r="U196" s="741">
        <v>1</v>
      </c>
      <c r="V196" s="741">
        <v>1</v>
      </c>
      <c r="W196" s="741">
        <v>1</v>
      </c>
      <c r="X196" s="741">
        <v>1</v>
      </c>
      <c r="Y196" s="741">
        <v>1</v>
      </c>
      <c r="Z196" s="741">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8"/>
    </row>
    <row r="197" spans="1:67" s="31" customFormat="1" x14ac:dyDescent="0.3">
      <c r="A197" s="13"/>
      <c r="B197" s="736" t="str">
        <f>B196</f>
        <v>TRABDLM01</v>
      </c>
      <c r="C197" s="245"/>
      <c r="D197" s="742"/>
      <c r="E197" s="245"/>
      <c r="F197" s="738"/>
      <c r="G197" s="245"/>
      <c r="H197" s="743"/>
      <c r="I197" s="245"/>
      <c r="J197" s="744" t="s">
        <v>1096</v>
      </c>
      <c r="K197" s="744"/>
      <c r="L197" s="745">
        <f>$K$4</f>
        <v>2020</v>
      </c>
      <c r="M197" s="745">
        <f t="shared" ref="M197:Z197" si="191">$K$4</f>
        <v>2020</v>
      </c>
      <c r="N197" s="745">
        <f t="shared" si="191"/>
        <v>2020</v>
      </c>
      <c r="O197" s="745">
        <f t="shared" si="191"/>
        <v>2020</v>
      </c>
      <c r="P197" s="745">
        <f t="shared" si="191"/>
        <v>2020</v>
      </c>
      <c r="Q197" s="745">
        <f t="shared" si="191"/>
        <v>2020</v>
      </c>
      <c r="R197" s="745">
        <f t="shared" si="191"/>
        <v>2020</v>
      </c>
      <c r="S197" s="745">
        <f t="shared" si="191"/>
        <v>2020</v>
      </c>
      <c r="T197" s="745">
        <f t="shared" si="191"/>
        <v>2020</v>
      </c>
      <c r="U197" s="745">
        <f t="shared" si="191"/>
        <v>2020</v>
      </c>
      <c r="V197" s="745">
        <f t="shared" si="191"/>
        <v>2020</v>
      </c>
      <c r="W197" s="745">
        <f t="shared" si="191"/>
        <v>2020</v>
      </c>
      <c r="X197" s="745">
        <f t="shared" si="191"/>
        <v>2020</v>
      </c>
      <c r="Y197" s="745">
        <f t="shared" si="191"/>
        <v>2020</v>
      </c>
      <c r="Z197" s="745">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8"/>
    </row>
    <row r="198" spans="1:67" s="31" customFormat="1" x14ac:dyDescent="0.3">
      <c r="A198" s="13"/>
      <c r="B198" s="746" t="str">
        <f>B196</f>
        <v>TRABDLM01</v>
      </c>
      <c r="C198" s="250"/>
      <c r="D198" s="732"/>
      <c r="E198" s="250"/>
      <c r="F198" s="250"/>
      <c r="G198" s="250"/>
      <c r="H198" s="733"/>
      <c r="I198" s="250"/>
      <c r="J198" s="734" t="s">
        <v>1097</v>
      </c>
      <c r="K198" s="734" t="s">
        <v>1098</v>
      </c>
      <c r="L198" s="735"/>
      <c r="M198" s="735"/>
      <c r="N198" s="735"/>
      <c r="O198" s="735"/>
      <c r="P198" s="735"/>
      <c r="Q198" s="735"/>
      <c r="R198" s="735"/>
      <c r="S198" s="735"/>
      <c r="T198" s="735"/>
      <c r="U198" s="735"/>
      <c r="V198" s="735"/>
      <c r="W198" s="735"/>
      <c r="X198" s="735"/>
      <c r="Y198" s="735"/>
      <c r="Z198" s="735"/>
      <c r="AA198" s="13"/>
      <c r="AC198" s="748"/>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8"/>
    </row>
    <row r="199" spans="1:67" s="31" customFormat="1" x14ac:dyDescent="0.3">
      <c r="A199" s="100"/>
      <c r="B199" s="736" t="str">
        <f>C199</f>
        <v>TRABDR01</v>
      </c>
      <c r="C199" s="245" t="str">
        <f>CONCATENATE(F199,"01")</f>
        <v>TRABDR01</v>
      </c>
      <c r="D199" s="737" t="str">
        <f>REPLACE(D17,1,9,"Fuel Tech New")</f>
        <v>Fuel Tech New - Biodiesel for low-blending (TRA)</v>
      </c>
      <c r="E199" s="324" t="str">
        <f>E193</f>
        <v>BFUHVO1, BFUHVO2, BFUHVO3, BFUHVO4</v>
      </c>
      <c r="F199" s="738" t="s">
        <v>991</v>
      </c>
      <c r="G199" s="738"/>
      <c r="H199" s="738"/>
      <c r="I199" s="739"/>
      <c r="J199" s="740" t="s">
        <v>1063</v>
      </c>
      <c r="K199" s="740"/>
      <c r="L199" s="741">
        <v>1</v>
      </c>
      <c r="M199" s="741">
        <v>1</v>
      </c>
      <c r="N199" s="741">
        <v>1</v>
      </c>
      <c r="O199" s="741">
        <v>1</v>
      </c>
      <c r="P199" s="741">
        <v>1</v>
      </c>
      <c r="Q199" s="741">
        <v>1</v>
      </c>
      <c r="R199" s="741">
        <v>1</v>
      </c>
      <c r="S199" s="741">
        <v>1</v>
      </c>
      <c r="T199" s="741">
        <v>1</v>
      </c>
      <c r="U199" s="741">
        <v>1</v>
      </c>
      <c r="V199" s="741">
        <v>1</v>
      </c>
      <c r="W199" s="741">
        <v>1</v>
      </c>
      <c r="X199" s="741">
        <v>1</v>
      </c>
      <c r="Y199" s="741">
        <v>1</v>
      </c>
      <c r="Z199" s="741">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8"/>
    </row>
    <row r="200" spans="1:67" s="31" customFormat="1" x14ac:dyDescent="0.3">
      <c r="A200" s="13"/>
      <c r="B200" s="736" t="str">
        <f>B199</f>
        <v>TRABDR01</v>
      </c>
      <c r="C200" s="245"/>
      <c r="D200" s="742"/>
      <c r="E200" s="245"/>
      <c r="F200" s="738"/>
      <c r="G200" s="245"/>
      <c r="H200" s="743"/>
      <c r="I200" s="245"/>
      <c r="J200" s="744" t="s">
        <v>1096</v>
      </c>
      <c r="K200" s="744"/>
      <c r="L200" s="745">
        <f>$K$4</f>
        <v>2020</v>
      </c>
      <c r="M200" s="745">
        <f t="shared" ref="M200:Z200" si="192">$K$4</f>
        <v>2020</v>
      </c>
      <c r="N200" s="745">
        <f t="shared" si="192"/>
        <v>2020</v>
      </c>
      <c r="O200" s="745">
        <f t="shared" si="192"/>
        <v>2020</v>
      </c>
      <c r="P200" s="745">
        <f t="shared" si="192"/>
        <v>2020</v>
      </c>
      <c r="Q200" s="745">
        <f t="shared" si="192"/>
        <v>2020</v>
      </c>
      <c r="R200" s="745">
        <f t="shared" si="192"/>
        <v>2020</v>
      </c>
      <c r="S200" s="745">
        <f t="shared" si="192"/>
        <v>2020</v>
      </c>
      <c r="T200" s="745">
        <f t="shared" si="192"/>
        <v>2020</v>
      </c>
      <c r="U200" s="745">
        <f t="shared" si="192"/>
        <v>2020</v>
      </c>
      <c r="V200" s="745">
        <f t="shared" si="192"/>
        <v>2020</v>
      </c>
      <c r="W200" s="745">
        <f t="shared" si="192"/>
        <v>2020</v>
      </c>
      <c r="X200" s="745">
        <f t="shared" si="192"/>
        <v>2020</v>
      </c>
      <c r="Y200" s="745">
        <f t="shared" si="192"/>
        <v>2020</v>
      </c>
      <c r="Z200" s="745">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8"/>
    </row>
    <row r="201" spans="1:67" s="31" customFormat="1" x14ac:dyDescent="0.3">
      <c r="A201" s="13"/>
      <c r="B201" s="746" t="str">
        <f>B199</f>
        <v>TRABDR01</v>
      </c>
      <c r="C201" s="250"/>
      <c r="D201" s="732"/>
      <c r="E201" s="250"/>
      <c r="F201" s="250"/>
      <c r="G201" s="250"/>
      <c r="H201" s="733"/>
      <c r="I201" s="250"/>
      <c r="J201" s="734" t="s">
        <v>1097</v>
      </c>
      <c r="K201" s="734" t="s">
        <v>1098</v>
      </c>
      <c r="L201" s="735"/>
      <c r="M201" s="735"/>
      <c r="N201" s="735"/>
      <c r="O201" s="735"/>
      <c r="P201" s="735"/>
      <c r="Q201" s="735"/>
      <c r="R201" s="735"/>
      <c r="S201" s="735"/>
      <c r="T201" s="735"/>
      <c r="U201" s="735"/>
      <c r="V201" s="735"/>
      <c r="W201" s="735"/>
      <c r="X201" s="735"/>
      <c r="Y201" s="735"/>
      <c r="Z201" s="735"/>
      <c r="AA201" s="13"/>
      <c r="AC201" s="748"/>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8"/>
    </row>
    <row r="202" spans="1:67" s="31" customFormat="1" x14ac:dyDescent="0.3">
      <c r="A202" s="100"/>
      <c r="B202" s="736" t="str">
        <f>C202</f>
        <v>TRABGS01</v>
      </c>
      <c r="C202" s="245" t="str">
        <f>CONCATENATE(F202,"01")</f>
        <v>TRABGS01</v>
      </c>
      <c r="D202" s="737" t="str">
        <f>REPLACE(D29,1,9,"Fuel Tech New")</f>
        <v>Fuel Tech New - Biogas (gaseous) (TRA)</v>
      </c>
      <c r="E202" s="324" t="str">
        <f>E29</f>
        <v>BFUSNG</v>
      </c>
      <c r="F202" s="738" t="str">
        <f>F29</f>
        <v>TRABGS</v>
      </c>
      <c r="G202" s="738"/>
      <c r="H202" s="738"/>
      <c r="I202" s="739"/>
      <c r="J202" s="740" t="s">
        <v>1063</v>
      </c>
      <c r="K202" s="740"/>
      <c r="L202" s="741">
        <v>1</v>
      </c>
      <c r="M202" s="741">
        <v>1</v>
      </c>
      <c r="N202" s="741">
        <v>1</v>
      </c>
      <c r="O202" s="741">
        <v>1</v>
      </c>
      <c r="P202" s="741">
        <v>1</v>
      </c>
      <c r="Q202" s="741">
        <v>1</v>
      </c>
      <c r="R202" s="741">
        <v>1</v>
      </c>
      <c r="S202" s="741">
        <v>1</v>
      </c>
      <c r="T202" s="741">
        <v>1</v>
      </c>
      <c r="U202" s="741">
        <v>1</v>
      </c>
      <c r="V202" s="741">
        <v>1</v>
      </c>
      <c r="W202" s="741">
        <v>1</v>
      </c>
      <c r="X202" s="741">
        <v>1</v>
      </c>
      <c r="Y202" s="741">
        <v>1</v>
      </c>
      <c r="Z202" s="741">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8"/>
    </row>
    <row r="203" spans="1:67" s="31" customFormat="1" x14ac:dyDescent="0.3">
      <c r="A203" s="13"/>
      <c r="B203" s="736" t="str">
        <f>B202</f>
        <v>TRABGS01</v>
      </c>
      <c r="C203" s="245"/>
      <c r="D203" s="742"/>
      <c r="E203" s="245"/>
      <c r="F203" s="738"/>
      <c r="G203" s="245"/>
      <c r="H203" s="743"/>
      <c r="I203" s="245"/>
      <c r="J203" s="744" t="s">
        <v>1096</v>
      </c>
      <c r="K203" s="744"/>
      <c r="L203" s="745">
        <f>$K$4</f>
        <v>2020</v>
      </c>
      <c r="M203" s="745">
        <f t="shared" ref="M203:Z203" si="193">$K$4</f>
        <v>2020</v>
      </c>
      <c r="N203" s="745">
        <f t="shared" si="193"/>
        <v>2020</v>
      </c>
      <c r="O203" s="745">
        <f t="shared" si="193"/>
        <v>2020</v>
      </c>
      <c r="P203" s="745">
        <f t="shared" si="193"/>
        <v>2020</v>
      </c>
      <c r="Q203" s="745">
        <f t="shared" si="193"/>
        <v>2020</v>
      </c>
      <c r="R203" s="745">
        <f t="shared" si="193"/>
        <v>2020</v>
      </c>
      <c r="S203" s="745">
        <f t="shared" si="193"/>
        <v>2020</v>
      </c>
      <c r="T203" s="745">
        <f t="shared" si="193"/>
        <v>2020</v>
      </c>
      <c r="U203" s="745">
        <f t="shared" si="193"/>
        <v>2020</v>
      </c>
      <c r="V203" s="745">
        <f t="shared" si="193"/>
        <v>2020</v>
      </c>
      <c r="W203" s="745">
        <f t="shared" si="193"/>
        <v>2020</v>
      </c>
      <c r="X203" s="745">
        <f t="shared" si="193"/>
        <v>2020</v>
      </c>
      <c r="Y203" s="745">
        <f t="shared" si="193"/>
        <v>2020</v>
      </c>
      <c r="Z203" s="745">
        <f t="shared" si="193"/>
        <v>2020</v>
      </c>
      <c r="AA203" s="747"/>
      <c r="AC203" s="13"/>
      <c r="BO203" s="938"/>
    </row>
    <row r="204" spans="1:67" s="31" customFormat="1" x14ac:dyDescent="0.3">
      <c r="A204" s="13"/>
      <c r="B204" s="746" t="str">
        <f>B202</f>
        <v>TRABGS01</v>
      </c>
      <c r="C204" s="250"/>
      <c r="D204" s="732"/>
      <c r="E204" s="250"/>
      <c r="F204" s="250"/>
      <c r="G204" s="250"/>
      <c r="H204" s="733"/>
      <c r="I204" s="250"/>
      <c r="J204" s="746" t="s">
        <v>1097</v>
      </c>
      <c r="K204" s="746" t="s">
        <v>1098</v>
      </c>
      <c r="L204" s="735"/>
      <c r="M204" s="735"/>
      <c r="N204" s="735"/>
      <c r="O204" s="735"/>
      <c r="P204" s="735"/>
      <c r="Q204" s="735"/>
      <c r="R204" s="735"/>
      <c r="S204" s="735"/>
      <c r="T204" s="735"/>
      <c r="U204" s="735"/>
      <c r="V204" s="735"/>
      <c r="W204" s="735"/>
      <c r="X204" s="735"/>
      <c r="Y204" s="735"/>
      <c r="Z204" s="735"/>
      <c r="AA204" s="13"/>
      <c r="AC204" s="748"/>
      <c r="AD204" s="13"/>
      <c r="BO204" s="938"/>
    </row>
    <row r="205" spans="1:67" s="13" customFormat="1" x14ac:dyDescent="0.3">
      <c r="A205" s="100"/>
      <c r="B205" s="736" t="str">
        <f>C205</f>
        <v>TRABGSLM01</v>
      </c>
      <c r="C205" s="245" t="str">
        <f>CONCATENATE(F205,"01")</f>
        <v>TRABGSLM01</v>
      </c>
      <c r="D205" s="737" t="str">
        <f>REPLACE(D35,1,9,"Fuel Tech New")</f>
        <v>Fuel Tech New - Bio-gasoline for low-blending (TRA)</v>
      </c>
      <c r="E205" s="324" t="str">
        <f>E35</f>
        <v>BFUGSL1, BFUGSL2, BFUGSL3, BFUGSL4, BFUGSLY</v>
      </c>
      <c r="F205" s="738" t="s">
        <v>995</v>
      </c>
      <c r="G205" s="738"/>
      <c r="H205" s="738"/>
      <c r="I205" s="739"/>
      <c r="J205" s="740" t="s">
        <v>1063</v>
      </c>
      <c r="K205" s="740"/>
      <c r="L205" s="741">
        <v>1</v>
      </c>
      <c r="M205" s="741">
        <v>1</v>
      </c>
      <c r="N205" s="741">
        <v>1</v>
      </c>
      <c r="O205" s="741">
        <v>1</v>
      </c>
      <c r="P205" s="741">
        <v>1</v>
      </c>
      <c r="Q205" s="741">
        <v>1</v>
      </c>
      <c r="R205" s="741">
        <v>1</v>
      </c>
      <c r="S205" s="741">
        <v>1</v>
      </c>
      <c r="T205" s="741">
        <v>1</v>
      </c>
      <c r="U205" s="741">
        <v>1</v>
      </c>
      <c r="V205" s="741">
        <v>1</v>
      </c>
      <c r="W205" s="741">
        <v>1</v>
      </c>
      <c r="X205" s="741">
        <v>1</v>
      </c>
      <c r="Y205" s="741">
        <v>1</v>
      </c>
      <c r="Z205" s="741">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8"/>
    </row>
    <row r="206" spans="1:67" s="13" customFormat="1" x14ac:dyDescent="0.3">
      <c r="B206" s="736" t="str">
        <f>B205</f>
        <v>TRABGSLM01</v>
      </c>
      <c r="C206" s="245"/>
      <c r="D206" s="742"/>
      <c r="E206" s="245"/>
      <c r="F206" s="738"/>
      <c r="G206" s="245"/>
      <c r="H206" s="743"/>
      <c r="I206" s="245"/>
      <c r="J206" s="744" t="s">
        <v>1096</v>
      </c>
      <c r="K206" s="744"/>
      <c r="L206" s="745">
        <f>$K$4</f>
        <v>2020</v>
      </c>
      <c r="M206" s="745">
        <f t="shared" ref="M206:Z206" si="194">$K$4</f>
        <v>2020</v>
      </c>
      <c r="N206" s="745">
        <f t="shared" si="194"/>
        <v>2020</v>
      </c>
      <c r="O206" s="745">
        <f t="shared" si="194"/>
        <v>2020</v>
      </c>
      <c r="P206" s="745">
        <f t="shared" si="194"/>
        <v>2020</v>
      </c>
      <c r="Q206" s="745">
        <f t="shared" si="194"/>
        <v>2020</v>
      </c>
      <c r="R206" s="745">
        <f t="shared" si="194"/>
        <v>2020</v>
      </c>
      <c r="S206" s="745">
        <f t="shared" si="194"/>
        <v>2020</v>
      </c>
      <c r="T206" s="745">
        <f t="shared" si="194"/>
        <v>2020</v>
      </c>
      <c r="U206" s="745">
        <f t="shared" si="194"/>
        <v>2020</v>
      </c>
      <c r="V206" s="745">
        <f t="shared" si="194"/>
        <v>2020</v>
      </c>
      <c r="W206" s="745">
        <f t="shared" si="194"/>
        <v>2020</v>
      </c>
      <c r="X206" s="745">
        <f t="shared" si="194"/>
        <v>2020</v>
      </c>
      <c r="Y206" s="745">
        <f t="shared" si="194"/>
        <v>2020</v>
      </c>
      <c r="Z206" s="745">
        <f t="shared" si="194"/>
        <v>2020</v>
      </c>
      <c r="AA206" s="747"/>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8"/>
    </row>
    <row r="207" spans="1:67" s="13" customFormat="1" x14ac:dyDescent="0.3">
      <c r="B207" s="746" t="str">
        <f>B205</f>
        <v>TRABGSLM01</v>
      </c>
      <c r="C207" s="250"/>
      <c r="D207" s="732"/>
      <c r="E207" s="250"/>
      <c r="F207" s="250"/>
      <c r="G207" s="250"/>
      <c r="H207" s="733"/>
      <c r="I207" s="250"/>
      <c r="J207" s="746" t="s">
        <v>1097</v>
      </c>
      <c r="K207" s="746" t="s">
        <v>1098</v>
      </c>
      <c r="L207" s="735"/>
      <c r="M207" s="735"/>
      <c r="N207" s="735"/>
      <c r="O207" s="735"/>
      <c r="P207" s="735"/>
      <c r="Q207" s="735"/>
      <c r="R207" s="735"/>
      <c r="S207" s="735"/>
      <c r="T207" s="735"/>
      <c r="U207" s="735"/>
      <c r="V207" s="735"/>
      <c r="W207" s="735"/>
      <c r="X207" s="735"/>
      <c r="Y207" s="735"/>
      <c r="Z207" s="735"/>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8"/>
    </row>
    <row r="208" spans="1:67" s="13" customFormat="1" x14ac:dyDescent="0.3">
      <c r="A208" s="100"/>
      <c r="B208" s="736" t="str">
        <f>C208</f>
        <v>TRABJF01</v>
      </c>
      <c r="C208" s="245" t="str">
        <f>CONCATENATE(F208,"01")</f>
        <v>TRABJF01</v>
      </c>
      <c r="D208" s="737" t="str">
        <f>REPLACE(D41,1,9,"Fuel Tech New")</f>
        <v>Fuel Tech New - Bio Jet Fuel (TRA)</v>
      </c>
      <c r="E208" s="324" t="str">
        <f>E41</f>
        <v>BFUBJF</v>
      </c>
      <c r="F208" s="738" t="str">
        <f>F41</f>
        <v>TRABJF</v>
      </c>
      <c r="G208" s="738"/>
      <c r="H208" s="738"/>
      <c r="I208" s="739"/>
      <c r="J208" s="740" t="s">
        <v>1063</v>
      </c>
      <c r="K208" s="740"/>
      <c r="L208" s="741">
        <v>1</v>
      </c>
      <c r="M208" s="741">
        <v>1</v>
      </c>
      <c r="N208" s="741">
        <v>1</v>
      </c>
      <c r="O208" s="741">
        <v>1</v>
      </c>
      <c r="P208" s="741">
        <v>1</v>
      </c>
      <c r="Q208" s="741">
        <v>1</v>
      </c>
      <c r="R208" s="741">
        <v>1</v>
      </c>
      <c r="S208" s="741">
        <v>1</v>
      </c>
      <c r="T208" s="741">
        <v>1</v>
      </c>
      <c r="U208" s="741">
        <v>1</v>
      </c>
      <c r="V208" s="741">
        <v>1</v>
      </c>
      <c r="W208" s="741">
        <v>1</v>
      </c>
      <c r="X208" s="741">
        <v>1</v>
      </c>
      <c r="Y208" s="741">
        <v>1</v>
      </c>
      <c r="Z208" s="741">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8"/>
    </row>
    <row r="209" spans="1:67" s="13" customFormat="1" x14ac:dyDescent="0.3">
      <c r="B209" s="736" t="str">
        <f>B208</f>
        <v>TRABJF01</v>
      </c>
      <c r="C209" s="245"/>
      <c r="D209" s="742"/>
      <c r="E209" s="245"/>
      <c r="F209" s="738"/>
      <c r="G209" s="245"/>
      <c r="H209" s="743"/>
      <c r="I209" s="245"/>
      <c r="J209" s="744" t="s">
        <v>1096</v>
      </c>
      <c r="K209" s="744"/>
      <c r="L209" s="745">
        <f>$K$4</f>
        <v>2020</v>
      </c>
      <c r="M209" s="745">
        <f t="shared" ref="M209:Z209" si="195">$K$4</f>
        <v>2020</v>
      </c>
      <c r="N209" s="745">
        <f t="shared" si="195"/>
        <v>2020</v>
      </c>
      <c r="O209" s="745">
        <f t="shared" si="195"/>
        <v>2020</v>
      </c>
      <c r="P209" s="745">
        <f t="shared" si="195"/>
        <v>2020</v>
      </c>
      <c r="Q209" s="745">
        <f t="shared" si="195"/>
        <v>2020</v>
      </c>
      <c r="R209" s="745">
        <f t="shared" si="195"/>
        <v>2020</v>
      </c>
      <c r="S209" s="745">
        <f t="shared" si="195"/>
        <v>2020</v>
      </c>
      <c r="T209" s="745">
        <f t="shared" si="195"/>
        <v>2020</v>
      </c>
      <c r="U209" s="745">
        <f t="shared" si="195"/>
        <v>2020</v>
      </c>
      <c r="V209" s="745">
        <f t="shared" si="195"/>
        <v>2020</v>
      </c>
      <c r="W209" s="745">
        <f t="shared" si="195"/>
        <v>2020</v>
      </c>
      <c r="X209" s="745">
        <f t="shared" si="195"/>
        <v>2020</v>
      </c>
      <c r="Y209" s="745">
        <f t="shared" si="195"/>
        <v>2020</v>
      </c>
      <c r="Z209" s="745">
        <f t="shared" si="195"/>
        <v>2020</v>
      </c>
      <c r="AA209" s="747"/>
      <c r="AB209" s="31"/>
      <c r="BO209" s="938"/>
    </row>
    <row r="210" spans="1:67" s="13" customFormat="1" x14ac:dyDescent="0.3">
      <c r="B210" s="746" t="str">
        <f>B208</f>
        <v>TRABJF01</v>
      </c>
      <c r="C210" s="250"/>
      <c r="D210" s="732"/>
      <c r="E210" s="250"/>
      <c r="F210" s="250"/>
      <c r="G210" s="250"/>
      <c r="H210" s="733"/>
      <c r="I210" s="250"/>
      <c r="J210" s="746" t="s">
        <v>1097</v>
      </c>
      <c r="K210" s="746" t="s">
        <v>1098</v>
      </c>
      <c r="L210" s="735"/>
      <c r="M210" s="735"/>
      <c r="N210" s="735"/>
      <c r="O210" s="735"/>
      <c r="P210" s="735"/>
      <c r="Q210" s="735"/>
      <c r="R210" s="735"/>
      <c r="S210" s="735"/>
      <c r="T210" s="735"/>
      <c r="U210" s="735"/>
      <c r="V210" s="735"/>
      <c r="W210" s="735"/>
      <c r="X210" s="735"/>
      <c r="Y210" s="735"/>
      <c r="Z210" s="735"/>
      <c r="AB210" s="31"/>
      <c r="BO210" s="938"/>
    </row>
    <row r="211" spans="1:67" s="13" customFormat="1" x14ac:dyDescent="0.3">
      <c r="A211" s="100"/>
      <c r="B211" s="736" t="str">
        <f>C211</f>
        <v>TRADME01</v>
      </c>
      <c r="C211" s="245" t="s">
        <v>924</v>
      </c>
      <c r="D211" s="737" t="str">
        <f>REPLACE(D47,1,9,"Fuel Tech New")</f>
        <v>Fuel Tech New - Dimethyle Ether (TRA)</v>
      </c>
      <c r="E211" s="324" t="s">
        <v>1072</v>
      </c>
      <c r="F211" s="738" t="s">
        <v>999</v>
      </c>
      <c r="G211" s="738"/>
      <c r="H211" s="738"/>
      <c r="I211" s="739"/>
      <c r="J211" s="740" t="s">
        <v>1063</v>
      </c>
      <c r="K211" s="740"/>
      <c r="L211" s="741">
        <v>1</v>
      </c>
      <c r="M211" s="741">
        <v>1</v>
      </c>
      <c r="N211" s="741">
        <v>1</v>
      </c>
      <c r="O211" s="741">
        <v>1</v>
      </c>
      <c r="P211" s="741">
        <v>1</v>
      </c>
      <c r="Q211" s="741">
        <v>1</v>
      </c>
      <c r="R211" s="741">
        <v>1</v>
      </c>
      <c r="S211" s="741">
        <v>1</v>
      </c>
      <c r="T211" s="741">
        <v>1</v>
      </c>
      <c r="U211" s="741">
        <v>1</v>
      </c>
      <c r="V211" s="741">
        <v>1</v>
      </c>
      <c r="W211" s="741">
        <v>1</v>
      </c>
      <c r="X211" s="741">
        <v>1</v>
      </c>
      <c r="Y211" s="741">
        <v>1</v>
      </c>
      <c r="Z211" s="741">
        <v>1</v>
      </c>
      <c r="AB211" s="31"/>
      <c r="BO211" s="938"/>
    </row>
    <row r="212" spans="1:67" s="13" customFormat="1" x14ac:dyDescent="0.3">
      <c r="B212" s="245" t="str">
        <f>B211</f>
        <v>TRADME01</v>
      </c>
      <c r="C212" s="245"/>
      <c r="D212" s="742"/>
      <c r="E212" s="245"/>
      <c r="F212" s="738"/>
      <c r="G212" s="245"/>
      <c r="H212" s="743"/>
      <c r="I212" s="245"/>
      <c r="J212" s="744" t="s">
        <v>1096</v>
      </c>
      <c r="K212" s="744"/>
      <c r="L212" s="745">
        <f>$K$4</f>
        <v>2020</v>
      </c>
      <c r="M212" s="745">
        <f t="shared" ref="M212:Z212" si="196">$K$4</f>
        <v>2020</v>
      </c>
      <c r="N212" s="745">
        <f t="shared" si="196"/>
        <v>2020</v>
      </c>
      <c r="O212" s="745">
        <f t="shared" si="196"/>
        <v>2020</v>
      </c>
      <c r="P212" s="745">
        <f t="shared" si="196"/>
        <v>2020</v>
      </c>
      <c r="Q212" s="745">
        <f t="shared" si="196"/>
        <v>2020</v>
      </c>
      <c r="R212" s="745">
        <f t="shared" si="196"/>
        <v>2020</v>
      </c>
      <c r="S212" s="745">
        <f t="shared" si="196"/>
        <v>2020</v>
      </c>
      <c r="T212" s="745">
        <f t="shared" si="196"/>
        <v>2020</v>
      </c>
      <c r="U212" s="745">
        <f t="shared" si="196"/>
        <v>2020</v>
      </c>
      <c r="V212" s="745">
        <f t="shared" si="196"/>
        <v>2020</v>
      </c>
      <c r="W212" s="745">
        <f t="shared" si="196"/>
        <v>2020</v>
      </c>
      <c r="X212" s="745">
        <f t="shared" si="196"/>
        <v>2020</v>
      </c>
      <c r="Y212" s="745">
        <f t="shared" si="196"/>
        <v>2020</v>
      </c>
      <c r="Z212" s="745">
        <f t="shared" si="196"/>
        <v>2020</v>
      </c>
      <c r="AB212" s="31"/>
      <c r="BO212" s="938"/>
    </row>
    <row r="213" spans="1:67" s="13" customFormat="1" x14ac:dyDescent="0.3">
      <c r="B213" s="250" t="str">
        <f>B211</f>
        <v>TRADME01</v>
      </c>
      <c r="C213" s="250"/>
      <c r="D213" s="732"/>
      <c r="E213" s="250"/>
      <c r="F213" s="250"/>
      <c r="G213" s="250"/>
      <c r="H213" s="733"/>
      <c r="I213" s="250"/>
      <c r="J213" s="734" t="s">
        <v>1097</v>
      </c>
      <c r="K213" s="734" t="s">
        <v>1098</v>
      </c>
      <c r="L213" s="735"/>
      <c r="M213" s="735"/>
      <c r="N213" s="735"/>
      <c r="O213" s="735"/>
      <c r="P213" s="735"/>
      <c r="Q213" s="735"/>
      <c r="R213" s="735"/>
      <c r="S213" s="735"/>
      <c r="T213" s="735"/>
      <c r="U213" s="735"/>
      <c r="V213" s="735"/>
      <c r="W213" s="735"/>
      <c r="X213" s="735"/>
      <c r="Y213" s="735"/>
      <c r="Z213" s="735"/>
      <c r="AB213" s="31"/>
      <c r="BO213" s="938"/>
    </row>
    <row r="214" spans="1:67" s="13" customFormat="1" x14ac:dyDescent="0.3">
      <c r="A214" s="100"/>
      <c r="B214" s="736" t="str">
        <f>C214</f>
        <v>TRAETH01</v>
      </c>
      <c r="C214" s="245" t="str">
        <f>CONCATENATE(F214,"01")</f>
        <v>TRAETH01</v>
      </c>
      <c r="D214" s="737" t="str">
        <f>REPLACE(D53,1,9,"Fuel Tech New")</f>
        <v>Fuel Tech New - Ethanol (TRA)</v>
      </c>
      <c r="E214" s="324" t="str">
        <f>E53</f>
        <v>BFUETH1, BFUETH2, BFUETH3, BFUETHY</v>
      </c>
      <c r="F214" s="738" t="str">
        <f>F53</f>
        <v>TRAETH</v>
      </c>
      <c r="G214" s="738"/>
      <c r="H214" s="738"/>
      <c r="I214" s="739"/>
      <c r="J214" s="740" t="s">
        <v>1063</v>
      </c>
      <c r="K214" s="740"/>
      <c r="L214" s="741">
        <v>1</v>
      </c>
      <c r="M214" s="741">
        <v>1</v>
      </c>
      <c r="N214" s="741">
        <v>1</v>
      </c>
      <c r="O214" s="741">
        <v>1</v>
      </c>
      <c r="P214" s="741">
        <v>1</v>
      </c>
      <c r="Q214" s="741">
        <v>1</v>
      </c>
      <c r="R214" s="741">
        <v>1</v>
      </c>
      <c r="S214" s="741">
        <v>1</v>
      </c>
      <c r="T214" s="741">
        <v>1</v>
      </c>
      <c r="U214" s="741">
        <v>1</v>
      </c>
      <c r="V214" s="741">
        <v>1</v>
      </c>
      <c r="W214" s="741">
        <v>1</v>
      </c>
      <c r="X214" s="741">
        <v>1</v>
      </c>
      <c r="Y214" s="741">
        <v>1</v>
      </c>
      <c r="Z214" s="741">
        <v>1</v>
      </c>
      <c r="AB214" s="31"/>
      <c r="BO214" s="938"/>
    </row>
    <row r="215" spans="1:67" s="13" customFormat="1" x14ac:dyDescent="0.3">
      <c r="B215" s="245" t="str">
        <f>B214</f>
        <v>TRAETH01</v>
      </c>
      <c r="C215" s="245"/>
      <c r="D215" s="742"/>
      <c r="E215" s="245"/>
      <c r="F215" s="738"/>
      <c r="G215" s="245"/>
      <c r="H215" s="743"/>
      <c r="I215" s="245"/>
      <c r="J215" s="744" t="s">
        <v>1096</v>
      </c>
      <c r="K215" s="744"/>
      <c r="L215" s="745">
        <f>$K$4</f>
        <v>2020</v>
      </c>
      <c r="M215" s="745">
        <f t="shared" ref="M215:Z215" si="197">$K$4</f>
        <v>2020</v>
      </c>
      <c r="N215" s="745">
        <f t="shared" si="197"/>
        <v>2020</v>
      </c>
      <c r="O215" s="745">
        <f t="shared" si="197"/>
        <v>2020</v>
      </c>
      <c r="P215" s="745">
        <f t="shared" si="197"/>
        <v>2020</v>
      </c>
      <c r="Q215" s="745">
        <f t="shared" si="197"/>
        <v>2020</v>
      </c>
      <c r="R215" s="745">
        <f t="shared" si="197"/>
        <v>2020</v>
      </c>
      <c r="S215" s="745">
        <f t="shared" si="197"/>
        <v>2020</v>
      </c>
      <c r="T215" s="745">
        <f t="shared" si="197"/>
        <v>2020</v>
      </c>
      <c r="U215" s="745">
        <f t="shared" si="197"/>
        <v>2020</v>
      </c>
      <c r="V215" s="745">
        <f t="shared" si="197"/>
        <v>2020</v>
      </c>
      <c r="W215" s="745">
        <f t="shared" si="197"/>
        <v>2020</v>
      </c>
      <c r="X215" s="745">
        <f t="shared" si="197"/>
        <v>2020</v>
      </c>
      <c r="Y215" s="745">
        <f t="shared" si="197"/>
        <v>2020</v>
      </c>
      <c r="Z215" s="745">
        <f t="shared" si="197"/>
        <v>2020</v>
      </c>
      <c r="BO215" s="938"/>
    </row>
    <row r="216" spans="1:67" s="13" customFormat="1" x14ac:dyDescent="0.3">
      <c r="B216" s="250" t="str">
        <f>B214</f>
        <v>TRAETH01</v>
      </c>
      <c r="C216" s="250"/>
      <c r="D216" s="732"/>
      <c r="E216" s="250"/>
      <c r="F216" s="250"/>
      <c r="G216" s="250"/>
      <c r="H216" s="733"/>
      <c r="I216" s="250"/>
      <c r="J216" s="734" t="s">
        <v>1097</v>
      </c>
      <c r="K216" s="734" t="s">
        <v>1098</v>
      </c>
      <c r="L216" s="735"/>
      <c r="M216" s="735"/>
      <c r="N216" s="735"/>
      <c r="O216" s="735"/>
      <c r="P216" s="735"/>
      <c r="Q216" s="735"/>
      <c r="R216" s="735"/>
      <c r="S216" s="735"/>
      <c r="T216" s="735"/>
      <c r="U216" s="735"/>
      <c r="V216" s="735"/>
      <c r="W216" s="735"/>
      <c r="X216" s="735"/>
      <c r="Y216" s="735"/>
      <c r="Z216" s="735"/>
      <c r="BO216" s="938"/>
    </row>
    <row r="217" spans="1:67" s="13" customFormat="1" x14ac:dyDescent="0.3">
      <c r="A217" s="100"/>
      <c r="B217" s="736" t="str">
        <f>C217</f>
        <v>TRAETHM01</v>
      </c>
      <c r="C217" s="245" t="str">
        <f>CONCATENATE(F217,"01")</f>
        <v>TRAETHM01</v>
      </c>
      <c r="D217" s="737" t="str">
        <f>REPLACE(D59,1,9,"Fuel Tech New")</f>
        <v>Fuel Tech New - Ethanol for blending with GSL (TRA)</v>
      </c>
      <c r="E217" s="324" t="str">
        <f>E214</f>
        <v>BFUETH1, BFUETH2, BFUETH3, BFUETHY</v>
      </c>
      <c r="F217" s="738" t="s">
        <v>1011</v>
      </c>
      <c r="G217" s="738"/>
      <c r="H217" s="738"/>
      <c r="I217" s="739"/>
      <c r="J217" s="740" t="s">
        <v>1063</v>
      </c>
      <c r="K217" s="740"/>
      <c r="L217" s="741">
        <v>1</v>
      </c>
      <c r="M217" s="741">
        <v>1</v>
      </c>
      <c r="N217" s="741">
        <v>1</v>
      </c>
      <c r="O217" s="741">
        <v>1</v>
      </c>
      <c r="P217" s="741">
        <v>1</v>
      </c>
      <c r="Q217" s="741">
        <v>1</v>
      </c>
      <c r="R217" s="741">
        <v>1</v>
      </c>
      <c r="S217" s="741">
        <v>1</v>
      </c>
      <c r="T217" s="741">
        <v>1</v>
      </c>
      <c r="U217" s="741">
        <v>1</v>
      </c>
      <c r="V217" s="741">
        <v>1</v>
      </c>
      <c r="W217" s="741">
        <v>1</v>
      </c>
      <c r="X217" s="741">
        <v>1</v>
      </c>
      <c r="Y217" s="741">
        <v>1</v>
      </c>
      <c r="Z217" s="741">
        <v>1</v>
      </c>
      <c r="AB217" s="31"/>
      <c r="BO217" s="938"/>
    </row>
    <row r="218" spans="1:67" s="13" customFormat="1" x14ac:dyDescent="0.3">
      <c r="B218" s="245" t="str">
        <f>B217</f>
        <v>TRAETHM01</v>
      </c>
      <c r="C218" s="245"/>
      <c r="D218" s="742"/>
      <c r="E218" s="245"/>
      <c r="F218" s="738"/>
      <c r="G218" s="245"/>
      <c r="H218" s="743"/>
      <c r="I218" s="245"/>
      <c r="J218" s="744" t="s">
        <v>1096</v>
      </c>
      <c r="K218" s="744"/>
      <c r="L218" s="745">
        <f>$K$4</f>
        <v>2020</v>
      </c>
      <c r="M218" s="745">
        <f t="shared" ref="M218:Z218" si="198">$K$4</f>
        <v>2020</v>
      </c>
      <c r="N218" s="745">
        <f t="shared" si="198"/>
        <v>2020</v>
      </c>
      <c r="O218" s="745">
        <f t="shared" si="198"/>
        <v>2020</v>
      </c>
      <c r="P218" s="745">
        <f t="shared" si="198"/>
        <v>2020</v>
      </c>
      <c r="Q218" s="745">
        <f t="shared" si="198"/>
        <v>2020</v>
      </c>
      <c r="R218" s="745">
        <f t="shared" si="198"/>
        <v>2020</v>
      </c>
      <c r="S218" s="745">
        <f t="shared" si="198"/>
        <v>2020</v>
      </c>
      <c r="T218" s="745">
        <f t="shared" si="198"/>
        <v>2020</v>
      </c>
      <c r="U218" s="745">
        <f t="shared" si="198"/>
        <v>2020</v>
      </c>
      <c r="V218" s="745">
        <f t="shared" si="198"/>
        <v>2020</v>
      </c>
      <c r="W218" s="745">
        <f t="shared" si="198"/>
        <v>2020</v>
      </c>
      <c r="X218" s="745">
        <f t="shared" si="198"/>
        <v>2020</v>
      </c>
      <c r="Y218" s="745">
        <f t="shared" si="198"/>
        <v>2020</v>
      </c>
      <c r="Z218" s="745">
        <f t="shared" si="198"/>
        <v>2020</v>
      </c>
      <c r="AB218" s="31"/>
      <c r="BO218" s="938"/>
    </row>
    <row r="219" spans="1:67" s="13" customFormat="1" x14ac:dyDescent="0.3">
      <c r="B219" s="250" t="str">
        <f>B217</f>
        <v>TRAETHM01</v>
      </c>
      <c r="C219" s="250"/>
      <c r="D219" s="732"/>
      <c r="E219" s="250"/>
      <c r="F219" s="250"/>
      <c r="G219" s="250"/>
      <c r="H219" s="733"/>
      <c r="I219" s="250"/>
      <c r="J219" s="734" t="s">
        <v>1097</v>
      </c>
      <c r="K219" s="734" t="s">
        <v>1098</v>
      </c>
      <c r="L219" s="735"/>
      <c r="M219" s="735"/>
      <c r="N219" s="735"/>
      <c r="O219" s="735"/>
      <c r="P219" s="735"/>
      <c r="Q219" s="735"/>
      <c r="R219" s="735"/>
      <c r="S219" s="735"/>
      <c r="T219" s="735"/>
      <c r="U219" s="735"/>
      <c r="V219" s="735"/>
      <c r="W219" s="735"/>
      <c r="X219" s="735"/>
      <c r="Y219" s="735"/>
      <c r="Z219" s="735"/>
      <c r="AB219" s="31"/>
      <c r="BO219" s="938"/>
    </row>
    <row r="220" spans="1:67" s="13" customFormat="1" x14ac:dyDescent="0.3">
      <c r="A220" s="100"/>
      <c r="B220" s="736" t="str">
        <f>C220</f>
        <v>TRAH2G01</v>
      </c>
      <c r="C220" s="245" t="str">
        <f>CONCATENATE(F220,"01")</f>
        <v>TRAH2G01</v>
      </c>
      <c r="D220" s="737" t="str">
        <f>REPLACE(D65,1,9,"Fuel Tech New")</f>
        <v>Fuel Tech New - H2 (gaseous) (TRA)</v>
      </c>
      <c r="E220" s="324" t="s">
        <v>1082</v>
      </c>
      <c r="F220" s="738" t="str">
        <f>F65</f>
        <v>TRAH2G</v>
      </c>
      <c r="G220" s="738"/>
      <c r="H220" s="738"/>
      <c r="I220" s="739"/>
      <c r="J220" s="740" t="s">
        <v>1063</v>
      </c>
      <c r="K220" s="740"/>
      <c r="L220" s="741">
        <v>1</v>
      </c>
      <c r="M220" s="741">
        <v>1</v>
      </c>
      <c r="N220" s="741">
        <v>1</v>
      </c>
      <c r="O220" s="741">
        <v>1</v>
      </c>
      <c r="P220" s="741">
        <v>1</v>
      </c>
      <c r="Q220" s="741">
        <v>1</v>
      </c>
      <c r="R220" s="741">
        <v>1</v>
      </c>
      <c r="S220" s="741">
        <v>1</v>
      </c>
      <c r="T220" s="741">
        <v>1</v>
      </c>
      <c r="U220" s="741">
        <v>1</v>
      </c>
      <c r="V220" s="741">
        <v>1</v>
      </c>
      <c r="W220" s="741">
        <v>1</v>
      </c>
      <c r="X220" s="741">
        <v>1</v>
      </c>
      <c r="Y220" s="741">
        <v>1</v>
      </c>
      <c r="Z220" s="741">
        <v>1</v>
      </c>
      <c r="AB220" s="31"/>
      <c r="BO220" s="938"/>
    </row>
    <row r="221" spans="1:67" s="13" customFormat="1" x14ac:dyDescent="0.3">
      <c r="B221" s="245" t="str">
        <f>B220</f>
        <v>TRAH2G01</v>
      </c>
      <c r="C221" s="245"/>
      <c r="D221" s="742"/>
      <c r="E221" s="245"/>
      <c r="F221" s="245"/>
      <c r="G221" s="245"/>
      <c r="H221" s="743"/>
      <c r="I221" s="245"/>
      <c r="J221" s="744" t="s">
        <v>1096</v>
      </c>
      <c r="K221" s="744"/>
      <c r="L221" s="745">
        <f>$K$4</f>
        <v>2020</v>
      </c>
      <c r="M221" s="745">
        <f t="shared" ref="M221:Z221" si="199">$K$4</f>
        <v>2020</v>
      </c>
      <c r="N221" s="745">
        <f t="shared" si="199"/>
        <v>2020</v>
      </c>
      <c r="O221" s="745">
        <f t="shared" si="199"/>
        <v>2020</v>
      </c>
      <c r="P221" s="745">
        <f t="shared" si="199"/>
        <v>2020</v>
      </c>
      <c r="Q221" s="745">
        <f t="shared" si="199"/>
        <v>2020</v>
      </c>
      <c r="R221" s="745">
        <f t="shared" si="199"/>
        <v>2020</v>
      </c>
      <c r="S221" s="745">
        <f t="shared" si="199"/>
        <v>2020</v>
      </c>
      <c r="T221" s="745">
        <f t="shared" si="199"/>
        <v>2020</v>
      </c>
      <c r="U221" s="745">
        <f t="shared" si="199"/>
        <v>2020</v>
      </c>
      <c r="V221" s="745">
        <f t="shared" si="199"/>
        <v>2020</v>
      </c>
      <c r="W221" s="745">
        <f t="shared" si="199"/>
        <v>2020</v>
      </c>
      <c r="X221" s="745">
        <f t="shared" si="199"/>
        <v>2020</v>
      </c>
      <c r="Y221" s="745">
        <f t="shared" si="199"/>
        <v>2020</v>
      </c>
      <c r="Z221" s="745">
        <f t="shared" si="199"/>
        <v>2020</v>
      </c>
      <c r="AB221" s="31"/>
      <c r="BO221" s="938"/>
    </row>
    <row r="222" spans="1:67" s="13" customFormat="1" x14ac:dyDescent="0.3">
      <c r="B222" s="250" t="str">
        <f>B220</f>
        <v>TRAH2G01</v>
      </c>
      <c r="C222" s="250"/>
      <c r="D222" s="732"/>
      <c r="E222" s="250"/>
      <c r="F222" s="250"/>
      <c r="G222" s="250"/>
      <c r="H222" s="733"/>
      <c r="I222" s="250"/>
      <c r="J222" s="734" t="s">
        <v>1097</v>
      </c>
      <c r="K222" s="734" t="s">
        <v>1098</v>
      </c>
      <c r="L222" s="735"/>
      <c r="M222" s="735"/>
      <c r="N222" s="735"/>
      <c r="O222" s="735"/>
      <c r="P222" s="735"/>
      <c r="Q222" s="735"/>
      <c r="R222" s="735"/>
      <c r="S222" s="735"/>
      <c r="T222" s="735"/>
      <c r="U222" s="735"/>
      <c r="V222" s="735"/>
      <c r="W222" s="735"/>
      <c r="X222" s="735"/>
      <c r="Y222" s="735"/>
      <c r="Z222" s="735"/>
      <c r="AB222" s="31"/>
      <c r="BO222" s="938"/>
    </row>
    <row r="223" spans="1:67" s="13" customFormat="1" x14ac:dyDescent="0.3">
      <c r="A223" s="100"/>
      <c r="B223" s="736" t="str">
        <f>C223</f>
        <v>TRANGS01</v>
      </c>
      <c r="C223" s="245" t="str">
        <f>CONCATENATE(F223,"01")</f>
        <v>TRANGS01</v>
      </c>
      <c r="D223" s="737" t="str">
        <f>REPLACE(D71,1,9,"Fuel Tech New")</f>
        <v>Fuel Tech New - Natural Gas (TRA)</v>
      </c>
      <c r="E223" s="324" t="str">
        <f>E71</f>
        <v>GASNAT</v>
      </c>
      <c r="F223" s="738" t="str">
        <f>F71</f>
        <v>TRANGS</v>
      </c>
      <c r="G223" s="738"/>
      <c r="H223" s="738"/>
      <c r="I223" s="739"/>
      <c r="J223" s="740" t="s">
        <v>1063</v>
      </c>
      <c r="K223" s="740"/>
      <c r="L223" s="741">
        <v>1</v>
      </c>
      <c r="M223" s="741">
        <v>1</v>
      </c>
      <c r="N223" s="741">
        <v>1</v>
      </c>
      <c r="O223" s="741">
        <v>1</v>
      </c>
      <c r="P223" s="741">
        <v>1</v>
      </c>
      <c r="Q223" s="741">
        <v>1</v>
      </c>
      <c r="R223" s="741">
        <v>1</v>
      </c>
      <c r="S223" s="741">
        <v>1</v>
      </c>
      <c r="T223" s="741">
        <v>1</v>
      </c>
      <c r="U223" s="741">
        <v>1</v>
      </c>
      <c r="V223" s="741">
        <v>1</v>
      </c>
      <c r="W223" s="741">
        <v>1</v>
      </c>
      <c r="X223" s="741">
        <v>1</v>
      </c>
      <c r="Y223" s="741">
        <v>1</v>
      </c>
      <c r="Z223" s="741">
        <v>1</v>
      </c>
      <c r="AB223" s="31"/>
      <c r="BO223" s="938"/>
    </row>
    <row r="224" spans="1:67" s="13" customFormat="1" x14ac:dyDescent="0.3">
      <c r="B224" s="245" t="str">
        <f>B223</f>
        <v>TRANGS01</v>
      </c>
      <c r="C224" s="245"/>
      <c r="D224" s="742"/>
      <c r="E224" s="245"/>
      <c r="F224" s="245"/>
      <c r="G224" s="245"/>
      <c r="H224" s="743"/>
      <c r="I224" s="245"/>
      <c r="J224" s="744" t="s">
        <v>1096</v>
      </c>
      <c r="K224" s="744"/>
      <c r="L224" s="745">
        <f>$K$4</f>
        <v>2020</v>
      </c>
      <c r="M224" s="745">
        <f t="shared" ref="M224:Z224" si="200">$K$4</f>
        <v>2020</v>
      </c>
      <c r="N224" s="745">
        <f t="shared" si="200"/>
        <v>2020</v>
      </c>
      <c r="O224" s="745">
        <f t="shared" si="200"/>
        <v>2020</v>
      </c>
      <c r="P224" s="745">
        <f t="shared" si="200"/>
        <v>2020</v>
      </c>
      <c r="Q224" s="745">
        <f t="shared" si="200"/>
        <v>2020</v>
      </c>
      <c r="R224" s="745">
        <f t="shared" si="200"/>
        <v>2020</v>
      </c>
      <c r="S224" s="745">
        <f t="shared" si="200"/>
        <v>2020</v>
      </c>
      <c r="T224" s="745">
        <f t="shared" si="200"/>
        <v>2020</v>
      </c>
      <c r="U224" s="745">
        <f t="shared" si="200"/>
        <v>2020</v>
      </c>
      <c r="V224" s="745">
        <f t="shared" si="200"/>
        <v>2020</v>
      </c>
      <c r="W224" s="745">
        <f t="shared" si="200"/>
        <v>2020</v>
      </c>
      <c r="X224" s="745">
        <f t="shared" si="200"/>
        <v>2020</v>
      </c>
      <c r="Y224" s="745">
        <f t="shared" si="200"/>
        <v>2020</v>
      </c>
      <c r="Z224" s="745">
        <f t="shared" si="200"/>
        <v>2020</v>
      </c>
      <c r="AB224" s="31"/>
      <c r="BO224" s="938"/>
    </row>
    <row r="225" spans="1:67" s="13" customFormat="1" x14ac:dyDescent="0.3">
      <c r="B225" s="250" t="str">
        <f>B223</f>
        <v>TRANGS01</v>
      </c>
      <c r="C225" s="250"/>
      <c r="D225" s="732"/>
      <c r="E225" s="250"/>
      <c r="F225" s="250"/>
      <c r="G225" s="250"/>
      <c r="H225" s="733"/>
      <c r="I225" s="250"/>
      <c r="J225" s="734" t="s">
        <v>1097</v>
      </c>
      <c r="K225" s="734" t="s">
        <v>1098</v>
      </c>
      <c r="L225" s="735"/>
      <c r="M225" s="735"/>
      <c r="N225" s="735"/>
      <c r="O225" s="735"/>
      <c r="P225" s="735"/>
      <c r="Q225" s="735"/>
      <c r="R225" s="735"/>
      <c r="S225" s="735"/>
      <c r="T225" s="735"/>
      <c r="U225" s="735"/>
      <c r="V225" s="735"/>
      <c r="W225" s="735"/>
      <c r="X225" s="735"/>
      <c r="Y225" s="735"/>
      <c r="Z225" s="735"/>
      <c r="AB225" s="31"/>
      <c r="BO225" s="938"/>
    </row>
    <row r="226" spans="1:67" s="13" customFormat="1" x14ac:dyDescent="0.3">
      <c r="A226" s="100"/>
      <c r="B226" s="736" t="str">
        <f>C226</f>
        <v>TRAHUM01</v>
      </c>
      <c r="C226" s="245" t="str">
        <f>CONCATENATE(F226,"01")</f>
        <v>TRAHUM01</v>
      </c>
      <c r="D226" s="737" t="str">
        <f>REPLACE(D77,1,9,"Fuel Tech New")</f>
        <v>Fuel Tech New - Human power</v>
      </c>
      <c r="E226" s="324" t="str">
        <f>E77</f>
        <v>HUMPOW</v>
      </c>
      <c r="F226" s="738" t="str">
        <f>F77</f>
        <v>TRAHUM</v>
      </c>
      <c r="G226" s="738"/>
      <c r="H226" s="738"/>
      <c r="I226" s="739"/>
      <c r="J226" s="740" t="s">
        <v>1063</v>
      </c>
      <c r="K226" s="740"/>
      <c r="L226" s="741">
        <v>1</v>
      </c>
      <c r="M226" s="741">
        <v>1</v>
      </c>
      <c r="N226" s="741">
        <v>1</v>
      </c>
      <c r="O226" s="741">
        <v>1</v>
      </c>
      <c r="P226" s="741">
        <v>1</v>
      </c>
      <c r="Q226" s="741">
        <v>1</v>
      </c>
      <c r="R226" s="741">
        <v>1</v>
      </c>
      <c r="S226" s="741">
        <v>1</v>
      </c>
      <c r="T226" s="741">
        <v>1</v>
      </c>
      <c r="U226" s="741">
        <v>1</v>
      </c>
      <c r="V226" s="741">
        <v>1</v>
      </c>
      <c r="W226" s="741">
        <v>1</v>
      </c>
      <c r="X226" s="741">
        <v>1</v>
      </c>
      <c r="Y226" s="741">
        <v>1</v>
      </c>
      <c r="Z226" s="741">
        <v>1</v>
      </c>
      <c r="AB226" s="31"/>
      <c r="BO226" s="938"/>
    </row>
    <row r="227" spans="1:67" s="13" customFormat="1" x14ac:dyDescent="0.3">
      <c r="B227" s="245" t="str">
        <f>B226</f>
        <v>TRAHUM01</v>
      </c>
      <c r="C227" s="245"/>
      <c r="D227" s="742"/>
      <c r="E227" s="245"/>
      <c r="F227" s="245"/>
      <c r="G227" s="245"/>
      <c r="H227" s="743"/>
      <c r="I227" s="245"/>
      <c r="J227" s="744" t="s">
        <v>1096</v>
      </c>
      <c r="K227" s="744"/>
      <c r="L227" s="745">
        <f>$K$4</f>
        <v>2020</v>
      </c>
      <c r="M227" s="745">
        <f t="shared" ref="M227:Z227" si="201">$K$4</f>
        <v>2020</v>
      </c>
      <c r="N227" s="745">
        <f t="shared" si="201"/>
        <v>2020</v>
      </c>
      <c r="O227" s="745">
        <f t="shared" si="201"/>
        <v>2020</v>
      </c>
      <c r="P227" s="745">
        <f t="shared" si="201"/>
        <v>2020</v>
      </c>
      <c r="Q227" s="745">
        <f t="shared" si="201"/>
        <v>2020</v>
      </c>
      <c r="R227" s="745">
        <f t="shared" si="201"/>
        <v>2020</v>
      </c>
      <c r="S227" s="745">
        <f t="shared" si="201"/>
        <v>2020</v>
      </c>
      <c r="T227" s="745">
        <f t="shared" si="201"/>
        <v>2020</v>
      </c>
      <c r="U227" s="745">
        <f t="shared" si="201"/>
        <v>2020</v>
      </c>
      <c r="V227" s="745">
        <f t="shared" si="201"/>
        <v>2020</v>
      </c>
      <c r="W227" s="745">
        <f t="shared" si="201"/>
        <v>2020</v>
      </c>
      <c r="X227" s="745">
        <f t="shared" si="201"/>
        <v>2020</v>
      </c>
      <c r="Y227" s="745">
        <f t="shared" si="201"/>
        <v>2020</v>
      </c>
      <c r="Z227" s="745">
        <f t="shared" si="201"/>
        <v>2020</v>
      </c>
      <c r="AB227" s="31"/>
      <c r="BO227" s="938"/>
    </row>
    <row r="228" spans="1:67" s="13" customFormat="1" x14ac:dyDescent="0.3">
      <c r="B228" s="250" t="str">
        <f>B226</f>
        <v>TRAHUM01</v>
      </c>
      <c r="C228" s="250"/>
      <c r="D228" s="732"/>
      <c r="E228" s="250"/>
      <c r="F228" s="250"/>
      <c r="G228" s="250"/>
      <c r="H228" s="733"/>
      <c r="I228" s="250"/>
      <c r="J228" s="734" t="s">
        <v>1097</v>
      </c>
      <c r="K228" s="734" t="s">
        <v>1098</v>
      </c>
      <c r="L228" s="735"/>
      <c r="M228" s="735"/>
      <c r="N228" s="735"/>
      <c r="O228" s="735"/>
      <c r="P228" s="735"/>
      <c r="Q228" s="735"/>
      <c r="R228" s="735"/>
      <c r="S228" s="735"/>
      <c r="T228" s="735"/>
      <c r="U228" s="735"/>
      <c r="V228" s="735"/>
      <c r="W228" s="735"/>
      <c r="X228" s="735"/>
      <c r="Y228" s="735"/>
      <c r="Z228" s="735"/>
      <c r="AB228" s="31"/>
      <c r="BO228" s="938"/>
    </row>
    <row r="229" spans="1:67" s="13" customFormat="1" x14ac:dyDescent="0.3">
      <c r="A229" s="100"/>
      <c r="B229" s="736" t="str">
        <f>C229</f>
        <v>TRADSR01</v>
      </c>
      <c r="C229" s="245" t="str">
        <f>CONCATENATE(F229,"01")</f>
        <v>TRADSR01</v>
      </c>
      <c r="D229" s="737" t="str">
        <f>REPLACE(D83,1,9,"Fuel Tech New")</f>
        <v>Fuel Tech New - Diesel for rail transportation (TRA)</v>
      </c>
      <c r="E229" s="324" t="s">
        <v>1085</v>
      </c>
      <c r="F229" s="738" t="s">
        <v>1001</v>
      </c>
      <c r="G229" s="738"/>
      <c r="H229" s="738"/>
      <c r="I229" s="739"/>
      <c r="J229" s="740" t="s">
        <v>1063</v>
      </c>
      <c r="K229" s="740"/>
      <c r="L229" s="741">
        <v>1</v>
      </c>
      <c r="M229" s="741">
        <v>1</v>
      </c>
      <c r="N229" s="741">
        <v>1</v>
      </c>
      <c r="O229" s="741">
        <v>1</v>
      </c>
      <c r="P229" s="741">
        <v>1</v>
      </c>
      <c r="Q229" s="741">
        <v>1</v>
      </c>
      <c r="R229" s="741">
        <v>1</v>
      </c>
      <c r="S229" s="741">
        <v>1</v>
      </c>
      <c r="T229" s="741">
        <v>1</v>
      </c>
      <c r="U229" s="741">
        <v>1</v>
      </c>
      <c r="V229" s="741">
        <v>1</v>
      </c>
      <c r="W229" s="741">
        <v>1</v>
      </c>
      <c r="X229" s="741">
        <v>1</v>
      </c>
      <c r="Y229" s="741">
        <v>1</v>
      </c>
      <c r="Z229" s="741">
        <v>1</v>
      </c>
      <c r="AB229" s="31"/>
      <c r="BO229" s="938"/>
    </row>
    <row r="230" spans="1:67" s="13" customFormat="1" x14ac:dyDescent="0.3">
      <c r="B230" s="245" t="str">
        <f>B229</f>
        <v>TRADSR01</v>
      </c>
      <c r="C230" s="245"/>
      <c r="D230" s="742"/>
      <c r="E230" s="245"/>
      <c r="F230" s="245"/>
      <c r="G230" s="245"/>
      <c r="H230" s="743"/>
      <c r="I230" s="245"/>
      <c r="J230" s="744" t="s">
        <v>1096</v>
      </c>
      <c r="K230" s="744"/>
      <c r="L230" s="745">
        <f>$K$4</f>
        <v>2020</v>
      </c>
      <c r="M230" s="745">
        <f t="shared" ref="M230:Z230" si="202">$K$4</f>
        <v>2020</v>
      </c>
      <c r="N230" s="745">
        <f t="shared" si="202"/>
        <v>2020</v>
      </c>
      <c r="O230" s="745">
        <f t="shared" si="202"/>
        <v>2020</v>
      </c>
      <c r="P230" s="745">
        <f t="shared" si="202"/>
        <v>2020</v>
      </c>
      <c r="Q230" s="745">
        <f t="shared" si="202"/>
        <v>2020</v>
      </c>
      <c r="R230" s="745">
        <f t="shared" si="202"/>
        <v>2020</v>
      </c>
      <c r="S230" s="745">
        <f t="shared" si="202"/>
        <v>2020</v>
      </c>
      <c r="T230" s="745">
        <f t="shared" si="202"/>
        <v>2020</v>
      </c>
      <c r="U230" s="745">
        <f t="shared" si="202"/>
        <v>2020</v>
      </c>
      <c r="V230" s="745">
        <f t="shared" si="202"/>
        <v>2020</v>
      </c>
      <c r="W230" s="745">
        <f t="shared" si="202"/>
        <v>2020</v>
      </c>
      <c r="X230" s="745">
        <f t="shared" si="202"/>
        <v>2020</v>
      </c>
      <c r="Y230" s="745">
        <f t="shared" si="202"/>
        <v>2020</v>
      </c>
      <c r="Z230" s="745">
        <f t="shared" si="202"/>
        <v>2020</v>
      </c>
      <c r="AB230" s="31"/>
      <c r="BO230" s="938"/>
    </row>
    <row r="231" spans="1:67" s="13" customFormat="1" x14ac:dyDescent="0.3">
      <c r="B231" s="250" t="str">
        <f>B229</f>
        <v>TRADSR01</v>
      </c>
      <c r="C231" s="250"/>
      <c r="D231" s="732"/>
      <c r="E231" s="250"/>
      <c r="F231" s="250"/>
      <c r="G231" s="250"/>
      <c r="H231" s="733"/>
      <c r="I231" s="250"/>
      <c r="J231" s="734" t="s">
        <v>1097</v>
      </c>
      <c r="K231" s="734" t="s">
        <v>1098</v>
      </c>
      <c r="L231" s="735"/>
      <c r="M231" s="735"/>
      <c r="N231" s="735"/>
      <c r="O231" s="735"/>
      <c r="P231" s="735"/>
      <c r="Q231" s="735"/>
      <c r="R231" s="735"/>
      <c r="S231" s="735"/>
      <c r="T231" s="735"/>
      <c r="U231" s="735"/>
      <c r="V231" s="735"/>
      <c r="W231" s="735"/>
      <c r="X231" s="735"/>
      <c r="Y231" s="735"/>
      <c r="Z231" s="735"/>
      <c r="AB231" s="31"/>
      <c r="BO231" s="938"/>
    </row>
    <row r="232" spans="1:67" s="13" customFormat="1" x14ac:dyDescent="0.3">
      <c r="A232" s="100"/>
      <c r="B232" s="736" t="str">
        <f>C232</f>
        <v>TRADST01</v>
      </c>
      <c r="C232" s="245" t="str">
        <f>CONCATENATE(F232,"01")</f>
        <v>TRADST01</v>
      </c>
      <c r="D232" s="737" t="str">
        <f>REPLACE(D89,1,9,"Fuel Tech New")</f>
        <v>Fuel Tech New - Diesel (TRA)</v>
      </c>
      <c r="E232" s="324" t="str">
        <f>E89</f>
        <v>OILDST</v>
      </c>
      <c r="F232" s="738" t="str">
        <f>F89</f>
        <v>TRADST</v>
      </c>
      <c r="G232" s="738"/>
      <c r="H232" s="738"/>
      <c r="I232" s="739"/>
      <c r="J232" s="740" t="s">
        <v>1063</v>
      </c>
      <c r="K232" s="740"/>
      <c r="L232" s="741">
        <v>1</v>
      </c>
      <c r="M232" s="741">
        <v>1</v>
      </c>
      <c r="N232" s="741">
        <v>1</v>
      </c>
      <c r="O232" s="741">
        <v>1</v>
      </c>
      <c r="P232" s="741">
        <v>1</v>
      </c>
      <c r="Q232" s="741">
        <v>1</v>
      </c>
      <c r="R232" s="741">
        <v>1</v>
      </c>
      <c r="S232" s="741">
        <v>1</v>
      </c>
      <c r="T232" s="741">
        <v>1</v>
      </c>
      <c r="U232" s="741">
        <v>1</v>
      </c>
      <c r="V232" s="741">
        <v>1</v>
      </c>
      <c r="W232" s="741">
        <v>1</v>
      </c>
      <c r="X232" s="741">
        <v>1</v>
      </c>
      <c r="Y232" s="741">
        <v>1</v>
      </c>
      <c r="Z232" s="741">
        <v>1</v>
      </c>
      <c r="AB232" s="31"/>
      <c r="BO232" s="938"/>
    </row>
    <row r="233" spans="1:67" s="13" customFormat="1" x14ac:dyDescent="0.3">
      <c r="B233" s="245" t="str">
        <f>B232</f>
        <v>TRADST01</v>
      </c>
      <c r="C233" s="245"/>
      <c r="D233" s="742"/>
      <c r="E233" s="245"/>
      <c r="F233" s="245"/>
      <c r="G233" s="245"/>
      <c r="H233" s="743"/>
      <c r="I233" s="245"/>
      <c r="J233" s="744" t="s">
        <v>1096</v>
      </c>
      <c r="K233" s="744"/>
      <c r="L233" s="745">
        <f>$K$4</f>
        <v>2020</v>
      </c>
      <c r="M233" s="745">
        <f t="shared" ref="M233:Z233" si="203">$K$4</f>
        <v>2020</v>
      </c>
      <c r="N233" s="745">
        <f t="shared" si="203"/>
        <v>2020</v>
      </c>
      <c r="O233" s="745">
        <f t="shared" si="203"/>
        <v>2020</v>
      </c>
      <c r="P233" s="745">
        <f t="shared" si="203"/>
        <v>2020</v>
      </c>
      <c r="Q233" s="745">
        <f t="shared" si="203"/>
        <v>2020</v>
      </c>
      <c r="R233" s="745">
        <f t="shared" si="203"/>
        <v>2020</v>
      </c>
      <c r="S233" s="745">
        <f t="shared" si="203"/>
        <v>2020</v>
      </c>
      <c r="T233" s="745">
        <f t="shared" si="203"/>
        <v>2020</v>
      </c>
      <c r="U233" s="745">
        <f t="shared" si="203"/>
        <v>2020</v>
      </c>
      <c r="V233" s="745">
        <f t="shared" si="203"/>
        <v>2020</v>
      </c>
      <c r="W233" s="745">
        <f t="shared" si="203"/>
        <v>2020</v>
      </c>
      <c r="X233" s="745">
        <f t="shared" si="203"/>
        <v>2020</v>
      </c>
      <c r="Y233" s="745">
        <f t="shared" si="203"/>
        <v>2020</v>
      </c>
      <c r="Z233" s="745">
        <f t="shared" si="203"/>
        <v>2020</v>
      </c>
      <c r="AB233" s="31"/>
      <c r="BO233" s="938"/>
    </row>
    <row r="234" spans="1:67" s="13" customFormat="1" x14ac:dyDescent="0.3">
      <c r="B234" s="250" t="str">
        <f>B232</f>
        <v>TRADST01</v>
      </c>
      <c r="C234" s="250"/>
      <c r="D234" s="732"/>
      <c r="E234" s="250"/>
      <c r="F234" s="250"/>
      <c r="G234" s="250"/>
      <c r="H234" s="733"/>
      <c r="I234" s="250"/>
      <c r="J234" s="734" t="s">
        <v>1097</v>
      </c>
      <c r="K234" s="734" t="s">
        <v>1098</v>
      </c>
      <c r="L234" s="735"/>
      <c r="M234" s="735"/>
      <c r="N234" s="735"/>
      <c r="O234" s="735"/>
      <c r="P234" s="735"/>
      <c r="Q234" s="735"/>
      <c r="R234" s="735"/>
      <c r="S234" s="735"/>
      <c r="T234" s="735"/>
      <c r="U234" s="735"/>
      <c r="V234" s="735"/>
      <c r="W234" s="735"/>
      <c r="X234" s="735"/>
      <c r="Y234" s="735"/>
      <c r="Z234" s="735"/>
      <c r="AB234" s="31"/>
      <c r="BO234" s="938"/>
    </row>
    <row r="235" spans="1:67" s="13" customFormat="1" x14ac:dyDescent="0.3">
      <c r="A235" s="100"/>
      <c r="B235" s="736" t="str">
        <f>C235</f>
        <v>TRAGSL01</v>
      </c>
      <c r="C235" s="245" t="str">
        <f>CONCATENATE(F235,"01")</f>
        <v>TRAGSL01</v>
      </c>
      <c r="D235" s="737" t="str">
        <f>REPLACE(D95,1,9,"Fuel Tech New")</f>
        <v>Fuel Tech New - Gasoline (TRA)</v>
      </c>
      <c r="E235" s="324" t="str">
        <f>E95</f>
        <v>OILGSL</v>
      </c>
      <c r="F235" s="738" t="str">
        <f>F95</f>
        <v>TRAGSL</v>
      </c>
      <c r="G235" s="738"/>
      <c r="H235" s="738"/>
      <c r="I235" s="739"/>
      <c r="J235" s="740" t="s">
        <v>1063</v>
      </c>
      <c r="K235" s="740"/>
      <c r="L235" s="741">
        <v>1</v>
      </c>
      <c r="M235" s="741">
        <v>1</v>
      </c>
      <c r="N235" s="741">
        <v>1</v>
      </c>
      <c r="O235" s="741">
        <v>1</v>
      </c>
      <c r="P235" s="741">
        <v>1</v>
      </c>
      <c r="Q235" s="741">
        <v>1</v>
      </c>
      <c r="R235" s="741">
        <v>1</v>
      </c>
      <c r="S235" s="741">
        <v>1</v>
      </c>
      <c r="T235" s="741">
        <v>1</v>
      </c>
      <c r="U235" s="741">
        <v>1</v>
      </c>
      <c r="V235" s="741">
        <v>1</v>
      </c>
      <c r="W235" s="741">
        <v>1</v>
      </c>
      <c r="X235" s="741">
        <v>1</v>
      </c>
      <c r="Y235" s="741">
        <v>1</v>
      </c>
      <c r="Z235" s="741">
        <v>1</v>
      </c>
      <c r="AB235" s="31"/>
      <c r="BO235" s="938"/>
    </row>
    <row r="236" spans="1:67" s="13" customFormat="1" x14ac:dyDescent="0.3">
      <c r="B236" s="245" t="str">
        <f>B235</f>
        <v>TRAGSL01</v>
      </c>
      <c r="C236" s="245"/>
      <c r="D236" s="742"/>
      <c r="E236" s="245"/>
      <c r="F236" s="245"/>
      <c r="G236" s="245"/>
      <c r="H236" s="743"/>
      <c r="I236" s="245"/>
      <c r="J236" s="744" t="s">
        <v>1096</v>
      </c>
      <c r="K236" s="744"/>
      <c r="L236" s="745">
        <f>$K$4</f>
        <v>2020</v>
      </c>
      <c r="M236" s="745">
        <f t="shared" ref="M236:Z236" si="204">$K$4</f>
        <v>2020</v>
      </c>
      <c r="N236" s="745">
        <f t="shared" si="204"/>
        <v>2020</v>
      </c>
      <c r="O236" s="745">
        <f t="shared" si="204"/>
        <v>2020</v>
      </c>
      <c r="P236" s="745">
        <f t="shared" si="204"/>
        <v>2020</v>
      </c>
      <c r="Q236" s="745">
        <f t="shared" si="204"/>
        <v>2020</v>
      </c>
      <c r="R236" s="745">
        <f t="shared" si="204"/>
        <v>2020</v>
      </c>
      <c r="S236" s="745">
        <f t="shared" si="204"/>
        <v>2020</v>
      </c>
      <c r="T236" s="745">
        <f t="shared" si="204"/>
        <v>2020</v>
      </c>
      <c r="U236" s="745">
        <f t="shared" si="204"/>
        <v>2020</v>
      </c>
      <c r="V236" s="745">
        <f t="shared" si="204"/>
        <v>2020</v>
      </c>
      <c r="W236" s="745">
        <f t="shared" si="204"/>
        <v>2020</v>
      </c>
      <c r="X236" s="745">
        <f t="shared" si="204"/>
        <v>2020</v>
      </c>
      <c r="Y236" s="745">
        <f t="shared" si="204"/>
        <v>2020</v>
      </c>
      <c r="Z236" s="745">
        <f t="shared" si="204"/>
        <v>2020</v>
      </c>
      <c r="AB236" s="31"/>
      <c r="BO236" s="938"/>
    </row>
    <row r="237" spans="1:67" s="13" customFormat="1" x14ac:dyDescent="0.3">
      <c r="B237" s="250" t="str">
        <f>B235</f>
        <v>TRAGSL01</v>
      </c>
      <c r="C237" s="250"/>
      <c r="D237" s="732"/>
      <c r="E237" s="250"/>
      <c r="F237" s="250"/>
      <c r="G237" s="250"/>
      <c r="H237" s="733"/>
      <c r="I237" s="250"/>
      <c r="J237" s="734" t="s">
        <v>1097</v>
      </c>
      <c r="K237" s="734" t="s">
        <v>1098</v>
      </c>
      <c r="L237" s="735"/>
      <c r="M237" s="735"/>
      <c r="N237" s="735"/>
      <c r="O237" s="735"/>
      <c r="P237" s="735"/>
      <c r="Q237" s="735"/>
      <c r="R237" s="735"/>
      <c r="S237" s="735"/>
      <c r="T237" s="735"/>
      <c r="U237" s="735"/>
      <c r="V237" s="735"/>
      <c r="W237" s="735"/>
      <c r="X237" s="735"/>
      <c r="Y237" s="735"/>
      <c r="Z237" s="735"/>
      <c r="AB237" s="31"/>
      <c r="BO237" s="938"/>
    </row>
    <row r="238" spans="1:67" s="13" customFormat="1" x14ac:dyDescent="0.3">
      <c r="A238" s="100"/>
      <c r="B238" s="736" t="str">
        <f>C238</f>
        <v>TRAKER01</v>
      </c>
      <c r="C238" s="245" t="str">
        <f>CONCATENATE(F238,"01")</f>
        <v>TRAKER01</v>
      </c>
      <c r="D238" s="737" t="str">
        <f>REPLACE(D101,1,9,"Fuel Tech New")</f>
        <v>Fuel Tech New - Kerosene - Jet Fuels (TRA)</v>
      </c>
      <c r="E238" s="324" t="str">
        <f>E101</f>
        <v>OILKER</v>
      </c>
      <c r="F238" s="738" t="str">
        <f>F101</f>
        <v>TRAKER</v>
      </c>
      <c r="G238" s="738"/>
      <c r="H238" s="738"/>
      <c r="I238" s="739"/>
      <c r="J238" s="740" t="s">
        <v>1063</v>
      </c>
      <c r="K238" s="740"/>
      <c r="L238" s="741">
        <v>1</v>
      </c>
      <c r="M238" s="741">
        <v>1</v>
      </c>
      <c r="N238" s="741">
        <v>1</v>
      </c>
      <c r="O238" s="741">
        <v>1</v>
      </c>
      <c r="P238" s="741">
        <v>1</v>
      </c>
      <c r="Q238" s="741">
        <v>1</v>
      </c>
      <c r="R238" s="741">
        <v>1</v>
      </c>
      <c r="S238" s="741">
        <v>1</v>
      </c>
      <c r="T238" s="741">
        <v>1</v>
      </c>
      <c r="U238" s="741">
        <v>1</v>
      </c>
      <c r="V238" s="741">
        <v>1</v>
      </c>
      <c r="W238" s="741">
        <v>1</v>
      </c>
      <c r="X238" s="741">
        <v>1</v>
      </c>
      <c r="Y238" s="741">
        <v>1</v>
      </c>
      <c r="Z238" s="741">
        <v>1</v>
      </c>
      <c r="AB238" s="31"/>
      <c r="BO238" s="938"/>
    </row>
    <row r="239" spans="1:67" s="13" customFormat="1" x14ac:dyDescent="0.3">
      <c r="B239" s="245" t="str">
        <f>B238</f>
        <v>TRAKER01</v>
      </c>
      <c r="C239" s="245"/>
      <c r="D239" s="742"/>
      <c r="E239" s="245"/>
      <c r="F239" s="245"/>
      <c r="G239" s="245"/>
      <c r="H239" s="743"/>
      <c r="I239" s="245"/>
      <c r="J239" s="744" t="s">
        <v>1096</v>
      </c>
      <c r="K239" s="744"/>
      <c r="L239" s="745">
        <f>$K$4</f>
        <v>2020</v>
      </c>
      <c r="M239" s="745">
        <f t="shared" ref="M239:Z239" si="205">$K$4</f>
        <v>2020</v>
      </c>
      <c r="N239" s="745">
        <f t="shared" si="205"/>
        <v>2020</v>
      </c>
      <c r="O239" s="745">
        <f t="shared" si="205"/>
        <v>2020</v>
      </c>
      <c r="P239" s="745">
        <f t="shared" si="205"/>
        <v>2020</v>
      </c>
      <c r="Q239" s="745">
        <f t="shared" si="205"/>
        <v>2020</v>
      </c>
      <c r="R239" s="745">
        <f t="shared" si="205"/>
        <v>2020</v>
      </c>
      <c r="S239" s="745">
        <f t="shared" si="205"/>
        <v>2020</v>
      </c>
      <c r="T239" s="745">
        <f t="shared" si="205"/>
        <v>2020</v>
      </c>
      <c r="U239" s="745">
        <f t="shared" si="205"/>
        <v>2020</v>
      </c>
      <c r="V239" s="745">
        <f t="shared" si="205"/>
        <v>2020</v>
      </c>
      <c r="W239" s="745">
        <f t="shared" si="205"/>
        <v>2020</v>
      </c>
      <c r="X239" s="745">
        <f t="shared" si="205"/>
        <v>2020</v>
      </c>
      <c r="Y239" s="745">
        <f t="shared" si="205"/>
        <v>2020</v>
      </c>
      <c r="Z239" s="745">
        <f t="shared" si="205"/>
        <v>2020</v>
      </c>
      <c r="AB239" s="31"/>
      <c r="BO239" s="938"/>
    </row>
    <row r="240" spans="1:67" s="13" customFormat="1" x14ac:dyDescent="0.3">
      <c r="B240" s="250" t="str">
        <f>B238</f>
        <v>TRAKER01</v>
      </c>
      <c r="C240" s="250"/>
      <c r="D240" s="732"/>
      <c r="E240" s="250"/>
      <c r="F240" s="250"/>
      <c r="G240" s="250"/>
      <c r="H240" s="733"/>
      <c r="I240" s="250"/>
      <c r="J240" s="734" t="s">
        <v>1097</v>
      </c>
      <c r="K240" s="734" t="s">
        <v>1098</v>
      </c>
      <c r="L240" s="735"/>
      <c r="M240" s="735"/>
      <c r="N240" s="735"/>
      <c r="O240" s="735"/>
      <c r="P240" s="735"/>
      <c r="Q240" s="735"/>
      <c r="R240" s="735"/>
      <c r="S240" s="735"/>
      <c r="T240" s="735"/>
      <c r="U240" s="735"/>
      <c r="V240" s="735"/>
      <c r="W240" s="735"/>
      <c r="X240" s="735"/>
      <c r="Y240" s="735"/>
      <c r="Z240" s="735"/>
      <c r="AB240" s="31"/>
      <c r="BO240" s="938"/>
    </row>
    <row r="241" spans="1:67" s="13" customFormat="1" x14ac:dyDescent="0.3">
      <c r="A241" s="100"/>
      <c r="B241" s="736" t="str">
        <f>C241</f>
        <v>TRAHFO01</v>
      </c>
      <c r="C241" s="245" t="str">
        <f>CONCATENATE(F241,"01")</f>
        <v>TRAHFO01</v>
      </c>
      <c r="D241" s="737" t="str">
        <f>REPLACE(D107,1,9,"Fuel Tech New")</f>
        <v>Fuel Tech New - Heavy Fuel Oil (TRA)</v>
      </c>
      <c r="E241" s="324" t="str">
        <f>E107</f>
        <v>OILHFO</v>
      </c>
      <c r="F241" s="738" t="str">
        <f>F107</f>
        <v>TRAHFO</v>
      </c>
      <c r="G241" s="738"/>
      <c r="H241" s="738"/>
      <c r="I241" s="739"/>
      <c r="J241" s="740" t="s">
        <v>1063</v>
      </c>
      <c r="K241" s="740"/>
      <c r="L241" s="741">
        <v>1</v>
      </c>
      <c r="M241" s="741">
        <v>1</v>
      </c>
      <c r="N241" s="741">
        <v>1</v>
      </c>
      <c r="O241" s="741">
        <v>1</v>
      </c>
      <c r="P241" s="741">
        <v>1</v>
      </c>
      <c r="Q241" s="741">
        <v>1</v>
      </c>
      <c r="R241" s="741">
        <v>1</v>
      </c>
      <c r="S241" s="741">
        <v>1</v>
      </c>
      <c r="T241" s="741">
        <v>1</v>
      </c>
      <c r="U241" s="741">
        <v>1</v>
      </c>
      <c r="V241" s="741">
        <v>1</v>
      </c>
      <c r="W241" s="741">
        <v>1</v>
      </c>
      <c r="X241" s="741">
        <v>1</v>
      </c>
      <c r="Y241" s="741">
        <v>1</v>
      </c>
      <c r="Z241" s="741">
        <v>1</v>
      </c>
      <c r="AB241" s="31"/>
      <c r="BO241" s="938"/>
    </row>
    <row r="242" spans="1:67" s="13" customFormat="1" x14ac:dyDescent="0.3">
      <c r="B242" s="245" t="str">
        <f>B241</f>
        <v>TRAHFO01</v>
      </c>
      <c r="C242" s="245"/>
      <c r="D242" s="742"/>
      <c r="E242" s="245"/>
      <c r="F242" s="245"/>
      <c r="G242" s="245"/>
      <c r="H242" s="743"/>
      <c r="I242" s="245"/>
      <c r="J242" s="744" t="s">
        <v>1096</v>
      </c>
      <c r="K242" s="744"/>
      <c r="L242" s="745">
        <f>$K$4</f>
        <v>2020</v>
      </c>
      <c r="M242" s="745">
        <f t="shared" ref="M242:Z242" si="206">$K$4</f>
        <v>2020</v>
      </c>
      <c r="N242" s="745">
        <f t="shared" si="206"/>
        <v>2020</v>
      </c>
      <c r="O242" s="745">
        <f t="shared" si="206"/>
        <v>2020</v>
      </c>
      <c r="P242" s="745">
        <f t="shared" si="206"/>
        <v>2020</v>
      </c>
      <c r="Q242" s="745">
        <f t="shared" si="206"/>
        <v>2020</v>
      </c>
      <c r="R242" s="745">
        <f t="shared" si="206"/>
        <v>2020</v>
      </c>
      <c r="S242" s="745">
        <f t="shared" si="206"/>
        <v>2020</v>
      </c>
      <c r="T242" s="745">
        <f t="shared" si="206"/>
        <v>2020</v>
      </c>
      <c r="U242" s="745">
        <f t="shared" si="206"/>
        <v>2020</v>
      </c>
      <c r="V242" s="745">
        <f t="shared" si="206"/>
        <v>2020</v>
      </c>
      <c r="W242" s="745">
        <f t="shared" si="206"/>
        <v>2020</v>
      </c>
      <c r="X242" s="745">
        <f t="shared" si="206"/>
        <v>2020</v>
      </c>
      <c r="Y242" s="745">
        <f t="shared" si="206"/>
        <v>2020</v>
      </c>
      <c r="Z242" s="745">
        <f t="shared" si="206"/>
        <v>2020</v>
      </c>
      <c r="AB242" s="31"/>
      <c r="BO242" s="938"/>
    </row>
    <row r="243" spans="1:67" s="13" customFormat="1" x14ac:dyDescent="0.3">
      <c r="B243" s="250" t="str">
        <f>B241</f>
        <v>TRAHFO01</v>
      </c>
      <c r="C243" s="250"/>
      <c r="D243" s="732"/>
      <c r="E243" s="250"/>
      <c r="F243" s="250"/>
      <c r="G243" s="250"/>
      <c r="H243" s="733"/>
      <c r="I243" s="250"/>
      <c r="J243" s="734" t="s">
        <v>1097</v>
      </c>
      <c r="K243" s="734" t="s">
        <v>1098</v>
      </c>
      <c r="L243" s="735"/>
      <c r="M243" s="735"/>
      <c r="N243" s="735"/>
      <c r="O243" s="735"/>
      <c r="P243" s="735"/>
      <c r="Q243" s="735"/>
      <c r="R243" s="735"/>
      <c r="S243" s="735"/>
      <c r="T243" s="735"/>
      <c r="U243" s="735"/>
      <c r="V243" s="735"/>
      <c r="W243" s="735"/>
      <c r="X243" s="735"/>
      <c r="Y243" s="735"/>
      <c r="Z243" s="735"/>
      <c r="AB243" s="31"/>
      <c r="BO243" s="938"/>
    </row>
    <row r="244" spans="1:67" s="13" customFormat="1" x14ac:dyDescent="0.3">
      <c r="A244" s="100"/>
      <c r="B244" s="736" t="str">
        <f>C244</f>
        <v>TRALFO01</v>
      </c>
      <c r="C244" s="245" t="str">
        <f>CONCATENATE(F244,"01")</f>
        <v>TRALFO01</v>
      </c>
      <c r="D244" s="737" t="str">
        <f>REPLACE(D113,1,9,"Fuel Tech New")</f>
        <v>Fuel Tech New - Light Fuel Oil (TRA)</v>
      </c>
      <c r="E244" s="324" t="str">
        <f>E113</f>
        <v>OILLFO</v>
      </c>
      <c r="F244" s="738" t="str">
        <f>F113</f>
        <v>TRALFO</v>
      </c>
      <c r="G244" s="738"/>
      <c r="H244" s="738"/>
      <c r="I244" s="739"/>
      <c r="J244" s="740" t="s">
        <v>1063</v>
      </c>
      <c r="K244" s="740"/>
      <c r="L244" s="741">
        <v>1</v>
      </c>
      <c r="M244" s="741">
        <v>1</v>
      </c>
      <c r="N244" s="741">
        <v>1</v>
      </c>
      <c r="O244" s="741">
        <v>1</v>
      </c>
      <c r="P244" s="741">
        <v>1</v>
      </c>
      <c r="Q244" s="741">
        <v>1</v>
      </c>
      <c r="R244" s="741">
        <v>1</v>
      </c>
      <c r="S244" s="741">
        <v>1</v>
      </c>
      <c r="T244" s="741">
        <v>1</v>
      </c>
      <c r="U244" s="741">
        <v>1</v>
      </c>
      <c r="V244" s="741">
        <v>1</v>
      </c>
      <c r="W244" s="741">
        <v>1</v>
      </c>
      <c r="X244" s="741">
        <v>1</v>
      </c>
      <c r="Y244" s="741">
        <v>1</v>
      </c>
      <c r="Z244" s="741">
        <v>1</v>
      </c>
      <c r="AB244" s="31"/>
      <c r="BO244" s="938"/>
    </row>
    <row r="245" spans="1:67" s="13" customFormat="1" x14ac:dyDescent="0.3">
      <c r="B245" s="245" t="str">
        <f>B244</f>
        <v>TRALFO01</v>
      </c>
      <c r="C245" s="245"/>
      <c r="D245" s="742"/>
      <c r="E245" s="245"/>
      <c r="F245" s="245"/>
      <c r="G245" s="245"/>
      <c r="H245" s="743"/>
      <c r="I245" s="245"/>
      <c r="J245" s="744" t="s">
        <v>1096</v>
      </c>
      <c r="K245" s="744"/>
      <c r="L245" s="745">
        <f>$K$4</f>
        <v>2020</v>
      </c>
      <c r="M245" s="745">
        <f t="shared" ref="M245:Z245" si="207">$K$4</f>
        <v>2020</v>
      </c>
      <c r="N245" s="745">
        <f t="shared" si="207"/>
        <v>2020</v>
      </c>
      <c r="O245" s="745">
        <f t="shared" si="207"/>
        <v>2020</v>
      </c>
      <c r="P245" s="745">
        <f t="shared" si="207"/>
        <v>2020</v>
      </c>
      <c r="Q245" s="745">
        <f t="shared" si="207"/>
        <v>2020</v>
      </c>
      <c r="R245" s="745">
        <f t="shared" si="207"/>
        <v>2020</v>
      </c>
      <c r="S245" s="745">
        <f t="shared" si="207"/>
        <v>2020</v>
      </c>
      <c r="T245" s="745">
        <f t="shared" si="207"/>
        <v>2020</v>
      </c>
      <c r="U245" s="745">
        <f t="shared" si="207"/>
        <v>2020</v>
      </c>
      <c r="V245" s="745">
        <f t="shared" si="207"/>
        <v>2020</v>
      </c>
      <c r="W245" s="745">
        <f t="shared" si="207"/>
        <v>2020</v>
      </c>
      <c r="X245" s="745">
        <f t="shared" si="207"/>
        <v>2020</v>
      </c>
      <c r="Y245" s="745">
        <f t="shared" si="207"/>
        <v>2020</v>
      </c>
      <c r="Z245" s="745">
        <f t="shared" si="207"/>
        <v>2020</v>
      </c>
      <c r="AB245" s="31"/>
      <c r="BO245" s="938"/>
    </row>
    <row r="246" spans="1:67" s="13" customFormat="1" x14ac:dyDescent="0.3">
      <c r="B246" s="250" t="str">
        <f>B244</f>
        <v>TRALFO01</v>
      </c>
      <c r="C246" s="250"/>
      <c r="D246" s="732"/>
      <c r="E246" s="250"/>
      <c r="F246" s="250"/>
      <c r="G246" s="250"/>
      <c r="H246" s="733"/>
      <c r="I246" s="250"/>
      <c r="J246" s="734" t="s">
        <v>1097</v>
      </c>
      <c r="K246" s="734" t="s">
        <v>1098</v>
      </c>
      <c r="L246" s="735"/>
      <c r="M246" s="735"/>
      <c r="N246" s="735"/>
      <c r="O246" s="735"/>
      <c r="P246" s="735"/>
      <c r="Q246" s="735"/>
      <c r="R246" s="735"/>
      <c r="S246" s="735"/>
      <c r="T246" s="735"/>
      <c r="U246" s="735"/>
      <c r="V246" s="735"/>
      <c r="W246" s="735"/>
      <c r="X246" s="735"/>
      <c r="Y246" s="735"/>
      <c r="Z246" s="735"/>
      <c r="AB246" s="31"/>
      <c r="BO246" s="938"/>
    </row>
    <row r="247" spans="1:67" x14ac:dyDescent="0.3">
      <c r="A247" s="100"/>
      <c r="B247" s="736" t="str">
        <f>C247</f>
        <v>TRALPG01</v>
      </c>
      <c r="C247" s="245" t="str">
        <f>CONCATENATE(F247,"01")</f>
        <v>TRALPG01</v>
      </c>
      <c r="D247" s="737" t="str">
        <f>REPLACE(D119,1,9,"Fuel Tech New")</f>
        <v>Fuel Tech New - Liquified Petroleum Gas (TRA)</v>
      </c>
      <c r="E247" s="324" t="str">
        <f>E119</f>
        <v>OILLPG</v>
      </c>
      <c r="F247" s="738" t="str">
        <f>F119</f>
        <v>TRALPG</v>
      </c>
      <c r="G247" s="738"/>
      <c r="H247" s="738"/>
      <c r="I247" s="739"/>
      <c r="J247" s="740" t="s">
        <v>1063</v>
      </c>
      <c r="K247" s="740"/>
      <c r="L247" s="741">
        <v>1</v>
      </c>
      <c r="M247" s="741">
        <v>1</v>
      </c>
      <c r="N247" s="741">
        <v>1</v>
      </c>
      <c r="O247" s="741">
        <v>1</v>
      </c>
      <c r="P247" s="741">
        <v>1</v>
      </c>
      <c r="Q247" s="741">
        <v>1</v>
      </c>
      <c r="R247" s="741">
        <v>1</v>
      </c>
      <c r="S247" s="741">
        <v>1</v>
      </c>
      <c r="T247" s="741">
        <v>1</v>
      </c>
      <c r="U247" s="741">
        <v>1</v>
      </c>
      <c r="V247" s="741">
        <v>1</v>
      </c>
      <c r="W247" s="741">
        <v>1</v>
      </c>
      <c r="X247" s="741">
        <v>1</v>
      </c>
      <c r="Y247" s="741">
        <v>1</v>
      </c>
      <c r="Z247" s="741">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3">
      <c r="A248" s="13"/>
      <c r="B248" s="245" t="str">
        <f>B247</f>
        <v>TRALPG01</v>
      </c>
      <c r="C248" s="245"/>
      <c r="D248" s="742"/>
      <c r="E248" s="245"/>
      <c r="F248" s="245"/>
      <c r="G248" s="245"/>
      <c r="H248" s="743"/>
      <c r="I248" s="245"/>
      <c r="J248" s="744" t="s">
        <v>1096</v>
      </c>
      <c r="K248" s="744"/>
      <c r="L248" s="745">
        <f>$K$4</f>
        <v>2020</v>
      </c>
      <c r="M248" s="745">
        <f t="shared" ref="M248:Z248" si="208">$K$4</f>
        <v>2020</v>
      </c>
      <c r="N248" s="745">
        <f t="shared" si="208"/>
        <v>2020</v>
      </c>
      <c r="O248" s="745">
        <f t="shared" si="208"/>
        <v>2020</v>
      </c>
      <c r="P248" s="745">
        <f t="shared" si="208"/>
        <v>2020</v>
      </c>
      <c r="Q248" s="745">
        <f t="shared" si="208"/>
        <v>2020</v>
      </c>
      <c r="R248" s="745">
        <f t="shared" si="208"/>
        <v>2020</v>
      </c>
      <c r="S248" s="745">
        <f t="shared" si="208"/>
        <v>2020</v>
      </c>
      <c r="T248" s="745">
        <f t="shared" si="208"/>
        <v>2020</v>
      </c>
      <c r="U248" s="745">
        <f t="shared" si="208"/>
        <v>2020</v>
      </c>
      <c r="V248" s="745">
        <f t="shared" si="208"/>
        <v>2020</v>
      </c>
      <c r="W248" s="745">
        <f t="shared" si="208"/>
        <v>2020</v>
      </c>
      <c r="X248" s="745">
        <f t="shared" si="208"/>
        <v>2020</v>
      </c>
      <c r="Y248" s="745">
        <f t="shared" si="208"/>
        <v>2020</v>
      </c>
      <c r="Z248" s="745">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3">
      <c r="A249" s="13"/>
      <c r="B249" s="250" t="str">
        <f>B247</f>
        <v>TRALPG01</v>
      </c>
      <c r="C249" s="250"/>
      <c r="D249" s="732"/>
      <c r="E249" s="250"/>
      <c r="F249" s="250"/>
      <c r="G249" s="250"/>
      <c r="H249" s="733"/>
      <c r="I249" s="250"/>
      <c r="J249" s="734" t="s">
        <v>1097</v>
      </c>
      <c r="K249" s="734" t="s">
        <v>1098</v>
      </c>
      <c r="L249" s="735"/>
      <c r="M249" s="735"/>
      <c r="N249" s="735"/>
      <c r="O249" s="735"/>
      <c r="P249" s="735"/>
      <c r="Q249" s="735"/>
      <c r="R249" s="735"/>
      <c r="S249" s="735"/>
      <c r="T249" s="735"/>
      <c r="U249" s="735"/>
      <c r="V249" s="735"/>
      <c r="W249" s="735"/>
      <c r="X249" s="735"/>
      <c r="Y249" s="735"/>
      <c r="Z249" s="735"/>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3">
      <c r="A250" s="100"/>
      <c r="B250" s="736" t="str">
        <f>C250</f>
        <v>TRAMTH01</v>
      </c>
      <c r="C250" s="245" t="str">
        <f>CONCATENATE(F250,"01")</f>
        <v>TRAMTH01</v>
      </c>
      <c r="D250" s="737" t="str">
        <f>REPLACE(D125,1,9,"Fuel Tech New")</f>
        <v>Fuel Tech New - Methanol (TRA)</v>
      </c>
      <c r="E250" s="324" t="str">
        <f>E125</f>
        <v>BFUMTH</v>
      </c>
      <c r="F250" s="738" t="str">
        <f>F125</f>
        <v>TRAMTH</v>
      </c>
      <c r="G250" s="738"/>
      <c r="H250" s="738"/>
      <c r="I250" s="739"/>
      <c r="J250" s="740" t="s">
        <v>1063</v>
      </c>
      <c r="K250" s="740"/>
      <c r="L250" s="741">
        <v>1</v>
      </c>
      <c r="M250" s="741">
        <v>1</v>
      </c>
      <c r="N250" s="741">
        <v>1</v>
      </c>
      <c r="O250" s="741">
        <v>1</v>
      </c>
      <c r="P250" s="741">
        <v>1</v>
      </c>
      <c r="Q250" s="741">
        <v>1</v>
      </c>
      <c r="R250" s="741">
        <v>1</v>
      </c>
      <c r="S250" s="741">
        <v>1</v>
      </c>
      <c r="T250" s="741">
        <v>1</v>
      </c>
      <c r="U250" s="741">
        <v>1</v>
      </c>
      <c r="V250" s="741">
        <v>1</v>
      </c>
      <c r="W250" s="741">
        <v>1</v>
      </c>
      <c r="X250" s="741">
        <v>1</v>
      </c>
      <c r="Y250" s="741">
        <v>1</v>
      </c>
      <c r="Z250" s="741">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3">
      <c r="A251" s="13"/>
      <c r="B251" s="245" t="str">
        <f>B250</f>
        <v>TRAMTH01</v>
      </c>
      <c r="C251" s="245"/>
      <c r="D251" s="742"/>
      <c r="E251" s="245"/>
      <c r="F251" s="245"/>
      <c r="G251" s="245"/>
      <c r="H251" s="743"/>
      <c r="I251" s="245"/>
      <c r="J251" s="744" t="s">
        <v>1096</v>
      </c>
      <c r="K251" s="744"/>
      <c r="L251" s="745">
        <f>$K$4</f>
        <v>2020</v>
      </c>
      <c r="M251" s="745">
        <f t="shared" ref="M251:Z251" si="209">$K$4</f>
        <v>2020</v>
      </c>
      <c r="N251" s="745">
        <f t="shared" si="209"/>
        <v>2020</v>
      </c>
      <c r="O251" s="745">
        <f t="shared" si="209"/>
        <v>2020</v>
      </c>
      <c r="P251" s="745">
        <f t="shared" si="209"/>
        <v>2020</v>
      </c>
      <c r="Q251" s="745">
        <f t="shared" si="209"/>
        <v>2020</v>
      </c>
      <c r="R251" s="745">
        <f t="shared" si="209"/>
        <v>2020</v>
      </c>
      <c r="S251" s="745">
        <f t="shared" si="209"/>
        <v>2020</v>
      </c>
      <c r="T251" s="745">
        <f t="shared" si="209"/>
        <v>2020</v>
      </c>
      <c r="U251" s="745">
        <f t="shared" si="209"/>
        <v>2020</v>
      </c>
      <c r="V251" s="745">
        <f t="shared" si="209"/>
        <v>2020</v>
      </c>
      <c r="W251" s="745">
        <f t="shared" si="209"/>
        <v>2020</v>
      </c>
      <c r="X251" s="745">
        <f t="shared" si="209"/>
        <v>2020</v>
      </c>
      <c r="Y251" s="745">
        <f t="shared" si="209"/>
        <v>2020</v>
      </c>
      <c r="Z251" s="745">
        <f t="shared" si="209"/>
        <v>2020</v>
      </c>
      <c r="AA251" s="13"/>
      <c r="AB251" s="19"/>
    </row>
    <row r="252" spans="1:67" x14ac:dyDescent="0.3">
      <c r="A252" s="13"/>
      <c r="B252" s="250" t="str">
        <f>B250</f>
        <v>TRAMTH01</v>
      </c>
      <c r="C252" s="250"/>
      <c r="D252" s="732"/>
      <c r="E252" s="250"/>
      <c r="F252" s="250"/>
      <c r="G252" s="250"/>
      <c r="H252" s="733"/>
      <c r="I252" s="250"/>
      <c r="J252" s="734" t="s">
        <v>1097</v>
      </c>
      <c r="K252" s="734" t="s">
        <v>1098</v>
      </c>
      <c r="L252" s="735"/>
      <c r="M252" s="735"/>
      <c r="N252" s="735"/>
      <c r="O252" s="735"/>
      <c r="P252" s="735"/>
      <c r="Q252" s="735"/>
      <c r="R252" s="735"/>
      <c r="S252" s="735"/>
      <c r="T252" s="735"/>
      <c r="U252" s="735"/>
      <c r="V252" s="735"/>
      <c r="W252" s="735"/>
      <c r="X252" s="735"/>
      <c r="Y252" s="735"/>
      <c r="Z252" s="735"/>
      <c r="AA252" s="13"/>
    </row>
    <row r="253" spans="1:67" x14ac:dyDescent="0.3">
      <c r="A253" s="100"/>
      <c r="B253" s="736" t="str">
        <f>C253</f>
        <v>TRAMTHM01</v>
      </c>
      <c r="C253" s="245" t="str">
        <f>CONCATENATE(F253,"01")</f>
        <v>TRAMTHM01</v>
      </c>
      <c r="D253" s="737" t="str">
        <f>REPLACE(D131,1,9,"Fuel Tech New")</f>
        <v>Fuel Tech New - Methanol for blending with GSL (TRA)</v>
      </c>
      <c r="E253" s="324" t="s">
        <v>1092</v>
      </c>
      <c r="F253" s="738" t="s">
        <v>1036</v>
      </c>
      <c r="G253" s="738"/>
      <c r="H253" s="738"/>
      <c r="I253" s="739"/>
      <c r="J253" s="740" t="s">
        <v>1063</v>
      </c>
      <c r="K253" s="740"/>
      <c r="L253" s="741">
        <v>1</v>
      </c>
      <c r="M253" s="741">
        <v>1</v>
      </c>
      <c r="N253" s="741">
        <v>1</v>
      </c>
      <c r="O253" s="741">
        <v>1</v>
      </c>
      <c r="P253" s="741">
        <v>1</v>
      </c>
      <c r="Q253" s="741">
        <v>1</v>
      </c>
      <c r="R253" s="741">
        <v>1</v>
      </c>
      <c r="S253" s="741">
        <v>1</v>
      </c>
      <c r="T253" s="741">
        <v>1</v>
      </c>
      <c r="U253" s="741">
        <v>1</v>
      </c>
      <c r="V253" s="741">
        <v>1</v>
      </c>
      <c r="W253" s="741">
        <v>1</v>
      </c>
      <c r="X253" s="741">
        <v>1</v>
      </c>
      <c r="Y253" s="741">
        <v>1</v>
      </c>
      <c r="Z253" s="741">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3">
      <c r="A254" s="13"/>
      <c r="B254" s="245" t="str">
        <f>B253</f>
        <v>TRAMTHM01</v>
      </c>
      <c r="C254" s="245"/>
      <c r="D254" s="742"/>
      <c r="E254" s="245"/>
      <c r="F254" s="245"/>
      <c r="G254" s="245"/>
      <c r="H254" s="743"/>
      <c r="I254" s="245"/>
      <c r="J254" s="744" t="s">
        <v>1096</v>
      </c>
      <c r="K254" s="744"/>
      <c r="L254" s="745">
        <f>$K$4</f>
        <v>2020</v>
      </c>
      <c r="M254" s="745">
        <f t="shared" ref="M254:Z254" si="210">$K$4</f>
        <v>2020</v>
      </c>
      <c r="N254" s="745">
        <f t="shared" si="210"/>
        <v>2020</v>
      </c>
      <c r="O254" s="745">
        <f t="shared" si="210"/>
        <v>2020</v>
      </c>
      <c r="P254" s="745">
        <f t="shared" si="210"/>
        <v>2020</v>
      </c>
      <c r="Q254" s="745">
        <f t="shared" si="210"/>
        <v>2020</v>
      </c>
      <c r="R254" s="745">
        <f t="shared" si="210"/>
        <v>2020</v>
      </c>
      <c r="S254" s="745">
        <f t="shared" si="210"/>
        <v>2020</v>
      </c>
      <c r="T254" s="745">
        <f t="shared" si="210"/>
        <v>2020</v>
      </c>
      <c r="U254" s="745">
        <f t="shared" si="210"/>
        <v>2020</v>
      </c>
      <c r="V254" s="745">
        <f t="shared" si="210"/>
        <v>2020</v>
      </c>
      <c r="W254" s="745">
        <f t="shared" si="210"/>
        <v>2020</v>
      </c>
      <c r="X254" s="745">
        <f t="shared" si="210"/>
        <v>2020</v>
      </c>
      <c r="Y254" s="745">
        <f t="shared" si="210"/>
        <v>2020</v>
      </c>
      <c r="Z254" s="745">
        <f t="shared" si="210"/>
        <v>2020</v>
      </c>
      <c r="AA254" s="13"/>
      <c r="AB254" s="19"/>
    </row>
    <row r="255" spans="1:67" x14ac:dyDescent="0.3">
      <c r="A255" s="13"/>
      <c r="B255" s="250" t="str">
        <f>B253</f>
        <v>TRAMTHM01</v>
      </c>
      <c r="C255" s="250"/>
      <c r="D255" s="732"/>
      <c r="E255" s="250"/>
      <c r="F255" s="250"/>
      <c r="G255" s="250"/>
      <c r="H255" s="733"/>
      <c r="I255" s="250"/>
      <c r="J255" s="734" t="s">
        <v>1097</v>
      </c>
      <c r="K255" s="734" t="s">
        <v>1098</v>
      </c>
      <c r="L255" s="735"/>
      <c r="M255" s="735"/>
      <c r="N255" s="735"/>
      <c r="O255" s="735"/>
      <c r="P255" s="735"/>
      <c r="Q255" s="735"/>
      <c r="R255" s="735"/>
      <c r="S255" s="735"/>
      <c r="T255" s="735"/>
      <c r="U255" s="735"/>
      <c r="V255" s="735"/>
      <c r="W255" s="735"/>
      <c r="X255" s="735"/>
      <c r="Y255" s="735"/>
      <c r="Z255" s="735"/>
      <c r="AA255" s="13"/>
    </row>
    <row r="256" spans="1:67" x14ac:dyDescent="0.3">
      <c r="AB256" s="19"/>
    </row>
    <row r="257" spans="1:73" x14ac:dyDescent="0.3">
      <c r="B257" s="42" t="s">
        <v>1099</v>
      </c>
      <c r="C257" s="42"/>
      <c r="D257" s="42"/>
      <c r="AB257" s="19"/>
    </row>
    <row r="258" spans="1:73" x14ac:dyDescent="0.3">
      <c r="C258" s="12"/>
      <c r="D258" s="12"/>
      <c r="AB258" s="19"/>
    </row>
    <row r="259" spans="1:73" x14ac:dyDescent="0.3">
      <c r="C259" s="12"/>
      <c r="D259" s="12"/>
      <c r="G259" s="41"/>
      <c r="H259" s="51"/>
      <c r="I259" s="41"/>
      <c r="J259" s="40" t="s">
        <v>1050</v>
      </c>
      <c r="K259" s="40"/>
      <c r="P259" s="41"/>
      <c r="AB259" s="19"/>
    </row>
    <row r="260" spans="1:73" x14ac:dyDescent="0.3">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73" s="19" customFormat="1" x14ac:dyDescent="0.3">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row>
    <row r="262" spans="1:73" x14ac:dyDescent="0.3">
      <c r="A262" s="19"/>
      <c r="B262" s="219" t="str">
        <f>C262</f>
        <v>TRAELC00</v>
      </c>
      <c r="C262" s="224" t="str">
        <f>CONCATENATE(F262,"00")</f>
        <v>TRAELC00</v>
      </c>
      <c r="D262" s="225" t="s">
        <v>1100</v>
      </c>
      <c r="E262" s="173" t="s">
        <v>1101</v>
      </c>
      <c r="F262" s="173" t="s">
        <v>682</v>
      </c>
      <c r="G262" s="224"/>
      <c r="H262" s="241"/>
      <c r="I262" s="173"/>
      <c r="J262" s="239" t="s">
        <v>1063</v>
      </c>
      <c r="K262" s="239"/>
      <c r="L262" s="634">
        <v>1</v>
      </c>
      <c r="M262" s="634">
        <f>L262</f>
        <v>1</v>
      </c>
      <c r="N262" s="634">
        <f t="shared" ref="N262" si="212">M262</f>
        <v>1</v>
      </c>
      <c r="O262" s="634">
        <f t="shared" ref="O262" si="213">N262</f>
        <v>1</v>
      </c>
      <c r="P262" s="634">
        <f t="shared" ref="P262" si="214">O262</f>
        <v>1</v>
      </c>
      <c r="Q262" s="634">
        <f t="shared" ref="Q262" si="215">P262</f>
        <v>1</v>
      </c>
      <c r="R262" s="634">
        <f t="shared" ref="R262" si="216">Q262</f>
        <v>1</v>
      </c>
      <c r="S262" s="634">
        <f t="shared" ref="S262" si="217">R262</f>
        <v>1</v>
      </c>
      <c r="T262" s="634">
        <f t="shared" ref="T262" si="218">S262</f>
        <v>1</v>
      </c>
      <c r="U262" s="634">
        <f t="shared" ref="U262" si="219">T262</f>
        <v>1</v>
      </c>
      <c r="V262" s="634">
        <f t="shared" ref="V262" si="220">U262</f>
        <v>1</v>
      </c>
      <c r="W262" s="634">
        <f t="shared" ref="W262" si="221">V262</f>
        <v>1</v>
      </c>
      <c r="X262" s="634">
        <f t="shared" ref="X262" si="222">W262</f>
        <v>1</v>
      </c>
      <c r="Y262" s="634">
        <f t="shared" ref="Y262" si="223">X262</f>
        <v>1</v>
      </c>
      <c r="Z262" s="634">
        <f t="shared" ref="Z262" si="224">Y262</f>
        <v>1</v>
      </c>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row>
    <row r="263" spans="1:73" x14ac:dyDescent="0.3">
      <c r="A263" s="19"/>
      <c r="B263" s="219" t="str">
        <f>B262</f>
        <v>TRAELC00</v>
      </c>
      <c r="C263" s="224"/>
      <c r="D263" s="230"/>
      <c r="E263" s="224"/>
      <c r="F263" s="224"/>
      <c r="G263" s="224"/>
      <c r="H263" s="231">
        <f>$K$3</f>
        <v>2019</v>
      </c>
      <c r="I263" s="224"/>
      <c r="J263" s="232" t="s">
        <v>1064</v>
      </c>
      <c r="K263" s="232" t="s">
        <v>85</v>
      </c>
      <c r="L263" s="942">
        <v>10000</v>
      </c>
      <c r="M263" s="942">
        <v>10000</v>
      </c>
      <c r="N263" s="942">
        <v>10000</v>
      </c>
      <c r="O263" s="942">
        <v>10000</v>
      </c>
      <c r="P263" s="942">
        <v>10000</v>
      </c>
      <c r="Q263" s="942">
        <v>10000</v>
      </c>
      <c r="R263" s="942">
        <v>10000</v>
      </c>
      <c r="S263" s="942">
        <v>10000</v>
      </c>
      <c r="T263" s="942">
        <v>10000</v>
      </c>
      <c r="U263" s="942">
        <v>10000</v>
      </c>
      <c r="V263" s="942">
        <v>10000</v>
      </c>
      <c r="W263" s="942">
        <v>10000</v>
      </c>
      <c r="X263" s="942">
        <v>10000</v>
      </c>
      <c r="Y263" s="942">
        <v>10000</v>
      </c>
      <c r="Z263" s="942">
        <v>10000</v>
      </c>
      <c r="AB263" s="19">
        <v>300</v>
      </c>
      <c r="AC263" s="19" t="s">
        <v>1243</v>
      </c>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row>
    <row r="264" spans="1:73" x14ac:dyDescent="0.3">
      <c r="A264" s="19"/>
      <c r="B264" s="219" t="str">
        <f>B263</f>
        <v>TRAELC00</v>
      </c>
      <c r="C264" s="224"/>
      <c r="D264" s="230"/>
      <c r="E264" s="224"/>
      <c r="F264" s="224"/>
      <c r="G264" s="224"/>
      <c r="H264" s="231">
        <v>2020</v>
      </c>
      <c r="I264" s="224"/>
      <c r="J264" s="232" t="s">
        <v>1064</v>
      </c>
      <c r="K264" s="232" t="s">
        <v>85</v>
      </c>
      <c r="L264" s="942">
        <f>L263</f>
        <v>10000</v>
      </c>
      <c r="M264" s="942">
        <f t="shared" ref="M264:Z267" si="225">M263</f>
        <v>10000</v>
      </c>
      <c r="N264" s="942">
        <f t="shared" si="225"/>
        <v>10000</v>
      </c>
      <c r="O264" s="942">
        <f t="shared" si="225"/>
        <v>10000</v>
      </c>
      <c r="P264" s="942">
        <f t="shared" si="225"/>
        <v>10000</v>
      </c>
      <c r="Q264" s="942">
        <f t="shared" si="225"/>
        <v>10000</v>
      </c>
      <c r="R264" s="942">
        <f t="shared" si="225"/>
        <v>10000</v>
      </c>
      <c r="S264" s="942">
        <f t="shared" si="225"/>
        <v>10000</v>
      </c>
      <c r="T264" s="942">
        <f t="shared" si="225"/>
        <v>10000</v>
      </c>
      <c r="U264" s="942">
        <f t="shared" si="225"/>
        <v>10000</v>
      </c>
      <c r="V264" s="942">
        <f t="shared" si="225"/>
        <v>10000</v>
      </c>
      <c r="W264" s="942">
        <f t="shared" si="225"/>
        <v>10000</v>
      </c>
      <c r="X264" s="942">
        <f t="shared" si="225"/>
        <v>10000</v>
      </c>
      <c r="Y264" s="942">
        <f t="shared" si="225"/>
        <v>10000</v>
      </c>
      <c r="Z264" s="942">
        <f t="shared" si="225"/>
        <v>10000</v>
      </c>
      <c r="AB264" s="19">
        <f>AB263*8760/10^6</f>
        <v>2.6280000000000001</v>
      </c>
      <c r="AC264" s="19" t="s">
        <v>1018</v>
      </c>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row>
    <row r="265" spans="1:73" x14ac:dyDescent="0.3">
      <c r="A265" s="19"/>
      <c r="B265" s="219" t="str">
        <f t="shared" ref="B265:B267" si="226">B264</f>
        <v>TRAELC00</v>
      </c>
      <c r="C265" s="224"/>
      <c r="D265" s="230"/>
      <c r="E265" s="224"/>
      <c r="F265" s="224"/>
      <c r="G265" s="224"/>
      <c r="H265" s="231">
        <v>2030</v>
      </c>
      <c r="I265" s="224"/>
      <c r="J265" s="232" t="s">
        <v>1064</v>
      </c>
      <c r="K265" s="232" t="s">
        <v>85</v>
      </c>
      <c r="L265" s="942">
        <f t="shared" ref="L265:L267" si="227">L264</f>
        <v>10000</v>
      </c>
      <c r="M265" s="942">
        <f t="shared" si="225"/>
        <v>10000</v>
      </c>
      <c r="N265" s="942">
        <f t="shared" si="225"/>
        <v>10000</v>
      </c>
      <c r="O265" s="942">
        <f t="shared" si="225"/>
        <v>10000</v>
      </c>
      <c r="P265" s="942">
        <f t="shared" si="225"/>
        <v>10000</v>
      </c>
      <c r="Q265" s="942">
        <f t="shared" si="225"/>
        <v>10000</v>
      </c>
      <c r="R265" s="942">
        <f t="shared" si="225"/>
        <v>10000</v>
      </c>
      <c r="S265" s="942">
        <f t="shared" si="225"/>
        <v>10000</v>
      </c>
      <c r="T265" s="942">
        <f t="shared" si="225"/>
        <v>10000</v>
      </c>
      <c r="U265" s="942">
        <f t="shared" si="225"/>
        <v>10000</v>
      </c>
      <c r="V265" s="942">
        <f t="shared" si="225"/>
        <v>10000</v>
      </c>
      <c r="W265" s="942">
        <f t="shared" si="225"/>
        <v>10000</v>
      </c>
      <c r="X265" s="942">
        <f t="shared" si="225"/>
        <v>10000</v>
      </c>
      <c r="Y265" s="942">
        <f t="shared" si="225"/>
        <v>10000</v>
      </c>
      <c r="Z265" s="942">
        <f t="shared" si="225"/>
        <v>10000</v>
      </c>
      <c r="AB265" s="19">
        <f>AB264*3.6</f>
        <v>9.4608000000000008</v>
      </c>
      <c r="AC265" s="19" t="s">
        <v>1244</v>
      </c>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row>
    <row r="266" spans="1:73" x14ac:dyDescent="0.3">
      <c r="A266" s="19"/>
      <c r="B266" s="219" t="str">
        <f t="shared" si="226"/>
        <v>TRAELC00</v>
      </c>
      <c r="C266" s="224"/>
      <c r="D266" s="230"/>
      <c r="E266" s="224"/>
      <c r="F266" s="224"/>
      <c r="G266" s="224"/>
      <c r="H266" s="231">
        <v>2040</v>
      </c>
      <c r="I266" s="224"/>
      <c r="J266" s="232" t="s">
        <v>1064</v>
      </c>
      <c r="K266" s="232" t="s">
        <v>85</v>
      </c>
      <c r="L266" s="942">
        <f t="shared" si="227"/>
        <v>10000</v>
      </c>
      <c r="M266" s="942">
        <f t="shared" si="225"/>
        <v>10000</v>
      </c>
      <c r="N266" s="942">
        <f t="shared" si="225"/>
        <v>10000</v>
      </c>
      <c r="O266" s="942">
        <f t="shared" si="225"/>
        <v>10000</v>
      </c>
      <c r="P266" s="942">
        <f t="shared" si="225"/>
        <v>10000</v>
      </c>
      <c r="Q266" s="942">
        <f t="shared" si="225"/>
        <v>10000</v>
      </c>
      <c r="R266" s="942">
        <f t="shared" si="225"/>
        <v>10000</v>
      </c>
      <c r="S266" s="942">
        <f t="shared" si="225"/>
        <v>10000</v>
      </c>
      <c r="T266" s="942">
        <f t="shared" si="225"/>
        <v>10000</v>
      </c>
      <c r="U266" s="942">
        <f t="shared" si="225"/>
        <v>10000</v>
      </c>
      <c r="V266" s="942">
        <f t="shared" si="225"/>
        <v>10000</v>
      </c>
      <c r="W266" s="942">
        <f t="shared" si="225"/>
        <v>10000</v>
      </c>
      <c r="X266" s="942">
        <f t="shared" si="225"/>
        <v>10000</v>
      </c>
      <c r="Y266" s="942">
        <f t="shared" si="225"/>
        <v>10000</v>
      </c>
      <c r="Z266" s="942">
        <f t="shared" si="225"/>
        <v>10000</v>
      </c>
    </row>
    <row r="267" spans="1:73" x14ac:dyDescent="0.3">
      <c r="A267" s="19"/>
      <c r="B267" s="233" t="str">
        <f t="shared" si="226"/>
        <v>TRAELC00</v>
      </c>
      <c r="C267" s="234"/>
      <c r="D267" s="235"/>
      <c r="E267" s="234"/>
      <c r="F267" s="234"/>
      <c r="G267" s="234"/>
      <c r="H267" s="236">
        <f>$K$5</f>
        <v>2050</v>
      </c>
      <c r="I267" s="234"/>
      <c r="J267" s="237" t="s">
        <v>1064</v>
      </c>
      <c r="K267" s="237" t="s">
        <v>85</v>
      </c>
      <c r="L267" s="942">
        <f t="shared" si="227"/>
        <v>10000</v>
      </c>
      <c r="M267" s="942">
        <f t="shared" si="225"/>
        <v>10000</v>
      </c>
      <c r="N267" s="942">
        <f t="shared" si="225"/>
        <v>10000</v>
      </c>
      <c r="O267" s="942">
        <f t="shared" si="225"/>
        <v>10000</v>
      </c>
      <c r="P267" s="942">
        <f t="shared" si="225"/>
        <v>10000</v>
      </c>
      <c r="Q267" s="942">
        <f t="shared" si="225"/>
        <v>10000</v>
      </c>
      <c r="R267" s="942">
        <f t="shared" si="225"/>
        <v>10000</v>
      </c>
      <c r="S267" s="942">
        <f t="shared" si="225"/>
        <v>10000</v>
      </c>
      <c r="T267" s="942">
        <f t="shared" si="225"/>
        <v>10000</v>
      </c>
      <c r="U267" s="942">
        <f t="shared" si="225"/>
        <v>10000</v>
      </c>
      <c r="V267" s="942">
        <f t="shared" si="225"/>
        <v>10000</v>
      </c>
      <c r="W267" s="942">
        <f t="shared" si="225"/>
        <v>10000</v>
      </c>
      <c r="X267" s="942">
        <f t="shared" si="225"/>
        <v>10000</v>
      </c>
      <c r="Y267" s="942">
        <f t="shared" si="225"/>
        <v>10000</v>
      </c>
      <c r="Z267" s="942">
        <f t="shared" si="225"/>
        <v>10000</v>
      </c>
      <c r="AB267" s="19"/>
      <c r="AR267" s="97"/>
      <c r="AS267" s="19"/>
      <c r="AT267" s="19"/>
      <c r="AU267" s="19"/>
      <c r="AV267" s="19"/>
      <c r="AW267" s="19"/>
      <c r="AX267" s="19"/>
      <c r="AY267" s="19"/>
      <c r="AZ267" s="19"/>
      <c r="BA267" s="19"/>
      <c r="BB267" s="19"/>
      <c r="BC267" s="19"/>
      <c r="BD267" s="19"/>
      <c r="BE267" s="19"/>
      <c r="BF267" s="19"/>
      <c r="BG267" s="19"/>
      <c r="BH267" s="19"/>
      <c r="BI267" s="19"/>
      <c r="BJ267" s="19"/>
      <c r="BK267" s="19"/>
      <c r="BL267" s="19"/>
      <c r="BM267" s="19"/>
    </row>
    <row r="268" spans="1:73" x14ac:dyDescent="0.3">
      <c r="A268" s="19"/>
      <c r="B268" s="219" t="str">
        <f>C268</f>
        <v>TRAELR00</v>
      </c>
      <c r="C268" s="224" t="s">
        <v>934</v>
      </c>
      <c r="D268" s="225" t="s">
        <v>1102</v>
      </c>
      <c r="E268" s="173" t="s">
        <v>1101</v>
      </c>
      <c r="F268" s="173" t="s">
        <v>1007</v>
      </c>
      <c r="G268" s="224"/>
      <c r="H268" s="241"/>
      <c r="I268" s="173"/>
      <c r="J268" s="239" t="s">
        <v>1063</v>
      </c>
      <c r="K268" s="239"/>
      <c r="L268" s="634">
        <v>1</v>
      </c>
      <c r="M268" s="634">
        <f>L268</f>
        <v>1</v>
      </c>
      <c r="N268" s="634">
        <f t="shared" ref="N268" si="228">M268</f>
        <v>1</v>
      </c>
      <c r="O268" s="634">
        <f t="shared" ref="O268" si="229">N268</f>
        <v>1</v>
      </c>
      <c r="P268" s="634">
        <f t="shared" ref="P268" si="230">O268</f>
        <v>1</v>
      </c>
      <c r="Q268" s="634">
        <f t="shared" ref="Q268" si="231">P268</f>
        <v>1</v>
      </c>
      <c r="R268" s="634">
        <f t="shared" ref="R268" si="232">Q268</f>
        <v>1</v>
      </c>
      <c r="S268" s="634">
        <f t="shared" ref="S268" si="233">R268</f>
        <v>1</v>
      </c>
      <c r="T268" s="634">
        <f t="shared" ref="T268" si="234">S268</f>
        <v>1</v>
      </c>
      <c r="U268" s="634">
        <f t="shared" ref="U268" si="235">T268</f>
        <v>1</v>
      </c>
      <c r="V268" s="634">
        <f t="shared" ref="V268" si="236">U268</f>
        <v>1</v>
      </c>
      <c r="W268" s="634">
        <f t="shared" ref="W268" si="237">V268</f>
        <v>1</v>
      </c>
      <c r="X268" s="634">
        <f t="shared" ref="X268" si="238">W268</f>
        <v>1</v>
      </c>
      <c r="Y268" s="634">
        <f t="shared" ref="Y268" si="239">X268</f>
        <v>1</v>
      </c>
      <c r="Z268" s="634">
        <f t="shared" ref="Z268" si="240">Y268</f>
        <v>1</v>
      </c>
      <c r="AB268" s="19"/>
    </row>
    <row r="269" spans="1:73" s="19" customFormat="1" x14ac:dyDescent="0.3">
      <c r="B269" s="219" t="str">
        <f>B268</f>
        <v>TRAELR00</v>
      </c>
      <c r="C269" s="224"/>
      <c r="D269" s="230"/>
      <c r="E269" s="224"/>
      <c r="F269" s="224"/>
      <c r="G269" s="224"/>
      <c r="H269" s="231">
        <f>$K$3</f>
        <v>2019</v>
      </c>
      <c r="I269" s="224"/>
      <c r="J269" s="232" t="s">
        <v>1064</v>
      </c>
      <c r="K269" s="232" t="s">
        <v>85</v>
      </c>
      <c r="L269" s="635">
        <f t="shared" ref="L269:Z269" si="241">LOOKUP($F268, $AE$11:$AE$34, AG$11:AG$34*$L$6)</f>
        <v>0</v>
      </c>
      <c r="M269" s="635">
        <f t="shared" si="241"/>
        <v>0</v>
      </c>
      <c r="N269" s="635">
        <f t="shared" si="241"/>
        <v>0</v>
      </c>
      <c r="O269" s="635">
        <f t="shared" si="241"/>
        <v>0</v>
      </c>
      <c r="P269" s="635">
        <f t="shared" si="241"/>
        <v>0</v>
      </c>
      <c r="Q269" s="635">
        <f t="shared" si="241"/>
        <v>0</v>
      </c>
      <c r="R269" s="635">
        <f t="shared" si="241"/>
        <v>0</v>
      </c>
      <c r="S269" s="635">
        <f t="shared" si="241"/>
        <v>0</v>
      </c>
      <c r="T269" s="635">
        <f t="shared" si="241"/>
        <v>0</v>
      </c>
      <c r="U269" s="635">
        <f t="shared" si="241"/>
        <v>0</v>
      </c>
      <c r="V269" s="635">
        <f t="shared" si="241"/>
        <v>0</v>
      </c>
      <c r="W269" s="635">
        <f t="shared" si="241"/>
        <v>0</v>
      </c>
      <c r="X269" s="635">
        <f t="shared" si="241"/>
        <v>0</v>
      </c>
      <c r="Y269" s="635">
        <f t="shared" si="241"/>
        <v>0</v>
      </c>
      <c r="Z269" s="635">
        <f t="shared" si="241"/>
        <v>0</v>
      </c>
      <c r="AA269" s="41"/>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s="23"/>
    </row>
    <row r="270" spans="1:73" s="19" customFormat="1" x14ac:dyDescent="0.3">
      <c r="B270" s="219" t="str">
        <f>B269</f>
        <v>TRAELR00</v>
      </c>
      <c r="C270" s="224"/>
      <c r="D270" s="230"/>
      <c r="E270" s="224"/>
      <c r="F270" s="224"/>
      <c r="G270" s="224"/>
      <c r="H270" s="231">
        <v>2020</v>
      </c>
      <c r="I270" s="224"/>
      <c r="J270" s="232" t="s">
        <v>1064</v>
      </c>
      <c r="K270" s="232" t="s">
        <v>85</v>
      </c>
      <c r="L270" s="635">
        <f>L269</f>
        <v>0</v>
      </c>
      <c r="M270" s="635">
        <f t="shared" ref="M270:Z273" si="242">M269</f>
        <v>0</v>
      </c>
      <c r="N270" s="635">
        <f t="shared" si="242"/>
        <v>0</v>
      </c>
      <c r="O270" s="635">
        <f t="shared" si="242"/>
        <v>0</v>
      </c>
      <c r="P270" s="635">
        <f t="shared" si="242"/>
        <v>0</v>
      </c>
      <c r="Q270" s="635">
        <f t="shared" si="242"/>
        <v>0</v>
      </c>
      <c r="R270" s="635">
        <f t="shared" si="242"/>
        <v>0</v>
      </c>
      <c r="S270" s="635">
        <f t="shared" si="242"/>
        <v>0</v>
      </c>
      <c r="T270" s="635">
        <f t="shared" si="242"/>
        <v>0</v>
      </c>
      <c r="U270" s="635">
        <f t="shared" si="242"/>
        <v>0</v>
      </c>
      <c r="V270" s="635">
        <f t="shared" si="242"/>
        <v>0</v>
      </c>
      <c r="W270" s="635">
        <f t="shared" si="242"/>
        <v>0</v>
      </c>
      <c r="X270" s="635">
        <f t="shared" si="242"/>
        <v>0</v>
      </c>
      <c r="Y270" s="635">
        <f t="shared" si="242"/>
        <v>0</v>
      </c>
      <c r="Z270" s="635">
        <f t="shared" si="242"/>
        <v>0</v>
      </c>
      <c r="AA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O270" s="23"/>
    </row>
    <row r="271" spans="1:73" s="19" customFormat="1" x14ac:dyDescent="0.3">
      <c r="B271" s="219" t="str">
        <f t="shared" ref="B271:B273" si="243">B270</f>
        <v>TRAELR00</v>
      </c>
      <c r="C271" s="224"/>
      <c r="D271" s="230"/>
      <c r="E271" s="224"/>
      <c r="F271" s="224"/>
      <c r="G271" s="224"/>
      <c r="H271" s="231">
        <v>2030</v>
      </c>
      <c r="I271" s="224"/>
      <c r="J271" s="232" t="s">
        <v>1064</v>
      </c>
      <c r="K271" s="232" t="s">
        <v>85</v>
      </c>
      <c r="L271" s="635">
        <f t="shared" ref="L271:L273" si="244">L270</f>
        <v>0</v>
      </c>
      <c r="M271" s="635">
        <f t="shared" si="242"/>
        <v>0</v>
      </c>
      <c r="N271" s="635">
        <f t="shared" si="242"/>
        <v>0</v>
      </c>
      <c r="O271" s="635">
        <f t="shared" si="242"/>
        <v>0</v>
      </c>
      <c r="P271" s="635">
        <f t="shared" si="242"/>
        <v>0</v>
      </c>
      <c r="Q271" s="635">
        <f t="shared" si="242"/>
        <v>0</v>
      </c>
      <c r="R271" s="635">
        <f t="shared" si="242"/>
        <v>0</v>
      </c>
      <c r="S271" s="635">
        <f t="shared" si="242"/>
        <v>0</v>
      </c>
      <c r="T271" s="635">
        <f t="shared" si="242"/>
        <v>0</v>
      </c>
      <c r="U271" s="635">
        <f t="shared" si="242"/>
        <v>0</v>
      </c>
      <c r="V271" s="635">
        <f t="shared" si="242"/>
        <v>0</v>
      </c>
      <c r="W271" s="635">
        <f t="shared" si="242"/>
        <v>0</v>
      </c>
      <c r="X271" s="635">
        <f t="shared" si="242"/>
        <v>0</v>
      </c>
      <c r="Y271" s="635">
        <f t="shared" si="242"/>
        <v>0</v>
      </c>
      <c r="Z271" s="635">
        <f t="shared" si="242"/>
        <v>0</v>
      </c>
      <c r="AA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O271" s="23"/>
    </row>
    <row r="272" spans="1:73" x14ac:dyDescent="0.3">
      <c r="A272" s="19"/>
      <c r="B272" s="219" t="str">
        <f t="shared" si="243"/>
        <v>TRAELR00</v>
      </c>
      <c r="C272" s="224"/>
      <c r="D272" s="230"/>
      <c r="E272" s="224"/>
      <c r="F272" s="224"/>
      <c r="G272" s="224"/>
      <c r="H272" s="231">
        <v>2040</v>
      </c>
      <c r="I272" s="224"/>
      <c r="J272" s="232" t="s">
        <v>1064</v>
      </c>
      <c r="K272" s="232" t="s">
        <v>85</v>
      </c>
      <c r="L272" s="635">
        <f t="shared" si="244"/>
        <v>0</v>
      </c>
      <c r="M272" s="635">
        <f t="shared" si="242"/>
        <v>0</v>
      </c>
      <c r="N272" s="635">
        <f t="shared" si="242"/>
        <v>0</v>
      </c>
      <c r="O272" s="635">
        <f t="shared" si="242"/>
        <v>0</v>
      </c>
      <c r="P272" s="635">
        <f t="shared" si="242"/>
        <v>0</v>
      </c>
      <c r="Q272" s="635">
        <f t="shared" si="242"/>
        <v>0</v>
      </c>
      <c r="R272" s="635">
        <f t="shared" si="242"/>
        <v>0</v>
      </c>
      <c r="S272" s="635">
        <f t="shared" si="242"/>
        <v>0</v>
      </c>
      <c r="T272" s="635">
        <f t="shared" si="242"/>
        <v>0</v>
      </c>
      <c r="U272" s="635">
        <f t="shared" si="242"/>
        <v>0</v>
      </c>
      <c r="V272" s="635">
        <f t="shared" si="242"/>
        <v>0</v>
      </c>
      <c r="W272" s="635">
        <f t="shared" si="242"/>
        <v>0</v>
      </c>
      <c r="X272" s="635">
        <f t="shared" si="242"/>
        <v>0</v>
      </c>
      <c r="Y272" s="635">
        <f t="shared" si="242"/>
        <v>0</v>
      </c>
      <c r="Z272" s="635">
        <f t="shared" si="242"/>
        <v>0</v>
      </c>
      <c r="AB272" s="19"/>
      <c r="BN272" s="19"/>
    </row>
    <row r="273" spans="1:67" x14ac:dyDescent="0.3">
      <c r="A273" s="19"/>
      <c r="B273" s="233" t="str">
        <f t="shared" si="243"/>
        <v>TRAELR00</v>
      </c>
      <c r="C273" s="234"/>
      <c r="D273" s="235"/>
      <c r="E273" s="234"/>
      <c r="F273" s="234"/>
      <c r="G273" s="234"/>
      <c r="H273" s="236">
        <f>$K$5</f>
        <v>2050</v>
      </c>
      <c r="I273" s="234"/>
      <c r="J273" s="237" t="s">
        <v>1064</v>
      </c>
      <c r="K273" s="237" t="s">
        <v>85</v>
      </c>
      <c r="L273" s="636">
        <f t="shared" si="244"/>
        <v>0</v>
      </c>
      <c r="M273" s="636">
        <f t="shared" si="242"/>
        <v>0</v>
      </c>
      <c r="N273" s="636">
        <f t="shared" si="242"/>
        <v>0</v>
      </c>
      <c r="O273" s="636">
        <f t="shared" si="242"/>
        <v>0</v>
      </c>
      <c r="P273" s="636">
        <f t="shared" si="242"/>
        <v>0</v>
      </c>
      <c r="Q273" s="636">
        <f t="shared" si="242"/>
        <v>0</v>
      </c>
      <c r="R273" s="636">
        <f t="shared" si="242"/>
        <v>0</v>
      </c>
      <c r="S273" s="636">
        <f t="shared" si="242"/>
        <v>0</v>
      </c>
      <c r="T273" s="636">
        <f t="shared" si="242"/>
        <v>0</v>
      </c>
      <c r="U273" s="636">
        <f t="shared" si="242"/>
        <v>0</v>
      </c>
      <c r="V273" s="636">
        <f t="shared" si="242"/>
        <v>0</v>
      </c>
      <c r="W273" s="636">
        <f t="shared" si="242"/>
        <v>0</v>
      </c>
      <c r="X273" s="636">
        <f t="shared" si="242"/>
        <v>0</v>
      </c>
      <c r="Y273" s="636">
        <f t="shared" si="242"/>
        <v>0</v>
      </c>
      <c r="Z273" s="636">
        <f t="shared" si="242"/>
        <v>0</v>
      </c>
      <c r="AB273" s="19"/>
      <c r="AR273" s="97"/>
      <c r="AS273" s="19"/>
      <c r="AT273" s="19"/>
      <c r="AU273" s="19"/>
      <c r="AV273" s="19"/>
      <c r="AW273" s="19"/>
      <c r="AX273" s="19"/>
      <c r="AY273" s="19"/>
      <c r="AZ273" s="19"/>
      <c r="BA273" s="19"/>
      <c r="BB273" s="19"/>
      <c r="BC273" s="19"/>
      <c r="BD273" s="19"/>
      <c r="BE273" s="19"/>
      <c r="BF273" s="19"/>
      <c r="BG273" s="19"/>
      <c r="BH273" s="19"/>
      <c r="BI273" s="19"/>
      <c r="BJ273" s="19"/>
      <c r="BK273" s="19"/>
      <c r="BL273" s="19"/>
      <c r="BM273" s="19"/>
    </row>
    <row r="274" spans="1:67" x14ac:dyDescent="0.3">
      <c r="A274" s="19"/>
      <c r="AR274" s="97"/>
      <c r="AS274" s="19"/>
      <c r="AT274" s="19"/>
      <c r="AU274" s="19"/>
      <c r="AV274" s="19"/>
      <c r="AW274" s="19"/>
      <c r="AX274" s="19"/>
      <c r="AY274" s="19"/>
      <c r="AZ274" s="19"/>
      <c r="BA274" s="19"/>
      <c r="BB274" s="19"/>
      <c r="BC274" s="19"/>
      <c r="BD274" s="19"/>
      <c r="BE274" s="19"/>
      <c r="BF274" s="19"/>
      <c r="BG274" s="19"/>
      <c r="BH274" s="19"/>
      <c r="BI274" s="19"/>
      <c r="BJ274" s="19"/>
      <c r="BK274" s="19"/>
      <c r="BL274" s="19"/>
      <c r="BM274" s="19"/>
    </row>
    <row r="275" spans="1:67" x14ac:dyDescent="0.3">
      <c r="C275" s="12"/>
      <c r="D275" s="12"/>
      <c r="G275" s="41"/>
      <c r="H275" s="51"/>
      <c r="I275" s="41"/>
      <c r="J275" s="40" t="s">
        <v>1050</v>
      </c>
      <c r="K275" s="40"/>
      <c r="P275" s="41"/>
      <c r="AB275" s="19"/>
    </row>
    <row r="276" spans="1:67" s="19" customFormat="1" x14ac:dyDescent="0.3">
      <c r="A276"/>
      <c r="B276" s="52" t="s">
        <v>1052</v>
      </c>
      <c r="C276" s="42" t="s">
        <v>104</v>
      </c>
      <c r="D276" s="42" t="s">
        <v>1053</v>
      </c>
      <c r="E276" s="42" t="s">
        <v>672</v>
      </c>
      <c r="F276" s="103" t="s">
        <v>673</v>
      </c>
      <c r="G276" s="42" t="s">
        <v>1054</v>
      </c>
      <c r="H276" s="98" t="s">
        <v>1055</v>
      </c>
      <c r="I276" s="42" t="s">
        <v>981</v>
      </c>
      <c r="J276" s="42" t="s">
        <v>1056</v>
      </c>
      <c r="K276" s="42" t="s">
        <v>1057</v>
      </c>
      <c r="L276" s="42" t="str">
        <f t="shared" ref="L276:Z276" si="245">L$2</f>
        <v>Z01</v>
      </c>
      <c r="M276" s="42" t="str">
        <f t="shared" si="245"/>
        <v>Z02</v>
      </c>
      <c r="N276" s="42" t="str">
        <f t="shared" si="245"/>
        <v>Z03</v>
      </c>
      <c r="O276" s="42" t="str">
        <f t="shared" si="245"/>
        <v>Z04</v>
      </c>
      <c r="P276" s="42" t="str">
        <f t="shared" si="245"/>
        <v>Z05</v>
      </c>
      <c r="Q276" s="42" t="str">
        <f t="shared" si="245"/>
        <v>Z06</v>
      </c>
      <c r="R276" s="42" t="str">
        <f t="shared" si="245"/>
        <v>Z07</v>
      </c>
      <c r="S276" s="42" t="str">
        <f t="shared" si="245"/>
        <v>Z08</v>
      </c>
      <c r="T276" s="42" t="str">
        <f t="shared" si="245"/>
        <v>Z09</v>
      </c>
      <c r="U276" s="42" t="str">
        <f t="shared" si="245"/>
        <v>Z10</v>
      </c>
      <c r="V276" s="42" t="str">
        <f t="shared" si="245"/>
        <v>Z11</v>
      </c>
      <c r="W276" s="42" t="str">
        <f t="shared" si="245"/>
        <v>Z12</v>
      </c>
      <c r="X276" s="42" t="str">
        <f t="shared" si="245"/>
        <v>Z13</v>
      </c>
      <c r="Y276" s="42" t="str">
        <f t="shared" si="245"/>
        <v>Z14</v>
      </c>
      <c r="Z276" s="42" t="str">
        <f t="shared" si="245"/>
        <v>Z15</v>
      </c>
      <c r="AA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s="23"/>
    </row>
    <row r="277" spans="1:67" s="19" customFormat="1" x14ac:dyDescent="0.3">
      <c r="B277" s="219" t="str">
        <f>C277</f>
        <v>TRAELC01</v>
      </c>
      <c r="C277" s="224" t="s">
        <v>933</v>
      </c>
      <c r="D277" s="225" t="s">
        <v>1103</v>
      </c>
      <c r="E277" s="173" t="s">
        <v>1101</v>
      </c>
      <c r="F277" s="173" t="s">
        <v>682</v>
      </c>
      <c r="G277" s="224"/>
      <c r="H277" s="241"/>
      <c r="I277" s="173"/>
      <c r="J277" s="239" t="s">
        <v>1063</v>
      </c>
      <c r="K277" s="239"/>
      <c r="L277" s="634">
        <v>1</v>
      </c>
      <c r="M277" s="634">
        <f t="shared" ref="M277" si="246">L277</f>
        <v>1</v>
      </c>
      <c r="N277" s="634">
        <f t="shared" ref="N277" si="247">M277</f>
        <v>1</v>
      </c>
      <c r="O277" s="634">
        <f t="shared" ref="O277" si="248">N277</f>
        <v>1</v>
      </c>
      <c r="P277" s="634">
        <f t="shared" ref="P277" si="249">O277</f>
        <v>1</v>
      </c>
      <c r="Q277" s="634">
        <f t="shared" ref="Q277" si="250">P277</f>
        <v>1</v>
      </c>
      <c r="R277" s="634">
        <f t="shared" ref="R277" si="251">Q277</f>
        <v>1</v>
      </c>
      <c r="S277" s="634">
        <f t="shared" ref="S277" si="252">R277</f>
        <v>1</v>
      </c>
      <c r="T277" s="634">
        <f t="shared" ref="T277" si="253">S277</f>
        <v>1</v>
      </c>
      <c r="U277" s="634">
        <f t="shared" ref="U277" si="254">T277</f>
        <v>1</v>
      </c>
      <c r="V277" s="634">
        <f t="shared" ref="V277" si="255">U277</f>
        <v>1</v>
      </c>
      <c r="W277" s="634">
        <f t="shared" ref="W277" si="256">V277</f>
        <v>1</v>
      </c>
      <c r="X277" s="634">
        <f t="shared" ref="X277" si="257">W277</f>
        <v>1</v>
      </c>
      <c r="Y277" s="634">
        <f t="shared" ref="Y277" si="258">X277</f>
        <v>1</v>
      </c>
      <c r="Z277" s="634">
        <f t="shared" ref="Z277" si="259">Y277</f>
        <v>1</v>
      </c>
      <c r="AA277"/>
      <c r="AB277" s="99"/>
      <c r="AC277" s="718"/>
      <c r="AD277"/>
      <c r="AE277"/>
      <c r="AF277"/>
      <c r="AG277"/>
      <c r="AH277"/>
      <c r="AI277"/>
      <c r="AJ277"/>
      <c r="AK277"/>
      <c r="AL277"/>
      <c r="AM277"/>
      <c r="AN277"/>
      <c r="AO277"/>
      <c r="AP277"/>
      <c r="AQ277"/>
      <c r="AR277" s="97"/>
      <c r="BO277" s="23"/>
    </row>
    <row r="278" spans="1:67" x14ac:dyDescent="0.3">
      <c r="A278" s="19"/>
      <c r="B278" s="219" t="str">
        <f>B277</f>
        <v>TRAELC01</v>
      </c>
      <c r="C278" s="224"/>
      <c r="D278" s="230"/>
      <c r="E278" s="224"/>
      <c r="F278" s="224"/>
      <c r="G278" s="224"/>
      <c r="H278" s="231"/>
      <c r="I278" s="224"/>
      <c r="J278" s="232" t="s">
        <v>1096</v>
      </c>
      <c r="K278" s="232"/>
      <c r="L278" s="637">
        <v>2016</v>
      </c>
      <c r="M278" s="637">
        <f>L278</f>
        <v>2016</v>
      </c>
      <c r="N278" s="637">
        <f t="shared" ref="N278" si="260">M278</f>
        <v>2016</v>
      </c>
      <c r="O278" s="637">
        <f t="shared" ref="O278" si="261">N278</f>
        <v>2016</v>
      </c>
      <c r="P278" s="637">
        <f t="shared" ref="P278" si="262">O278</f>
        <v>2016</v>
      </c>
      <c r="Q278" s="637">
        <f t="shared" ref="Q278" si="263">P278</f>
        <v>2016</v>
      </c>
      <c r="R278" s="637">
        <f t="shared" ref="R278" si="264">Q278</f>
        <v>2016</v>
      </c>
      <c r="S278" s="637">
        <f t="shared" ref="S278" si="265">R278</f>
        <v>2016</v>
      </c>
      <c r="T278" s="637">
        <f t="shared" ref="T278" si="266">S278</f>
        <v>2016</v>
      </c>
      <c r="U278" s="637">
        <f t="shared" ref="U278" si="267">T278</f>
        <v>2016</v>
      </c>
      <c r="V278" s="637">
        <f t="shared" ref="V278" si="268">U278</f>
        <v>2016</v>
      </c>
      <c r="W278" s="637">
        <f t="shared" ref="W278" si="269">V278</f>
        <v>2016</v>
      </c>
      <c r="X278" s="637">
        <f t="shared" ref="X278" si="270">W278</f>
        <v>2016</v>
      </c>
      <c r="Y278" s="637">
        <f t="shared" ref="Y278" si="271">X278</f>
        <v>2016</v>
      </c>
      <c r="Z278" s="637">
        <f t="shared" ref="Z278" si="272">Y278</f>
        <v>2016</v>
      </c>
      <c r="AB278" s="19"/>
      <c r="AD278" s="719"/>
      <c r="BN278" s="19"/>
    </row>
    <row r="279" spans="1:67" x14ac:dyDescent="0.3">
      <c r="A279" s="19"/>
      <c r="B279" s="233" t="str">
        <f>B278</f>
        <v>TRAELC01</v>
      </c>
      <c r="C279" s="234"/>
      <c r="D279" s="235"/>
      <c r="E279" s="234"/>
      <c r="F279" s="234"/>
      <c r="G279" s="234"/>
      <c r="H279" s="236"/>
      <c r="I279" s="234"/>
      <c r="J279" s="237" t="s">
        <v>1097</v>
      </c>
      <c r="K279" s="237" t="s">
        <v>1098</v>
      </c>
      <c r="L279" s="636"/>
      <c r="M279" s="636"/>
      <c r="N279" s="636"/>
      <c r="O279" s="636"/>
      <c r="P279" s="636"/>
      <c r="Q279" s="636"/>
      <c r="R279" s="636"/>
      <c r="S279" s="636"/>
      <c r="T279" s="636"/>
      <c r="U279" s="636"/>
      <c r="V279" s="636"/>
      <c r="W279" s="636"/>
      <c r="X279" s="636"/>
      <c r="Y279" s="636"/>
      <c r="Z279" s="636"/>
      <c r="AA279" s="41"/>
      <c r="AB279" s="19"/>
    </row>
    <row r="280" spans="1:67" x14ac:dyDescent="0.3">
      <c r="A280" s="19"/>
      <c r="B280" s="219" t="str">
        <f>C280</f>
        <v>TRAELR01</v>
      </c>
      <c r="C280" s="224" t="s">
        <v>936</v>
      </c>
      <c r="D280" s="225" t="s">
        <v>1104</v>
      </c>
      <c r="E280" s="173" t="s">
        <v>1101</v>
      </c>
      <c r="F280" s="173" t="s">
        <v>1007</v>
      </c>
      <c r="G280" s="224"/>
      <c r="H280" s="241"/>
      <c r="I280" s="173"/>
      <c r="J280" s="239" t="s">
        <v>1063</v>
      </c>
      <c r="K280" s="239"/>
      <c r="L280" s="634">
        <v>1</v>
      </c>
      <c r="M280" s="634">
        <f t="shared" ref="M280" si="273">L280</f>
        <v>1</v>
      </c>
      <c r="N280" s="634">
        <f t="shared" ref="N280:N281" si="274">M280</f>
        <v>1</v>
      </c>
      <c r="O280" s="634">
        <f t="shared" ref="O280:O281" si="275">N280</f>
        <v>1</v>
      </c>
      <c r="P280" s="634">
        <f t="shared" ref="P280:P281" si="276">O280</f>
        <v>1</v>
      </c>
      <c r="Q280" s="634">
        <f t="shared" ref="Q280:Q281" si="277">P280</f>
        <v>1</v>
      </c>
      <c r="R280" s="634">
        <f t="shared" ref="R280:R281" si="278">Q280</f>
        <v>1</v>
      </c>
      <c r="S280" s="634">
        <f t="shared" ref="S280:S281" si="279">R280</f>
        <v>1</v>
      </c>
      <c r="T280" s="634">
        <f t="shared" ref="T280:T281" si="280">S280</f>
        <v>1</v>
      </c>
      <c r="U280" s="634">
        <f t="shared" ref="U280:U281" si="281">T280</f>
        <v>1</v>
      </c>
      <c r="V280" s="634">
        <f t="shared" ref="V280:V281" si="282">U280</f>
        <v>1</v>
      </c>
      <c r="W280" s="634">
        <f t="shared" ref="W280:W281" si="283">V280</f>
        <v>1</v>
      </c>
      <c r="X280" s="634">
        <f t="shared" ref="X280:X281" si="284">W280</f>
        <v>1</v>
      </c>
      <c r="Y280" s="634">
        <f t="shared" ref="Y280:Y281" si="285">X280</f>
        <v>1</v>
      </c>
      <c r="Z280" s="634">
        <f t="shared" ref="Z280:Z281" si="286">Y280</f>
        <v>1</v>
      </c>
      <c r="AB280" s="19"/>
      <c r="AR280" s="97"/>
      <c r="AS280" s="19"/>
      <c r="AT280" s="19"/>
      <c r="AU280" s="19"/>
      <c r="AV280" s="19"/>
      <c r="AW280" s="19"/>
      <c r="AX280" s="19"/>
      <c r="AY280" s="19"/>
      <c r="AZ280" s="19"/>
      <c r="BA280" s="19"/>
      <c r="BB280" s="19"/>
      <c r="BC280" s="19"/>
      <c r="BD280" s="19"/>
      <c r="BE280" s="19"/>
      <c r="BF280" s="19"/>
      <c r="BG280" s="19"/>
      <c r="BH280" s="19"/>
      <c r="BI280" s="19"/>
      <c r="BJ280" s="19"/>
      <c r="BK280" s="19"/>
      <c r="BL280" s="19"/>
      <c r="BM280" s="19"/>
    </row>
    <row r="281" spans="1:67" x14ac:dyDescent="0.3">
      <c r="A281" s="19"/>
      <c r="B281" s="219" t="str">
        <f>B280</f>
        <v>TRAELR01</v>
      </c>
      <c r="C281" s="224"/>
      <c r="D281" s="230"/>
      <c r="E281" s="224"/>
      <c r="F281" s="224"/>
      <c r="G281" s="224"/>
      <c r="H281" s="231"/>
      <c r="I281" s="224"/>
      <c r="J281" s="232" t="s">
        <v>1096</v>
      </c>
      <c r="K281" s="232"/>
      <c r="L281" s="637">
        <v>2016</v>
      </c>
      <c r="M281" s="637">
        <f>L281</f>
        <v>2016</v>
      </c>
      <c r="N281" s="637">
        <f t="shared" si="274"/>
        <v>2016</v>
      </c>
      <c r="O281" s="637">
        <f t="shared" si="275"/>
        <v>2016</v>
      </c>
      <c r="P281" s="637">
        <f t="shared" si="276"/>
        <v>2016</v>
      </c>
      <c r="Q281" s="637">
        <f t="shared" si="277"/>
        <v>2016</v>
      </c>
      <c r="R281" s="637">
        <f t="shared" si="278"/>
        <v>2016</v>
      </c>
      <c r="S281" s="637">
        <f t="shared" si="279"/>
        <v>2016</v>
      </c>
      <c r="T281" s="637">
        <f t="shared" si="280"/>
        <v>2016</v>
      </c>
      <c r="U281" s="637">
        <f t="shared" si="281"/>
        <v>2016</v>
      </c>
      <c r="V281" s="637">
        <f t="shared" si="282"/>
        <v>2016</v>
      </c>
      <c r="W281" s="637">
        <f t="shared" si="283"/>
        <v>2016</v>
      </c>
      <c r="X281" s="637">
        <f t="shared" si="284"/>
        <v>2016</v>
      </c>
      <c r="Y281" s="637">
        <f t="shared" si="285"/>
        <v>2016</v>
      </c>
      <c r="Z281" s="637">
        <f t="shared" si="286"/>
        <v>2016</v>
      </c>
      <c r="AB281" s="19"/>
      <c r="AE281" s="19"/>
      <c r="AQ281" s="97"/>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row>
    <row r="282" spans="1:67" x14ac:dyDescent="0.3">
      <c r="A282" s="19"/>
      <c r="B282" s="233" t="str">
        <f>B281</f>
        <v>TRAELR01</v>
      </c>
      <c r="C282" s="234"/>
      <c r="D282" s="235"/>
      <c r="E282" s="234"/>
      <c r="F282" s="234"/>
      <c r="G282" s="234"/>
      <c r="H282" s="236"/>
      <c r="I282" s="234"/>
      <c r="J282" s="237" t="s">
        <v>1097</v>
      </c>
      <c r="K282" s="237" t="s">
        <v>1098</v>
      </c>
      <c r="L282" s="636"/>
      <c r="M282" s="636"/>
      <c r="N282" s="636"/>
      <c r="O282" s="636"/>
      <c r="P282" s="636"/>
      <c r="Q282" s="636"/>
      <c r="R282" s="636"/>
      <c r="S282" s="636"/>
      <c r="T282" s="636"/>
      <c r="U282" s="636"/>
      <c r="V282" s="636"/>
      <c r="W282" s="636"/>
      <c r="X282" s="636"/>
      <c r="Y282" s="636"/>
      <c r="Z282" s="636"/>
      <c r="AA282" s="41"/>
      <c r="AB282" s="19"/>
    </row>
    <row r="283" spans="1:67" x14ac:dyDescent="0.3">
      <c r="B283" s="104"/>
      <c r="C283" s="19"/>
      <c r="F283" s="46"/>
      <c r="G283" s="105"/>
      <c r="M283" s="19"/>
      <c r="N283" s="19"/>
      <c r="O283" s="19"/>
      <c r="P283" s="19"/>
      <c r="Q283" s="19"/>
      <c r="R283" s="19"/>
      <c r="S283" s="19"/>
      <c r="T283" s="19"/>
      <c r="U283" s="19"/>
      <c r="V283" s="19"/>
      <c r="W283" s="19"/>
      <c r="X283" s="19"/>
      <c r="Y283" s="19"/>
      <c r="Z283" s="19"/>
      <c r="AA283" s="19"/>
    </row>
    <row r="285" spans="1:67" x14ac:dyDescent="0.3">
      <c r="B285" s="42" t="s">
        <v>1099</v>
      </c>
      <c r="C285" s="42"/>
      <c r="D285" s="42"/>
      <c r="AB285" s="19"/>
    </row>
    <row r="286" spans="1:67" s="19" customFormat="1" x14ac:dyDescent="0.3">
      <c r="A286"/>
      <c r="B286"/>
      <c r="C286" s="12"/>
      <c r="D286" s="12"/>
      <c r="E286"/>
      <c r="F286"/>
      <c r="G286" s="41"/>
      <c r="H286" s="51"/>
      <c r="I286" s="41"/>
      <c r="J286" s="40"/>
      <c r="K286" s="40"/>
      <c r="L286"/>
      <c r="M286"/>
      <c r="N286"/>
      <c r="O286"/>
      <c r="P286" s="41"/>
      <c r="Q286"/>
      <c r="R286"/>
      <c r="S286"/>
      <c r="T286"/>
      <c r="U286"/>
      <c r="V286"/>
      <c r="W286"/>
      <c r="X286"/>
      <c r="Y286"/>
      <c r="Z286"/>
      <c r="AA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s="23"/>
    </row>
    <row r="287" spans="1:67" x14ac:dyDescent="0.3">
      <c r="B287" s="52" t="s">
        <v>1052</v>
      </c>
      <c r="C287" s="42" t="s">
        <v>104</v>
      </c>
      <c r="D287" s="42" t="s">
        <v>1053</v>
      </c>
      <c r="E287" s="42" t="s">
        <v>672</v>
      </c>
      <c r="F287" s="103" t="s">
        <v>673</v>
      </c>
      <c r="G287" s="42" t="s">
        <v>1054</v>
      </c>
      <c r="H287" s="98" t="s">
        <v>1055</v>
      </c>
      <c r="I287" s="42" t="s">
        <v>981</v>
      </c>
      <c r="J287" s="42" t="s">
        <v>1056</v>
      </c>
      <c r="K287" s="42" t="s">
        <v>1057</v>
      </c>
      <c r="L287" s="42" t="str">
        <f t="shared" ref="L287:Z287" si="287">L$2</f>
        <v>Z01</v>
      </c>
      <c r="M287" s="42" t="str">
        <f t="shared" si="287"/>
        <v>Z02</v>
      </c>
      <c r="N287" s="42" t="str">
        <f t="shared" si="287"/>
        <v>Z03</v>
      </c>
      <c r="O287" s="42" t="str">
        <f t="shared" si="287"/>
        <v>Z04</v>
      </c>
      <c r="P287" s="42" t="str">
        <f t="shared" si="287"/>
        <v>Z05</v>
      </c>
      <c r="Q287" s="42" t="str">
        <f t="shared" si="287"/>
        <v>Z06</v>
      </c>
      <c r="R287" s="42" t="str">
        <f t="shared" si="287"/>
        <v>Z07</v>
      </c>
      <c r="S287" s="42" t="str">
        <f t="shared" si="287"/>
        <v>Z08</v>
      </c>
      <c r="T287" s="42" t="str">
        <f t="shared" si="287"/>
        <v>Z09</v>
      </c>
      <c r="U287" s="42" t="str">
        <f t="shared" si="287"/>
        <v>Z10</v>
      </c>
      <c r="V287" s="42" t="str">
        <f t="shared" si="287"/>
        <v>Z11</v>
      </c>
      <c r="W287" s="42" t="str">
        <f t="shared" si="287"/>
        <v>Z12</v>
      </c>
      <c r="X287" s="42" t="str">
        <f t="shared" si="287"/>
        <v>Z13</v>
      </c>
      <c r="Y287" s="42" t="str">
        <f t="shared" si="287"/>
        <v>Z14</v>
      </c>
      <c r="Z287" s="42" t="str">
        <f t="shared" si="287"/>
        <v>Z15</v>
      </c>
      <c r="BN287" s="19"/>
    </row>
    <row r="288" spans="1:67" x14ac:dyDescent="0.3">
      <c r="B288" s="171"/>
      <c r="C288" s="171"/>
      <c r="D288" s="171" t="s">
        <v>1061</v>
      </c>
      <c r="E288" s="171"/>
      <c r="F288" s="171"/>
      <c r="G288" s="171"/>
      <c r="H288" s="223"/>
      <c r="I288" s="171"/>
      <c r="J288" s="171"/>
      <c r="K288" s="171"/>
      <c r="L288" s="171"/>
      <c r="M288" s="171"/>
      <c r="N288" s="171"/>
      <c r="O288" s="171"/>
      <c r="P288" s="171"/>
      <c r="Q288" s="171"/>
      <c r="R288" s="171"/>
      <c r="S288" s="171"/>
      <c r="T288" s="171"/>
      <c r="U288" s="171"/>
      <c r="V288" s="171"/>
      <c r="W288" s="171"/>
      <c r="X288" s="171"/>
      <c r="Y288" s="171"/>
      <c r="Z288" s="171"/>
    </row>
    <row r="289" spans="1:67" x14ac:dyDescent="0.3">
      <c r="A289" s="19"/>
      <c r="B289" s="219" t="str">
        <f>C289</f>
        <v>TRAELC00</v>
      </c>
      <c r="C289" s="224" t="str">
        <f>CONCATENATE(F289,"00")</f>
        <v>TRAELC00</v>
      </c>
      <c r="D289" s="225" t="s">
        <v>1100</v>
      </c>
      <c r="E289" s="173" t="s">
        <v>1105</v>
      </c>
      <c r="F289" s="173" t="s">
        <v>682</v>
      </c>
      <c r="G289" s="224"/>
      <c r="H289" s="241"/>
      <c r="I289" s="173"/>
      <c r="J289" s="239" t="s">
        <v>1063</v>
      </c>
      <c r="K289" s="239"/>
      <c r="L289" s="634">
        <v>1</v>
      </c>
      <c r="M289" s="634">
        <f>L289</f>
        <v>1</v>
      </c>
      <c r="N289" s="634">
        <f t="shared" ref="N289:S289" si="288">M289</f>
        <v>1</v>
      </c>
      <c r="O289" s="634">
        <f t="shared" si="288"/>
        <v>1</v>
      </c>
      <c r="P289" s="634">
        <f t="shared" si="288"/>
        <v>1</v>
      </c>
      <c r="Q289" s="634">
        <f t="shared" si="288"/>
        <v>1</v>
      </c>
      <c r="R289" s="634">
        <f t="shared" si="288"/>
        <v>1</v>
      </c>
      <c r="S289" s="634">
        <f t="shared" si="288"/>
        <v>1</v>
      </c>
      <c r="T289" s="634">
        <f t="shared" ref="T289:Z289" si="289">S289</f>
        <v>1</v>
      </c>
      <c r="U289" s="634">
        <f t="shared" si="289"/>
        <v>1</v>
      </c>
      <c r="V289" s="634">
        <f t="shared" si="289"/>
        <v>1</v>
      </c>
      <c r="W289" s="634">
        <f t="shared" si="289"/>
        <v>1</v>
      </c>
      <c r="X289" s="634">
        <f t="shared" si="289"/>
        <v>1</v>
      </c>
      <c r="Y289" s="634">
        <f t="shared" si="289"/>
        <v>1</v>
      </c>
      <c r="Z289" s="634">
        <f t="shared" si="289"/>
        <v>1</v>
      </c>
      <c r="AB289" s="19"/>
    </row>
    <row r="290" spans="1:67" s="19" customFormat="1" x14ac:dyDescent="0.3">
      <c r="B290" s="219" t="str">
        <f>B289</f>
        <v>TRAELC00</v>
      </c>
      <c r="C290" s="224"/>
      <c r="D290" s="225"/>
      <c r="E290" s="219"/>
      <c r="F290" s="219"/>
      <c r="G290" s="224"/>
      <c r="H290" s="241"/>
      <c r="I290" s="173"/>
      <c r="J290" s="239" t="s">
        <v>1106</v>
      </c>
      <c r="K290" s="239" t="s">
        <v>1107</v>
      </c>
      <c r="L290" s="635">
        <v>31.536000000000001</v>
      </c>
      <c r="M290" s="635">
        <v>31.536000000000001</v>
      </c>
      <c r="N290" s="635">
        <v>31.536000000000001</v>
      </c>
      <c r="O290" s="635">
        <v>31.536000000000001</v>
      </c>
      <c r="P290" s="635">
        <v>31.536000000000001</v>
      </c>
      <c r="Q290" s="635">
        <v>31.536000000000001</v>
      </c>
      <c r="R290" s="635">
        <v>31.536000000000001</v>
      </c>
      <c r="S290" s="635">
        <v>31.536000000000001</v>
      </c>
      <c r="T290" s="635">
        <v>31.536000000000001</v>
      </c>
      <c r="U290" s="635">
        <v>31.536000000000001</v>
      </c>
      <c r="V290" s="635">
        <v>31.536000000000001</v>
      </c>
      <c r="W290" s="635">
        <v>31.536000000000001</v>
      </c>
      <c r="X290" s="635">
        <v>31.536000000000001</v>
      </c>
      <c r="Y290" s="635">
        <v>31.536000000000001</v>
      </c>
      <c r="Z290" s="635">
        <v>31.536000000000001</v>
      </c>
      <c r="AA290"/>
      <c r="AC290"/>
      <c r="AD290"/>
      <c r="AE290"/>
      <c r="AF290"/>
      <c r="AG290"/>
      <c r="AH290"/>
      <c r="AI290"/>
      <c r="AJ290"/>
      <c r="AK290"/>
      <c r="AL290"/>
      <c r="AM290"/>
      <c r="AN290"/>
      <c r="AO290"/>
      <c r="AP290"/>
      <c r="AQ290"/>
      <c r="AR290" s="97"/>
      <c r="BN290"/>
      <c r="BO290" s="23"/>
    </row>
    <row r="291" spans="1:67" s="19" customFormat="1" x14ac:dyDescent="0.3">
      <c r="B291" s="219" t="str">
        <f>B289</f>
        <v>TRAELC00</v>
      </c>
      <c r="C291" s="224"/>
      <c r="D291" s="230"/>
      <c r="E291" s="224"/>
      <c r="F291" s="224"/>
      <c r="G291" s="224"/>
      <c r="H291" s="231">
        <f>$K$3</f>
        <v>2019</v>
      </c>
      <c r="I291" s="224"/>
      <c r="J291" s="232" t="s">
        <v>1064</v>
      </c>
      <c r="K291" s="232" t="s">
        <v>1108</v>
      </c>
      <c r="L291" s="637"/>
      <c r="M291" s="635"/>
      <c r="N291" s="635"/>
      <c r="O291" s="635"/>
      <c r="P291" s="635"/>
      <c r="Q291" s="635"/>
      <c r="R291" s="635"/>
      <c r="S291" s="635"/>
      <c r="T291" s="635"/>
      <c r="U291" s="635"/>
      <c r="V291" s="635"/>
      <c r="W291" s="635"/>
      <c r="X291" s="635"/>
      <c r="Y291" s="635"/>
      <c r="Z291" s="635"/>
      <c r="AA291"/>
      <c r="AB291" s="99"/>
      <c r="AC291" s="718"/>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O291" s="23"/>
    </row>
    <row r="292" spans="1:67" s="19" customFormat="1" x14ac:dyDescent="0.3">
      <c r="B292" s="233" t="str">
        <f>B291</f>
        <v>TRAELC00</v>
      </c>
      <c r="C292" s="234"/>
      <c r="D292" s="235"/>
      <c r="E292" s="234"/>
      <c r="F292" s="234"/>
      <c r="G292" s="234"/>
      <c r="H292" s="236">
        <f>$K$5</f>
        <v>2050</v>
      </c>
      <c r="I292" s="234"/>
      <c r="J292" s="237" t="s">
        <v>1064</v>
      </c>
      <c r="K292" s="237" t="s">
        <v>1108</v>
      </c>
      <c r="L292" s="636"/>
      <c r="M292" s="636"/>
      <c r="N292" s="636"/>
      <c r="O292" s="636"/>
      <c r="P292" s="636"/>
      <c r="Q292" s="636"/>
      <c r="R292" s="636"/>
      <c r="S292" s="636"/>
      <c r="T292" s="636"/>
      <c r="U292" s="636"/>
      <c r="V292" s="636"/>
      <c r="W292" s="636"/>
      <c r="X292" s="636"/>
      <c r="Y292" s="636"/>
      <c r="Z292" s="636"/>
      <c r="AA292" s="41"/>
      <c r="AB292"/>
      <c r="AD292" s="719"/>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O292" s="23"/>
    </row>
    <row r="293" spans="1:67" x14ac:dyDescent="0.3">
      <c r="A293" s="19"/>
      <c r="B293" s="219" t="str">
        <f>C293</f>
        <v>TRAELC01</v>
      </c>
      <c r="C293" s="224" t="s">
        <v>933</v>
      </c>
      <c r="D293" s="225" t="s">
        <v>1103</v>
      </c>
      <c r="E293" s="173" t="s">
        <v>1105</v>
      </c>
      <c r="F293" s="173" t="s">
        <v>682</v>
      </c>
      <c r="G293" s="224"/>
      <c r="H293" s="241"/>
      <c r="I293" s="173"/>
      <c r="J293" s="239" t="s">
        <v>1063</v>
      </c>
      <c r="K293" s="239"/>
      <c r="L293" s="634">
        <v>1</v>
      </c>
      <c r="M293" s="634">
        <f t="shared" ref="M293:Z293" si="290">L293</f>
        <v>1</v>
      </c>
      <c r="N293" s="634">
        <f t="shared" si="290"/>
        <v>1</v>
      </c>
      <c r="O293" s="634">
        <f t="shared" si="290"/>
        <v>1</v>
      </c>
      <c r="P293" s="634">
        <f t="shared" si="290"/>
        <v>1</v>
      </c>
      <c r="Q293" s="634">
        <f t="shared" si="290"/>
        <v>1</v>
      </c>
      <c r="R293" s="634">
        <f t="shared" si="290"/>
        <v>1</v>
      </c>
      <c r="S293" s="634">
        <f t="shared" si="290"/>
        <v>1</v>
      </c>
      <c r="T293" s="634">
        <f t="shared" si="290"/>
        <v>1</v>
      </c>
      <c r="U293" s="634">
        <f t="shared" si="290"/>
        <v>1</v>
      </c>
      <c r="V293" s="634">
        <f t="shared" si="290"/>
        <v>1</v>
      </c>
      <c r="W293" s="634">
        <f t="shared" si="290"/>
        <v>1</v>
      </c>
      <c r="X293" s="634">
        <f t="shared" si="290"/>
        <v>1</v>
      </c>
      <c r="Y293" s="634">
        <f t="shared" si="290"/>
        <v>1</v>
      </c>
      <c r="Z293" s="634">
        <f t="shared" si="290"/>
        <v>1</v>
      </c>
      <c r="AC293" s="19"/>
      <c r="BN293" s="19"/>
    </row>
    <row r="294" spans="1:67" ht="15" customHeight="1" x14ac:dyDescent="0.3">
      <c r="A294" s="19"/>
      <c r="B294" s="219" t="str">
        <f>B293</f>
        <v>TRAELC01</v>
      </c>
      <c r="C294" s="224"/>
      <c r="D294" s="225"/>
      <c r="E294" s="219"/>
      <c r="F294" s="219"/>
      <c r="G294" s="224"/>
      <c r="H294" s="241"/>
      <c r="I294" s="173"/>
      <c r="J294" s="239" t="s">
        <v>1106</v>
      </c>
      <c r="K294" s="239" t="s">
        <v>1107</v>
      </c>
      <c r="L294" s="635">
        <v>31.536000000000001</v>
      </c>
      <c r="M294" s="635">
        <v>31.536000000000001</v>
      </c>
      <c r="N294" s="635">
        <v>31.536000000000001</v>
      </c>
      <c r="O294" s="635">
        <v>31.536000000000001</v>
      </c>
      <c r="P294" s="635">
        <v>31.536000000000001</v>
      </c>
      <c r="Q294" s="635">
        <v>31.536000000000001</v>
      </c>
      <c r="R294" s="635">
        <v>31.536000000000001</v>
      </c>
      <c r="S294" s="635">
        <v>31.536000000000001</v>
      </c>
      <c r="T294" s="635">
        <v>31.536000000000001</v>
      </c>
      <c r="U294" s="635">
        <v>31.536000000000001</v>
      </c>
      <c r="V294" s="635">
        <v>31.536000000000001</v>
      </c>
      <c r="W294" s="635">
        <v>31.536000000000001</v>
      </c>
      <c r="X294" s="635">
        <v>31.536000000000001</v>
      </c>
      <c r="Y294" s="635">
        <v>31.536000000000001</v>
      </c>
      <c r="Z294" s="635">
        <v>31.536000000000001</v>
      </c>
      <c r="AR294" s="97"/>
      <c r="AS294" s="19"/>
      <c r="AT294" s="19"/>
      <c r="AU294" s="19"/>
      <c r="AV294" s="19"/>
      <c r="AW294" s="19"/>
      <c r="AX294" s="19"/>
      <c r="AY294" s="19"/>
      <c r="AZ294" s="19"/>
      <c r="BA294" s="19"/>
      <c r="BB294" s="19"/>
      <c r="BC294" s="19"/>
      <c r="BD294" s="19"/>
      <c r="BE294" s="19"/>
      <c r="BF294" s="19"/>
      <c r="BG294" s="19"/>
      <c r="BH294" s="19"/>
      <c r="BI294" s="19"/>
      <c r="BJ294" s="19"/>
      <c r="BK294" s="19"/>
      <c r="BL294" s="19"/>
      <c r="BM294" s="19"/>
    </row>
    <row r="295" spans="1:67" x14ac:dyDescent="0.3">
      <c r="A295" s="19"/>
      <c r="B295" s="219" t="str">
        <f>B293</f>
        <v>TRAELC01</v>
      </c>
      <c r="C295" s="224"/>
      <c r="D295" s="230"/>
      <c r="E295" s="224"/>
      <c r="F295" s="224"/>
      <c r="G295" s="224"/>
      <c r="H295" s="231"/>
      <c r="I295" s="224"/>
      <c r="J295" s="232" t="s">
        <v>1096</v>
      </c>
      <c r="K295" s="232"/>
      <c r="L295" s="637">
        <f>K3+1</f>
        <v>2020</v>
      </c>
      <c r="M295" s="637">
        <f>L295</f>
        <v>2020</v>
      </c>
      <c r="N295" s="637">
        <f t="shared" ref="N295:S295" si="291">M295</f>
        <v>2020</v>
      </c>
      <c r="O295" s="637">
        <f t="shared" si="291"/>
        <v>2020</v>
      </c>
      <c r="P295" s="637">
        <f t="shared" si="291"/>
        <v>2020</v>
      </c>
      <c r="Q295" s="637">
        <f t="shared" si="291"/>
        <v>2020</v>
      </c>
      <c r="R295" s="637">
        <f t="shared" si="291"/>
        <v>2020</v>
      </c>
      <c r="S295" s="637">
        <f t="shared" si="291"/>
        <v>2020</v>
      </c>
      <c r="T295" s="637">
        <f t="shared" ref="T295:Z295" si="292">S295</f>
        <v>2020</v>
      </c>
      <c r="U295" s="637">
        <f t="shared" si="292"/>
        <v>2020</v>
      </c>
      <c r="V295" s="637">
        <f t="shared" si="292"/>
        <v>2020</v>
      </c>
      <c r="W295" s="637">
        <f t="shared" si="292"/>
        <v>2020</v>
      </c>
      <c r="X295" s="637">
        <f t="shared" si="292"/>
        <v>2020</v>
      </c>
      <c r="Y295" s="637">
        <f t="shared" si="292"/>
        <v>2020</v>
      </c>
      <c r="Z295" s="637">
        <f t="shared" si="292"/>
        <v>2020</v>
      </c>
      <c r="AE295" s="19"/>
      <c r="AQ295" s="97"/>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row>
    <row r="296" spans="1:67" x14ac:dyDescent="0.3">
      <c r="A296" s="19"/>
      <c r="B296" s="233" t="str">
        <f>B295</f>
        <v>TRAELC01</v>
      </c>
      <c r="C296" s="234"/>
      <c r="D296" s="235"/>
      <c r="E296" s="234"/>
      <c r="F296" s="234"/>
      <c r="G296" s="234"/>
      <c r="H296" s="236"/>
      <c r="I296" s="234"/>
      <c r="J296" s="237" t="s">
        <v>1097</v>
      </c>
      <c r="K296" s="237" t="s">
        <v>1098</v>
      </c>
      <c r="L296" s="636"/>
      <c r="M296" s="636"/>
      <c r="N296" s="636"/>
      <c r="O296" s="636"/>
      <c r="P296" s="636"/>
      <c r="Q296" s="636"/>
      <c r="R296" s="636"/>
      <c r="S296" s="636"/>
      <c r="T296" s="636"/>
      <c r="U296" s="636"/>
      <c r="V296" s="636"/>
      <c r="W296" s="636"/>
      <c r="X296" s="636"/>
      <c r="Y296" s="636"/>
      <c r="Z296" s="636"/>
      <c r="AA296" s="41"/>
      <c r="AQ296" s="97"/>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3">
      <c r="B297" s="104"/>
      <c r="C297" s="19"/>
      <c r="F297" s="46"/>
      <c r="G297" s="105"/>
      <c r="M297" s="19"/>
      <c r="N297" s="19"/>
      <c r="O297" s="19"/>
      <c r="P297" s="19"/>
      <c r="Q297" s="19"/>
      <c r="R297" s="19"/>
      <c r="S297" s="19"/>
      <c r="T297" s="19"/>
      <c r="U297" s="19"/>
      <c r="V297" s="19"/>
      <c r="W297" s="19"/>
      <c r="X297" s="19"/>
      <c r="Y297" s="19"/>
      <c r="Z297" s="19"/>
      <c r="AA297" s="19"/>
    </row>
    <row r="299" spans="1:67" x14ac:dyDescent="0.3">
      <c r="AC299" s="19"/>
    </row>
    <row r="300" spans="1:67" x14ac:dyDescent="0.3">
      <c r="H300"/>
      <c r="AC300" s="19"/>
    </row>
    <row r="301" spans="1:67" x14ac:dyDescent="0.3">
      <c r="AC301" s="19"/>
    </row>
    <row r="302" spans="1:67" x14ac:dyDescent="0.3">
      <c r="AC302" s="19"/>
    </row>
    <row r="303" spans="1:67" x14ac:dyDescent="0.3">
      <c r="AC303" s="19"/>
    </row>
    <row r="304" spans="1:67" x14ac:dyDescent="0.3">
      <c r="AC304" s="19"/>
    </row>
    <row r="305" spans="29:29" x14ac:dyDescent="0.3">
      <c r="AC305" s="19"/>
    </row>
    <row r="306" spans="29:29" x14ac:dyDescent="0.3">
      <c r="AC306" s="19"/>
    </row>
    <row r="307" spans="29:29" x14ac:dyDescent="0.3">
      <c r="AC307" s="19"/>
    </row>
    <row r="308" spans="29:29" x14ac:dyDescent="0.3">
      <c r="AC308" s="19"/>
    </row>
    <row r="309" spans="29:29" x14ac:dyDescent="0.3">
      <c r="AC309" s="19"/>
    </row>
    <row r="310" spans="29:29" x14ac:dyDescent="0.3">
      <c r="AC310" s="19"/>
    </row>
    <row r="311" spans="29:29" x14ac:dyDescent="0.3">
      <c r="AC311" s="19"/>
    </row>
    <row r="312" spans="29:29" x14ac:dyDescent="0.3">
      <c r="AC312" s="19"/>
    </row>
    <row r="313" spans="29:29" x14ac:dyDescent="0.3">
      <c r="AC313" s="19"/>
    </row>
    <row r="314" spans="29:29" x14ac:dyDescent="0.3">
      <c r="AC314" s="19"/>
    </row>
    <row r="315" spans="29:29" x14ac:dyDescent="0.3">
      <c r="AC315" s="19"/>
    </row>
    <row r="316" spans="29:29" x14ac:dyDescent="0.3">
      <c r="AC316" s="19"/>
    </row>
    <row r="317" spans="29:29" x14ac:dyDescent="0.3">
      <c r="AC317" s="19"/>
    </row>
    <row r="318" spans="29:29" x14ac:dyDescent="0.3">
      <c r="AC318" s="19"/>
    </row>
    <row r="319" spans="29:29" x14ac:dyDescent="0.3">
      <c r="AC319" s="19"/>
    </row>
    <row r="320" spans="29:29" x14ac:dyDescent="0.3">
      <c r="AC320" s="19"/>
    </row>
    <row r="321" spans="29:29" x14ac:dyDescent="0.3">
      <c r="AC321" s="19"/>
    </row>
    <row r="322" spans="29:29" x14ac:dyDescent="0.3">
      <c r="AC322" s="19"/>
    </row>
    <row r="323" spans="29:29" x14ac:dyDescent="0.3">
      <c r="AC323" s="19"/>
    </row>
    <row r="324" spans="29:29" x14ac:dyDescent="0.3">
      <c r="AC324" s="19"/>
    </row>
    <row r="325" spans="29:29" x14ac:dyDescent="0.3">
      <c r="AC325" s="19"/>
    </row>
    <row r="326" spans="29:29" x14ac:dyDescent="0.3">
      <c r="AC326" s="19"/>
    </row>
    <row r="327" spans="29:29" x14ac:dyDescent="0.3">
      <c r="AC327" s="19"/>
    </row>
    <row r="328" spans="29:29" x14ac:dyDescent="0.3">
      <c r="AC328" s="19"/>
    </row>
    <row r="329" spans="29:29" x14ac:dyDescent="0.3">
      <c r="AC329" s="19"/>
    </row>
    <row r="330" spans="29:29" x14ac:dyDescent="0.3">
      <c r="AC330" s="19"/>
    </row>
    <row r="331" spans="29:29" x14ac:dyDescent="0.3">
      <c r="AC331" s="19"/>
    </row>
    <row r="332" spans="29:29" x14ac:dyDescent="0.3">
      <c r="AC332" s="19"/>
    </row>
    <row r="333" spans="29:29" x14ac:dyDescent="0.3">
      <c r="AC333" s="19"/>
    </row>
    <row r="334" spans="29:29" x14ac:dyDescent="0.3">
      <c r="AC334" s="19"/>
    </row>
    <row r="335" spans="29:29" x14ac:dyDescent="0.3">
      <c r="AC335" s="19"/>
    </row>
    <row r="336" spans="29:29" x14ac:dyDescent="0.3">
      <c r="AC336" s="19"/>
    </row>
    <row r="337" spans="29:29" x14ac:dyDescent="0.3">
      <c r="AC337" s="19"/>
    </row>
    <row r="338" spans="29:29" x14ac:dyDescent="0.3">
      <c r="AC338" s="19"/>
    </row>
    <row r="339" spans="29:29" x14ac:dyDescent="0.3">
      <c r="AC339" s="19"/>
    </row>
    <row r="340" spans="29:29" x14ac:dyDescent="0.3">
      <c r="AC340" s="19"/>
    </row>
    <row r="341" spans="29:29" x14ac:dyDescent="0.3">
      <c r="AC341" s="19"/>
    </row>
    <row r="342" spans="29:29" x14ac:dyDescent="0.3">
      <c r="AC342" s="19"/>
    </row>
    <row r="343" spans="29:29" x14ac:dyDescent="0.3">
      <c r="AC343" s="19"/>
    </row>
    <row r="344" spans="29:29" x14ac:dyDescent="0.3">
      <c r="AC344" s="19"/>
    </row>
    <row r="345" spans="29:29" x14ac:dyDescent="0.3">
      <c r="AC345" s="19"/>
    </row>
    <row r="346" spans="29:29" x14ac:dyDescent="0.3">
      <c r="AC346" s="19"/>
    </row>
    <row r="347" spans="29:29" x14ac:dyDescent="0.3">
      <c r="AC347" s="19"/>
    </row>
    <row r="348" spans="29:29" x14ac:dyDescent="0.3">
      <c r="AC348" s="19"/>
    </row>
    <row r="349" spans="29:29" x14ac:dyDescent="0.3">
      <c r="AC349" s="19"/>
    </row>
    <row r="350" spans="29:29" x14ac:dyDescent="0.3">
      <c r="AC350" s="19"/>
    </row>
    <row r="351" spans="29:29" x14ac:dyDescent="0.3">
      <c r="AC351" s="19"/>
    </row>
    <row r="352" spans="29:29" x14ac:dyDescent="0.3">
      <c r="AC352" s="19"/>
    </row>
    <row r="353" spans="29:29" x14ac:dyDescent="0.3">
      <c r="AC353" s="19"/>
    </row>
    <row r="354" spans="29:29" x14ac:dyDescent="0.3">
      <c r="AC354" s="19"/>
    </row>
    <row r="355" spans="29:29" x14ac:dyDescent="0.3">
      <c r="AC355" s="19"/>
    </row>
    <row r="356" spans="29:29" x14ac:dyDescent="0.3">
      <c r="AC356" s="19"/>
    </row>
    <row r="357" spans="29:29" x14ac:dyDescent="0.3">
      <c r="AC357" s="19"/>
    </row>
    <row r="358" spans="29:29" x14ac:dyDescent="0.3">
      <c r="AC358" s="19"/>
    </row>
    <row r="359" spans="29:29" x14ac:dyDescent="0.3">
      <c r="AC359" s="19"/>
    </row>
    <row r="360" spans="29:29" x14ac:dyDescent="0.3">
      <c r="AC360" s="19"/>
    </row>
    <row r="361" spans="29:29" x14ac:dyDescent="0.3">
      <c r="AC361" s="19"/>
    </row>
    <row r="362" spans="29:29" x14ac:dyDescent="0.3">
      <c r="AC362" s="19"/>
    </row>
    <row r="363" spans="29:29" x14ac:dyDescent="0.3">
      <c r="AC363" s="19"/>
    </row>
    <row r="364" spans="29:29" x14ac:dyDescent="0.3">
      <c r="AC364" s="19"/>
    </row>
    <row r="365" spans="29:29" x14ac:dyDescent="0.3">
      <c r="AC365" s="19"/>
    </row>
    <row r="366" spans="29:29" x14ac:dyDescent="0.3">
      <c r="AC366" s="19"/>
    </row>
    <row r="367" spans="29:29" x14ac:dyDescent="0.3">
      <c r="AC367" s="19"/>
    </row>
    <row r="368" spans="29:29" x14ac:dyDescent="0.3">
      <c r="AC368" s="19"/>
    </row>
    <row r="369" spans="29:29" x14ac:dyDescent="0.3">
      <c r="AC369" s="19"/>
    </row>
    <row r="370" spans="29:29" x14ac:dyDescent="0.3">
      <c r="AC370" s="19"/>
    </row>
    <row r="371" spans="29:29" x14ac:dyDescent="0.3">
      <c r="AC371" s="19"/>
    </row>
    <row r="372" spans="29:29" x14ac:dyDescent="0.3">
      <c r="AC372" s="19"/>
    </row>
    <row r="373" spans="29:29" x14ac:dyDescent="0.3">
      <c r="AC373" s="19"/>
    </row>
    <row r="374" spans="29:29" x14ac:dyDescent="0.3">
      <c r="AC374" s="19"/>
    </row>
    <row r="375" spans="29:29" x14ac:dyDescent="0.3">
      <c r="AC375" s="19"/>
    </row>
    <row r="376" spans="29:29" x14ac:dyDescent="0.3">
      <c r="AC376" s="19"/>
    </row>
    <row r="377" spans="29:29" x14ac:dyDescent="0.3">
      <c r="AC377" s="19"/>
    </row>
    <row r="378" spans="29:29" x14ac:dyDescent="0.3">
      <c r="AC378" s="19"/>
    </row>
    <row r="379" spans="29:29" x14ac:dyDescent="0.3">
      <c r="AC379" s="19"/>
    </row>
    <row r="380" spans="29:29" x14ac:dyDescent="0.3">
      <c r="AC380" s="19"/>
    </row>
    <row r="381" spans="29:29" x14ac:dyDescent="0.3">
      <c r="AC381" s="19"/>
    </row>
    <row r="382" spans="29:29" x14ac:dyDescent="0.3">
      <c r="AC382" s="19"/>
    </row>
    <row r="383" spans="29:29" x14ac:dyDescent="0.3">
      <c r="AC383" s="19"/>
    </row>
    <row r="384" spans="29:29" x14ac:dyDescent="0.3">
      <c r="AC384" s="19"/>
    </row>
    <row r="385" spans="29:29" x14ac:dyDescent="0.3">
      <c r="AC385" s="19"/>
    </row>
    <row r="386" spans="29:29" x14ac:dyDescent="0.3">
      <c r="AC386" s="19"/>
    </row>
    <row r="387" spans="29:29" x14ac:dyDescent="0.3">
      <c r="AC387" s="19"/>
    </row>
    <row r="388" spans="29:29" x14ac:dyDescent="0.3">
      <c r="AC388" s="19"/>
    </row>
    <row r="389" spans="29:29" x14ac:dyDescent="0.3">
      <c r="AC389" s="19"/>
    </row>
    <row r="390" spans="29:29" x14ac:dyDescent="0.3">
      <c r="AC390" s="19"/>
    </row>
    <row r="391" spans="29:29" x14ac:dyDescent="0.3">
      <c r="AC391" s="19"/>
    </row>
    <row r="392" spans="29:29" x14ac:dyDescent="0.3">
      <c r="AC392" s="19"/>
    </row>
    <row r="393" spans="29:29" x14ac:dyDescent="0.3">
      <c r="AC393" s="19"/>
    </row>
    <row r="394" spans="29:29" x14ac:dyDescent="0.3">
      <c r="AC394" s="19"/>
    </row>
    <row r="395" spans="29:29" x14ac:dyDescent="0.3">
      <c r="AC395" s="19"/>
    </row>
    <row r="396" spans="29:29" x14ac:dyDescent="0.3">
      <c r="AC396" s="19"/>
    </row>
    <row r="397" spans="29:29" x14ac:dyDescent="0.3">
      <c r="AC397" s="19"/>
    </row>
    <row r="398" spans="29:29" x14ac:dyDescent="0.3">
      <c r="AC398" s="19"/>
    </row>
    <row r="399" spans="29:29" x14ac:dyDescent="0.3">
      <c r="AC399" s="19"/>
    </row>
    <row r="400" spans="29:29" x14ac:dyDescent="0.3">
      <c r="AC400" s="19"/>
    </row>
    <row r="401" spans="29:29" x14ac:dyDescent="0.3">
      <c r="AC401" s="19"/>
    </row>
    <row r="402" spans="29:29" x14ac:dyDescent="0.3">
      <c r="AC402" s="19"/>
    </row>
    <row r="403" spans="29:29" x14ac:dyDescent="0.3">
      <c r="AC403" s="19"/>
    </row>
    <row r="404" spans="29:29" x14ac:dyDescent="0.3">
      <c r="AC404" s="19"/>
    </row>
    <row r="405" spans="29:29" x14ac:dyDescent="0.3">
      <c r="AC405" s="19"/>
    </row>
    <row r="406" spans="29:29" x14ac:dyDescent="0.3">
      <c r="AC406" s="19"/>
    </row>
    <row r="407" spans="29:29" x14ac:dyDescent="0.3">
      <c r="AC407" s="19"/>
    </row>
    <row r="408" spans="29:29" x14ac:dyDescent="0.3">
      <c r="AC408" s="19"/>
    </row>
    <row r="409" spans="29:29" x14ac:dyDescent="0.3">
      <c r="AC409" s="19"/>
    </row>
    <row r="410" spans="29:29" x14ac:dyDescent="0.3">
      <c r="AC410" s="19"/>
    </row>
    <row r="411" spans="29:29" x14ac:dyDescent="0.3">
      <c r="AC411" s="19"/>
    </row>
    <row r="412" spans="29:29" x14ac:dyDescent="0.3">
      <c r="AC412" s="19"/>
    </row>
    <row r="413" spans="29:29" x14ac:dyDescent="0.3">
      <c r="AC413" s="19"/>
    </row>
    <row r="414" spans="29:29" x14ac:dyDescent="0.3">
      <c r="AC414" s="19"/>
    </row>
    <row r="415" spans="29:29" x14ac:dyDescent="0.3">
      <c r="AC415" s="19"/>
    </row>
    <row r="416" spans="29:29" x14ac:dyDescent="0.3">
      <c r="AC416" s="19"/>
    </row>
    <row r="417" spans="29:29" x14ac:dyDescent="0.3">
      <c r="AC417" s="19"/>
    </row>
    <row r="418" spans="29:29" x14ac:dyDescent="0.3">
      <c r="AC418" s="19"/>
    </row>
    <row r="419" spans="29:29" x14ac:dyDescent="0.3">
      <c r="AC419" s="19"/>
    </row>
    <row r="420" spans="29:29" x14ac:dyDescent="0.3">
      <c r="AC420" s="19"/>
    </row>
    <row r="421" spans="29:29" x14ac:dyDescent="0.3">
      <c r="AC421" s="19"/>
    </row>
    <row r="422" spans="29:29" x14ac:dyDescent="0.3">
      <c r="AC422" s="19"/>
    </row>
    <row r="423" spans="29:29" x14ac:dyDescent="0.3">
      <c r="AC423" s="19"/>
    </row>
    <row r="424" spans="29:29" x14ac:dyDescent="0.3">
      <c r="AC424" s="19"/>
    </row>
    <row r="425" spans="29:29" x14ac:dyDescent="0.3">
      <c r="AC425"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topLeftCell="A101" zoomScale="75" zoomScaleNormal="75" workbookViewId="0">
      <selection activeCell="C113" sqref="C113"/>
    </sheetView>
  </sheetViews>
  <sheetFormatPr defaultColWidth="9.33203125" defaultRowHeight="14.4" x14ac:dyDescent="0.3"/>
  <cols>
    <col min="1" max="1" width="9.33203125" style="35"/>
    <col min="2" max="2" width="21.6640625" style="35" customWidth="1"/>
    <col min="3" max="3" width="12.6640625" style="35" bestFit="1" customWidth="1"/>
    <col min="4" max="4" width="31"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0" style="35" bestFit="1" customWidth="1"/>
    <col min="11" max="11" width="17.33203125" style="35" bestFit="1" customWidth="1"/>
    <col min="12" max="12" width="14.44140625" style="35" bestFit="1" customWidth="1"/>
    <col min="13" max="13" width="18.6640625" style="35" customWidth="1"/>
    <col min="14" max="14" width="9.6640625" style="35" bestFit="1" customWidth="1"/>
    <col min="15" max="29" width="8.6640625" style="35" customWidth="1"/>
    <col min="30" max="30" width="16.44140625" style="35" customWidth="1"/>
    <col min="31" max="37" width="11.33203125" style="35" customWidth="1"/>
    <col min="38" max="38" width="12.6640625" style="35" customWidth="1"/>
    <col min="39" max="43" width="11.33203125" style="35" customWidth="1"/>
    <col min="44" max="44" width="12.33203125" style="35" customWidth="1"/>
    <col min="45" max="46" width="11.33203125" style="35" customWidth="1"/>
    <col min="47" max="47" width="9.33203125" style="35"/>
    <col min="48" max="48" width="17.44140625" style="35" bestFit="1" customWidth="1"/>
    <col min="49" max="50" width="9.6640625" style="35" bestFit="1" customWidth="1"/>
    <col min="51" max="16384" width="9.33203125" style="35"/>
  </cols>
  <sheetData>
    <row r="1" spans="1:64" x14ac:dyDescent="0.3">
      <c r="I1" s="36"/>
      <c r="M1" s="120" t="s">
        <v>1110</v>
      </c>
    </row>
    <row r="2" spans="1:64" ht="19.5" customHeight="1" x14ac:dyDescent="0.3">
      <c r="A2" s="632"/>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3">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0" t="s">
        <v>85</v>
      </c>
      <c r="AW4" s="700" t="s">
        <v>421</v>
      </c>
      <c r="AX4" s="700" t="str">
        <f>N$2</f>
        <v>Z01</v>
      </c>
      <c r="AY4" s="700" t="str">
        <f t="shared" ref="AY4:BL4" si="2">O$2</f>
        <v>Z02</v>
      </c>
      <c r="AZ4" s="700" t="str">
        <f t="shared" si="2"/>
        <v>Z03</v>
      </c>
      <c r="BA4" s="700" t="str">
        <f t="shared" si="2"/>
        <v>Z04</v>
      </c>
      <c r="BB4" s="700" t="str">
        <f t="shared" si="2"/>
        <v>Z05</v>
      </c>
      <c r="BC4" s="700" t="str">
        <f t="shared" si="2"/>
        <v>Z06</v>
      </c>
      <c r="BD4" s="700" t="str">
        <f t="shared" si="2"/>
        <v>Z07</v>
      </c>
      <c r="BE4" s="700" t="str">
        <f t="shared" si="2"/>
        <v>Z08</v>
      </c>
      <c r="BF4" s="700" t="str">
        <f t="shared" si="2"/>
        <v>Z09</v>
      </c>
      <c r="BG4" s="700" t="str">
        <f t="shared" si="2"/>
        <v>Z10</v>
      </c>
      <c r="BH4" s="700" t="str">
        <f t="shared" si="2"/>
        <v>Z11</v>
      </c>
      <c r="BI4" s="700" t="str">
        <f t="shared" si="2"/>
        <v>Z12</v>
      </c>
      <c r="BJ4" s="700" t="str">
        <f t="shared" si="2"/>
        <v>Z13</v>
      </c>
      <c r="BK4" s="700" t="str">
        <f t="shared" si="2"/>
        <v>Z14</v>
      </c>
      <c r="BL4" s="700" t="str">
        <f t="shared" si="2"/>
        <v>Z15</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6">
        <f t="shared" ref="AW5:AW24" si="3">SUM(AX5:BL5)</f>
        <v>14930.631130120655</v>
      </c>
      <c r="AX5" s="717">
        <f t="shared" ref="AX5:BL5" si="4">SUM(AX6:AX24)</f>
        <v>14930.631130120655</v>
      </c>
      <c r="AY5" s="708">
        <f t="shared" si="4"/>
        <v>0</v>
      </c>
      <c r="AZ5" s="708">
        <f t="shared" si="4"/>
        <v>0</v>
      </c>
      <c r="BA5" s="708">
        <f t="shared" si="4"/>
        <v>0</v>
      </c>
      <c r="BB5" s="708">
        <f t="shared" si="4"/>
        <v>0</v>
      </c>
      <c r="BC5" s="708">
        <f t="shared" si="4"/>
        <v>0</v>
      </c>
      <c r="BD5" s="708">
        <f t="shared" si="4"/>
        <v>0</v>
      </c>
      <c r="BE5" s="708">
        <f t="shared" si="4"/>
        <v>0</v>
      </c>
      <c r="BF5" s="708">
        <f t="shared" si="4"/>
        <v>0</v>
      </c>
      <c r="BG5" s="708">
        <f t="shared" si="4"/>
        <v>0</v>
      </c>
      <c r="BH5" s="708">
        <f t="shared" si="4"/>
        <v>0</v>
      </c>
      <c r="BI5" s="708">
        <f t="shared" si="4"/>
        <v>0</v>
      </c>
      <c r="BJ5" s="708">
        <f t="shared" si="4"/>
        <v>0</v>
      </c>
      <c r="BK5" s="708">
        <f t="shared" si="4"/>
        <v>0</v>
      </c>
      <c r="BL5" s="708">
        <f t="shared" si="4"/>
        <v>0</v>
      </c>
    </row>
    <row r="6" spans="1:64" x14ac:dyDescent="0.3">
      <c r="AF6" s="38">
        <f>AF5+5</f>
        <v>2025</v>
      </c>
      <c r="AG6" s="67">
        <v>0.7</v>
      </c>
      <c r="AH6" s="67">
        <v>0.75</v>
      </c>
      <c r="AI6" s="67">
        <v>0.7</v>
      </c>
      <c r="AJ6" s="67">
        <v>0.7</v>
      </c>
      <c r="AK6" s="67">
        <v>0.7</v>
      </c>
      <c r="AL6" s="67">
        <v>0.75</v>
      </c>
      <c r="AM6" s="67">
        <v>0.75</v>
      </c>
      <c r="AN6" s="67">
        <v>0.7</v>
      </c>
      <c r="AO6" s="67">
        <v>0.75</v>
      </c>
      <c r="AP6" s="67">
        <v>0.75</v>
      </c>
      <c r="AV6" s="724" t="s">
        <v>987</v>
      </c>
      <c r="AW6" s="934">
        <f t="shared" si="3"/>
        <v>799.70465812785301</v>
      </c>
      <c r="AX6" s="727">
        <f t="shared" ref="AX6:BL15" si="5">SUMIF($AV$32:$AV$155,$AV6,AX$32:AX$155)</f>
        <v>799.70465812785301</v>
      </c>
      <c r="AY6" s="722">
        <f t="shared" si="5"/>
        <v>0</v>
      </c>
      <c r="AZ6" s="722">
        <f t="shared" si="5"/>
        <v>0</v>
      </c>
      <c r="BA6" s="722">
        <f t="shared" si="5"/>
        <v>0</v>
      </c>
      <c r="BB6" s="722">
        <f t="shared" si="5"/>
        <v>0</v>
      </c>
      <c r="BC6" s="722">
        <f t="shared" si="5"/>
        <v>0</v>
      </c>
      <c r="BD6" s="722">
        <f t="shared" si="5"/>
        <v>0</v>
      </c>
      <c r="BE6" s="722">
        <f t="shared" si="5"/>
        <v>0</v>
      </c>
      <c r="BF6" s="722">
        <f t="shared" si="5"/>
        <v>0</v>
      </c>
      <c r="BG6" s="722">
        <f t="shared" si="5"/>
        <v>0</v>
      </c>
      <c r="BH6" s="722">
        <f t="shared" si="5"/>
        <v>0</v>
      </c>
      <c r="BI6" s="722">
        <f t="shared" si="5"/>
        <v>0</v>
      </c>
      <c r="BJ6" s="722">
        <f t="shared" si="5"/>
        <v>0</v>
      </c>
      <c r="BK6" s="722">
        <f t="shared" si="5"/>
        <v>0</v>
      </c>
      <c r="BL6" s="722">
        <f t="shared" si="5"/>
        <v>0</v>
      </c>
    </row>
    <row r="7" spans="1:64" s="33" customFormat="1" x14ac:dyDescent="0.3">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4" t="s">
        <v>989</v>
      </c>
      <c r="AW7" s="934">
        <f t="shared" si="3"/>
        <v>265.04497240808843</v>
      </c>
      <c r="AX7" s="727">
        <f t="shared" si="5"/>
        <v>265.04497240808843</v>
      </c>
      <c r="AY7" s="722">
        <f t="shared" si="5"/>
        <v>0</v>
      </c>
      <c r="AZ7" s="722">
        <f t="shared" si="5"/>
        <v>0</v>
      </c>
      <c r="BA7" s="722">
        <f t="shared" si="5"/>
        <v>0</v>
      </c>
      <c r="BB7" s="722">
        <f t="shared" si="5"/>
        <v>0</v>
      </c>
      <c r="BC7" s="722">
        <f t="shared" si="5"/>
        <v>0</v>
      </c>
      <c r="BD7" s="722">
        <f t="shared" si="5"/>
        <v>0</v>
      </c>
      <c r="BE7" s="722">
        <f t="shared" si="5"/>
        <v>0</v>
      </c>
      <c r="BF7" s="722">
        <f t="shared" si="5"/>
        <v>0</v>
      </c>
      <c r="BG7" s="722">
        <f t="shared" si="5"/>
        <v>0</v>
      </c>
      <c r="BH7" s="722">
        <f t="shared" si="5"/>
        <v>0</v>
      </c>
      <c r="BI7" s="722">
        <f t="shared" si="5"/>
        <v>0</v>
      </c>
      <c r="BJ7" s="722">
        <f t="shared" si="5"/>
        <v>0</v>
      </c>
      <c r="BK7" s="722">
        <f t="shared" si="5"/>
        <v>0</v>
      </c>
      <c r="BL7" s="722">
        <f t="shared" si="5"/>
        <v>0</v>
      </c>
    </row>
    <row r="8" spans="1:64" s="45" customFormat="1" x14ac:dyDescent="0.3">
      <c r="H8" s="83"/>
      <c r="I8" s="354" t="s">
        <v>979</v>
      </c>
      <c r="J8" s="354" t="s">
        <v>1112</v>
      </c>
      <c r="K8" s="354" t="s">
        <v>1113</v>
      </c>
      <c r="L8" s="354" t="s">
        <v>1056</v>
      </c>
      <c r="M8" s="551" t="s">
        <v>1057</v>
      </c>
      <c r="N8" s="551" t="str">
        <f t="shared" ref="N8:AB8" si="6">N$2</f>
        <v>Z01</v>
      </c>
      <c r="O8" s="551" t="str">
        <f t="shared" si="6"/>
        <v>Z02</v>
      </c>
      <c r="P8" s="551" t="str">
        <f t="shared" si="6"/>
        <v>Z03</v>
      </c>
      <c r="Q8" s="551" t="str">
        <f t="shared" si="6"/>
        <v>Z04</v>
      </c>
      <c r="R8" s="551" t="str">
        <f t="shared" si="6"/>
        <v>Z05</v>
      </c>
      <c r="S8" s="551" t="str">
        <f t="shared" si="6"/>
        <v>Z06</v>
      </c>
      <c r="T8" s="551" t="str">
        <f t="shared" si="6"/>
        <v>Z07</v>
      </c>
      <c r="U8" s="551" t="str">
        <f t="shared" si="6"/>
        <v>Z08</v>
      </c>
      <c r="V8" s="551" t="str">
        <f t="shared" si="6"/>
        <v>Z09</v>
      </c>
      <c r="W8" s="551" t="str">
        <f t="shared" si="6"/>
        <v>Z10</v>
      </c>
      <c r="X8" s="551" t="str">
        <f t="shared" si="6"/>
        <v>Z11</v>
      </c>
      <c r="Y8" s="551" t="str">
        <f t="shared" si="6"/>
        <v>Z12</v>
      </c>
      <c r="Z8" s="551" t="str">
        <f t="shared" si="6"/>
        <v>Z13</v>
      </c>
      <c r="AA8" s="551" t="str">
        <f t="shared" si="6"/>
        <v>Z14</v>
      </c>
      <c r="AB8" s="551" t="str">
        <f t="shared" si="6"/>
        <v>Z15</v>
      </c>
      <c r="AC8" s="918"/>
      <c r="AD8" s="552" t="s">
        <v>421</v>
      </c>
      <c r="AF8" s="553">
        <f>AF7+5</f>
        <v>2035</v>
      </c>
      <c r="AG8" s="554">
        <v>0.15</v>
      </c>
      <c r="AH8" s="554">
        <v>0.15</v>
      </c>
      <c r="AI8" s="554">
        <v>0.15</v>
      </c>
      <c r="AJ8" s="554">
        <v>0.15</v>
      </c>
      <c r="AK8" s="554">
        <v>0.15</v>
      </c>
      <c r="AL8" s="554">
        <v>0.15</v>
      </c>
      <c r="AM8" s="554">
        <v>0.15</v>
      </c>
      <c r="AN8" s="554">
        <v>0.15</v>
      </c>
      <c r="AO8" s="554">
        <v>0.15</v>
      </c>
      <c r="AP8" s="554">
        <v>0.15</v>
      </c>
      <c r="AV8" s="724" t="s">
        <v>993</v>
      </c>
      <c r="AW8" s="934">
        <f t="shared" si="3"/>
        <v>277.36804281918398</v>
      </c>
      <c r="AX8" s="727">
        <f t="shared" si="5"/>
        <v>277.36804281918398</v>
      </c>
      <c r="AY8" s="722">
        <f t="shared" si="5"/>
        <v>0</v>
      </c>
      <c r="AZ8" s="722">
        <f t="shared" si="5"/>
        <v>0</v>
      </c>
      <c r="BA8" s="722">
        <f t="shared" si="5"/>
        <v>0</v>
      </c>
      <c r="BB8" s="722">
        <f t="shared" si="5"/>
        <v>0</v>
      </c>
      <c r="BC8" s="722">
        <f t="shared" si="5"/>
        <v>0</v>
      </c>
      <c r="BD8" s="722">
        <f t="shared" si="5"/>
        <v>0</v>
      </c>
      <c r="BE8" s="722">
        <f t="shared" si="5"/>
        <v>0</v>
      </c>
      <c r="BF8" s="722">
        <f t="shared" si="5"/>
        <v>0</v>
      </c>
      <c r="BG8" s="722">
        <f t="shared" si="5"/>
        <v>0</v>
      </c>
      <c r="BH8" s="722">
        <f t="shared" si="5"/>
        <v>0</v>
      </c>
      <c r="BI8" s="722">
        <f t="shared" si="5"/>
        <v>0</v>
      </c>
      <c r="BJ8" s="722">
        <f t="shared" si="5"/>
        <v>0</v>
      </c>
      <c r="BK8" s="722">
        <f t="shared" si="5"/>
        <v>0</v>
      </c>
      <c r="BL8" s="722">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3" t="s">
        <v>995</v>
      </c>
      <c r="AW9" s="934">
        <f t="shared" si="3"/>
        <v>0</v>
      </c>
      <c r="AX9" s="727">
        <f t="shared" si="5"/>
        <v>0</v>
      </c>
      <c r="AY9" s="722">
        <f t="shared" si="5"/>
        <v>0</v>
      </c>
      <c r="AZ9" s="722">
        <f t="shared" si="5"/>
        <v>0</v>
      </c>
      <c r="BA9" s="722">
        <f t="shared" si="5"/>
        <v>0</v>
      </c>
      <c r="BB9" s="722">
        <f t="shared" si="5"/>
        <v>0</v>
      </c>
      <c r="BC9" s="722">
        <f t="shared" si="5"/>
        <v>0</v>
      </c>
      <c r="BD9" s="722">
        <f t="shared" si="5"/>
        <v>0</v>
      </c>
      <c r="BE9" s="722">
        <f t="shared" si="5"/>
        <v>0</v>
      </c>
      <c r="BF9" s="722">
        <f t="shared" si="5"/>
        <v>0</v>
      </c>
      <c r="BG9" s="722">
        <f t="shared" si="5"/>
        <v>0</v>
      </c>
      <c r="BH9" s="722">
        <f t="shared" si="5"/>
        <v>0</v>
      </c>
      <c r="BI9" s="722">
        <f t="shared" si="5"/>
        <v>0</v>
      </c>
      <c r="BJ9" s="722">
        <f t="shared" si="5"/>
        <v>0</v>
      </c>
      <c r="BK9" s="722">
        <f t="shared" si="5"/>
        <v>0</v>
      </c>
      <c r="BL9" s="722">
        <f t="shared" si="5"/>
        <v>0</v>
      </c>
    </row>
    <row r="10" spans="1:64" s="33" customFormat="1" x14ac:dyDescent="0.3">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19"/>
      <c r="AD10" s="515">
        <f>SUM(N10:AB10)</f>
        <v>4794.12</v>
      </c>
      <c r="AF10" s="38">
        <f>AF9+10</f>
        <v>2050</v>
      </c>
      <c r="AG10" s="67">
        <v>0</v>
      </c>
      <c r="AH10" s="67">
        <v>0</v>
      </c>
      <c r="AI10" s="67">
        <v>0</v>
      </c>
      <c r="AJ10" s="67">
        <v>0</v>
      </c>
      <c r="AK10" s="67">
        <v>0</v>
      </c>
      <c r="AL10" s="67">
        <v>0</v>
      </c>
      <c r="AM10" s="67">
        <v>0</v>
      </c>
      <c r="AN10" s="67">
        <v>0</v>
      </c>
      <c r="AO10" s="67">
        <v>0</v>
      </c>
      <c r="AP10" s="67">
        <v>0</v>
      </c>
      <c r="AV10" s="724" t="s">
        <v>997</v>
      </c>
      <c r="AW10" s="934">
        <f t="shared" si="3"/>
        <v>0</v>
      </c>
      <c r="AX10" s="727">
        <f t="shared" si="5"/>
        <v>0</v>
      </c>
      <c r="AY10" s="722">
        <f t="shared" si="5"/>
        <v>0</v>
      </c>
      <c r="AZ10" s="722">
        <f t="shared" si="5"/>
        <v>0</v>
      </c>
      <c r="BA10" s="722">
        <f t="shared" si="5"/>
        <v>0</v>
      </c>
      <c r="BB10" s="722">
        <f t="shared" si="5"/>
        <v>0</v>
      </c>
      <c r="BC10" s="722">
        <f t="shared" si="5"/>
        <v>0</v>
      </c>
      <c r="BD10" s="722">
        <f t="shared" si="5"/>
        <v>0</v>
      </c>
      <c r="BE10" s="722">
        <f t="shared" si="5"/>
        <v>0</v>
      </c>
      <c r="BF10" s="722">
        <f t="shared" si="5"/>
        <v>0</v>
      </c>
      <c r="BG10" s="722">
        <f t="shared" si="5"/>
        <v>0</v>
      </c>
      <c r="BH10" s="722">
        <f t="shared" si="5"/>
        <v>0</v>
      </c>
      <c r="BI10" s="722">
        <f t="shared" si="5"/>
        <v>0</v>
      </c>
      <c r="BJ10" s="722">
        <f t="shared" si="5"/>
        <v>0</v>
      </c>
      <c r="BK10" s="722">
        <f t="shared" si="5"/>
        <v>0</v>
      </c>
      <c r="BL10" s="722">
        <f t="shared" si="5"/>
        <v>0</v>
      </c>
    </row>
    <row r="11" spans="1:64" s="33" customFormat="1" x14ac:dyDescent="0.3">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19"/>
      <c r="AD11" s="515">
        <f>SUM(N11:AB11)</f>
        <v>3196.08</v>
      </c>
      <c r="AF11" s="35"/>
      <c r="AG11" s="35"/>
      <c r="AH11" s="35"/>
      <c r="AI11" s="35"/>
      <c r="AJ11" s="35"/>
      <c r="AK11" s="35"/>
      <c r="AL11" s="35"/>
      <c r="AM11" s="35"/>
      <c r="AN11" s="35"/>
      <c r="AV11" s="726" t="s">
        <v>999</v>
      </c>
      <c r="AW11" s="934">
        <f t="shared" si="3"/>
        <v>0</v>
      </c>
      <c r="AX11" s="727">
        <f t="shared" si="5"/>
        <v>0</v>
      </c>
      <c r="AY11" s="722">
        <f t="shared" si="5"/>
        <v>0</v>
      </c>
      <c r="AZ11" s="722">
        <f t="shared" si="5"/>
        <v>0</v>
      </c>
      <c r="BA11" s="722">
        <f t="shared" si="5"/>
        <v>0</v>
      </c>
      <c r="BB11" s="722">
        <f t="shared" si="5"/>
        <v>0</v>
      </c>
      <c r="BC11" s="722">
        <f t="shared" si="5"/>
        <v>0</v>
      </c>
      <c r="BD11" s="722">
        <f t="shared" si="5"/>
        <v>0</v>
      </c>
      <c r="BE11" s="722">
        <f t="shared" si="5"/>
        <v>0</v>
      </c>
      <c r="BF11" s="722">
        <f t="shared" si="5"/>
        <v>0</v>
      </c>
      <c r="BG11" s="722">
        <f t="shared" si="5"/>
        <v>0</v>
      </c>
      <c r="BH11" s="722">
        <f t="shared" si="5"/>
        <v>0</v>
      </c>
      <c r="BI11" s="722">
        <f t="shared" si="5"/>
        <v>0</v>
      </c>
      <c r="BJ11" s="722">
        <f t="shared" si="5"/>
        <v>0</v>
      </c>
      <c r="BK11" s="722">
        <f t="shared" si="5"/>
        <v>0</v>
      </c>
      <c r="BL11" s="722">
        <f t="shared" si="5"/>
        <v>0</v>
      </c>
    </row>
    <row r="12" spans="1:64" s="33" customFormat="1" x14ac:dyDescent="0.3">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7" t="s">
        <v>185</v>
      </c>
      <c r="AW12" s="934">
        <f t="shared" si="3"/>
        <v>3504.9912730517904</v>
      </c>
      <c r="AX12" s="727">
        <f t="shared" si="5"/>
        <v>3504.9912730517904</v>
      </c>
      <c r="AY12" s="722">
        <f t="shared" si="5"/>
        <v>0</v>
      </c>
      <c r="AZ12" s="722">
        <f t="shared" si="5"/>
        <v>0</v>
      </c>
      <c r="BA12" s="722">
        <f t="shared" si="5"/>
        <v>0</v>
      </c>
      <c r="BB12" s="722">
        <f t="shared" si="5"/>
        <v>0</v>
      </c>
      <c r="BC12" s="722">
        <f t="shared" si="5"/>
        <v>0</v>
      </c>
      <c r="BD12" s="722">
        <f t="shared" si="5"/>
        <v>0</v>
      </c>
      <c r="BE12" s="722">
        <f t="shared" si="5"/>
        <v>0</v>
      </c>
      <c r="BF12" s="722">
        <f t="shared" si="5"/>
        <v>0</v>
      </c>
      <c r="BG12" s="722">
        <f t="shared" si="5"/>
        <v>0</v>
      </c>
      <c r="BH12" s="722">
        <f t="shared" si="5"/>
        <v>0</v>
      </c>
      <c r="BI12" s="722">
        <f t="shared" si="5"/>
        <v>0</v>
      </c>
      <c r="BJ12" s="722">
        <f t="shared" si="5"/>
        <v>0</v>
      </c>
      <c r="BK12" s="722">
        <f t="shared" si="5"/>
        <v>0</v>
      </c>
      <c r="BL12" s="722">
        <f t="shared" si="5"/>
        <v>0</v>
      </c>
    </row>
    <row r="13" spans="1:64" s="33" customFormat="1" x14ac:dyDescent="0.3">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7" t="s">
        <v>682</v>
      </c>
      <c r="AW13" s="934">
        <f t="shared" si="3"/>
        <v>684.13421981245585</v>
      </c>
      <c r="AX13" s="727">
        <f t="shared" si="5"/>
        <v>684.13421981245585</v>
      </c>
      <c r="AY13" s="722">
        <f t="shared" si="5"/>
        <v>0</v>
      </c>
      <c r="AZ13" s="722">
        <f t="shared" si="5"/>
        <v>0</v>
      </c>
      <c r="BA13" s="722">
        <f t="shared" si="5"/>
        <v>0</v>
      </c>
      <c r="BB13" s="722">
        <f t="shared" si="5"/>
        <v>0</v>
      </c>
      <c r="BC13" s="722">
        <f t="shared" si="5"/>
        <v>0</v>
      </c>
      <c r="BD13" s="722">
        <f t="shared" si="5"/>
        <v>0</v>
      </c>
      <c r="BE13" s="722">
        <f t="shared" si="5"/>
        <v>0</v>
      </c>
      <c r="BF13" s="722">
        <f t="shared" si="5"/>
        <v>0</v>
      </c>
      <c r="BG13" s="722">
        <f t="shared" si="5"/>
        <v>0</v>
      </c>
      <c r="BH13" s="722">
        <f t="shared" si="5"/>
        <v>0</v>
      </c>
      <c r="BI13" s="722">
        <f t="shared" si="5"/>
        <v>0</v>
      </c>
      <c r="BJ13" s="722">
        <f t="shared" si="5"/>
        <v>0</v>
      </c>
      <c r="BK13" s="722">
        <f t="shared" si="5"/>
        <v>0</v>
      </c>
      <c r="BL13" s="722">
        <f t="shared" si="5"/>
        <v>0</v>
      </c>
    </row>
    <row r="14" spans="1:64" s="33" customFormat="1" x14ac:dyDescent="0.3">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19"/>
      <c r="AF14" s="35"/>
      <c r="AG14" s="35"/>
      <c r="AH14" s="35"/>
      <c r="AI14" s="35"/>
      <c r="AJ14" s="35"/>
      <c r="AK14" s="35"/>
      <c r="AL14" s="35"/>
      <c r="AV14" s="727" t="s">
        <v>1009</v>
      </c>
      <c r="AW14" s="934">
        <f t="shared" si="3"/>
        <v>728.67965667014414</v>
      </c>
      <c r="AX14" s="727">
        <f t="shared" si="5"/>
        <v>728.67965667014414</v>
      </c>
      <c r="AY14" s="722">
        <f t="shared" si="5"/>
        <v>0</v>
      </c>
      <c r="AZ14" s="722">
        <f t="shared" si="5"/>
        <v>0</v>
      </c>
      <c r="BA14" s="722">
        <f t="shared" si="5"/>
        <v>0</v>
      </c>
      <c r="BB14" s="722">
        <f t="shared" si="5"/>
        <v>0</v>
      </c>
      <c r="BC14" s="722">
        <f t="shared" si="5"/>
        <v>0</v>
      </c>
      <c r="BD14" s="722">
        <f t="shared" si="5"/>
        <v>0</v>
      </c>
      <c r="BE14" s="722">
        <f t="shared" si="5"/>
        <v>0</v>
      </c>
      <c r="BF14" s="722">
        <f t="shared" si="5"/>
        <v>0</v>
      </c>
      <c r="BG14" s="722">
        <f t="shared" si="5"/>
        <v>0</v>
      </c>
      <c r="BH14" s="722">
        <f t="shared" si="5"/>
        <v>0</v>
      </c>
      <c r="BI14" s="722">
        <f t="shared" si="5"/>
        <v>0</v>
      </c>
      <c r="BJ14" s="722">
        <f t="shared" si="5"/>
        <v>0</v>
      </c>
      <c r="BK14" s="722">
        <f t="shared" si="5"/>
        <v>0</v>
      </c>
      <c r="BL14" s="722">
        <f t="shared" si="5"/>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7" t="s">
        <v>1011</v>
      </c>
      <c r="AW15" s="934">
        <f t="shared" si="3"/>
        <v>420.38805604954337</v>
      </c>
      <c r="AX15" s="727">
        <f t="shared" si="5"/>
        <v>420.38805604954337</v>
      </c>
      <c r="AY15" s="722">
        <f t="shared" si="5"/>
        <v>0</v>
      </c>
      <c r="AZ15" s="722">
        <f t="shared" si="5"/>
        <v>0</v>
      </c>
      <c r="BA15" s="722">
        <f t="shared" si="5"/>
        <v>0</v>
      </c>
      <c r="BB15" s="722">
        <f t="shared" si="5"/>
        <v>0</v>
      </c>
      <c r="BC15" s="722">
        <f t="shared" si="5"/>
        <v>0</v>
      </c>
      <c r="BD15" s="722">
        <f t="shared" si="5"/>
        <v>0</v>
      </c>
      <c r="BE15" s="722">
        <f t="shared" si="5"/>
        <v>0</v>
      </c>
      <c r="BF15" s="722">
        <f t="shared" si="5"/>
        <v>0</v>
      </c>
      <c r="BG15" s="722">
        <f t="shared" si="5"/>
        <v>0</v>
      </c>
      <c r="BH15" s="722">
        <f t="shared" si="5"/>
        <v>0</v>
      </c>
      <c r="BI15" s="722">
        <f t="shared" si="5"/>
        <v>0</v>
      </c>
      <c r="BJ15" s="722">
        <f t="shared" si="5"/>
        <v>0</v>
      </c>
      <c r="BK15" s="722">
        <f t="shared" si="5"/>
        <v>0</v>
      </c>
      <c r="BL15" s="722">
        <f t="shared" si="5"/>
        <v>0</v>
      </c>
    </row>
    <row r="16" spans="1:64" s="33" customFormat="1" x14ac:dyDescent="0.3">
      <c r="A16" s="44"/>
      <c r="B16" s="44"/>
      <c r="C16" s="44"/>
      <c r="D16" s="44"/>
      <c r="E16" s="44"/>
      <c r="F16" s="44"/>
      <c r="G16" s="44"/>
      <c r="K16" s="172"/>
      <c r="L16" s="172"/>
      <c r="M16" s="174" t="str">
        <f>STAT_TRA_Shares!B7</f>
        <v>% of biogas in CNG</v>
      </c>
      <c r="N16" s="514">
        <f>STAT_TRA_Shares!C7</f>
        <v>0.95</v>
      </c>
      <c r="O16" s="513">
        <f t="shared" ref="O16:AB24" si="8">$N16</f>
        <v>0.95</v>
      </c>
      <c r="P16" s="513">
        <f t="shared" si="8"/>
        <v>0.95</v>
      </c>
      <c r="Q16" s="513">
        <f t="shared" si="8"/>
        <v>0.95</v>
      </c>
      <c r="R16" s="513">
        <f t="shared" si="8"/>
        <v>0.95</v>
      </c>
      <c r="S16" s="513">
        <f t="shared" si="8"/>
        <v>0.95</v>
      </c>
      <c r="T16" s="513">
        <f t="shared" si="8"/>
        <v>0.95</v>
      </c>
      <c r="U16" s="513">
        <f t="shared" si="8"/>
        <v>0.95</v>
      </c>
      <c r="V16" s="513">
        <f t="shared" si="8"/>
        <v>0.95</v>
      </c>
      <c r="W16" s="513">
        <f t="shared" si="8"/>
        <v>0.95</v>
      </c>
      <c r="X16" s="513">
        <f t="shared" si="8"/>
        <v>0.95</v>
      </c>
      <c r="Y16" s="513">
        <f t="shared" si="8"/>
        <v>0.95</v>
      </c>
      <c r="Z16" s="513">
        <f t="shared" si="8"/>
        <v>0.95</v>
      </c>
      <c r="AA16" s="513">
        <f t="shared" si="8"/>
        <v>0.95</v>
      </c>
      <c r="AB16" s="513">
        <f t="shared" si="8"/>
        <v>0.95</v>
      </c>
      <c r="AC16" s="920"/>
      <c r="AV16" s="727" t="s">
        <v>1013</v>
      </c>
      <c r="AW16" s="934">
        <f t="shared" si="3"/>
        <v>8157.8642369085355</v>
      </c>
      <c r="AX16" s="727">
        <f t="shared" ref="AX16:BL24" si="9">SUMIF($AV$32:$AV$155,$AV16,AX$32:AX$155)</f>
        <v>8157.8642369085355</v>
      </c>
      <c r="AY16" s="722">
        <f t="shared" si="9"/>
        <v>0</v>
      </c>
      <c r="AZ16" s="722">
        <f t="shared" si="9"/>
        <v>0</v>
      </c>
      <c r="BA16" s="722">
        <f t="shared" si="9"/>
        <v>0</v>
      </c>
      <c r="BB16" s="722">
        <f t="shared" si="9"/>
        <v>0</v>
      </c>
      <c r="BC16" s="722">
        <f t="shared" si="9"/>
        <v>0</v>
      </c>
      <c r="BD16" s="722">
        <f t="shared" si="9"/>
        <v>0</v>
      </c>
      <c r="BE16" s="722">
        <f t="shared" si="9"/>
        <v>0</v>
      </c>
      <c r="BF16" s="722">
        <f t="shared" si="9"/>
        <v>0</v>
      </c>
      <c r="BG16" s="722">
        <f t="shared" si="9"/>
        <v>0</v>
      </c>
      <c r="BH16" s="722">
        <f t="shared" si="9"/>
        <v>0</v>
      </c>
      <c r="BI16" s="722">
        <f t="shared" si="9"/>
        <v>0</v>
      </c>
      <c r="BJ16" s="722">
        <f t="shared" si="9"/>
        <v>0</v>
      </c>
      <c r="BK16" s="722">
        <f t="shared" si="9"/>
        <v>0</v>
      </c>
      <c r="BL16" s="722">
        <f t="shared" si="9"/>
        <v>0</v>
      </c>
    </row>
    <row r="17" spans="1:64" s="33" customFormat="1" x14ac:dyDescent="0.3">
      <c r="A17" s="44"/>
      <c r="B17" s="44"/>
      <c r="C17" s="44"/>
      <c r="D17" s="44"/>
      <c r="E17" s="44"/>
      <c r="F17" s="44"/>
      <c r="G17" s="44"/>
      <c r="K17" s="172"/>
      <c r="L17" s="172"/>
      <c r="M17" s="174" t="str">
        <f>STAT_TRA_Shares!B8</f>
        <v>% of FAME in diesel</v>
      </c>
      <c r="N17" s="514">
        <f>STAT_TRA_Shares!C8</f>
        <v>5.8000000000000003E-2</v>
      </c>
      <c r="O17" s="513">
        <f t="shared" si="8"/>
        <v>5.8000000000000003E-2</v>
      </c>
      <c r="P17" s="513">
        <f t="shared" si="8"/>
        <v>5.8000000000000003E-2</v>
      </c>
      <c r="Q17" s="513">
        <f t="shared" si="8"/>
        <v>5.8000000000000003E-2</v>
      </c>
      <c r="R17" s="513">
        <f t="shared" si="8"/>
        <v>5.8000000000000003E-2</v>
      </c>
      <c r="S17" s="513">
        <f t="shared" si="8"/>
        <v>5.8000000000000003E-2</v>
      </c>
      <c r="T17" s="513">
        <f t="shared" si="8"/>
        <v>5.8000000000000003E-2</v>
      </c>
      <c r="U17" s="513">
        <f t="shared" si="8"/>
        <v>5.8000000000000003E-2</v>
      </c>
      <c r="V17" s="513">
        <f t="shared" si="8"/>
        <v>5.8000000000000003E-2</v>
      </c>
      <c r="W17" s="513">
        <f t="shared" si="8"/>
        <v>5.8000000000000003E-2</v>
      </c>
      <c r="X17" s="513">
        <f t="shared" si="8"/>
        <v>5.8000000000000003E-2</v>
      </c>
      <c r="Y17" s="513">
        <f t="shared" si="8"/>
        <v>5.8000000000000003E-2</v>
      </c>
      <c r="Z17" s="513">
        <f t="shared" si="8"/>
        <v>5.8000000000000003E-2</v>
      </c>
      <c r="AA17" s="513">
        <f t="shared" si="8"/>
        <v>5.8000000000000003E-2</v>
      </c>
      <c r="AB17" s="513">
        <f t="shared" si="8"/>
        <v>5.8000000000000003E-2</v>
      </c>
      <c r="AC17" s="920"/>
      <c r="AV17" s="727" t="s">
        <v>1015</v>
      </c>
      <c r="AW17" s="934">
        <f t="shared" si="3"/>
        <v>0</v>
      </c>
      <c r="AX17" s="727">
        <f t="shared" si="9"/>
        <v>0</v>
      </c>
      <c r="AY17" s="722">
        <f t="shared" si="9"/>
        <v>0</v>
      </c>
      <c r="AZ17" s="722">
        <f t="shared" si="9"/>
        <v>0</v>
      </c>
      <c r="BA17" s="722">
        <f t="shared" si="9"/>
        <v>0</v>
      </c>
      <c r="BB17" s="722">
        <f t="shared" si="9"/>
        <v>0</v>
      </c>
      <c r="BC17" s="722">
        <f t="shared" si="9"/>
        <v>0</v>
      </c>
      <c r="BD17" s="722">
        <f t="shared" si="9"/>
        <v>0</v>
      </c>
      <c r="BE17" s="722">
        <f t="shared" si="9"/>
        <v>0</v>
      </c>
      <c r="BF17" s="722">
        <f t="shared" si="9"/>
        <v>0</v>
      </c>
      <c r="BG17" s="722">
        <f t="shared" si="9"/>
        <v>0</v>
      </c>
      <c r="BH17" s="722">
        <f t="shared" si="9"/>
        <v>0</v>
      </c>
      <c r="BI17" s="722">
        <f t="shared" si="9"/>
        <v>0</v>
      </c>
      <c r="BJ17" s="722">
        <f t="shared" si="9"/>
        <v>0</v>
      </c>
      <c r="BK17" s="722">
        <f t="shared" si="9"/>
        <v>0</v>
      </c>
      <c r="BL17" s="722">
        <f t="shared" si="9"/>
        <v>0</v>
      </c>
    </row>
    <row r="18" spans="1:64" s="33" customFormat="1" x14ac:dyDescent="0.3">
      <c r="A18" s="44"/>
      <c r="B18" s="44"/>
      <c r="C18" s="44"/>
      <c r="D18" s="44"/>
      <c r="E18" s="44"/>
      <c r="F18" s="44"/>
      <c r="G18" s="44"/>
      <c r="K18" s="172"/>
      <c r="L18" s="172"/>
      <c r="M18" s="174" t="str">
        <f>STAT_TRA_Shares!B9</f>
        <v>% of HVO in diesel</v>
      </c>
      <c r="N18" s="514">
        <f>STAT_TRA_Shares!C9</f>
        <v>0.17499999999999999</v>
      </c>
      <c r="O18" s="513">
        <f t="shared" si="8"/>
        <v>0.17499999999999999</v>
      </c>
      <c r="P18" s="513">
        <f t="shared" si="8"/>
        <v>0.17499999999999999</v>
      </c>
      <c r="Q18" s="513">
        <f t="shared" si="8"/>
        <v>0.17499999999999999</v>
      </c>
      <c r="R18" s="513">
        <f t="shared" si="8"/>
        <v>0.17499999999999999</v>
      </c>
      <c r="S18" s="513">
        <f t="shared" si="8"/>
        <v>0.17499999999999999</v>
      </c>
      <c r="T18" s="513">
        <f t="shared" si="8"/>
        <v>0.17499999999999999</v>
      </c>
      <c r="U18" s="513">
        <f t="shared" si="8"/>
        <v>0.17499999999999999</v>
      </c>
      <c r="V18" s="513">
        <f t="shared" si="8"/>
        <v>0.17499999999999999</v>
      </c>
      <c r="W18" s="513">
        <f t="shared" si="8"/>
        <v>0.17499999999999999</v>
      </c>
      <c r="X18" s="513">
        <f t="shared" si="8"/>
        <v>0.17499999999999999</v>
      </c>
      <c r="Y18" s="513">
        <f t="shared" si="8"/>
        <v>0.17499999999999999</v>
      </c>
      <c r="Z18" s="513">
        <f t="shared" si="8"/>
        <v>0.17499999999999999</v>
      </c>
      <c r="AA18" s="513">
        <f t="shared" si="8"/>
        <v>0.17499999999999999</v>
      </c>
      <c r="AB18" s="513">
        <f t="shared" si="8"/>
        <v>0.17499999999999999</v>
      </c>
      <c r="AC18" s="920"/>
      <c r="AV18" s="727" t="s">
        <v>1022</v>
      </c>
      <c r="AW18" s="934">
        <f t="shared" si="3"/>
        <v>0</v>
      </c>
      <c r="AX18" s="727">
        <f t="shared" si="9"/>
        <v>0</v>
      </c>
      <c r="AY18" s="722">
        <f t="shared" si="9"/>
        <v>0</v>
      </c>
      <c r="AZ18" s="722">
        <f t="shared" si="9"/>
        <v>0</v>
      </c>
      <c r="BA18" s="722">
        <f t="shared" si="9"/>
        <v>0</v>
      </c>
      <c r="BB18" s="722">
        <f t="shared" si="9"/>
        <v>0</v>
      </c>
      <c r="BC18" s="722">
        <f t="shared" si="9"/>
        <v>0</v>
      </c>
      <c r="BD18" s="722">
        <f t="shared" si="9"/>
        <v>0</v>
      </c>
      <c r="BE18" s="722">
        <f t="shared" si="9"/>
        <v>0</v>
      </c>
      <c r="BF18" s="722">
        <f t="shared" si="9"/>
        <v>0</v>
      </c>
      <c r="BG18" s="722">
        <f t="shared" si="9"/>
        <v>0</v>
      </c>
      <c r="BH18" s="722">
        <f t="shared" si="9"/>
        <v>0</v>
      </c>
      <c r="BI18" s="722">
        <f t="shared" si="9"/>
        <v>0</v>
      </c>
      <c r="BJ18" s="722">
        <f t="shared" si="9"/>
        <v>0</v>
      </c>
      <c r="BK18" s="722">
        <f t="shared" si="9"/>
        <v>0</v>
      </c>
      <c r="BL18" s="722">
        <f t="shared" si="9"/>
        <v>0</v>
      </c>
    </row>
    <row r="19" spans="1:64" s="33" customFormat="1" x14ac:dyDescent="0.3">
      <c r="A19" s="44"/>
      <c r="B19" s="44"/>
      <c r="C19" s="44"/>
      <c r="D19" s="44"/>
      <c r="E19" s="44"/>
      <c r="F19" s="44"/>
      <c r="G19" s="44"/>
      <c r="K19" s="172"/>
      <c r="L19" s="172"/>
      <c r="M19" s="174" t="str">
        <f>STAT_TRA_Shares!B10</f>
        <v>% of low-blend bioethanol in gasoline</v>
      </c>
      <c r="N19" s="514">
        <f>STAT_TRA_Shares!C10</f>
        <v>5.0999999999999997E-2</v>
      </c>
      <c r="O19" s="513">
        <f t="shared" si="8"/>
        <v>5.0999999999999997E-2</v>
      </c>
      <c r="P19" s="513">
        <f t="shared" si="8"/>
        <v>5.0999999999999997E-2</v>
      </c>
      <c r="Q19" s="513">
        <f t="shared" si="8"/>
        <v>5.0999999999999997E-2</v>
      </c>
      <c r="R19" s="513">
        <f t="shared" si="8"/>
        <v>5.0999999999999997E-2</v>
      </c>
      <c r="S19" s="513">
        <f t="shared" si="8"/>
        <v>5.0999999999999997E-2</v>
      </c>
      <c r="T19" s="513">
        <f t="shared" si="8"/>
        <v>5.0999999999999997E-2</v>
      </c>
      <c r="U19" s="513">
        <f t="shared" si="8"/>
        <v>5.0999999999999997E-2</v>
      </c>
      <c r="V19" s="513">
        <f t="shared" si="8"/>
        <v>5.0999999999999997E-2</v>
      </c>
      <c r="W19" s="513">
        <f t="shared" si="8"/>
        <v>5.0999999999999997E-2</v>
      </c>
      <c r="X19" s="513">
        <f t="shared" si="8"/>
        <v>5.0999999999999997E-2</v>
      </c>
      <c r="Y19" s="513">
        <f t="shared" si="8"/>
        <v>5.0999999999999997E-2</v>
      </c>
      <c r="Z19" s="513">
        <f t="shared" si="8"/>
        <v>5.0999999999999997E-2</v>
      </c>
      <c r="AA19" s="513">
        <f t="shared" si="8"/>
        <v>5.0999999999999997E-2</v>
      </c>
      <c r="AB19" s="513">
        <f t="shared" si="8"/>
        <v>5.0999999999999997E-2</v>
      </c>
      <c r="AC19" s="920"/>
      <c r="AV19" s="724" t="s">
        <v>680</v>
      </c>
      <c r="AW19" s="934">
        <f t="shared" si="3"/>
        <v>0</v>
      </c>
      <c r="AX19" s="727">
        <f t="shared" si="9"/>
        <v>0</v>
      </c>
      <c r="AY19" s="722">
        <f t="shared" si="9"/>
        <v>0</v>
      </c>
      <c r="AZ19" s="722">
        <f t="shared" si="9"/>
        <v>0</v>
      </c>
      <c r="BA19" s="722">
        <f t="shared" si="9"/>
        <v>0</v>
      </c>
      <c r="BB19" s="722">
        <f t="shared" si="9"/>
        <v>0</v>
      </c>
      <c r="BC19" s="722">
        <f t="shared" si="9"/>
        <v>0</v>
      </c>
      <c r="BD19" s="722">
        <f t="shared" si="9"/>
        <v>0</v>
      </c>
      <c r="BE19" s="722">
        <f t="shared" si="9"/>
        <v>0</v>
      </c>
      <c r="BF19" s="722">
        <f t="shared" si="9"/>
        <v>0</v>
      </c>
      <c r="BG19" s="722">
        <f t="shared" si="9"/>
        <v>0</v>
      </c>
      <c r="BH19" s="722">
        <f t="shared" si="9"/>
        <v>0</v>
      </c>
      <c r="BI19" s="722">
        <f t="shared" si="9"/>
        <v>0</v>
      </c>
      <c r="BJ19" s="722">
        <f t="shared" si="9"/>
        <v>0</v>
      </c>
      <c r="BK19" s="722">
        <f t="shared" si="9"/>
        <v>0</v>
      </c>
      <c r="BL19" s="722">
        <f t="shared" si="9"/>
        <v>0</v>
      </c>
    </row>
    <row r="20" spans="1:64" s="33" customFormat="1" x14ac:dyDescent="0.3">
      <c r="A20" s="44"/>
      <c r="B20" s="44"/>
      <c r="C20" s="44"/>
      <c r="D20" s="44"/>
      <c r="E20" s="44"/>
      <c r="F20" s="44"/>
      <c r="G20" s="44"/>
      <c r="K20" s="172"/>
      <c r="L20" s="172"/>
      <c r="M20" s="174" t="str">
        <f>STAT_TRA_Shares!B11</f>
        <v>% of low-blend biogasoline in gasoline</v>
      </c>
      <c r="N20" s="514">
        <f>STAT_TRA_Shares!C11</f>
        <v>0</v>
      </c>
      <c r="O20" s="513">
        <f t="shared" si="8"/>
        <v>0</v>
      </c>
      <c r="P20" s="513">
        <f t="shared" si="8"/>
        <v>0</v>
      </c>
      <c r="Q20" s="513">
        <f t="shared" si="8"/>
        <v>0</v>
      </c>
      <c r="R20" s="513">
        <f t="shared" si="8"/>
        <v>0</v>
      </c>
      <c r="S20" s="513">
        <f t="shared" si="8"/>
        <v>0</v>
      </c>
      <c r="T20" s="513">
        <f t="shared" si="8"/>
        <v>0</v>
      </c>
      <c r="U20" s="513">
        <f t="shared" si="8"/>
        <v>0</v>
      </c>
      <c r="V20" s="513">
        <f t="shared" si="8"/>
        <v>0</v>
      </c>
      <c r="W20" s="513">
        <f t="shared" si="8"/>
        <v>0</v>
      </c>
      <c r="X20" s="513">
        <f t="shared" si="8"/>
        <v>0</v>
      </c>
      <c r="Y20" s="513">
        <f t="shared" si="8"/>
        <v>0</v>
      </c>
      <c r="Z20" s="513">
        <f t="shared" si="8"/>
        <v>0</v>
      </c>
      <c r="AA20" s="513">
        <f t="shared" si="8"/>
        <v>0</v>
      </c>
      <c r="AB20" s="513">
        <f t="shared" si="8"/>
        <v>0</v>
      </c>
      <c r="AC20" s="920"/>
      <c r="AV20" s="724" t="s">
        <v>1028</v>
      </c>
      <c r="AW20" s="934">
        <f t="shared" si="3"/>
        <v>0</v>
      </c>
      <c r="AX20" s="727">
        <f t="shared" si="9"/>
        <v>0</v>
      </c>
      <c r="AY20" s="722">
        <f t="shared" si="9"/>
        <v>0</v>
      </c>
      <c r="AZ20" s="722">
        <f t="shared" si="9"/>
        <v>0</v>
      </c>
      <c r="BA20" s="722">
        <f t="shared" si="9"/>
        <v>0</v>
      </c>
      <c r="BB20" s="722">
        <f t="shared" si="9"/>
        <v>0</v>
      </c>
      <c r="BC20" s="722">
        <f t="shared" si="9"/>
        <v>0</v>
      </c>
      <c r="BD20" s="722">
        <f t="shared" si="9"/>
        <v>0</v>
      </c>
      <c r="BE20" s="722">
        <f t="shared" si="9"/>
        <v>0</v>
      </c>
      <c r="BF20" s="722">
        <f t="shared" si="9"/>
        <v>0</v>
      </c>
      <c r="BG20" s="722">
        <f t="shared" si="9"/>
        <v>0</v>
      </c>
      <c r="BH20" s="722">
        <f t="shared" si="9"/>
        <v>0</v>
      </c>
      <c r="BI20" s="722">
        <f t="shared" si="9"/>
        <v>0</v>
      </c>
      <c r="BJ20" s="722">
        <f t="shared" si="9"/>
        <v>0</v>
      </c>
      <c r="BK20" s="722">
        <f t="shared" si="9"/>
        <v>0</v>
      </c>
      <c r="BL20" s="722">
        <f t="shared" si="9"/>
        <v>0</v>
      </c>
    </row>
    <row r="21" spans="1:64" s="33" customFormat="1" x14ac:dyDescent="0.3">
      <c r="A21" s="44"/>
      <c r="B21" s="44"/>
      <c r="C21" s="44"/>
      <c r="D21" s="44"/>
      <c r="E21" s="44"/>
      <c r="F21" s="44"/>
      <c r="G21" s="44"/>
      <c r="K21" s="172"/>
      <c r="L21" s="172"/>
      <c r="M21" s="174" t="str">
        <f>STAT_TRA_Shares!B12</f>
        <v>% of bioethanol in E85 (TRAETH)</v>
      </c>
      <c r="N21" s="514">
        <f>STAT_TRA_Shares!C12</f>
        <v>0.82</v>
      </c>
      <c r="O21" s="513">
        <f t="shared" si="8"/>
        <v>0.82</v>
      </c>
      <c r="P21" s="513">
        <f t="shared" si="8"/>
        <v>0.82</v>
      </c>
      <c r="Q21" s="513">
        <f t="shared" si="8"/>
        <v>0.82</v>
      </c>
      <c r="R21" s="513">
        <f t="shared" si="8"/>
        <v>0.82</v>
      </c>
      <c r="S21" s="513">
        <f t="shared" si="8"/>
        <v>0.82</v>
      </c>
      <c r="T21" s="513">
        <f t="shared" si="8"/>
        <v>0.82</v>
      </c>
      <c r="U21" s="513">
        <f t="shared" si="8"/>
        <v>0.82</v>
      </c>
      <c r="V21" s="513">
        <f t="shared" si="8"/>
        <v>0.82</v>
      </c>
      <c r="W21" s="513">
        <f t="shared" si="8"/>
        <v>0.82</v>
      </c>
      <c r="X21" s="513">
        <f t="shared" si="8"/>
        <v>0.82</v>
      </c>
      <c r="Y21" s="513">
        <f t="shared" si="8"/>
        <v>0.82</v>
      </c>
      <c r="Z21" s="513">
        <f t="shared" si="8"/>
        <v>0.82</v>
      </c>
      <c r="AA21" s="513">
        <f t="shared" si="8"/>
        <v>0.82</v>
      </c>
      <c r="AB21" s="513">
        <f t="shared" si="8"/>
        <v>0.82</v>
      </c>
      <c r="AC21" s="920"/>
      <c r="AV21" s="724" t="s">
        <v>1030</v>
      </c>
      <c r="AW21" s="934">
        <f t="shared" si="3"/>
        <v>0</v>
      </c>
      <c r="AX21" s="727">
        <f t="shared" si="9"/>
        <v>0</v>
      </c>
      <c r="AY21" s="722">
        <f t="shared" si="9"/>
        <v>0</v>
      </c>
      <c r="AZ21" s="722">
        <f t="shared" si="9"/>
        <v>0</v>
      </c>
      <c r="BA21" s="722">
        <f t="shared" si="9"/>
        <v>0</v>
      </c>
      <c r="BB21" s="722">
        <f t="shared" si="9"/>
        <v>0</v>
      </c>
      <c r="BC21" s="722">
        <f t="shared" si="9"/>
        <v>0</v>
      </c>
      <c r="BD21" s="722">
        <f t="shared" si="9"/>
        <v>0</v>
      </c>
      <c r="BE21" s="722">
        <f t="shared" si="9"/>
        <v>0</v>
      </c>
      <c r="BF21" s="722">
        <f t="shared" si="9"/>
        <v>0</v>
      </c>
      <c r="BG21" s="722">
        <f t="shared" si="9"/>
        <v>0</v>
      </c>
      <c r="BH21" s="722">
        <f t="shared" si="9"/>
        <v>0</v>
      </c>
      <c r="BI21" s="722">
        <f t="shared" si="9"/>
        <v>0</v>
      </c>
      <c r="BJ21" s="722">
        <f t="shared" si="9"/>
        <v>0</v>
      </c>
      <c r="BK21" s="722">
        <f t="shared" si="9"/>
        <v>0</v>
      </c>
      <c r="BL21" s="722">
        <f t="shared" si="9"/>
        <v>0</v>
      </c>
    </row>
    <row r="22" spans="1:64" s="33" customFormat="1" x14ac:dyDescent="0.3">
      <c r="A22" s="44"/>
      <c r="B22" s="44"/>
      <c r="C22" s="44"/>
      <c r="D22" s="44"/>
      <c r="E22" s="44"/>
      <c r="F22" s="44"/>
      <c r="G22" s="44"/>
      <c r="H22" s="90"/>
      <c r="K22" s="172"/>
      <c r="L22" s="172"/>
      <c r="M22" s="174" t="str">
        <f>STAT_TRA_Shares!B18</f>
        <v>% of CNG fuelled in flexfuel GAS vehicles (rest is GSL)</v>
      </c>
      <c r="N22" s="514">
        <f>STAT_TRA_Shares!C18</f>
        <v>0.8</v>
      </c>
      <c r="O22" s="513">
        <f t="shared" si="8"/>
        <v>0.8</v>
      </c>
      <c r="P22" s="513">
        <f t="shared" si="8"/>
        <v>0.8</v>
      </c>
      <c r="Q22" s="513">
        <f t="shared" si="8"/>
        <v>0.8</v>
      </c>
      <c r="R22" s="513">
        <f t="shared" si="8"/>
        <v>0.8</v>
      </c>
      <c r="S22" s="513">
        <f t="shared" si="8"/>
        <v>0.8</v>
      </c>
      <c r="T22" s="513">
        <f t="shared" si="8"/>
        <v>0.8</v>
      </c>
      <c r="U22" s="513">
        <f t="shared" si="8"/>
        <v>0.8</v>
      </c>
      <c r="V22" s="513">
        <f t="shared" si="8"/>
        <v>0.8</v>
      </c>
      <c r="W22" s="513">
        <f t="shared" si="8"/>
        <v>0.8</v>
      </c>
      <c r="X22" s="513">
        <f t="shared" si="8"/>
        <v>0.8</v>
      </c>
      <c r="Y22" s="513">
        <f t="shared" si="8"/>
        <v>0.8</v>
      </c>
      <c r="Z22" s="513">
        <f t="shared" si="8"/>
        <v>0.8</v>
      </c>
      <c r="AA22" s="513">
        <f t="shared" si="8"/>
        <v>0.8</v>
      </c>
      <c r="AB22" s="513">
        <f t="shared" si="8"/>
        <v>0.8</v>
      </c>
      <c r="AC22" s="920"/>
      <c r="AV22" s="724" t="s">
        <v>1032</v>
      </c>
      <c r="AW22" s="934">
        <f t="shared" si="3"/>
        <v>0</v>
      </c>
      <c r="AX22" s="727">
        <f t="shared" si="9"/>
        <v>0</v>
      </c>
      <c r="AY22" s="722">
        <f t="shared" si="9"/>
        <v>0</v>
      </c>
      <c r="AZ22" s="722">
        <f t="shared" si="9"/>
        <v>0</v>
      </c>
      <c r="BA22" s="722">
        <f t="shared" si="9"/>
        <v>0</v>
      </c>
      <c r="BB22" s="722">
        <f t="shared" si="9"/>
        <v>0</v>
      </c>
      <c r="BC22" s="722">
        <f t="shared" si="9"/>
        <v>0</v>
      </c>
      <c r="BD22" s="722">
        <f t="shared" si="9"/>
        <v>0</v>
      </c>
      <c r="BE22" s="722">
        <f t="shared" si="9"/>
        <v>0</v>
      </c>
      <c r="BF22" s="722">
        <f t="shared" si="9"/>
        <v>0</v>
      </c>
      <c r="BG22" s="722">
        <f t="shared" si="9"/>
        <v>0</v>
      </c>
      <c r="BH22" s="722">
        <f t="shared" si="9"/>
        <v>0</v>
      </c>
      <c r="BI22" s="722">
        <f t="shared" si="9"/>
        <v>0</v>
      </c>
      <c r="BJ22" s="722">
        <f t="shared" si="9"/>
        <v>0</v>
      </c>
      <c r="BK22" s="722">
        <f t="shared" si="9"/>
        <v>0</v>
      </c>
      <c r="BL22" s="722">
        <f t="shared" si="9"/>
        <v>0</v>
      </c>
    </row>
    <row r="23" spans="1:64" s="33" customFormat="1" x14ac:dyDescent="0.3">
      <c r="A23" s="44"/>
      <c r="B23" s="44"/>
      <c r="C23" s="44"/>
      <c r="D23" s="44"/>
      <c r="E23" s="44"/>
      <c r="F23" s="44"/>
      <c r="G23" s="44"/>
      <c r="I23" s="633"/>
      <c r="K23" s="172"/>
      <c r="L23" s="172"/>
      <c r="M23" s="174" t="str">
        <f>STAT_TRA_Shares!B19</f>
        <v>% of ethanol fuelled in E85 flexfuel vehicles (rest is GSL)</v>
      </c>
      <c r="N23" s="514">
        <f>STAT_TRA_Shares!C19</f>
        <v>0.75</v>
      </c>
      <c r="O23" s="513">
        <f t="shared" si="8"/>
        <v>0.75</v>
      </c>
      <c r="P23" s="513">
        <f t="shared" si="8"/>
        <v>0.75</v>
      </c>
      <c r="Q23" s="513">
        <f t="shared" si="8"/>
        <v>0.75</v>
      </c>
      <c r="R23" s="513">
        <f t="shared" si="8"/>
        <v>0.75</v>
      </c>
      <c r="S23" s="513">
        <f t="shared" si="8"/>
        <v>0.75</v>
      </c>
      <c r="T23" s="513">
        <f t="shared" si="8"/>
        <v>0.75</v>
      </c>
      <c r="U23" s="513">
        <f t="shared" si="8"/>
        <v>0.75</v>
      </c>
      <c r="V23" s="513">
        <f t="shared" si="8"/>
        <v>0.75</v>
      </c>
      <c r="W23" s="513">
        <f t="shared" si="8"/>
        <v>0.75</v>
      </c>
      <c r="X23" s="513">
        <f t="shared" si="8"/>
        <v>0.75</v>
      </c>
      <c r="Y23" s="513">
        <f t="shared" si="8"/>
        <v>0.75</v>
      </c>
      <c r="Z23" s="513">
        <f t="shared" si="8"/>
        <v>0.75</v>
      </c>
      <c r="AA23" s="513">
        <f t="shared" si="8"/>
        <v>0.75</v>
      </c>
      <c r="AB23" s="513">
        <f t="shared" si="8"/>
        <v>0.75</v>
      </c>
      <c r="AC23" s="920"/>
      <c r="AV23" s="724" t="s">
        <v>1034</v>
      </c>
      <c r="AW23" s="934">
        <f t="shared" si="3"/>
        <v>0</v>
      </c>
      <c r="AX23" s="727">
        <f t="shared" si="9"/>
        <v>0</v>
      </c>
      <c r="AY23" s="722">
        <f t="shared" si="9"/>
        <v>0</v>
      </c>
      <c r="AZ23" s="722">
        <f t="shared" si="9"/>
        <v>0</v>
      </c>
      <c r="BA23" s="722">
        <f t="shared" si="9"/>
        <v>0</v>
      </c>
      <c r="BB23" s="722">
        <f t="shared" si="9"/>
        <v>0</v>
      </c>
      <c r="BC23" s="722">
        <f t="shared" si="9"/>
        <v>0</v>
      </c>
      <c r="BD23" s="722">
        <f t="shared" si="9"/>
        <v>0</v>
      </c>
      <c r="BE23" s="722">
        <f t="shared" si="9"/>
        <v>0</v>
      </c>
      <c r="BF23" s="722">
        <f t="shared" si="9"/>
        <v>0</v>
      </c>
      <c r="BG23" s="722">
        <f t="shared" si="9"/>
        <v>0</v>
      </c>
      <c r="BH23" s="722">
        <f t="shared" si="9"/>
        <v>0</v>
      </c>
      <c r="BI23" s="722">
        <f t="shared" si="9"/>
        <v>0</v>
      </c>
      <c r="BJ23" s="722">
        <f t="shared" si="9"/>
        <v>0</v>
      </c>
      <c r="BK23" s="722">
        <f t="shared" si="9"/>
        <v>0</v>
      </c>
      <c r="BL23" s="722">
        <f t="shared" si="9"/>
        <v>0</v>
      </c>
    </row>
    <row r="24" spans="1:64" s="33" customFormat="1" x14ac:dyDescent="0.3">
      <c r="A24" s="44"/>
      <c r="B24" s="44"/>
      <c r="C24" s="44"/>
      <c r="D24" s="44"/>
      <c r="E24" s="44"/>
      <c r="F24" s="44"/>
      <c r="G24" s="44"/>
      <c r="K24" s="172"/>
      <c r="L24" s="172"/>
      <c r="M24" s="174" t="str">
        <f>STAT_TRA_Shares!B20</f>
        <v>% of LPG fuelled in flexfuel LPG vehicles (rest is GSL)</v>
      </c>
      <c r="N24" s="514">
        <f>STAT_TRA_Shares!C20</f>
        <v>0.8</v>
      </c>
      <c r="O24" s="513">
        <f t="shared" si="8"/>
        <v>0.8</v>
      </c>
      <c r="P24" s="513">
        <f t="shared" si="8"/>
        <v>0.8</v>
      </c>
      <c r="Q24" s="513">
        <f t="shared" si="8"/>
        <v>0.8</v>
      </c>
      <c r="R24" s="513">
        <f t="shared" si="8"/>
        <v>0.8</v>
      </c>
      <c r="S24" s="513">
        <f t="shared" si="8"/>
        <v>0.8</v>
      </c>
      <c r="T24" s="513">
        <f t="shared" si="8"/>
        <v>0.8</v>
      </c>
      <c r="U24" s="513">
        <f t="shared" si="8"/>
        <v>0.8</v>
      </c>
      <c r="V24" s="513">
        <f t="shared" si="8"/>
        <v>0.8</v>
      </c>
      <c r="W24" s="513">
        <f t="shared" si="8"/>
        <v>0.8</v>
      </c>
      <c r="X24" s="513">
        <f t="shared" si="8"/>
        <v>0.8</v>
      </c>
      <c r="Y24" s="513">
        <f t="shared" si="8"/>
        <v>0.8</v>
      </c>
      <c r="Z24" s="513">
        <f t="shared" si="8"/>
        <v>0.8</v>
      </c>
      <c r="AA24" s="513">
        <f t="shared" si="8"/>
        <v>0.8</v>
      </c>
      <c r="AB24" s="513">
        <f t="shared" si="8"/>
        <v>0.8</v>
      </c>
      <c r="AC24" s="920"/>
      <c r="AV24" s="724" t="s">
        <v>1038</v>
      </c>
      <c r="AW24" s="934">
        <f t="shared" si="3"/>
        <v>92.456014273061328</v>
      </c>
      <c r="AX24" s="727">
        <f t="shared" si="9"/>
        <v>92.456014273061328</v>
      </c>
      <c r="AY24" s="722">
        <f t="shared" si="9"/>
        <v>0</v>
      </c>
      <c r="AZ24" s="722">
        <f t="shared" si="9"/>
        <v>0</v>
      </c>
      <c r="BA24" s="722">
        <f t="shared" si="9"/>
        <v>0</v>
      </c>
      <c r="BB24" s="722">
        <f t="shared" si="9"/>
        <v>0</v>
      </c>
      <c r="BC24" s="722">
        <f t="shared" si="9"/>
        <v>0</v>
      </c>
      <c r="BD24" s="722">
        <f t="shared" si="9"/>
        <v>0</v>
      </c>
      <c r="BE24" s="722">
        <f t="shared" si="9"/>
        <v>0</v>
      </c>
      <c r="BF24" s="722">
        <f t="shared" si="9"/>
        <v>0</v>
      </c>
      <c r="BG24" s="722">
        <f t="shared" si="9"/>
        <v>0</v>
      </c>
      <c r="BH24" s="722">
        <f t="shared" si="9"/>
        <v>0</v>
      </c>
      <c r="BI24" s="722">
        <f t="shared" si="9"/>
        <v>0</v>
      </c>
      <c r="BJ24" s="722">
        <f t="shared" si="9"/>
        <v>0</v>
      </c>
      <c r="BK24" s="722">
        <f t="shared" si="9"/>
        <v>0</v>
      </c>
      <c r="BL24" s="722">
        <f t="shared" si="9"/>
        <v>0</v>
      </c>
    </row>
    <row r="25" spans="1:64" s="33" customFormat="1" x14ac:dyDescent="0.3">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3">
      <c r="I26" s="36"/>
      <c r="M26" s="473" t="s">
        <v>1151</v>
      </c>
      <c r="N26" s="481">
        <v>-9.9299999999999999E-2</v>
      </c>
      <c r="O26" s="481">
        <v>0</v>
      </c>
      <c r="P26" s="481">
        <v>0</v>
      </c>
      <c r="Q26" s="481">
        <v>0</v>
      </c>
      <c r="R26" s="481">
        <v>0</v>
      </c>
      <c r="S26" s="481">
        <v>0</v>
      </c>
      <c r="T26" s="481">
        <v>0</v>
      </c>
      <c r="U26" s="481">
        <v>0</v>
      </c>
      <c r="V26" s="481">
        <v>0</v>
      </c>
      <c r="W26" s="481">
        <v>0</v>
      </c>
      <c r="X26" s="481">
        <v>0</v>
      </c>
      <c r="Y26" s="481">
        <v>0</v>
      </c>
      <c r="Z26" s="481">
        <v>0</v>
      </c>
      <c r="AA26" s="481">
        <v>0</v>
      </c>
      <c r="AB26" s="481">
        <v>0</v>
      </c>
      <c r="AC26" s="921"/>
    </row>
    <row r="27" spans="1:64" s="33" customFormat="1" x14ac:dyDescent="0.3">
      <c r="A27" s="44"/>
      <c r="B27" s="26" t="s">
        <v>1152</v>
      </c>
      <c r="C27" s="26"/>
      <c r="D27" s="44"/>
      <c r="E27" s="44"/>
      <c r="F27" s="44"/>
      <c r="G27" s="44"/>
      <c r="M27" s="473" t="s">
        <v>1153</v>
      </c>
      <c r="N27" s="933">
        <v>-0.11957</v>
      </c>
      <c r="O27" s="481">
        <v>0</v>
      </c>
      <c r="P27" s="481">
        <v>0</v>
      </c>
      <c r="Q27" s="481">
        <v>0</v>
      </c>
      <c r="R27" s="481">
        <v>0</v>
      </c>
      <c r="S27" s="481">
        <v>0</v>
      </c>
      <c r="T27" s="481">
        <v>0</v>
      </c>
      <c r="U27" s="481">
        <v>0</v>
      </c>
      <c r="V27" s="481">
        <v>0</v>
      </c>
      <c r="W27" s="481">
        <v>0</v>
      </c>
      <c r="X27" s="481">
        <v>0</v>
      </c>
      <c r="Y27" s="481">
        <v>0</v>
      </c>
      <c r="Z27" s="481">
        <v>0</v>
      </c>
      <c r="AA27" s="481">
        <v>0</v>
      </c>
      <c r="AB27" s="481">
        <v>0</v>
      </c>
      <c r="AC27" s="921"/>
      <c r="AK27" s="817"/>
      <c r="AL27" s="817"/>
      <c r="AM27" s="817"/>
      <c r="AN27" s="817"/>
      <c r="AO27" s="817"/>
      <c r="AP27" s="817"/>
      <c r="AQ27" s="817"/>
      <c r="AR27" s="817"/>
      <c r="AS27" s="817"/>
      <c r="AT27" s="817"/>
    </row>
    <row r="28" spans="1:64" s="33" customFormat="1" x14ac:dyDescent="0.3">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7"/>
      <c r="AL28" s="817"/>
      <c r="AM28" s="817"/>
      <c r="AN28" s="817"/>
      <c r="AO28" s="817"/>
      <c r="AP28" s="817"/>
      <c r="AQ28" s="817"/>
      <c r="AR28" s="817"/>
      <c r="AS28" s="817"/>
      <c r="AT28" s="817"/>
    </row>
    <row r="29" spans="1:64" s="22" customFormat="1" x14ac:dyDescent="0.3">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5"/>
      <c r="AG29" s="905"/>
      <c r="AH29" s="905"/>
      <c r="AI29" s="905"/>
      <c r="AJ29" s="905"/>
      <c r="AK29" s="905"/>
      <c r="AL29" s="905"/>
      <c r="AM29" s="905"/>
      <c r="AN29" s="905"/>
      <c r="AO29" s="905"/>
      <c r="AP29" s="905"/>
      <c r="AQ29" s="905"/>
      <c r="AR29" s="905"/>
      <c r="AS29" s="905"/>
      <c r="AT29" s="905"/>
      <c r="AV29" s="471" t="s">
        <v>1051</v>
      </c>
    </row>
    <row r="30" spans="1:64" s="82" customFormat="1" x14ac:dyDescent="0.3">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2"/>
      <c r="AD30" s="43"/>
      <c r="AE30" s="706"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0" t="s">
        <v>85</v>
      </c>
      <c r="AW30" s="700" t="s">
        <v>421</v>
      </c>
      <c r="AX30" s="700" t="str">
        <f t="shared" ref="AX30:BL30" si="12">N$2</f>
        <v>Z01</v>
      </c>
      <c r="AY30" s="700" t="str">
        <f t="shared" si="12"/>
        <v>Z02</v>
      </c>
      <c r="AZ30" s="700" t="str">
        <f t="shared" si="12"/>
        <v>Z03</v>
      </c>
      <c r="BA30" s="700" t="str">
        <f t="shared" si="12"/>
        <v>Z04</v>
      </c>
      <c r="BB30" s="700" t="str">
        <f t="shared" si="12"/>
        <v>Z05</v>
      </c>
      <c r="BC30" s="700" t="str">
        <f t="shared" si="12"/>
        <v>Z06</v>
      </c>
      <c r="BD30" s="700" t="str">
        <f t="shared" si="12"/>
        <v>Z07</v>
      </c>
      <c r="BE30" s="700" t="str">
        <f t="shared" si="12"/>
        <v>Z08</v>
      </c>
      <c r="BF30" s="700" t="str">
        <f t="shared" si="12"/>
        <v>Z09</v>
      </c>
      <c r="BG30" s="700" t="str">
        <f t="shared" si="12"/>
        <v>Z10</v>
      </c>
      <c r="BH30" s="700" t="str">
        <f t="shared" si="12"/>
        <v>Z11</v>
      </c>
      <c r="BI30" s="700" t="str">
        <f t="shared" si="12"/>
        <v>Z12</v>
      </c>
      <c r="BJ30" s="700" t="str">
        <f t="shared" si="12"/>
        <v>Z13</v>
      </c>
      <c r="BK30" s="700" t="str">
        <f t="shared" si="12"/>
        <v>Z14</v>
      </c>
      <c r="BL30" s="700" t="str">
        <f t="shared" si="12"/>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3" t="s">
        <v>1123</v>
      </c>
      <c r="AE31" s="624" t="str">
        <f>IF(AE32-(AD10+AD11)&lt;0,"Too small",IF(AE32-(AD10+AD11)&gt;0.001,"Too big","ok"))</f>
        <v>Too small</v>
      </c>
      <c r="AF31" s="622" t="str">
        <f t="shared" ref="AF31:AT31" si="13">IF(AF32-SUM(N10:N11)&lt;0,"Too small",IF(AF32-SUM(N10:N11)&gt;0.0001,"Too big","ok"))</f>
        <v>Too small</v>
      </c>
      <c r="AG31" s="622" t="str">
        <f t="shared" si="13"/>
        <v>ok</v>
      </c>
      <c r="AH31" s="622" t="str">
        <f t="shared" si="13"/>
        <v>ok</v>
      </c>
      <c r="AI31" s="622" t="str">
        <f t="shared" si="13"/>
        <v>ok</v>
      </c>
      <c r="AJ31" s="622" t="str">
        <f t="shared" si="13"/>
        <v>ok</v>
      </c>
      <c r="AK31" s="622" t="str">
        <f t="shared" si="13"/>
        <v>ok</v>
      </c>
      <c r="AL31" s="622" t="str">
        <f t="shared" si="13"/>
        <v>ok</v>
      </c>
      <c r="AM31" s="622" t="str">
        <f t="shared" si="13"/>
        <v>ok</v>
      </c>
      <c r="AN31" s="622" t="str">
        <f t="shared" si="13"/>
        <v>ok</v>
      </c>
      <c r="AO31" s="622" t="str">
        <f t="shared" si="13"/>
        <v>ok</v>
      </c>
      <c r="AP31" s="622" t="str">
        <f t="shared" si="13"/>
        <v>ok</v>
      </c>
      <c r="AQ31" s="622" t="str">
        <f t="shared" si="13"/>
        <v>ok</v>
      </c>
      <c r="AR31" s="622" t="str">
        <f t="shared" si="13"/>
        <v>ok</v>
      </c>
      <c r="AS31" s="622" t="str">
        <f t="shared" si="13"/>
        <v>ok</v>
      </c>
      <c r="AT31" s="622" t="str">
        <f t="shared" si="13"/>
        <v>ok</v>
      </c>
      <c r="AV31" s="398" t="s">
        <v>103</v>
      </c>
      <c r="AW31" s="716">
        <f>SUM(AX31:BL31)</f>
        <v>14930.631130120657</v>
      </c>
      <c r="AX31" s="717">
        <f t="shared" ref="AX31:BL31" si="14">SUM(AX32:AX166)</f>
        <v>14930.631130120657</v>
      </c>
      <c r="AY31" s="717">
        <f t="shared" si="14"/>
        <v>0</v>
      </c>
      <c r="AZ31" s="717">
        <f t="shared" si="14"/>
        <v>0</v>
      </c>
      <c r="BA31" s="717">
        <f t="shared" si="14"/>
        <v>0</v>
      </c>
      <c r="BB31" s="717">
        <f t="shared" si="14"/>
        <v>0</v>
      </c>
      <c r="BC31" s="717">
        <f t="shared" si="14"/>
        <v>0</v>
      </c>
      <c r="BD31" s="717">
        <f t="shared" si="14"/>
        <v>0</v>
      </c>
      <c r="BE31" s="717">
        <f t="shared" si="14"/>
        <v>0</v>
      </c>
      <c r="BF31" s="717">
        <f t="shared" si="14"/>
        <v>0</v>
      </c>
      <c r="BG31" s="717">
        <f t="shared" si="14"/>
        <v>0</v>
      </c>
      <c r="BH31" s="717">
        <f t="shared" si="14"/>
        <v>0</v>
      </c>
      <c r="BI31" s="717">
        <f t="shared" si="14"/>
        <v>0</v>
      </c>
      <c r="BJ31" s="717">
        <f t="shared" si="14"/>
        <v>0</v>
      </c>
      <c r="BK31" s="717">
        <f t="shared" si="14"/>
        <v>0</v>
      </c>
      <c r="BL31" s="717">
        <f t="shared" si="14"/>
        <v>0</v>
      </c>
    </row>
    <row r="32" spans="1:64" x14ac:dyDescent="0.3">
      <c r="A32" s="22"/>
      <c r="B32" s="186" t="str">
        <f>C32</f>
        <v>TCARDST100</v>
      </c>
      <c r="C32" s="216" t="s">
        <v>302</v>
      </c>
      <c r="D32" s="187" t="s">
        <v>773</v>
      </c>
      <c r="E32" s="258" t="s">
        <v>987</v>
      </c>
      <c r="F32" s="170"/>
      <c r="G32" s="189"/>
      <c r="H32" s="170"/>
      <c r="I32" s="190"/>
      <c r="J32" s="191"/>
      <c r="K32" s="191"/>
      <c r="L32" s="211" t="s">
        <v>1106</v>
      </c>
      <c r="M32" s="191" t="s">
        <v>1155</v>
      </c>
      <c r="N32" s="566">
        <f t="shared" ref="N32:AB32" si="15">10^-3</f>
        <v>1E-3</v>
      </c>
      <c r="O32" s="566">
        <f t="shared" si="15"/>
        <v>1E-3</v>
      </c>
      <c r="P32" s="566">
        <f t="shared" si="15"/>
        <v>1E-3</v>
      </c>
      <c r="Q32" s="566">
        <f t="shared" si="15"/>
        <v>1E-3</v>
      </c>
      <c r="R32" s="566">
        <f t="shared" si="15"/>
        <v>1E-3</v>
      </c>
      <c r="S32" s="566">
        <f t="shared" si="15"/>
        <v>1E-3</v>
      </c>
      <c r="T32" s="566">
        <f t="shared" si="15"/>
        <v>1E-3</v>
      </c>
      <c r="U32" s="566">
        <f t="shared" si="15"/>
        <v>1E-3</v>
      </c>
      <c r="V32" s="566">
        <f t="shared" si="15"/>
        <v>1E-3</v>
      </c>
      <c r="W32" s="566">
        <f t="shared" si="15"/>
        <v>1E-3</v>
      </c>
      <c r="X32" s="566">
        <f t="shared" si="15"/>
        <v>1E-3</v>
      </c>
      <c r="Y32" s="566">
        <f t="shared" si="15"/>
        <v>1E-3</v>
      </c>
      <c r="Z32" s="566">
        <f t="shared" si="15"/>
        <v>1E-3</v>
      </c>
      <c r="AA32" s="566">
        <f t="shared" si="15"/>
        <v>1E-3</v>
      </c>
      <c r="AB32" s="566">
        <f t="shared" si="15"/>
        <v>1E-3</v>
      </c>
      <c r="AC32" s="923"/>
      <c r="AD32" s="56" t="str">
        <f>MID(D32,5,3)</f>
        <v>DST</v>
      </c>
      <c r="AE32" s="80">
        <f>SUM(AF32:AT32)</f>
        <v>6337.2805430292847</v>
      </c>
      <c r="AF32" s="585">
        <f t="shared" ref="AF32:AT32" si="16">SUM(AF40:AF161)</f>
        <v>6337.2805430292847</v>
      </c>
      <c r="AG32" s="585">
        <f t="shared" si="16"/>
        <v>0</v>
      </c>
      <c r="AH32" s="585">
        <f t="shared" si="16"/>
        <v>0</v>
      </c>
      <c r="AI32" s="585">
        <f t="shared" si="16"/>
        <v>0</v>
      </c>
      <c r="AJ32" s="585">
        <f t="shared" si="16"/>
        <v>0</v>
      </c>
      <c r="AK32" s="585">
        <f t="shared" si="16"/>
        <v>0</v>
      </c>
      <c r="AL32" s="585">
        <f t="shared" si="16"/>
        <v>0</v>
      </c>
      <c r="AM32" s="585">
        <f t="shared" si="16"/>
        <v>0</v>
      </c>
      <c r="AN32" s="585">
        <f t="shared" si="16"/>
        <v>0</v>
      </c>
      <c r="AO32" s="585">
        <f t="shared" si="16"/>
        <v>0</v>
      </c>
      <c r="AP32" s="585">
        <f t="shared" si="16"/>
        <v>0</v>
      </c>
      <c r="AQ32" s="585">
        <f t="shared" si="16"/>
        <v>0</v>
      </c>
      <c r="AR32" s="585">
        <f t="shared" si="16"/>
        <v>0</v>
      </c>
      <c r="AS32" s="585">
        <f t="shared" si="16"/>
        <v>0</v>
      </c>
      <c r="AT32" s="585">
        <f t="shared" si="16"/>
        <v>0</v>
      </c>
      <c r="AV32" s="699" t="str">
        <f t="shared" ref="AV32:AV63" si="17">MID(E32,1,7)</f>
        <v>TRABDL</v>
      </c>
      <c r="AW32" s="567">
        <f>SUM(AX32:BL32)</f>
        <v>799.70465812785301</v>
      </c>
      <c r="AX32" s="567">
        <f t="shared" ref="AX32:BL32" si="18">N$38*N$39*(1-N33-N34)/N$36/1000</f>
        <v>799.70465812785301</v>
      </c>
      <c r="AY32" s="567">
        <f t="shared" si="18"/>
        <v>0</v>
      </c>
      <c r="AZ32" s="567">
        <f t="shared" si="18"/>
        <v>0</v>
      </c>
      <c r="BA32" s="567">
        <f t="shared" si="18"/>
        <v>0</v>
      </c>
      <c r="BB32" s="567">
        <f t="shared" si="18"/>
        <v>0</v>
      </c>
      <c r="BC32" s="567">
        <f t="shared" si="18"/>
        <v>0</v>
      </c>
      <c r="BD32" s="567">
        <f t="shared" si="18"/>
        <v>0</v>
      </c>
      <c r="BE32" s="567">
        <f t="shared" si="18"/>
        <v>0</v>
      </c>
      <c r="BF32" s="567">
        <f t="shared" si="18"/>
        <v>0</v>
      </c>
      <c r="BG32" s="567">
        <f t="shared" si="18"/>
        <v>0</v>
      </c>
      <c r="BH32" s="567">
        <f t="shared" si="18"/>
        <v>0</v>
      </c>
      <c r="BI32" s="567">
        <f t="shared" si="18"/>
        <v>0</v>
      </c>
      <c r="BJ32" s="567">
        <f t="shared" si="18"/>
        <v>0</v>
      </c>
      <c r="BK32" s="567">
        <f t="shared" si="18"/>
        <v>0</v>
      </c>
      <c r="BL32" s="567">
        <f t="shared" si="18"/>
        <v>0</v>
      </c>
    </row>
    <row r="33" spans="1:64" x14ac:dyDescent="0.3">
      <c r="A33" s="22"/>
      <c r="B33" s="186" t="str">
        <f>B32</f>
        <v>TCARDST100</v>
      </c>
      <c r="C33" s="186"/>
      <c r="D33" s="187"/>
      <c r="E33" s="258" t="s">
        <v>185</v>
      </c>
      <c r="F33" s="170"/>
      <c r="G33" s="189"/>
      <c r="H33" s="170"/>
      <c r="I33" s="190"/>
      <c r="J33" s="191" t="s">
        <v>1156</v>
      </c>
      <c r="K33" s="191"/>
      <c r="L33" s="211" t="s">
        <v>101</v>
      </c>
      <c r="M33" s="191"/>
      <c r="N33" s="377">
        <f>1-(N$17+N$18)</f>
        <v>0.76700000000000002</v>
      </c>
      <c r="O33" s="377">
        <f t="shared" ref="O33:AB33" si="19">1-(O$17+O$18)</f>
        <v>0.76700000000000002</v>
      </c>
      <c r="P33" s="377">
        <f t="shared" si="19"/>
        <v>0.76700000000000002</v>
      </c>
      <c r="Q33" s="377">
        <f t="shared" si="19"/>
        <v>0.76700000000000002</v>
      </c>
      <c r="R33" s="377">
        <f t="shared" si="19"/>
        <v>0.76700000000000002</v>
      </c>
      <c r="S33" s="377">
        <f t="shared" si="19"/>
        <v>0.76700000000000002</v>
      </c>
      <c r="T33" s="377">
        <f t="shared" si="19"/>
        <v>0.76700000000000002</v>
      </c>
      <c r="U33" s="377">
        <f t="shared" si="19"/>
        <v>0.76700000000000002</v>
      </c>
      <c r="V33" s="377">
        <f t="shared" si="19"/>
        <v>0.76700000000000002</v>
      </c>
      <c r="W33" s="377">
        <f t="shared" si="19"/>
        <v>0.76700000000000002</v>
      </c>
      <c r="X33" s="377">
        <f t="shared" si="19"/>
        <v>0.76700000000000002</v>
      </c>
      <c r="Y33" s="377">
        <f t="shared" si="19"/>
        <v>0.76700000000000002</v>
      </c>
      <c r="Z33" s="377">
        <f t="shared" si="19"/>
        <v>0.76700000000000002</v>
      </c>
      <c r="AA33" s="377">
        <f t="shared" si="19"/>
        <v>0.76700000000000002</v>
      </c>
      <c r="AB33" s="377">
        <f t="shared" si="19"/>
        <v>0.76700000000000002</v>
      </c>
      <c r="AC33" s="924"/>
      <c r="AD33" s="66" t="str">
        <f>IF(COUNTIF($AG$4:$AP$4,AD32)=1,"ok","MISSING")</f>
        <v>ok</v>
      </c>
      <c r="AE33" s="818"/>
      <c r="AV33" s="699" t="str">
        <f t="shared" si="17"/>
        <v>TRADST</v>
      </c>
      <c r="AW33" s="567">
        <f>SUM(AX33:BL33)</f>
        <v>3504.9912730517904</v>
      </c>
      <c r="AX33" s="567">
        <f t="shared" ref="AX33:BL34" si="20">N$38*N$39*N33/N$36/1000</f>
        <v>3504.9912730517904</v>
      </c>
      <c r="AY33" s="567">
        <f t="shared" si="20"/>
        <v>0</v>
      </c>
      <c r="AZ33" s="567">
        <f t="shared" si="20"/>
        <v>0</v>
      </c>
      <c r="BA33" s="567">
        <f t="shared" si="20"/>
        <v>0</v>
      </c>
      <c r="BB33" s="567">
        <f t="shared" si="20"/>
        <v>0</v>
      </c>
      <c r="BC33" s="567">
        <f t="shared" si="20"/>
        <v>0</v>
      </c>
      <c r="BD33" s="567">
        <f t="shared" si="20"/>
        <v>0</v>
      </c>
      <c r="BE33" s="567">
        <f t="shared" si="20"/>
        <v>0</v>
      </c>
      <c r="BF33" s="567">
        <f t="shared" si="20"/>
        <v>0</v>
      </c>
      <c r="BG33" s="567">
        <f t="shared" si="20"/>
        <v>0</v>
      </c>
      <c r="BH33" s="567">
        <f t="shared" si="20"/>
        <v>0</v>
      </c>
      <c r="BI33" s="567">
        <f t="shared" si="20"/>
        <v>0</v>
      </c>
      <c r="BJ33" s="567">
        <f t="shared" si="20"/>
        <v>0</v>
      </c>
      <c r="BK33" s="567">
        <f t="shared" si="20"/>
        <v>0</v>
      </c>
      <c r="BL33" s="567">
        <f t="shared" si="20"/>
        <v>0</v>
      </c>
    </row>
    <row r="34" spans="1:64" x14ac:dyDescent="0.3">
      <c r="A34" s="22"/>
      <c r="B34" s="186" t="str">
        <f>B33</f>
        <v>TCARDST100</v>
      </c>
      <c r="C34" s="186"/>
      <c r="D34" s="187"/>
      <c r="E34" s="258" t="s">
        <v>989</v>
      </c>
      <c r="F34" s="170"/>
      <c r="G34" s="189"/>
      <c r="H34" s="170"/>
      <c r="I34" s="190"/>
      <c r="J34" s="191" t="s">
        <v>1157</v>
      </c>
      <c r="K34" s="191"/>
      <c r="L34" s="211" t="s">
        <v>101</v>
      </c>
      <c r="M34" s="191"/>
      <c r="N34" s="377">
        <f>N$17</f>
        <v>5.8000000000000003E-2</v>
      </c>
      <c r="O34" s="377">
        <f t="shared" ref="O34:AB34" si="21">O$17</f>
        <v>5.8000000000000003E-2</v>
      </c>
      <c r="P34" s="377">
        <f t="shared" si="21"/>
        <v>5.8000000000000003E-2</v>
      </c>
      <c r="Q34" s="377">
        <f t="shared" si="21"/>
        <v>5.8000000000000003E-2</v>
      </c>
      <c r="R34" s="377">
        <f t="shared" si="21"/>
        <v>5.8000000000000003E-2</v>
      </c>
      <c r="S34" s="377">
        <f t="shared" si="21"/>
        <v>5.8000000000000003E-2</v>
      </c>
      <c r="T34" s="377">
        <f t="shared" si="21"/>
        <v>5.8000000000000003E-2</v>
      </c>
      <c r="U34" s="377">
        <f t="shared" si="21"/>
        <v>5.8000000000000003E-2</v>
      </c>
      <c r="V34" s="377">
        <f t="shared" si="21"/>
        <v>5.8000000000000003E-2</v>
      </c>
      <c r="W34" s="377">
        <f t="shared" si="21"/>
        <v>5.8000000000000003E-2</v>
      </c>
      <c r="X34" s="377">
        <f t="shared" si="21"/>
        <v>5.8000000000000003E-2</v>
      </c>
      <c r="Y34" s="377">
        <f t="shared" si="21"/>
        <v>5.8000000000000003E-2</v>
      </c>
      <c r="Z34" s="377">
        <f t="shared" si="21"/>
        <v>5.8000000000000003E-2</v>
      </c>
      <c r="AA34" s="377">
        <f t="shared" si="21"/>
        <v>5.8000000000000003E-2</v>
      </c>
      <c r="AB34" s="377">
        <f t="shared" si="21"/>
        <v>5.8000000000000003E-2</v>
      </c>
      <c r="AC34" s="924"/>
      <c r="AD34" s="66"/>
      <c r="AE34" s="818"/>
      <c r="AV34" s="699" t="str">
        <f t="shared" si="17"/>
        <v>TRABDLM</v>
      </c>
      <c r="AW34" s="567">
        <f>SUM(AX34:BL34)</f>
        <v>265.04497240808843</v>
      </c>
      <c r="AX34" s="567">
        <f t="shared" si="20"/>
        <v>265.04497240808843</v>
      </c>
      <c r="AY34" s="567">
        <f t="shared" si="20"/>
        <v>0</v>
      </c>
      <c r="AZ34" s="567">
        <f t="shared" si="20"/>
        <v>0</v>
      </c>
      <c r="BA34" s="567">
        <f t="shared" si="20"/>
        <v>0</v>
      </c>
      <c r="BB34" s="567">
        <f t="shared" si="20"/>
        <v>0</v>
      </c>
      <c r="BC34" s="567">
        <f t="shared" si="20"/>
        <v>0</v>
      </c>
      <c r="BD34" s="567">
        <f t="shared" si="20"/>
        <v>0</v>
      </c>
      <c r="BE34" s="567">
        <f t="shared" si="20"/>
        <v>0</v>
      </c>
      <c r="BF34" s="567">
        <f t="shared" si="20"/>
        <v>0</v>
      </c>
      <c r="BG34" s="567">
        <f t="shared" si="20"/>
        <v>0</v>
      </c>
      <c r="BH34" s="567">
        <f t="shared" si="20"/>
        <v>0</v>
      </c>
      <c r="BI34" s="567">
        <f t="shared" si="20"/>
        <v>0</v>
      </c>
      <c r="BJ34" s="567">
        <f t="shared" si="20"/>
        <v>0</v>
      </c>
      <c r="BK34" s="567">
        <f t="shared" si="20"/>
        <v>0</v>
      </c>
      <c r="BL34" s="567">
        <f t="shared" si="20"/>
        <v>0</v>
      </c>
    </row>
    <row r="35" spans="1:64" x14ac:dyDescent="0.3">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4"/>
      <c r="AE35" s="567"/>
      <c r="AV35" s="699" t="str">
        <f t="shared" si="17"/>
        <v/>
      </c>
      <c r="AW35" s="704"/>
      <c r="AX35" s="567"/>
      <c r="AY35" s="704"/>
      <c r="AZ35" s="704"/>
      <c r="BA35" s="704"/>
      <c r="BB35" s="704"/>
      <c r="BC35" s="704"/>
      <c r="BD35" s="704"/>
      <c r="BE35" s="704"/>
      <c r="BF35" s="704"/>
      <c r="BG35" s="704"/>
      <c r="BH35" s="704"/>
      <c r="BI35" s="704"/>
      <c r="BJ35" s="704"/>
      <c r="BK35" s="704"/>
      <c r="BL35" s="704"/>
    </row>
    <row r="36" spans="1:64" x14ac:dyDescent="0.3">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4"/>
      <c r="AE36" s="567"/>
      <c r="AV36" s="699" t="str">
        <f t="shared" si="17"/>
        <v/>
      </c>
      <c r="AX36" s="567"/>
    </row>
    <row r="37" spans="1:64" x14ac:dyDescent="0.3">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19"/>
      <c r="AE37" s="567"/>
      <c r="AV37" s="699" t="str">
        <f t="shared" si="17"/>
        <v/>
      </c>
    </row>
    <row r="38" spans="1:64" x14ac:dyDescent="0.3">
      <c r="B38" s="186" t="str">
        <f t="shared" si="22"/>
        <v>TCARDST100</v>
      </c>
      <c r="C38" s="186"/>
      <c r="D38" s="187"/>
      <c r="E38" s="186"/>
      <c r="F38" s="170"/>
      <c r="G38" s="213"/>
      <c r="H38" s="170"/>
      <c r="I38" s="190"/>
      <c r="J38" s="191"/>
      <c r="K38" s="191"/>
      <c r="L38" s="211" t="s">
        <v>1129</v>
      </c>
      <c r="M38" s="186" t="s">
        <v>1130</v>
      </c>
      <c r="N38" s="376">
        <f>LOOKUP($C$32, T_NCAP_AF!$C$5:$C$15, T_NCAP_AF!D$5:D$15)*(1+N$26)</f>
        <v>14.726445000000002</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7"/>
      <c r="AV38" s="699" t="str">
        <f t="shared" si="17"/>
        <v/>
      </c>
    </row>
    <row r="39" spans="1:64" x14ac:dyDescent="0.3">
      <c r="B39" s="186" t="str">
        <f>B38</f>
        <v>TCARDST100</v>
      </c>
      <c r="C39" s="186"/>
      <c r="D39" s="187"/>
      <c r="E39" s="186"/>
      <c r="F39" s="170"/>
      <c r="G39" s="213"/>
      <c r="H39" s="170"/>
      <c r="I39" s="190">
        <f>$M$3</f>
        <v>2019</v>
      </c>
      <c r="J39" s="191"/>
      <c r="K39" s="191"/>
      <c r="L39" s="211" t="s">
        <v>1064</v>
      </c>
      <c r="M39" s="217" t="s">
        <v>747</v>
      </c>
      <c r="N39" s="686">
        <f>LOOKUP($C$32, T_Stock_Private!$C$10:$C$20, T_Stock_Private!D$10:D$20)*(1+N27)</f>
        <v>110333.286525</v>
      </c>
      <c r="O39" s="686">
        <f>LOOKUP($C$32, T_Stock_Private!$C$10:$C$20, T_Stock_Private!E$10:E$20)*(1+O27)</f>
        <v>0</v>
      </c>
      <c r="P39" s="686">
        <f>LOOKUP($C$32, T_Stock_Private!$C$10:$C$20, T_Stock_Private!F$10:F$20)*(1+P27)</f>
        <v>0</v>
      </c>
      <c r="Q39" s="686">
        <f>LOOKUP($C$32, T_Stock_Private!$C$10:$C$20, T_Stock_Private!G$10:G$20)*(1+Q27)</f>
        <v>0</v>
      </c>
      <c r="R39" s="686">
        <f>LOOKUP($C$32, T_Stock_Private!$C$10:$C$20, T_Stock_Private!H$10:H$20)*(1+R27)</f>
        <v>0</v>
      </c>
      <c r="S39" s="686">
        <f>LOOKUP($C$32, T_Stock_Private!$C$10:$C$20, T_Stock_Private!I$10:I$20)*(1+S27)</f>
        <v>0</v>
      </c>
      <c r="T39" s="686">
        <f>LOOKUP($C$32, T_Stock_Private!$C$10:$C$20, T_Stock_Private!J$10:J$20)*(1+T27)</f>
        <v>0</v>
      </c>
      <c r="U39" s="686">
        <f>LOOKUP($C$32, T_Stock_Private!$C$10:$C$20, T_Stock_Private!K$10:K$20)*(1+U27)</f>
        <v>0</v>
      </c>
      <c r="V39" s="686">
        <f>LOOKUP($C$32, T_Stock_Private!$C$10:$C$20, T_Stock_Private!L$10:L$20)*(1+V27)</f>
        <v>0</v>
      </c>
      <c r="W39" s="686">
        <f>LOOKUP($C$32, T_Stock_Private!$C$10:$C$20, T_Stock_Private!M$10:M$20)*(1+W27)</f>
        <v>0</v>
      </c>
      <c r="X39" s="686">
        <f>LOOKUP($C$32, T_Stock_Private!$C$10:$C$20, T_Stock_Private!N$10:N$20)*(1+X27)</f>
        <v>0</v>
      </c>
      <c r="Y39" s="686">
        <f>LOOKUP($C$32, T_Stock_Private!$C$10:$C$20, T_Stock_Private!O$10:O$20)*(1+Y27)</f>
        <v>0</v>
      </c>
      <c r="Z39" s="686">
        <f>LOOKUP($C$32, T_Stock_Private!$C$10:$C$20, T_Stock_Private!P$10:P$20)*(1+Z27)</f>
        <v>0</v>
      </c>
      <c r="AA39" s="686">
        <f>LOOKUP($C$32, T_Stock_Private!$C$10:$C$20, T_Stock_Private!Q$10:Q$20)*(1+AA27)</f>
        <v>0</v>
      </c>
      <c r="AB39" s="686">
        <f>LOOKUP($C$32, T_Stock_Private!$C$10:$C$20, T_Stock_Private!R$10:R$20)*(1+AB27)</f>
        <v>0</v>
      </c>
      <c r="AC39" s="925"/>
      <c r="AE39" s="567"/>
      <c r="AV39" s="699" t="str">
        <f t="shared" si="17"/>
        <v/>
      </c>
    </row>
    <row r="40" spans="1:64" x14ac:dyDescent="0.3">
      <c r="B40" s="186" t="str">
        <f t="shared" si="22"/>
        <v>TCARDST100</v>
      </c>
      <c r="C40" s="186"/>
      <c r="D40" s="187"/>
      <c r="E40" s="186"/>
      <c r="F40" s="170"/>
      <c r="G40" s="213"/>
      <c r="H40" s="170"/>
      <c r="I40" s="190">
        <f>AF$5</f>
        <v>2020</v>
      </c>
      <c r="J40" s="191"/>
      <c r="K40" s="191"/>
      <c r="L40" s="211" t="s">
        <v>1064</v>
      </c>
      <c r="M40" s="186" t="s">
        <v>747</v>
      </c>
      <c r="N40" s="686">
        <f t="shared" ref="N40:AB40" si="24">N39*LOOKUP($AD32,$AG$4:$AO$4,$AG$5:$AO$5)</f>
        <v>104816.62219875</v>
      </c>
      <c r="O40" s="686">
        <f t="shared" si="24"/>
        <v>0</v>
      </c>
      <c r="P40" s="686">
        <f t="shared" si="24"/>
        <v>0</v>
      </c>
      <c r="Q40" s="686">
        <f t="shared" si="24"/>
        <v>0</v>
      </c>
      <c r="R40" s="686">
        <f t="shared" si="24"/>
        <v>0</v>
      </c>
      <c r="S40" s="686">
        <f t="shared" si="24"/>
        <v>0</v>
      </c>
      <c r="T40" s="686">
        <f t="shared" si="24"/>
        <v>0</v>
      </c>
      <c r="U40" s="686">
        <f t="shared" si="24"/>
        <v>0</v>
      </c>
      <c r="V40" s="686">
        <f t="shared" si="24"/>
        <v>0</v>
      </c>
      <c r="W40" s="686">
        <f t="shared" si="24"/>
        <v>0</v>
      </c>
      <c r="X40" s="686">
        <f t="shared" si="24"/>
        <v>0</v>
      </c>
      <c r="Y40" s="686">
        <f t="shared" si="24"/>
        <v>0</v>
      </c>
      <c r="Z40" s="686">
        <f t="shared" si="24"/>
        <v>0</v>
      </c>
      <c r="AA40" s="686">
        <f t="shared" si="24"/>
        <v>0</v>
      </c>
      <c r="AB40" s="686">
        <f t="shared" si="24"/>
        <v>0</v>
      </c>
      <c r="AC40" s="925"/>
      <c r="AE40" s="568">
        <f>SUM(AF40:AT40)</f>
        <v>1949.7804908155845</v>
      </c>
      <c r="AF40" s="567">
        <f t="shared" ref="AF40:AT40" si="25">N37*N38*N39/1000</f>
        <v>1949.7804908155845</v>
      </c>
      <c r="AG40" s="567">
        <f t="shared" si="25"/>
        <v>0</v>
      </c>
      <c r="AH40" s="567">
        <f t="shared" si="25"/>
        <v>0</v>
      </c>
      <c r="AI40" s="567">
        <f t="shared" si="25"/>
        <v>0</v>
      </c>
      <c r="AJ40" s="567">
        <f t="shared" si="25"/>
        <v>0</v>
      </c>
      <c r="AK40" s="567">
        <f t="shared" si="25"/>
        <v>0</v>
      </c>
      <c r="AL40" s="567">
        <f t="shared" si="25"/>
        <v>0</v>
      </c>
      <c r="AM40" s="567">
        <f t="shared" si="25"/>
        <v>0</v>
      </c>
      <c r="AN40" s="567">
        <f t="shared" si="25"/>
        <v>0</v>
      </c>
      <c r="AO40" s="567">
        <f t="shared" si="25"/>
        <v>0</v>
      </c>
      <c r="AP40" s="567">
        <f t="shared" si="25"/>
        <v>0</v>
      </c>
      <c r="AQ40" s="567">
        <f t="shared" si="25"/>
        <v>0</v>
      </c>
      <c r="AR40" s="567">
        <f t="shared" si="25"/>
        <v>0</v>
      </c>
      <c r="AS40" s="567">
        <f t="shared" si="25"/>
        <v>0</v>
      </c>
      <c r="AT40" s="567">
        <f t="shared" si="25"/>
        <v>0</v>
      </c>
      <c r="AV40" s="699" t="str">
        <f t="shared" si="17"/>
        <v/>
      </c>
    </row>
    <row r="41" spans="1:64" x14ac:dyDescent="0.3">
      <c r="B41" s="186" t="str">
        <f t="shared" si="22"/>
        <v>TCARDST100</v>
      </c>
      <c r="C41" s="186"/>
      <c r="D41" s="187"/>
      <c r="E41" s="186"/>
      <c r="F41" s="170"/>
      <c r="G41" s="213"/>
      <c r="H41" s="170"/>
      <c r="I41" s="190">
        <f>AF$6</f>
        <v>2025</v>
      </c>
      <c r="J41" s="191"/>
      <c r="K41" s="191"/>
      <c r="L41" s="211" t="s">
        <v>1064</v>
      </c>
      <c r="M41" s="186" t="s">
        <v>747</v>
      </c>
      <c r="N41" s="686">
        <f t="shared" ref="N41:AB41" si="26">N39*LOOKUP($AD32,$AG$4:$AO$4,$AG$6:$AO$6)</f>
        <v>77233.300567500002</v>
      </c>
      <c r="O41" s="686">
        <f t="shared" si="26"/>
        <v>0</v>
      </c>
      <c r="P41" s="686">
        <f t="shared" si="26"/>
        <v>0</v>
      </c>
      <c r="Q41" s="686">
        <f t="shared" si="26"/>
        <v>0</v>
      </c>
      <c r="R41" s="686">
        <f t="shared" si="26"/>
        <v>0</v>
      </c>
      <c r="S41" s="686">
        <f t="shared" si="26"/>
        <v>0</v>
      </c>
      <c r="T41" s="686">
        <f t="shared" si="26"/>
        <v>0</v>
      </c>
      <c r="U41" s="686">
        <f t="shared" si="26"/>
        <v>0</v>
      </c>
      <c r="V41" s="686">
        <f t="shared" si="26"/>
        <v>0</v>
      </c>
      <c r="W41" s="686">
        <f t="shared" si="26"/>
        <v>0</v>
      </c>
      <c r="X41" s="686">
        <f t="shared" si="26"/>
        <v>0</v>
      </c>
      <c r="Y41" s="686">
        <f t="shared" si="26"/>
        <v>0</v>
      </c>
      <c r="Z41" s="686">
        <f t="shared" si="26"/>
        <v>0</v>
      </c>
      <c r="AA41" s="686">
        <f t="shared" si="26"/>
        <v>0</v>
      </c>
      <c r="AB41" s="686">
        <f t="shared" si="26"/>
        <v>0</v>
      </c>
      <c r="AC41" s="925"/>
      <c r="AE41" s="567"/>
      <c r="AV41" s="699" t="str">
        <f t="shared" si="17"/>
        <v/>
      </c>
    </row>
    <row r="42" spans="1:64" x14ac:dyDescent="0.3">
      <c r="B42" s="186" t="str">
        <f t="shared" si="22"/>
        <v>TCARDST100</v>
      </c>
      <c r="C42" s="186"/>
      <c r="D42" s="187"/>
      <c r="E42" s="186"/>
      <c r="F42" s="170"/>
      <c r="G42" s="213"/>
      <c r="H42" s="170"/>
      <c r="I42" s="190">
        <f>AF$7</f>
        <v>2030</v>
      </c>
      <c r="J42" s="191"/>
      <c r="K42" s="191"/>
      <c r="L42" s="211" t="s">
        <v>1064</v>
      </c>
      <c r="M42" s="186" t="s">
        <v>747</v>
      </c>
      <c r="N42" s="686">
        <f t="shared" ref="N42:AB42" si="27">N39*LOOKUP($AD32,$AG$4:$AO$4,$AG$7:$AO$7)</f>
        <v>44133.314610000001</v>
      </c>
      <c r="O42" s="686">
        <f t="shared" si="27"/>
        <v>0</v>
      </c>
      <c r="P42" s="686">
        <f t="shared" si="27"/>
        <v>0</v>
      </c>
      <c r="Q42" s="686">
        <f t="shared" si="27"/>
        <v>0</v>
      </c>
      <c r="R42" s="686">
        <f t="shared" si="27"/>
        <v>0</v>
      </c>
      <c r="S42" s="686">
        <f t="shared" si="27"/>
        <v>0</v>
      </c>
      <c r="T42" s="686">
        <f t="shared" si="27"/>
        <v>0</v>
      </c>
      <c r="U42" s="686">
        <f t="shared" si="27"/>
        <v>0</v>
      </c>
      <c r="V42" s="686">
        <f t="shared" si="27"/>
        <v>0</v>
      </c>
      <c r="W42" s="686">
        <f t="shared" si="27"/>
        <v>0</v>
      </c>
      <c r="X42" s="686">
        <f t="shared" si="27"/>
        <v>0</v>
      </c>
      <c r="Y42" s="686">
        <f t="shared" si="27"/>
        <v>0</v>
      </c>
      <c r="Z42" s="686">
        <f t="shared" si="27"/>
        <v>0</v>
      </c>
      <c r="AA42" s="686">
        <f t="shared" si="27"/>
        <v>0</v>
      </c>
      <c r="AB42" s="686">
        <f t="shared" si="27"/>
        <v>0</v>
      </c>
      <c r="AC42" s="925"/>
      <c r="AE42" s="567"/>
      <c r="AV42" s="699" t="str">
        <f t="shared" si="17"/>
        <v/>
      </c>
    </row>
    <row r="43" spans="1:64" x14ac:dyDescent="0.3">
      <c r="B43" s="186" t="str">
        <f t="shared" si="22"/>
        <v>TCARDST100</v>
      </c>
      <c r="C43" s="186"/>
      <c r="D43" s="187"/>
      <c r="E43" s="186"/>
      <c r="F43" s="170"/>
      <c r="G43" s="213"/>
      <c r="H43" s="170"/>
      <c r="I43" s="190">
        <f>AF$8</f>
        <v>2035</v>
      </c>
      <c r="J43" s="191"/>
      <c r="K43" s="191"/>
      <c r="L43" s="211" t="s">
        <v>1064</v>
      </c>
      <c r="M43" s="186" t="s">
        <v>747</v>
      </c>
      <c r="N43" s="686">
        <f t="shared" ref="N43:AB43" si="28">N39*LOOKUP($AD32,$AG$4:$AO$4,$AG$8:$AO$8)</f>
        <v>16549.99297875</v>
      </c>
      <c r="O43" s="686">
        <f t="shared" si="28"/>
        <v>0</v>
      </c>
      <c r="P43" s="686">
        <f t="shared" si="28"/>
        <v>0</v>
      </c>
      <c r="Q43" s="686">
        <f t="shared" si="28"/>
        <v>0</v>
      </c>
      <c r="R43" s="686">
        <f t="shared" si="28"/>
        <v>0</v>
      </c>
      <c r="S43" s="686">
        <f t="shared" si="28"/>
        <v>0</v>
      </c>
      <c r="T43" s="686">
        <f t="shared" si="28"/>
        <v>0</v>
      </c>
      <c r="U43" s="686">
        <f t="shared" si="28"/>
        <v>0</v>
      </c>
      <c r="V43" s="686">
        <f t="shared" si="28"/>
        <v>0</v>
      </c>
      <c r="W43" s="686">
        <f t="shared" si="28"/>
        <v>0</v>
      </c>
      <c r="X43" s="686">
        <f t="shared" si="28"/>
        <v>0</v>
      </c>
      <c r="Y43" s="686">
        <f t="shared" si="28"/>
        <v>0</v>
      </c>
      <c r="Z43" s="686">
        <f t="shared" si="28"/>
        <v>0</v>
      </c>
      <c r="AA43" s="686">
        <f t="shared" si="28"/>
        <v>0</v>
      </c>
      <c r="AB43" s="686">
        <f t="shared" si="28"/>
        <v>0</v>
      </c>
      <c r="AC43" s="925"/>
      <c r="AE43" s="567"/>
      <c r="AV43" s="699" t="str">
        <f t="shared" si="17"/>
        <v/>
      </c>
    </row>
    <row r="44" spans="1:64" x14ac:dyDescent="0.3">
      <c r="B44" s="186" t="str">
        <f t="shared" si="22"/>
        <v>TCARDST100</v>
      </c>
      <c r="C44" s="186"/>
      <c r="D44" s="187"/>
      <c r="E44" s="186"/>
      <c r="F44" s="170"/>
      <c r="G44" s="213"/>
      <c r="H44" s="170"/>
      <c r="I44" s="190">
        <f>AF$9</f>
        <v>2040</v>
      </c>
      <c r="J44" s="191"/>
      <c r="K44" s="191"/>
      <c r="L44" s="211" t="s">
        <v>1064</v>
      </c>
      <c r="M44" s="186" t="s">
        <v>747</v>
      </c>
      <c r="N44" s="686">
        <f t="shared" ref="N44:AB44" si="29">N39*LOOKUP($AD32,$AG$4:$AO$4,$AG$9:$AO$9)</f>
        <v>551.66643262500008</v>
      </c>
      <c r="O44" s="686">
        <f t="shared" si="29"/>
        <v>0</v>
      </c>
      <c r="P44" s="686">
        <f t="shared" si="29"/>
        <v>0</v>
      </c>
      <c r="Q44" s="686">
        <f t="shared" si="29"/>
        <v>0</v>
      </c>
      <c r="R44" s="686">
        <f t="shared" si="29"/>
        <v>0</v>
      </c>
      <c r="S44" s="686">
        <f t="shared" si="29"/>
        <v>0</v>
      </c>
      <c r="T44" s="686">
        <f t="shared" si="29"/>
        <v>0</v>
      </c>
      <c r="U44" s="686">
        <f t="shared" si="29"/>
        <v>0</v>
      </c>
      <c r="V44" s="686">
        <f t="shared" si="29"/>
        <v>0</v>
      </c>
      <c r="W44" s="686">
        <f t="shared" si="29"/>
        <v>0</v>
      </c>
      <c r="X44" s="686">
        <f t="shared" si="29"/>
        <v>0</v>
      </c>
      <c r="Y44" s="686">
        <f t="shared" si="29"/>
        <v>0</v>
      </c>
      <c r="Z44" s="686">
        <f t="shared" si="29"/>
        <v>0</v>
      </c>
      <c r="AA44" s="686">
        <f t="shared" si="29"/>
        <v>0</v>
      </c>
      <c r="AB44" s="686">
        <f t="shared" si="29"/>
        <v>0</v>
      </c>
      <c r="AC44" s="925"/>
      <c r="AE44" s="567"/>
      <c r="AV44" s="699" t="str">
        <f t="shared" si="17"/>
        <v/>
      </c>
    </row>
    <row r="45" spans="1:64" x14ac:dyDescent="0.3">
      <c r="B45" s="193" t="str">
        <f t="shared" si="22"/>
        <v>TCARDST100</v>
      </c>
      <c r="C45" s="193"/>
      <c r="D45" s="194"/>
      <c r="E45" s="193"/>
      <c r="F45" s="196"/>
      <c r="G45" s="215"/>
      <c r="H45" s="196"/>
      <c r="I45" s="197">
        <f>AF$10</f>
        <v>2050</v>
      </c>
      <c r="J45" s="198"/>
      <c r="K45" s="198"/>
      <c r="L45" s="212" t="s">
        <v>1064</v>
      </c>
      <c r="M45" s="193" t="s">
        <v>747</v>
      </c>
      <c r="N45" s="687">
        <f t="shared" ref="N45:AB45" si="30">N39*LOOKUP($AD32,$AG$4:$AO$4,$AG$10:$AO$10)</f>
        <v>0</v>
      </c>
      <c r="O45" s="687">
        <f t="shared" si="30"/>
        <v>0</v>
      </c>
      <c r="P45" s="687">
        <f t="shared" si="30"/>
        <v>0</v>
      </c>
      <c r="Q45" s="687">
        <f t="shared" si="30"/>
        <v>0</v>
      </c>
      <c r="R45" s="687">
        <f t="shared" si="30"/>
        <v>0</v>
      </c>
      <c r="S45" s="687">
        <f t="shared" si="30"/>
        <v>0</v>
      </c>
      <c r="T45" s="687">
        <f t="shared" si="30"/>
        <v>0</v>
      </c>
      <c r="U45" s="687">
        <f t="shared" si="30"/>
        <v>0</v>
      </c>
      <c r="V45" s="687">
        <f t="shared" si="30"/>
        <v>0</v>
      </c>
      <c r="W45" s="687">
        <f t="shared" si="30"/>
        <v>0</v>
      </c>
      <c r="X45" s="687">
        <f t="shared" si="30"/>
        <v>0</v>
      </c>
      <c r="Y45" s="687">
        <f t="shared" si="30"/>
        <v>0</v>
      </c>
      <c r="Z45" s="687">
        <f t="shared" si="30"/>
        <v>0</v>
      </c>
      <c r="AA45" s="687">
        <f t="shared" si="30"/>
        <v>0</v>
      </c>
      <c r="AB45" s="687">
        <f t="shared" si="30"/>
        <v>0</v>
      </c>
      <c r="AC45" s="925"/>
      <c r="AD45" s="400"/>
      <c r="AE45" s="567"/>
      <c r="AV45" s="699" t="str">
        <f t="shared" si="17"/>
        <v/>
      </c>
    </row>
    <row r="46" spans="1:64" x14ac:dyDescent="0.3">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6"/>
      <c r="AD46" s="56" t="str">
        <f>MID(D46,5,3)</f>
        <v>ELC</v>
      </c>
      <c r="AE46" s="567"/>
      <c r="AV46" s="699" t="str">
        <f t="shared" si="17"/>
        <v>TRAELC</v>
      </c>
      <c r="AW46" s="567">
        <f>SUM(AX46:BL46)</f>
        <v>684.13421981245585</v>
      </c>
      <c r="AX46" s="567">
        <f t="shared" ref="AX46:BL46" si="32">N50*N51/N47/1000</f>
        <v>684.13421981245585</v>
      </c>
      <c r="AY46" s="567">
        <f t="shared" si="32"/>
        <v>0</v>
      </c>
      <c r="AZ46" s="567">
        <f t="shared" si="32"/>
        <v>0</v>
      </c>
      <c r="BA46" s="567">
        <f t="shared" si="32"/>
        <v>0</v>
      </c>
      <c r="BB46" s="567">
        <f t="shared" si="32"/>
        <v>0</v>
      </c>
      <c r="BC46" s="567">
        <f t="shared" si="32"/>
        <v>0</v>
      </c>
      <c r="BD46" s="567">
        <f t="shared" si="32"/>
        <v>0</v>
      </c>
      <c r="BE46" s="567">
        <f t="shared" si="32"/>
        <v>0</v>
      </c>
      <c r="BF46" s="567">
        <f t="shared" si="32"/>
        <v>0</v>
      </c>
      <c r="BG46" s="567">
        <f t="shared" si="32"/>
        <v>0</v>
      </c>
      <c r="BH46" s="567">
        <f t="shared" si="32"/>
        <v>0</v>
      </c>
      <c r="BI46" s="567">
        <f t="shared" si="32"/>
        <v>0</v>
      </c>
      <c r="BJ46" s="567">
        <f t="shared" si="32"/>
        <v>0</v>
      </c>
      <c r="BK46" s="567">
        <f t="shared" si="32"/>
        <v>0</v>
      </c>
      <c r="BL46" s="567">
        <f t="shared" si="32"/>
        <v>0</v>
      </c>
    </row>
    <row r="47" spans="1:64" x14ac:dyDescent="0.3">
      <c r="A47" s="22"/>
      <c r="B47" s="186" t="str">
        <f>B46</f>
        <v>TCARELC100</v>
      </c>
      <c r="C47" s="186"/>
      <c r="D47" s="187"/>
      <c r="E47" s="186"/>
      <c r="F47" s="170"/>
      <c r="G47" s="214" t="s">
        <v>402</v>
      </c>
      <c r="H47" s="170"/>
      <c r="I47" s="190"/>
      <c r="J47" s="191"/>
      <c r="K47" s="191"/>
      <c r="L47" s="191" t="s">
        <v>1125</v>
      </c>
      <c r="M47" s="186" t="s">
        <v>677</v>
      </c>
      <c r="N47" s="672">
        <f>T_CEFF!H56</f>
        <v>1.0389600000000001</v>
      </c>
      <c r="O47" s="672">
        <f>T_CEFF!I56</f>
        <v>1.0389600000000001</v>
      </c>
      <c r="P47" s="672">
        <f>T_CEFF!J56</f>
        <v>1.0389600000000001</v>
      </c>
      <c r="Q47" s="672">
        <f>T_CEFF!K56</f>
        <v>1.0389600000000001</v>
      </c>
      <c r="R47" s="672">
        <f>T_CEFF!L56</f>
        <v>1.0389600000000001</v>
      </c>
      <c r="S47" s="672">
        <f>T_CEFF!M56</f>
        <v>1.0389600000000001</v>
      </c>
      <c r="T47" s="672">
        <f>T_CEFF!N56</f>
        <v>1.0389600000000001</v>
      </c>
      <c r="U47" s="672">
        <f>T_CEFF!O56</f>
        <v>1.0389600000000001</v>
      </c>
      <c r="V47" s="672">
        <f>T_CEFF!P56</f>
        <v>1.0389600000000001</v>
      </c>
      <c r="W47" s="672">
        <f>T_CEFF!Q56</f>
        <v>1.0389600000000001</v>
      </c>
      <c r="X47" s="672">
        <f>T_CEFF!R56</f>
        <v>1.0389600000000001</v>
      </c>
      <c r="Y47" s="672">
        <f>T_CEFF!S56</f>
        <v>1.0389600000000001</v>
      </c>
      <c r="Z47" s="672">
        <f>T_CEFF!T56</f>
        <v>1.0389600000000001</v>
      </c>
      <c r="AA47" s="672">
        <f>T_CEFF!U56</f>
        <v>1.0389600000000001</v>
      </c>
      <c r="AB47" s="672">
        <f>T_CEFF!V56</f>
        <v>1.0389600000000001</v>
      </c>
      <c r="AC47" s="927"/>
      <c r="AD47" s="66" t="str">
        <f>IF(COUNTIF($AG$4:$AP$4,AD46)=1,"ok","MISSING")</f>
        <v>ok</v>
      </c>
      <c r="AE47" s="567"/>
      <c r="AV47" s="699" t="str">
        <f t="shared" si="17"/>
        <v/>
      </c>
    </row>
    <row r="48" spans="1:64" x14ac:dyDescent="0.3">
      <c r="A48" s="22"/>
      <c r="B48" s="186" t="str">
        <f t="shared" ref="B48:B57" si="33">B47</f>
        <v>TCARELC100</v>
      </c>
      <c r="C48" s="186"/>
      <c r="D48" s="187"/>
      <c r="E48" s="186"/>
      <c r="F48" s="170"/>
      <c r="G48" s="214" t="s">
        <v>404</v>
      </c>
      <c r="H48" s="170"/>
      <c r="I48" s="190"/>
      <c r="J48" s="191"/>
      <c r="K48" s="191"/>
      <c r="L48" s="191" t="s">
        <v>1125</v>
      </c>
      <c r="M48" s="186" t="s">
        <v>677</v>
      </c>
      <c r="N48" s="672">
        <f>T_CEFF!H57</f>
        <v>1.2903199999999999</v>
      </c>
      <c r="O48" s="672">
        <f>T_CEFF!I57</f>
        <v>1.2903199999999999</v>
      </c>
      <c r="P48" s="672">
        <f>T_CEFF!J57</f>
        <v>1.2903199999999999</v>
      </c>
      <c r="Q48" s="672">
        <f>T_CEFF!K57</f>
        <v>1.2903199999999999</v>
      </c>
      <c r="R48" s="672">
        <f>T_CEFF!L57</f>
        <v>1.2903199999999999</v>
      </c>
      <c r="S48" s="672">
        <f>T_CEFF!M57</f>
        <v>1.2903199999999999</v>
      </c>
      <c r="T48" s="672">
        <f>T_CEFF!N57</f>
        <v>1.2903199999999999</v>
      </c>
      <c r="U48" s="672">
        <f>T_CEFF!O57</f>
        <v>1.2903199999999999</v>
      </c>
      <c r="V48" s="672">
        <f>T_CEFF!P57</f>
        <v>1.2903199999999999</v>
      </c>
      <c r="W48" s="672">
        <f>T_CEFF!Q57</f>
        <v>1.2903199999999999</v>
      </c>
      <c r="X48" s="672">
        <f>T_CEFF!R57</f>
        <v>1.2903199999999999</v>
      </c>
      <c r="Y48" s="672">
        <f>T_CEFF!S57</f>
        <v>1.2903199999999999</v>
      </c>
      <c r="Z48" s="672">
        <f>T_CEFF!T57</f>
        <v>1.2903199999999999</v>
      </c>
      <c r="AA48" s="672">
        <f>T_CEFF!U57</f>
        <v>1.2903199999999999</v>
      </c>
      <c r="AB48" s="672">
        <f>T_CEFF!V57</f>
        <v>1.2903199999999999</v>
      </c>
      <c r="AC48" s="927"/>
      <c r="AE48" s="567"/>
      <c r="AV48" s="699" t="str">
        <f t="shared" si="17"/>
        <v/>
      </c>
    </row>
    <row r="49" spans="1:64" x14ac:dyDescent="0.3">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19"/>
      <c r="AE49" s="567"/>
      <c r="AV49" s="699" t="str">
        <f t="shared" si="17"/>
        <v/>
      </c>
    </row>
    <row r="50" spans="1:64" x14ac:dyDescent="0.3">
      <c r="A50" s="22"/>
      <c r="B50" s="186" t="str">
        <f t="shared" si="33"/>
        <v>TCARELC100</v>
      </c>
      <c r="C50" s="186"/>
      <c r="D50" s="187"/>
      <c r="E50" s="186"/>
      <c r="F50" s="170"/>
      <c r="G50" s="213"/>
      <c r="H50" s="170"/>
      <c r="I50" s="190"/>
      <c r="J50" s="191"/>
      <c r="K50" s="191"/>
      <c r="L50" s="211" t="s">
        <v>1129</v>
      </c>
      <c r="M50" s="186" t="s">
        <v>1130</v>
      </c>
      <c r="N50" s="376">
        <f>LOOKUP($C$46, T_NCAP_AF!$C$5:$C$15, T_NCAP_AF!D$5:D$15)*(1+N26)</f>
        <v>9.682525</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7"/>
      <c r="AV50" s="699" t="str">
        <f t="shared" si="17"/>
        <v/>
      </c>
    </row>
    <row r="51" spans="1:64" x14ac:dyDescent="0.3">
      <c r="A51" s="22"/>
      <c r="B51" s="186" t="str">
        <f>B50</f>
        <v>TCARELC100</v>
      </c>
      <c r="C51" s="186"/>
      <c r="D51" s="187"/>
      <c r="E51" s="186"/>
      <c r="F51" s="170"/>
      <c r="G51" s="213"/>
      <c r="H51" s="170"/>
      <c r="I51" s="190">
        <f>$M$3</f>
        <v>2019</v>
      </c>
      <c r="J51" s="191"/>
      <c r="K51" s="191"/>
      <c r="L51" s="211" t="s">
        <v>1064</v>
      </c>
      <c r="M51" s="186" t="s">
        <v>747</v>
      </c>
      <c r="N51" s="686">
        <f>LOOKUP($C$46, T_Stock_Private!$C$10:$C$20, T_Stock_Private!D$10:D$20)*(1+N27)</f>
        <v>73409.372969999997</v>
      </c>
      <c r="O51" s="686">
        <f>LOOKUP($C$46, T_Stock_Private!$C$10:$C$20, T_Stock_Private!E$10:E$20)*(1+O27)</f>
        <v>0</v>
      </c>
      <c r="P51" s="686">
        <f>LOOKUP($C$46, T_Stock_Private!$C$10:$C$20, T_Stock_Private!F$10:F$20)*(1+P27)</f>
        <v>0</v>
      </c>
      <c r="Q51" s="686">
        <f>LOOKUP($C$46, T_Stock_Private!$C$10:$C$20, T_Stock_Private!G$10:G$20)*(1+Q27)</f>
        <v>0</v>
      </c>
      <c r="R51" s="686">
        <f>LOOKUP($C$46, T_Stock_Private!$C$10:$C$20, T_Stock_Private!H$10:H$20)*(1+R27)</f>
        <v>0</v>
      </c>
      <c r="S51" s="686">
        <f>LOOKUP($C$46, T_Stock_Private!$C$10:$C$20, T_Stock_Private!I$10:I$20)*(1+S27)</f>
        <v>0</v>
      </c>
      <c r="T51" s="686">
        <f>LOOKUP($C$46, T_Stock_Private!$C$10:$C$20, T_Stock_Private!J$10:J$20)*(1+T27)</f>
        <v>0</v>
      </c>
      <c r="U51" s="686">
        <f>LOOKUP($C$46, T_Stock_Private!$C$10:$C$20, T_Stock_Private!K$10:K$20)*(1+U27)</f>
        <v>0</v>
      </c>
      <c r="V51" s="686">
        <f>LOOKUP($C$46, T_Stock_Private!$C$10:$C$20, T_Stock_Private!L$10:L$20)*(1+V27)</f>
        <v>0</v>
      </c>
      <c r="W51" s="686">
        <f>LOOKUP($C$46, T_Stock_Private!$C$10:$C$20, T_Stock_Private!M$10:M$20)*(1+W27)</f>
        <v>0</v>
      </c>
      <c r="X51" s="686">
        <f>LOOKUP($C$46, T_Stock_Private!$C$10:$C$20, T_Stock_Private!N$10:N$20)*(1+X27)</f>
        <v>0</v>
      </c>
      <c r="Y51" s="686">
        <f>LOOKUP($C$46, T_Stock_Private!$C$10:$C$20, T_Stock_Private!O$10:O$20)*(1+Y27)</f>
        <v>0</v>
      </c>
      <c r="Z51" s="686">
        <f>LOOKUP($C$46, T_Stock_Private!$C$10:$C$20, T_Stock_Private!P$10:P$20)*(1+Z27)</f>
        <v>0</v>
      </c>
      <c r="AA51" s="686">
        <f>LOOKUP($C$46, T_Stock_Private!$C$10:$C$20, T_Stock_Private!Q$10:Q$20)*(1+AA27)</f>
        <v>0</v>
      </c>
      <c r="AB51" s="686">
        <f>LOOKUP($C$46, T_Stock_Private!$C$10:$C$20, T_Stock_Private!R$10:R$20)*(1+AB27)</f>
        <v>0</v>
      </c>
      <c r="AC51" s="925"/>
      <c r="AE51" s="567"/>
      <c r="AV51" s="699" t="str">
        <f t="shared" si="17"/>
        <v/>
      </c>
    </row>
    <row r="52" spans="1:64" x14ac:dyDescent="0.3">
      <c r="A52" s="22"/>
      <c r="B52" s="186" t="str">
        <f t="shared" si="33"/>
        <v>TCARELC100</v>
      </c>
      <c r="C52" s="186"/>
      <c r="D52" s="187"/>
      <c r="E52" s="186"/>
      <c r="F52" s="170"/>
      <c r="G52" s="213"/>
      <c r="H52" s="170"/>
      <c r="I52" s="190">
        <f>AF$5</f>
        <v>2020</v>
      </c>
      <c r="J52" s="191"/>
      <c r="K52" s="191"/>
      <c r="L52" s="211" t="s">
        <v>1064</v>
      </c>
      <c r="M52" s="186" t="s">
        <v>747</v>
      </c>
      <c r="N52" s="686">
        <f t="shared" ref="N52:AB52" si="35">N51*LOOKUP($AD46,$AG$4:$AO$4,$AG$5:$AO$5)</f>
        <v>72675.279240299991</v>
      </c>
      <c r="O52" s="686">
        <f t="shared" si="35"/>
        <v>0</v>
      </c>
      <c r="P52" s="686">
        <f t="shared" si="35"/>
        <v>0</v>
      </c>
      <c r="Q52" s="686">
        <f t="shared" si="35"/>
        <v>0</v>
      </c>
      <c r="R52" s="686">
        <f t="shared" si="35"/>
        <v>0</v>
      </c>
      <c r="S52" s="686">
        <f t="shared" si="35"/>
        <v>0</v>
      </c>
      <c r="T52" s="686">
        <f t="shared" si="35"/>
        <v>0</v>
      </c>
      <c r="U52" s="686">
        <f t="shared" si="35"/>
        <v>0</v>
      </c>
      <c r="V52" s="686">
        <f t="shared" si="35"/>
        <v>0</v>
      </c>
      <c r="W52" s="686">
        <f t="shared" si="35"/>
        <v>0</v>
      </c>
      <c r="X52" s="686">
        <f t="shared" si="35"/>
        <v>0</v>
      </c>
      <c r="Y52" s="686">
        <f t="shared" si="35"/>
        <v>0</v>
      </c>
      <c r="Z52" s="686">
        <f t="shared" si="35"/>
        <v>0</v>
      </c>
      <c r="AA52" s="686">
        <f t="shared" si="35"/>
        <v>0</v>
      </c>
      <c r="AB52" s="686">
        <f t="shared" si="35"/>
        <v>0</v>
      </c>
      <c r="AC52" s="925"/>
      <c r="AE52" s="568">
        <f>SUM(AF52:AT52)</f>
        <v>852.94570681961909</v>
      </c>
      <c r="AF52" s="567">
        <f t="shared" ref="AF52:AT52" si="36">N49*N50*N51/1000</f>
        <v>852.94570681961909</v>
      </c>
      <c r="AG52" s="567">
        <f t="shared" si="36"/>
        <v>0</v>
      </c>
      <c r="AH52" s="567">
        <f t="shared" si="36"/>
        <v>0</v>
      </c>
      <c r="AI52" s="567">
        <f t="shared" si="36"/>
        <v>0</v>
      </c>
      <c r="AJ52" s="567">
        <f t="shared" si="36"/>
        <v>0</v>
      </c>
      <c r="AK52" s="567">
        <f t="shared" si="36"/>
        <v>0</v>
      </c>
      <c r="AL52" s="567">
        <f t="shared" si="36"/>
        <v>0</v>
      </c>
      <c r="AM52" s="567">
        <f t="shared" si="36"/>
        <v>0</v>
      </c>
      <c r="AN52" s="567">
        <f t="shared" si="36"/>
        <v>0</v>
      </c>
      <c r="AO52" s="567">
        <f t="shared" si="36"/>
        <v>0</v>
      </c>
      <c r="AP52" s="567">
        <f t="shared" si="36"/>
        <v>0</v>
      </c>
      <c r="AQ52" s="567">
        <f t="shared" si="36"/>
        <v>0</v>
      </c>
      <c r="AR52" s="567">
        <f t="shared" si="36"/>
        <v>0</v>
      </c>
      <c r="AS52" s="567">
        <f t="shared" si="36"/>
        <v>0</v>
      </c>
      <c r="AT52" s="567">
        <f t="shared" si="36"/>
        <v>0</v>
      </c>
      <c r="AV52" s="699" t="str">
        <f t="shared" si="17"/>
        <v/>
      </c>
    </row>
    <row r="53" spans="1:64" x14ac:dyDescent="0.3">
      <c r="A53" s="22"/>
      <c r="B53" s="186" t="str">
        <f t="shared" si="33"/>
        <v>TCARELC100</v>
      </c>
      <c r="C53" s="186"/>
      <c r="D53" s="187"/>
      <c r="E53" s="186"/>
      <c r="F53" s="170"/>
      <c r="G53" s="213"/>
      <c r="H53" s="170"/>
      <c r="I53" s="190">
        <f>AF$6</f>
        <v>2025</v>
      </c>
      <c r="J53" s="191"/>
      <c r="K53" s="191"/>
      <c r="L53" s="211" t="s">
        <v>1064</v>
      </c>
      <c r="M53" s="186" t="s">
        <v>747</v>
      </c>
      <c r="N53" s="686">
        <f t="shared" ref="N53:AB53" si="37">N51*LOOKUP($AD46,$AG$4:$AO$4,$AG$6:$AO$6)</f>
        <v>55057.029727499998</v>
      </c>
      <c r="O53" s="686">
        <f t="shared" si="37"/>
        <v>0</v>
      </c>
      <c r="P53" s="686">
        <f t="shared" si="37"/>
        <v>0</v>
      </c>
      <c r="Q53" s="686">
        <f t="shared" si="37"/>
        <v>0</v>
      </c>
      <c r="R53" s="686">
        <f t="shared" si="37"/>
        <v>0</v>
      </c>
      <c r="S53" s="686">
        <f t="shared" si="37"/>
        <v>0</v>
      </c>
      <c r="T53" s="686">
        <f t="shared" si="37"/>
        <v>0</v>
      </c>
      <c r="U53" s="686">
        <f t="shared" si="37"/>
        <v>0</v>
      </c>
      <c r="V53" s="686">
        <f t="shared" si="37"/>
        <v>0</v>
      </c>
      <c r="W53" s="686">
        <f t="shared" si="37"/>
        <v>0</v>
      </c>
      <c r="X53" s="686">
        <f t="shared" si="37"/>
        <v>0</v>
      </c>
      <c r="Y53" s="686">
        <f t="shared" si="37"/>
        <v>0</v>
      </c>
      <c r="Z53" s="686">
        <f t="shared" si="37"/>
        <v>0</v>
      </c>
      <c r="AA53" s="686">
        <f t="shared" si="37"/>
        <v>0</v>
      </c>
      <c r="AB53" s="686">
        <f t="shared" si="37"/>
        <v>0</v>
      </c>
      <c r="AC53" s="925"/>
      <c r="AE53" s="567"/>
      <c r="AV53" s="699" t="str">
        <f t="shared" si="17"/>
        <v/>
      </c>
    </row>
    <row r="54" spans="1:64" x14ac:dyDescent="0.3">
      <c r="A54" s="22"/>
      <c r="B54" s="186" t="str">
        <f t="shared" si="33"/>
        <v>TCARELC100</v>
      </c>
      <c r="C54" s="186"/>
      <c r="D54" s="187"/>
      <c r="E54" s="186"/>
      <c r="F54" s="170"/>
      <c r="G54" s="213"/>
      <c r="H54" s="170"/>
      <c r="I54" s="190">
        <f>AF$7</f>
        <v>2030</v>
      </c>
      <c r="J54" s="191"/>
      <c r="K54" s="191"/>
      <c r="L54" s="211" t="s">
        <v>1064</v>
      </c>
      <c r="M54" s="186" t="s">
        <v>747</v>
      </c>
      <c r="N54" s="686">
        <f t="shared" ref="N54:AB54" si="38">N51*LOOKUP($AD46,$AG$4:$AO$4,$AG$7:$AO$7)</f>
        <v>36704.686484999998</v>
      </c>
      <c r="O54" s="686">
        <f t="shared" si="38"/>
        <v>0</v>
      </c>
      <c r="P54" s="686">
        <f t="shared" si="38"/>
        <v>0</v>
      </c>
      <c r="Q54" s="686">
        <f t="shared" si="38"/>
        <v>0</v>
      </c>
      <c r="R54" s="686">
        <f t="shared" si="38"/>
        <v>0</v>
      </c>
      <c r="S54" s="686">
        <f t="shared" si="38"/>
        <v>0</v>
      </c>
      <c r="T54" s="686">
        <f t="shared" si="38"/>
        <v>0</v>
      </c>
      <c r="U54" s="686">
        <f t="shared" si="38"/>
        <v>0</v>
      </c>
      <c r="V54" s="686">
        <f t="shared" si="38"/>
        <v>0</v>
      </c>
      <c r="W54" s="686">
        <f t="shared" si="38"/>
        <v>0</v>
      </c>
      <c r="X54" s="686">
        <f t="shared" si="38"/>
        <v>0</v>
      </c>
      <c r="Y54" s="686">
        <f t="shared" si="38"/>
        <v>0</v>
      </c>
      <c r="Z54" s="686">
        <f t="shared" si="38"/>
        <v>0</v>
      </c>
      <c r="AA54" s="686">
        <f t="shared" si="38"/>
        <v>0</v>
      </c>
      <c r="AB54" s="686">
        <f t="shared" si="38"/>
        <v>0</v>
      </c>
      <c r="AC54" s="925"/>
      <c r="AE54" s="567"/>
      <c r="AV54" s="699" t="str">
        <f t="shared" si="17"/>
        <v/>
      </c>
    </row>
    <row r="55" spans="1:64" x14ac:dyDescent="0.3">
      <c r="A55" s="22"/>
      <c r="B55" s="186" t="str">
        <f t="shared" si="33"/>
        <v>TCARELC100</v>
      </c>
      <c r="C55" s="186"/>
      <c r="D55" s="187"/>
      <c r="E55" s="186"/>
      <c r="F55" s="170"/>
      <c r="G55" s="213"/>
      <c r="H55" s="170"/>
      <c r="I55" s="190">
        <f>AF$8</f>
        <v>2035</v>
      </c>
      <c r="J55" s="191"/>
      <c r="K55" s="191"/>
      <c r="L55" s="211" t="s">
        <v>1064</v>
      </c>
      <c r="M55" s="186" t="s">
        <v>747</v>
      </c>
      <c r="N55" s="686">
        <f t="shared" ref="N55:AB55" si="39">N51*LOOKUP($AD46,$AG$4:$AO$4,$AG$8:$AO$8)</f>
        <v>11011.405945499999</v>
      </c>
      <c r="O55" s="686">
        <f t="shared" si="39"/>
        <v>0</v>
      </c>
      <c r="P55" s="686">
        <f t="shared" si="39"/>
        <v>0</v>
      </c>
      <c r="Q55" s="686">
        <f t="shared" si="39"/>
        <v>0</v>
      </c>
      <c r="R55" s="686">
        <f t="shared" si="39"/>
        <v>0</v>
      </c>
      <c r="S55" s="686">
        <f t="shared" si="39"/>
        <v>0</v>
      </c>
      <c r="T55" s="686">
        <f t="shared" si="39"/>
        <v>0</v>
      </c>
      <c r="U55" s="686">
        <f t="shared" si="39"/>
        <v>0</v>
      </c>
      <c r="V55" s="686">
        <f t="shared" si="39"/>
        <v>0</v>
      </c>
      <c r="W55" s="686">
        <f t="shared" si="39"/>
        <v>0</v>
      </c>
      <c r="X55" s="686">
        <f t="shared" si="39"/>
        <v>0</v>
      </c>
      <c r="Y55" s="686">
        <f t="shared" si="39"/>
        <v>0</v>
      </c>
      <c r="Z55" s="686">
        <f t="shared" si="39"/>
        <v>0</v>
      </c>
      <c r="AA55" s="686">
        <f t="shared" si="39"/>
        <v>0</v>
      </c>
      <c r="AB55" s="686">
        <f t="shared" si="39"/>
        <v>0</v>
      </c>
      <c r="AC55" s="925"/>
      <c r="AE55" s="567"/>
      <c r="AV55" s="699" t="str">
        <f t="shared" si="17"/>
        <v/>
      </c>
    </row>
    <row r="56" spans="1:64" x14ac:dyDescent="0.3">
      <c r="A56" s="22"/>
      <c r="B56" s="186" t="str">
        <f t="shared" si="33"/>
        <v>TCARELC100</v>
      </c>
      <c r="C56" s="186"/>
      <c r="D56" s="187"/>
      <c r="E56" s="186"/>
      <c r="F56" s="170"/>
      <c r="G56" s="213"/>
      <c r="H56" s="170"/>
      <c r="I56" s="190">
        <f>AF$9</f>
        <v>2040</v>
      </c>
      <c r="J56" s="191"/>
      <c r="K56" s="191"/>
      <c r="L56" s="211" t="s">
        <v>1064</v>
      </c>
      <c r="M56" s="186" t="s">
        <v>747</v>
      </c>
      <c r="N56" s="686">
        <f t="shared" ref="N56:AB56" si="40">N51*LOOKUP($AD46,$AG$4:$AO$4,$AG$9:$AO$9)</f>
        <v>367.04686484999996</v>
      </c>
      <c r="O56" s="686">
        <f t="shared" si="40"/>
        <v>0</v>
      </c>
      <c r="P56" s="686">
        <f t="shared" si="40"/>
        <v>0</v>
      </c>
      <c r="Q56" s="686">
        <f t="shared" si="40"/>
        <v>0</v>
      </c>
      <c r="R56" s="686">
        <f t="shared" si="40"/>
        <v>0</v>
      </c>
      <c r="S56" s="686">
        <f t="shared" si="40"/>
        <v>0</v>
      </c>
      <c r="T56" s="686">
        <f t="shared" si="40"/>
        <v>0</v>
      </c>
      <c r="U56" s="686">
        <f t="shared" si="40"/>
        <v>0</v>
      </c>
      <c r="V56" s="686">
        <f t="shared" si="40"/>
        <v>0</v>
      </c>
      <c r="W56" s="686">
        <f t="shared" si="40"/>
        <v>0</v>
      </c>
      <c r="X56" s="686">
        <f t="shared" si="40"/>
        <v>0</v>
      </c>
      <c r="Y56" s="686">
        <f t="shared" si="40"/>
        <v>0</v>
      </c>
      <c r="Z56" s="686">
        <f t="shared" si="40"/>
        <v>0</v>
      </c>
      <c r="AA56" s="686">
        <f t="shared" si="40"/>
        <v>0</v>
      </c>
      <c r="AB56" s="686">
        <f t="shared" si="40"/>
        <v>0</v>
      </c>
      <c r="AC56" s="925"/>
      <c r="AE56" s="567"/>
      <c r="AV56" s="699" t="str">
        <f t="shared" si="17"/>
        <v/>
      </c>
    </row>
    <row r="57" spans="1:64" x14ac:dyDescent="0.3">
      <c r="A57" s="22"/>
      <c r="B57" s="193" t="str">
        <f t="shared" si="33"/>
        <v>TCARELC100</v>
      </c>
      <c r="C57" s="193"/>
      <c r="D57" s="194"/>
      <c r="E57" s="193"/>
      <c r="F57" s="196"/>
      <c r="G57" s="215"/>
      <c r="H57" s="196"/>
      <c r="I57" s="197">
        <f>AF$10</f>
        <v>2050</v>
      </c>
      <c r="J57" s="198"/>
      <c r="K57" s="198"/>
      <c r="L57" s="212" t="s">
        <v>1064</v>
      </c>
      <c r="M57" s="193" t="s">
        <v>747</v>
      </c>
      <c r="N57" s="687">
        <f t="shared" ref="N57:AB57" si="41">N51*LOOKUP($AD46,$AG$4:$AO$4,$AG$10:$AO$10)</f>
        <v>0</v>
      </c>
      <c r="O57" s="687">
        <f t="shared" si="41"/>
        <v>0</v>
      </c>
      <c r="P57" s="687">
        <f t="shared" si="41"/>
        <v>0</v>
      </c>
      <c r="Q57" s="687">
        <f t="shared" si="41"/>
        <v>0</v>
      </c>
      <c r="R57" s="687">
        <f t="shared" si="41"/>
        <v>0</v>
      </c>
      <c r="S57" s="687">
        <f t="shared" si="41"/>
        <v>0</v>
      </c>
      <c r="T57" s="687">
        <f t="shared" si="41"/>
        <v>0</v>
      </c>
      <c r="U57" s="687">
        <f t="shared" si="41"/>
        <v>0</v>
      </c>
      <c r="V57" s="687">
        <f t="shared" si="41"/>
        <v>0</v>
      </c>
      <c r="W57" s="687">
        <f t="shared" si="41"/>
        <v>0</v>
      </c>
      <c r="X57" s="687">
        <f t="shared" si="41"/>
        <v>0</v>
      </c>
      <c r="Y57" s="687">
        <f t="shared" si="41"/>
        <v>0</v>
      </c>
      <c r="Z57" s="687">
        <f t="shared" si="41"/>
        <v>0</v>
      </c>
      <c r="AA57" s="687">
        <f t="shared" si="41"/>
        <v>0</v>
      </c>
      <c r="AB57" s="687">
        <f t="shared" si="41"/>
        <v>0</v>
      </c>
      <c r="AC57" s="925"/>
      <c r="AE57" s="567"/>
      <c r="AV57" s="699" t="str">
        <f t="shared" si="17"/>
        <v/>
      </c>
    </row>
    <row r="58" spans="1:64" x14ac:dyDescent="0.3">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6"/>
      <c r="AD58" s="402" t="str">
        <f>MID(D58,5,3)</f>
        <v>ETH</v>
      </c>
      <c r="AE58" s="567"/>
      <c r="AV58" s="699" t="str">
        <f t="shared" si="17"/>
        <v>TRAETH</v>
      </c>
      <c r="AW58" s="567">
        <f t="shared" ref="AW58:AW59" si="43">SUM(AX58:BL58)</f>
        <v>728.67965667014414</v>
      </c>
      <c r="AX58" s="567">
        <f t="shared" ref="AX58:BL58" si="44">N63*N64*(1-N59)/N61/1000</f>
        <v>728.67965667014414</v>
      </c>
      <c r="AY58" s="567">
        <f t="shared" si="44"/>
        <v>0</v>
      </c>
      <c r="AZ58" s="567">
        <f t="shared" si="44"/>
        <v>0</v>
      </c>
      <c r="BA58" s="567">
        <f t="shared" si="44"/>
        <v>0</v>
      </c>
      <c r="BB58" s="567">
        <f t="shared" si="44"/>
        <v>0</v>
      </c>
      <c r="BC58" s="567">
        <f t="shared" si="44"/>
        <v>0</v>
      </c>
      <c r="BD58" s="567">
        <f t="shared" si="44"/>
        <v>0</v>
      </c>
      <c r="BE58" s="567">
        <f t="shared" si="44"/>
        <v>0</v>
      </c>
      <c r="BF58" s="567">
        <f t="shared" si="44"/>
        <v>0</v>
      </c>
      <c r="BG58" s="567">
        <f t="shared" si="44"/>
        <v>0</v>
      </c>
      <c r="BH58" s="567">
        <f t="shared" si="44"/>
        <v>0</v>
      </c>
      <c r="BI58" s="567">
        <f t="shared" si="44"/>
        <v>0</v>
      </c>
      <c r="BJ58" s="567">
        <f t="shared" si="44"/>
        <v>0</v>
      </c>
      <c r="BK58" s="567">
        <f t="shared" si="44"/>
        <v>0</v>
      </c>
      <c r="BL58" s="567">
        <f t="shared" si="44"/>
        <v>0</v>
      </c>
    </row>
    <row r="59" spans="1:64" x14ac:dyDescent="0.3">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4"/>
      <c r="AD59" s="66" t="str">
        <f>IF(COUNTIF($AG$4:$AP$4,AD58)=1,"ok","MISSING")</f>
        <v>ok</v>
      </c>
      <c r="AE59" s="567"/>
      <c r="AV59" s="699" t="str">
        <f t="shared" si="17"/>
        <v>TRAGSL</v>
      </c>
      <c r="AW59" s="567">
        <f t="shared" si="43"/>
        <v>242.89321889004808</v>
      </c>
      <c r="AX59" s="567">
        <f t="shared" ref="AX59:BL59" si="46">N63*N64*N59/N61/1000</f>
        <v>242.89321889004808</v>
      </c>
      <c r="AY59" s="567">
        <f t="shared" si="46"/>
        <v>0</v>
      </c>
      <c r="AZ59" s="567">
        <f t="shared" si="46"/>
        <v>0</v>
      </c>
      <c r="BA59" s="567">
        <f t="shared" si="46"/>
        <v>0</v>
      </c>
      <c r="BB59" s="567">
        <f t="shared" si="46"/>
        <v>0</v>
      </c>
      <c r="BC59" s="567">
        <f t="shared" si="46"/>
        <v>0</v>
      </c>
      <c r="BD59" s="567">
        <f t="shared" si="46"/>
        <v>0</v>
      </c>
      <c r="BE59" s="567">
        <f t="shared" si="46"/>
        <v>0</v>
      </c>
      <c r="BF59" s="567">
        <f t="shared" si="46"/>
        <v>0</v>
      </c>
      <c r="BG59" s="567">
        <f t="shared" si="46"/>
        <v>0</v>
      </c>
      <c r="BH59" s="567">
        <f t="shared" si="46"/>
        <v>0</v>
      </c>
      <c r="BI59" s="567">
        <f t="shared" si="46"/>
        <v>0</v>
      </c>
      <c r="BJ59" s="567">
        <f t="shared" si="46"/>
        <v>0</v>
      </c>
      <c r="BK59" s="567">
        <f t="shared" si="46"/>
        <v>0</v>
      </c>
      <c r="BL59" s="567">
        <f t="shared" si="46"/>
        <v>0</v>
      </c>
    </row>
    <row r="60" spans="1:64" x14ac:dyDescent="0.3">
      <c r="A60" s="22"/>
      <c r="B60" s="186" t="str">
        <f>B59</f>
        <v>TCARETH100</v>
      </c>
      <c r="C60" s="186"/>
      <c r="D60" s="187"/>
      <c r="E60" s="186"/>
      <c r="F60" s="170"/>
      <c r="G60" s="214" t="s">
        <v>402</v>
      </c>
      <c r="H60" s="170"/>
      <c r="I60" s="190"/>
      <c r="J60" s="191"/>
      <c r="K60" s="191"/>
      <c r="L60" s="191" t="s">
        <v>1125</v>
      </c>
      <c r="M60" s="186" t="s">
        <v>677</v>
      </c>
      <c r="N60" s="673">
        <f>T_CEFF!H58</f>
        <v>0.38646999999999998</v>
      </c>
      <c r="O60" s="673">
        <f>T_CEFF!I58</f>
        <v>0.38646999999999998</v>
      </c>
      <c r="P60" s="673">
        <f>T_CEFF!J58</f>
        <v>0.38646999999999998</v>
      </c>
      <c r="Q60" s="673">
        <f>T_CEFF!K58</f>
        <v>0.38646999999999998</v>
      </c>
      <c r="R60" s="673">
        <f>T_CEFF!L58</f>
        <v>0.38646999999999998</v>
      </c>
      <c r="S60" s="673">
        <f>T_CEFF!M58</f>
        <v>0.38646999999999998</v>
      </c>
      <c r="T60" s="673">
        <f>T_CEFF!N58</f>
        <v>0.38646999999999998</v>
      </c>
      <c r="U60" s="673">
        <f>T_CEFF!O58</f>
        <v>0.38646999999999998</v>
      </c>
      <c r="V60" s="673">
        <f>T_CEFF!P58</f>
        <v>0.38646999999999998</v>
      </c>
      <c r="W60" s="673">
        <f>T_CEFF!Q58</f>
        <v>0.38646999999999998</v>
      </c>
      <c r="X60" s="673">
        <f>T_CEFF!R58</f>
        <v>0.38646999999999998</v>
      </c>
      <c r="Y60" s="673">
        <f>T_CEFF!S58</f>
        <v>0.38646999999999998</v>
      </c>
      <c r="Z60" s="673">
        <f>T_CEFF!T58</f>
        <v>0.38646999999999998</v>
      </c>
      <c r="AA60" s="673">
        <f>T_CEFF!U58</f>
        <v>0.38646999999999998</v>
      </c>
      <c r="AB60" s="673">
        <f>T_CEFF!V58</f>
        <v>0.38646999999999998</v>
      </c>
      <c r="AC60" s="928"/>
      <c r="AE60" s="567"/>
      <c r="AV60" s="699" t="str">
        <f t="shared" si="17"/>
        <v/>
      </c>
    </row>
    <row r="61" spans="1:64" x14ac:dyDescent="0.3">
      <c r="A61" s="22"/>
      <c r="B61" s="186" t="str">
        <f t="shared" ref="B61:B70" si="47">B60</f>
        <v>TCARETH100</v>
      </c>
      <c r="C61" s="186"/>
      <c r="D61" s="187"/>
      <c r="E61" s="186"/>
      <c r="F61" s="170"/>
      <c r="G61" s="214" t="s">
        <v>404</v>
      </c>
      <c r="H61" s="170"/>
      <c r="I61" s="190"/>
      <c r="J61" s="191"/>
      <c r="K61" s="191"/>
      <c r="L61" s="191" t="s">
        <v>1125</v>
      </c>
      <c r="M61" s="186" t="s">
        <v>677</v>
      </c>
      <c r="N61" s="673">
        <f>T_CEFF!H59</f>
        <v>0.31873000000000001</v>
      </c>
      <c r="O61" s="673">
        <f>T_CEFF!I59</f>
        <v>0.31873000000000001</v>
      </c>
      <c r="P61" s="673">
        <f>T_CEFF!J59</f>
        <v>0.31873000000000001</v>
      </c>
      <c r="Q61" s="673">
        <f>T_CEFF!K59</f>
        <v>0.31873000000000001</v>
      </c>
      <c r="R61" s="673">
        <f>T_CEFF!L59</f>
        <v>0.31873000000000001</v>
      </c>
      <c r="S61" s="673">
        <f>T_CEFF!M59</f>
        <v>0.31873000000000001</v>
      </c>
      <c r="T61" s="673">
        <f>T_CEFF!N59</f>
        <v>0.31873000000000001</v>
      </c>
      <c r="U61" s="673">
        <f>T_CEFF!O59</f>
        <v>0.31873000000000001</v>
      </c>
      <c r="V61" s="673">
        <f>T_CEFF!P59</f>
        <v>0.31873000000000001</v>
      </c>
      <c r="W61" s="673">
        <f>T_CEFF!Q59</f>
        <v>0.31873000000000001</v>
      </c>
      <c r="X61" s="673">
        <f>T_CEFF!R59</f>
        <v>0.31873000000000001</v>
      </c>
      <c r="Y61" s="673">
        <f>T_CEFF!S59</f>
        <v>0.31873000000000001</v>
      </c>
      <c r="Z61" s="673">
        <f>T_CEFF!T59</f>
        <v>0.31873000000000001</v>
      </c>
      <c r="AA61" s="673">
        <f>T_CEFF!U59</f>
        <v>0.31873000000000001</v>
      </c>
      <c r="AB61" s="673">
        <f>T_CEFF!V59</f>
        <v>0.31873000000000001</v>
      </c>
      <c r="AC61" s="928"/>
      <c r="AE61" s="567"/>
      <c r="AV61" s="699" t="str">
        <f t="shared" si="17"/>
        <v/>
      </c>
    </row>
    <row r="62" spans="1:64" x14ac:dyDescent="0.3">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19"/>
      <c r="AE62" s="567"/>
      <c r="AV62" s="699" t="str">
        <f t="shared" si="17"/>
        <v/>
      </c>
    </row>
    <row r="63" spans="1:64" x14ac:dyDescent="0.3">
      <c r="A63" s="22"/>
      <c r="B63" s="186" t="str">
        <f t="shared" si="47"/>
        <v>TCARETH100</v>
      </c>
      <c r="C63" s="186"/>
      <c r="D63" s="187"/>
      <c r="E63" s="186"/>
      <c r="F63" s="170"/>
      <c r="G63" s="213"/>
      <c r="H63" s="170"/>
      <c r="I63" s="190"/>
      <c r="J63" s="191"/>
      <c r="K63" s="191"/>
      <c r="L63" s="211" t="s">
        <v>1129</v>
      </c>
      <c r="M63" s="186" t="s">
        <v>1130</v>
      </c>
      <c r="N63" s="376">
        <f>LOOKUP($C$58, T_NCAP_AF!$C$5:$C$15, T_NCAP_AF!D$5:D$15)*(1+N26)</f>
        <v>10.394078</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7"/>
      <c r="AV63" s="699" t="str">
        <f t="shared" si="17"/>
        <v/>
      </c>
    </row>
    <row r="64" spans="1:64" x14ac:dyDescent="0.3">
      <c r="A64" s="22"/>
      <c r="B64" s="186" t="str">
        <f>B63</f>
        <v>TCARETH100</v>
      </c>
      <c r="C64" s="186"/>
      <c r="D64" s="187"/>
      <c r="E64" s="186"/>
      <c r="F64" s="170"/>
      <c r="G64" s="213"/>
      <c r="H64" s="170"/>
      <c r="I64" s="190">
        <f>$M$3</f>
        <v>2019</v>
      </c>
      <c r="J64" s="191"/>
      <c r="K64" s="191"/>
      <c r="L64" s="211" t="s">
        <v>1064</v>
      </c>
      <c r="M64" s="186" t="s">
        <v>747</v>
      </c>
      <c r="N64" s="686">
        <f>LOOKUP($C$58, T_Stock_Private!$C$10:$C$20, T_Stock_Private!D$10:D$20)*(1+N27)</f>
        <v>29792.870770000001</v>
      </c>
      <c r="O64" s="686">
        <f>LOOKUP($C$58, T_Stock_Private!$C$10:$C$20, T_Stock_Private!E$10:E$20)*(1+O27)</f>
        <v>0</v>
      </c>
      <c r="P64" s="686">
        <f>LOOKUP($C$58, T_Stock_Private!$C$10:$C$20, T_Stock_Private!F$10:F$20)*(1+P27)</f>
        <v>0</v>
      </c>
      <c r="Q64" s="686">
        <f>LOOKUP($C$58, T_Stock_Private!$C$10:$C$20, T_Stock_Private!G$10:G$20)*(1+Q27)</f>
        <v>0</v>
      </c>
      <c r="R64" s="686">
        <f>LOOKUP($C$58, T_Stock_Private!$C$10:$C$20, T_Stock_Private!H$10:H$20)*(1+R27)</f>
        <v>0</v>
      </c>
      <c r="S64" s="686">
        <f>LOOKUP($C$58, T_Stock_Private!$C$10:$C$20, T_Stock_Private!I$10:I$20)*(1+S27)</f>
        <v>0</v>
      </c>
      <c r="T64" s="686">
        <f>LOOKUP($C$58, T_Stock_Private!$C$10:$C$20, T_Stock_Private!J$10:J$20)*(1+T27)</f>
        <v>0</v>
      </c>
      <c r="U64" s="686">
        <f>LOOKUP($C$58, T_Stock_Private!$C$10:$C$20, T_Stock_Private!K$10:K$20)*(1+U27)</f>
        <v>0</v>
      </c>
      <c r="V64" s="686">
        <f>LOOKUP($C$58, T_Stock_Private!$C$10:$C$20, T_Stock_Private!L$10:L$20)*(1+V27)</f>
        <v>0</v>
      </c>
      <c r="W64" s="686">
        <f>LOOKUP($C$58, T_Stock_Private!$C$10:$C$20, T_Stock_Private!M$10:M$20)*(1+W27)</f>
        <v>0</v>
      </c>
      <c r="X64" s="686">
        <f>LOOKUP($C$58, T_Stock_Private!$C$10:$C$20, T_Stock_Private!N$10:N$20)*(1+X27)</f>
        <v>0</v>
      </c>
      <c r="Y64" s="686">
        <f>LOOKUP($C$58, T_Stock_Private!$C$10:$C$20, T_Stock_Private!O$10:O$20)*(1+Y27)</f>
        <v>0</v>
      </c>
      <c r="Z64" s="686">
        <f>LOOKUP($C$58, T_Stock_Private!$C$10:$C$20, T_Stock_Private!P$10:P$20)*(1+Z27)</f>
        <v>0</v>
      </c>
      <c r="AA64" s="686">
        <f>LOOKUP($C$58, T_Stock_Private!$C$10:$C$20, T_Stock_Private!Q$10:Q$20)*(1+AA27)</f>
        <v>0</v>
      </c>
      <c r="AB64" s="686">
        <f>LOOKUP($C$58, T_Stock_Private!$C$10:$C$20, T_Stock_Private!R$10:R$20)*(1+AB27)</f>
        <v>0</v>
      </c>
      <c r="AC64" s="925"/>
      <c r="AE64" s="567"/>
      <c r="AV64" s="699" t="str">
        <f t="shared" ref="AV64:AV86" si="49">MID(E64,1,7)</f>
        <v/>
      </c>
    </row>
    <row r="65" spans="1:64" x14ac:dyDescent="0.3">
      <c r="A65" s="22"/>
      <c r="B65" s="186" t="str">
        <f t="shared" si="47"/>
        <v>TCARETH100</v>
      </c>
      <c r="C65" s="186"/>
      <c r="D65" s="187"/>
      <c r="E65" s="186"/>
      <c r="F65" s="170"/>
      <c r="G65" s="213"/>
      <c r="H65" s="170"/>
      <c r="I65" s="190">
        <f>AF$5</f>
        <v>2020</v>
      </c>
      <c r="J65" s="191"/>
      <c r="K65" s="191"/>
      <c r="L65" s="211" t="s">
        <v>1064</v>
      </c>
      <c r="M65" s="186" t="s">
        <v>747</v>
      </c>
      <c r="N65" s="686">
        <f t="shared" ref="N65:AB65" si="50">N64*LOOKUP($AD58,$AG$4:$AO$4,$AG$5:$AO$5)</f>
        <v>28303.227231500001</v>
      </c>
      <c r="O65" s="686">
        <f t="shared" si="50"/>
        <v>0</v>
      </c>
      <c r="P65" s="686">
        <f t="shared" si="50"/>
        <v>0</v>
      </c>
      <c r="Q65" s="686">
        <f t="shared" si="50"/>
        <v>0</v>
      </c>
      <c r="R65" s="686">
        <f t="shared" si="50"/>
        <v>0</v>
      </c>
      <c r="S65" s="686">
        <f t="shared" si="50"/>
        <v>0</v>
      </c>
      <c r="T65" s="686">
        <f t="shared" si="50"/>
        <v>0</v>
      </c>
      <c r="U65" s="686">
        <f t="shared" si="50"/>
        <v>0</v>
      </c>
      <c r="V65" s="686">
        <f t="shared" si="50"/>
        <v>0</v>
      </c>
      <c r="W65" s="686">
        <f t="shared" si="50"/>
        <v>0</v>
      </c>
      <c r="X65" s="686">
        <f t="shared" si="50"/>
        <v>0</v>
      </c>
      <c r="Y65" s="686">
        <f t="shared" si="50"/>
        <v>0</v>
      </c>
      <c r="Z65" s="686">
        <f t="shared" si="50"/>
        <v>0</v>
      </c>
      <c r="AA65" s="686">
        <f t="shared" si="50"/>
        <v>0</v>
      </c>
      <c r="AB65" s="686">
        <f t="shared" si="50"/>
        <v>0</v>
      </c>
      <c r="AC65" s="925"/>
      <c r="AE65" s="568">
        <f>SUM(AF65:AT65)</f>
        <v>371.60330715276012</v>
      </c>
      <c r="AF65" s="567">
        <f t="shared" ref="AF65:AT65" si="51">N62*N63*N64/1000</f>
        <v>371.60330715276012</v>
      </c>
      <c r="AG65" s="567">
        <f t="shared" si="51"/>
        <v>0</v>
      </c>
      <c r="AH65" s="567">
        <f t="shared" si="51"/>
        <v>0</v>
      </c>
      <c r="AI65" s="567">
        <f t="shared" si="51"/>
        <v>0</v>
      </c>
      <c r="AJ65" s="567">
        <f t="shared" si="51"/>
        <v>0</v>
      </c>
      <c r="AK65" s="567">
        <f t="shared" si="51"/>
        <v>0</v>
      </c>
      <c r="AL65" s="567">
        <f t="shared" si="51"/>
        <v>0</v>
      </c>
      <c r="AM65" s="567">
        <f t="shared" si="51"/>
        <v>0</v>
      </c>
      <c r="AN65" s="567">
        <f t="shared" si="51"/>
        <v>0</v>
      </c>
      <c r="AO65" s="567">
        <f t="shared" si="51"/>
        <v>0</v>
      </c>
      <c r="AP65" s="567">
        <f t="shared" si="51"/>
        <v>0</v>
      </c>
      <c r="AQ65" s="567">
        <f t="shared" si="51"/>
        <v>0</v>
      </c>
      <c r="AR65" s="567">
        <f t="shared" si="51"/>
        <v>0</v>
      </c>
      <c r="AS65" s="567">
        <f t="shared" si="51"/>
        <v>0</v>
      </c>
      <c r="AT65" s="567">
        <f t="shared" si="51"/>
        <v>0</v>
      </c>
      <c r="AV65" s="699" t="str">
        <f t="shared" si="49"/>
        <v/>
      </c>
    </row>
    <row r="66" spans="1:64" x14ac:dyDescent="0.3">
      <c r="A66" s="22"/>
      <c r="B66" s="186" t="str">
        <f t="shared" si="47"/>
        <v>TCARETH100</v>
      </c>
      <c r="C66" s="186"/>
      <c r="D66" s="187"/>
      <c r="E66" s="186"/>
      <c r="F66" s="170"/>
      <c r="G66" s="213"/>
      <c r="H66" s="170"/>
      <c r="I66" s="190">
        <f>AF$6</f>
        <v>2025</v>
      </c>
      <c r="J66" s="191"/>
      <c r="K66" s="191"/>
      <c r="L66" s="211" t="s">
        <v>1064</v>
      </c>
      <c r="M66" s="186" t="s">
        <v>747</v>
      </c>
      <c r="N66" s="686">
        <f t="shared" ref="N66:AB66" si="52">N64*LOOKUP($AD58,$AG$4:$AO$4,$AG$6:$AO$6)</f>
        <v>20855.009538999999</v>
      </c>
      <c r="O66" s="686">
        <f t="shared" si="52"/>
        <v>0</v>
      </c>
      <c r="P66" s="686">
        <f t="shared" si="52"/>
        <v>0</v>
      </c>
      <c r="Q66" s="686">
        <f t="shared" si="52"/>
        <v>0</v>
      </c>
      <c r="R66" s="686">
        <f t="shared" si="52"/>
        <v>0</v>
      </c>
      <c r="S66" s="686">
        <f t="shared" si="52"/>
        <v>0</v>
      </c>
      <c r="T66" s="686">
        <f t="shared" si="52"/>
        <v>0</v>
      </c>
      <c r="U66" s="686">
        <f t="shared" si="52"/>
        <v>0</v>
      </c>
      <c r="V66" s="686">
        <f t="shared" si="52"/>
        <v>0</v>
      </c>
      <c r="W66" s="686">
        <f t="shared" si="52"/>
        <v>0</v>
      </c>
      <c r="X66" s="686">
        <f t="shared" si="52"/>
        <v>0</v>
      </c>
      <c r="Y66" s="686">
        <f t="shared" si="52"/>
        <v>0</v>
      </c>
      <c r="Z66" s="686">
        <f t="shared" si="52"/>
        <v>0</v>
      </c>
      <c r="AA66" s="686">
        <f t="shared" si="52"/>
        <v>0</v>
      </c>
      <c r="AB66" s="686">
        <f t="shared" si="52"/>
        <v>0</v>
      </c>
      <c r="AC66" s="925"/>
      <c r="AE66" s="567"/>
      <c r="AV66" s="699" t="str">
        <f t="shared" si="49"/>
        <v/>
      </c>
    </row>
    <row r="67" spans="1:64" x14ac:dyDescent="0.3">
      <c r="A67" s="22"/>
      <c r="B67" s="186" t="str">
        <f t="shared" si="47"/>
        <v>TCARETH100</v>
      </c>
      <c r="C67" s="186"/>
      <c r="D67" s="187"/>
      <c r="E67" s="186"/>
      <c r="F67" s="170"/>
      <c r="G67" s="213"/>
      <c r="H67" s="170"/>
      <c r="I67" s="190">
        <f>AF$7</f>
        <v>2030</v>
      </c>
      <c r="J67" s="191"/>
      <c r="K67" s="191"/>
      <c r="L67" s="211" t="s">
        <v>1064</v>
      </c>
      <c r="M67" s="186" t="s">
        <v>747</v>
      </c>
      <c r="N67" s="686">
        <f t="shared" ref="N67:AB67" si="53">N64*LOOKUP($AD58,$AG$4:$AO$4,$AG$7:$AO$7)</f>
        <v>11917.148308000002</v>
      </c>
      <c r="O67" s="686">
        <f t="shared" si="53"/>
        <v>0</v>
      </c>
      <c r="P67" s="686">
        <f t="shared" si="53"/>
        <v>0</v>
      </c>
      <c r="Q67" s="686">
        <f t="shared" si="53"/>
        <v>0</v>
      </c>
      <c r="R67" s="686">
        <f t="shared" si="53"/>
        <v>0</v>
      </c>
      <c r="S67" s="686">
        <f t="shared" si="53"/>
        <v>0</v>
      </c>
      <c r="T67" s="686">
        <f t="shared" si="53"/>
        <v>0</v>
      </c>
      <c r="U67" s="686">
        <f t="shared" si="53"/>
        <v>0</v>
      </c>
      <c r="V67" s="686">
        <f t="shared" si="53"/>
        <v>0</v>
      </c>
      <c r="W67" s="686">
        <f t="shared" si="53"/>
        <v>0</v>
      </c>
      <c r="X67" s="686">
        <f t="shared" si="53"/>
        <v>0</v>
      </c>
      <c r="Y67" s="686">
        <f t="shared" si="53"/>
        <v>0</v>
      </c>
      <c r="Z67" s="686">
        <f t="shared" si="53"/>
        <v>0</v>
      </c>
      <c r="AA67" s="686">
        <f t="shared" si="53"/>
        <v>0</v>
      </c>
      <c r="AB67" s="686">
        <f t="shared" si="53"/>
        <v>0</v>
      </c>
      <c r="AC67" s="925"/>
      <c r="AE67" s="567"/>
      <c r="AV67" s="699" t="str">
        <f t="shared" si="49"/>
        <v/>
      </c>
    </row>
    <row r="68" spans="1:64" x14ac:dyDescent="0.3">
      <c r="A68" s="22"/>
      <c r="B68" s="186" t="str">
        <f t="shared" si="47"/>
        <v>TCARETH100</v>
      </c>
      <c r="C68" s="186"/>
      <c r="D68" s="187"/>
      <c r="E68" s="186"/>
      <c r="F68" s="170"/>
      <c r="G68" s="213"/>
      <c r="H68" s="170"/>
      <c r="I68" s="190">
        <f>AF$8</f>
        <v>2035</v>
      </c>
      <c r="J68" s="191"/>
      <c r="K68" s="191"/>
      <c r="L68" s="211" t="s">
        <v>1064</v>
      </c>
      <c r="M68" s="186" t="s">
        <v>747</v>
      </c>
      <c r="N68" s="686">
        <f t="shared" ref="N68:AB68" si="54">N64*LOOKUP($AD58,$AG$4:$AO$4,$AG$8:$AO$8)</f>
        <v>4468.9306155000004</v>
      </c>
      <c r="O68" s="686">
        <f t="shared" si="54"/>
        <v>0</v>
      </c>
      <c r="P68" s="686">
        <f t="shared" si="54"/>
        <v>0</v>
      </c>
      <c r="Q68" s="686">
        <f t="shared" si="54"/>
        <v>0</v>
      </c>
      <c r="R68" s="686">
        <f t="shared" si="54"/>
        <v>0</v>
      </c>
      <c r="S68" s="686">
        <f t="shared" si="54"/>
        <v>0</v>
      </c>
      <c r="T68" s="686">
        <f t="shared" si="54"/>
        <v>0</v>
      </c>
      <c r="U68" s="686">
        <f t="shared" si="54"/>
        <v>0</v>
      </c>
      <c r="V68" s="686">
        <f t="shared" si="54"/>
        <v>0</v>
      </c>
      <c r="W68" s="686">
        <f t="shared" si="54"/>
        <v>0</v>
      </c>
      <c r="X68" s="686">
        <f t="shared" si="54"/>
        <v>0</v>
      </c>
      <c r="Y68" s="686">
        <f t="shared" si="54"/>
        <v>0</v>
      </c>
      <c r="Z68" s="686">
        <f t="shared" si="54"/>
        <v>0</v>
      </c>
      <c r="AA68" s="686">
        <f t="shared" si="54"/>
        <v>0</v>
      </c>
      <c r="AB68" s="686">
        <f t="shared" si="54"/>
        <v>0</v>
      </c>
      <c r="AC68" s="925"/>
      <c r="AE68" s="567"/>
      <c r="AV68" s="699" t="str">
        <f t="shared" si="49"/>
        <v/>
      </c>
    </row>
    <row r="69" spans="1:64" x14ac:dyDescent="0.3">
      <c r="A69" s="22"/>
      <c r="B69" s="186" t="str">
        <f t="shared" si="47"/>
        <v>TCARETH100</v>
      </c>
      <c r="C69" s="186"/>
      <c r="D69" s="187"/>
      <c r="E69" s="186"/>
      <c r="F69" s="170"/>
      <c r="G69" s="213"/>
      <c r="H69" s="170"/>
      <c r="I69" s="190">
        <f>AF$9</f>
        <v>2040</v>
      </c>
      <c r="J69" s="191"/>
      <c r="K69" s="191"/>
      <c r="L69" s="211" t="s">
        <v>1064</v>
      </c>
      <c r="M69" s="186" t="s">
        <v>747</v>
      </c>
      <c r="N69" s="686">
        <f t="shared" ref="N69:AB69" si="55">N64*LOOKUP($AD58,$AG$4:$AO$4,$AG$9:$AO$9)</f>
        <v>148.96435385000001</v>
      </c>
      <c r="O69" s="686">
        <f t="shared" si="55"/>
        <v>0</v>
      </c>
      <c r="P69" s="686">
        <f t="shared" si="55"/>
        <v>0</v>
      </c>
      <c r="Q69" s="686">
        <f t="shared" si="55"/>
        <v>0</v>
      </c>
      <c r="R69" s="686">
        <f t="shared" si="55"/>
        <v>0</v>
      </c>
      <c r="S69" s="686">
        <f t="shared" si="55"/>
        <v>0</v>
      </c>
      <c r="T69" s="686">
        <f t="shared" si="55"/>
        <v>0</v>
      </c>
      <c r="U69" s="686">
        <f t="shared" si="55"/>
        <v>0</v>
      </c>
      <c r="V69" s="686">
        <f t="shared" si="55"/>
        <v>0</v>
      </c>
      <c r="W69" s="686">
        <f t="shared" si="55"/>
        <v>0</v>
      </c>
      <c r="X69" s="686">
        <f t="shared" si="55"/>
        <v>0</v>
      </c>
      <c r="Y69" s="686">
        <f t="shared" si="55"/>
        <v>0</v>
      </c>
      <c r="Z69" s="686">
        <f t="shared" si="55"/>
        <v>0</v>
      </c>
      <c r="AA69" s="686">
        <f t="shared" si="55"/>
        <v>0</v>
      </c>
      <c r="AB69" s="686">
        <f t="shared" si="55"/>
        <v>0</v>
      </c>
      <c r="AC69" s="925"/>
      <c r="AE69" s="567"/>
      <c r="AV69" s="699" t="str">
        <f t="shared" si="49"/>
        <v/>
      </c>
    </row>
    <row r="70" spans="1:64" x14ac:dyDescent="0.3">
      <c r="A70" s="22"/>
      <c r="B70" s="193" t="str">
        <f t="shared" si="47"/>
        <v>TCARETH100</v>
      </c>
      <c r="C70" s="193"/>
      <c r="D70" s="194"/>
      <c r="E70" s="193"/>
      <c r="F70" s="196"/>
      <c r="G70" s="215"/>
      <c r="H70" s="196"/>
      <c r="I70" s="197">
        <f>AF$10</f>
        <v>2050</v>
      </c>
      <c r="J70" s="198"/>
      <c r="K70" s="198"/>
      <c r="L70" s="212" t="s">
        <v>1064</v>
      </c>
      <c r="M70" s="193" t="s">
        <v>747</v>
      </c>
      <c r="N70" s="687">
        <f t="shared" ref="N70:AB70" si="56">N64*LOOKUP($AD58,$AG$4:$AO$4,$AG$10:$AO$10)</f>
        <v>0</v>
      </c>
      <c r="O70" s="687">
        <f t="shared" si="56"/>
        <v>0</v>
      </c>
      <c r="P70" s="687">
        <f t="shared" si="56"/>
        <v>0</v>
      </c>
      <c r="Q70" s="687">
        <f t="shared" si="56"/>
        <v>0</v>
      </c>
      <c r="R70" s="687">
        <f t="shared" si="56"/>
        <v>0</v>
      </c>
      <c r="S70" s="687">
        <f t="shared" si="56"/>
        <v>0</v>
      </c>
      <c r="T70" s="687">
        <f t="shared" si="56"/>
        <v>0</v>
      </c>
      <c r="U70" s="687">
        <f t="shared" si="56"/>
        <v>0</v>
      </c>
      <c r="V70" s="687">
        <f t="shared" si="56"/>
        <v>0</v>
      </c>
      <c r="W70" s="687">
        <f t="shared" si="56"/>
        <v>0</v>
      </c>
      <c r="X70" s="687">
        <f t="shared" si="56"/>
        <v>0</v>
      </c>
      <c r="Y70" s="687">
        <f t="shared" si="56"/>
        <v>0</v>
      </c>
      <c r="Z70" s="687">
        <f t="shared" si="56"/>
        <v>0</v>
      </c>
      <c r="AA70" s="687">
        <f t="shared" si="56"/>
        <v>0</v>
      </c>
      <c r="AB70" s="687">
        <f t="shared" si="56"/>
        <v>0</v>
      </c>
      <c r="AC70" s="925"/>
      <c r="AE70" s="567"/>
      <c r="AV70" s="699" t="str">
        <f t="shared" si="49"/>
        <v/>
      </c>
    </row>
    <row r="71" spans="1:64" x14ac:dyDescent="0.3">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6"/>
      <c r="AD71" s="402" t="str">
        <f>MID(D71,5,3)</f>
        <v>GAS</v>
      </c>
      <c r="AE71" s="567"/>
      <c r="AV71" s="699" t="str">
        <f t="shared" si="49"/>
        <v>TRABGS</v>
      </c>
      <c r="AW71" s="567">
        <f t="shared" ref="AW71:AW73" si="58">SUM(AX71:BL71)</f>
        <v>277.36804281918398</v>
      </c>
      <c r="AX71" s="567">
        <f t="shared" ref="AX71:BL71" si="59">N$77*N$78*0.6/N$75/1000</f>
        <v>277.36804281918398</v>
      </c>
      <c r="AY71" s="567">
        <f t="shared" si="59"/>
        <v>0</v>
      </c>
      <c r="AZ71" s="567">
        <f t="shared" si="59"/>
        <v>0</v>
      </c>
      <c r="BA71" s="567">
        <f t="shared" si="59"/>
        <v>0</v>
      </c>
      <c r="BB71" s="567">
        <f t="shared" si="59"/>
        <v>0</v>
      </c>
      <c r="BC71" s="567">
        <f t="shared" si="59"/>
        <v>0</v>
      </c>
      <c r="BD71" s="567">
        <f t="shared" si="59"/>
        <v>0</v>
      </c>
      <c r="BE71" s="567">
        <f t="shared" si="59"/>
        <v>0</v>
      </c>
      <c r="BF71" s="567">
        <f t="shared" si="59"/>
        <v>0</v>
      </c>
      <c r="BG71" s="567">
        <f t="shared" si="59"/>
        <v>0</v>
      </c>
      <c r="BH71" s="567">
        <f t="shared" si="59"/>
        <v>0</v>
      </c>
      <c r="BI71" s="567">
        <f t="shared" si="59"/>
        <v>0</v>
      </c>
      <c r="BJ71" s="567">
        <f t="shared" si="59"/>
        <v>0</v>
      </c>
      <c r="BK71" s="567">
        <f t="shared" si="59"/>
        <v>0</v>
      </c>
      <c r="BL71" s="567">
        <f t="shared" si="59"/>
        <v>0</v>
      </c>
    </row>
    <row r="72" spans="1:64" x14ac:dyDescent="0.3">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4"/>
      <c r="AD72" s="66" t="str">
        <f>IF(COUNTIF($AG$4:$AP$4,AD71)=1,"ok","MISSING")</f>
        <v>ok</v>
      </c>
      <c r="AE72" s="567"/>
      <c r="AH72" s="69"/>
      <c r="AI72" s="69"/>
      <c r="AJ72" s="69"/>
      <c r="AK72" s="69"/>
      <c r="AL72" s="69"/>
      <c r="AM72" s="69"/>
      <c r="AN72" s="69"/>
      <c r="AO72" s="69"/>
      <c r="AP72" s="69"/>
      <c r="AQ72" s="69"/>
      <c r="AR72" s="69"/>
      <c r="AS72" s="69"/>
      <c r="AT72" s="69"/>
      <c r="AV72" s="699" t="str">
        <f t="shared" si="49"/>
        <v>TRANGS</v>
      </c>
      <c r="AW72" s="567">
        <f t="shared" si="58"/>
        <v>92.456014273061328</v>
      </c>
      <c r="AX72" s="567">
        <f t="shared" ref="AX72:BL73" si="61">N$77*N$78*0.2/N$75/1000</f>
        <v>92.456014273061328</v>
      </c>
      <c r="AY72" s="567">
        <f t="shared" si="61"/>
        <v>0</v>
      </c>
      <c r="AZ72" s="567">
        <f t="shared" si="61"/>
        <v>0</v>
      </c>
      <c r="BA72" s="567">
        <f t="shared" si="61"/>
        <v>0</v>
      </c>
      <c r="BB72" s="567">
        <f t="shared" si="61"/>
        <v>0</v>
      </c>
      <c r="BC72" s="567">
        <f t="shared" si="61"/>
        <v>0</v>
      </c>
      <c r="BD72" s="567">
        <f t="shared" si="61"/>
        <v>0</v>
      </c>
      <c r="BE72" s="567">
        <f t="shared" si="61"/>
        <v>0</v>
      </c>
      <c r="BF72" s="567">
        <f t="shared" si="61"/>
        <v>0</v>
      </c>
      <c r="BG72" s="567">
        <f t="shared" si="61"/>
        <v>0</v>
      </c>
      <c r="BH72" s="567">
        <f t="shared" si="61"/>
        <v>0</v>
      </c>
      <c r="BI72" s="567">
        <f t="shared" si="61"/>
        <v>0</v>
      </c>
      <c r="BJ72" s="567">
        <f t="shared" si="61"/>
        <v>0</v>
      </c>
      <c r="BK72" s="567">
        <f t="shared" si="61"/>
        <v>0</v>
      </c>
      <c r="BL72" s="567">
        <f t="shared" si="61"/>
        <v>0</v>
      </c>
    </row>
    <row r="73" spans="1:64" x14ac:dyDescent="0.3">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4"/>
      <c r="AE73" s="567"/>
      <c r="AH73" s="69"/>
      <c r="AI73" s="69"/>
      <c r="AJ73" s="69"/>
      <c r="AK73" s="69"/>
      <c r="AL73" s="69"/>
      <c r="AM73" s="69"/>
      <c r="AN73" s="69"/>
      <c r="AO73" s="69"/>
      <c r="AP73" s="69"/>
      <c r="AQ73" s="69"/>
      <c r="AR73" s="69"/>
      <c r="AS73" s="69"/>
      <c r="AT73" s="69"/>
      <c r="AV73" s="699" t="str">
        <f t="shared" si="49"/>
        <v>TRAGSL</v>
      </c>
      <c r="AW73" s="567">
        <f t="shared" si="58"/>
        <v>92.456014273061328</v>
      </c>
      <c r="AX73" s="567">
        <f t="shared" si="61"/>
        <v>92.456014273061328</v>
      </c>
      <c r="AY73" s="567">
        <f t="shared" si="61"/>
        <v>0</v>
      </c>
      <c r="AZ73" s="567">
        <f t="shared" si="61"/>
        <v>0</v>
      </c>
      <c r="BA73" s="567">
        <f t="shared" si="61"/>
        <v>0</v>
      </c>
      <c r="BB73" s="567">
        <f t="shared" si="61"/>
        <v>0</v>
      </c>
      <c r="BC73" s="567">
        <f t="shared" si="61"/>
        <v>0</v>
      </c>
      <c r="BD73" s="567">
        <f t="shared" si="61"/>
        <v>0</v>
      </c>
      <c r="BE73" s="567">
        <f t="shared" si="61"/>
        <v>0</v>
      </c>
      <c r="BF73" s="567">
        <f t="shared" si="61"/>
        <v>0</v>
      </c>
      <c r="BG73" s="567">
        <f t="shared" si="61"/>
        <v>0</v>
      </c>
      <c r="BH73" s="567">
        <f t="shared" si="61"/>
        <v>0</v>
      </c>
      <c r="BI73" s="567">
        <f t="shared" si="61"/>
        <v>0</v>
      </c>
      <c r="BJ73" s="567">
        <f t="shared" si="61"/>
        <v>0</v>
      </c>
      <c r="BK73" s="567">
        <f t="shared" si="61"/>
        <v>0</v>
      </c>
      <c r="BL73" s="567">
        <f t="shared" si="61"/>
        <v>0</v>
      </c>
    </row>
    <row r="74" spans="1:64" x14ac:dyDescent="0.3">
      <c r="A74" s="22"/>
      <c r="B74" s="186" t="str">
        <f t="shared" ref="B74:B84" si="63">B73</f>
        <v>TCARGAS100</v>
      </c>
      <c r="C74" s="186"/>
      <c r="D74" s="187"/>
      <c r="E74" s="186"/>
      <c r="F74" s="170"/>
      <c r="G74" s="214" t="s">
        <v>402</v>
      </c>
      <c r="H74" s="170"/>
      <c r="I74" s="190"/>
      <c r="J74" s="191"/>
      <c r="K74" s="191"/>
      <c r="L74" s="191" t="s">
        <v>1125</v>
      </c>
      <c r="M74" s="186" t="s">
        <v>677</v>
      </c>
      <c r="N74" s="673">
        <f>T_CEFF!H60</f>
        <v>0.38646999999999998</v>
      </c>
      <c r="O74" s="673">
        <f>T_CEFF!I60</f>
        <v>0.38646999999999998</v>
      </c>
      <c r="P74" s="673">
        <f>T_CEFF!J60</f>
        <v>0.38646999999999998</v>
      </c>
      <c r="Q74" s="673">
        <f>T_CEFF!K60</f>
        <v>0.38646999999999998</v>
      </c>
      <c r="R74" s="673">
        <f>T_CEFF!L60</f>
        <v>0.38646999999999998</v>
      </c>
      <c r="S74" s="673">
        <f>T_CEFF!M60</f>
        <v>0.38646999999999998</v>
      </c>
      <c r="T74" s="673">
        <f>T_CEFF!N60</f>
        <v>0.38646999999999998</v>
      </c>
      <c r="U74" s="673">
        <f>T_CEFF!O60</f>
        <v>0.38646999999999998</v>
      </c>
      <c r="V74" s="673">
        <f>T_CEFF!P60</f>
        <v>0.38646999999999998</v>
      </c>
      <c r="W74" s="673">
        <f>T_CEFF!Q60</f>
        <v>0.38646999999999998</v>
      </c>
      <c r="X74" s="673">
        <f>T_CEFF!R60</f>
        <v>0.38646999999999998</v>
      </c>
      <c r="Y74" s="673">
        <f>T_CEFF!S60</f>
        <v>0.38646999999999998</v>
      </c>
      <c r="Z74" s="673">
        <f>T_CEFF!T60</f>
        <v>0.38646999999999998</v>
      </c>
      <c r="AA74" s="673">
        <f>T_CEFF!U60</f>
        <v>0.38646999999999998</v>
      </c>
      <c r="AB74" s="673">
        <f>T_CEFF!V60</f>
        <v>0.38646999999999998</v>
      </c>
      <c r="AC74" s="928"/>
      <c r="AE74" s="567"/>
      <c r="AV74" s="699" t="str">
        <f t="shared" si="49"/>
        <v/>
      </c>
    </row>
    <row r="75" spans="1:64" x14ac:dyDescent="0.3">
      <c r="A75" s="22"/>
      <c r="B75" s="186" t="str">
        <f t="shared" si="63"/>
        <v>TCARGAS100</v>
      </c>
      <c r="C75" s="186"/>
      <c r="D75" s="187"/>
      <c r="E75" s="186"/>
      <c r="F75" s="170"/>
      <c r="G75" s="214" t="s">
        <v>404</v>
      </c>
      <c r="H75" s="170"/>
      <c r="I75" s="190"/>
      <c r="J75" s="191"/>
      <c r="K75" s="191"/>
      <c r="L75" s="191" t="s">
        <v>1125</v>
      </c>
      <c r="M75" s="186" t="s">
        <v>677</v>
      </c>
      <c r="N75" s="673">
        <f>T_CEFF!H61</f>
        <v>0.31873000000000001</v>
      </c>
      <c r="O75" s="673">
        <f>T_CEFF!I61</f>
        <v>0.31873000000000001</v>
      </c>
      <c r="P75" s="673">
        <f>T_CEFF!J61</f>
        <v>0.31873000000000001</v>
      </c>
      <c r="Q75" s="673">
        <f>T_CEFF!K61</f>
        <v>0.31873000000000001</v>
      </c>
      <c r="R75" s="673">
        <f>T_CEFF!L61</f>
        <v>0.31873000000000001</v>
      </c>
      <c r="S75" s="673">
        <f>T_CEFF!M61</f>
        <v>0.31873000000000001</v>
      </c>
      <c r="T75" s="673">
        <f>T_CEFF!N61</f>
        <v>0.31873000000000001</v>
      </c>
      <c r="U75" s="673">
        <f>T_CEFF!O61</f>
        <v>0.31873000000000001</v>
      </c>
      <c r="V75" s="673">
        <f>T_CEFF!P61</f>
        <v>0.31873000000000001</v>
      </c>
      <c r="W75" s="673">
        <f>T_CEFF!Q61</f>
        <v>0.31873000000000001</v>
      </c>
      <c r="X75" s="673">
        <f>T_CEFF!R61</f>
        <v>0.31873000000000001</v>
      </c>
      <c r="Y75" s="673">
        <f>T_CEFF!S61</f>
        <v>0.31873000000000001</v>
      </c>
      <c r="Z75" s="673">
        <f>T_CEFF!T61</f>
        <v>0.31873000000000001</v>
      </c>
      <c r="AA75" s="673">
        <f>T_CEFF!U61</f>
        <v>0.31873000000000001</v>
      </c>
      <c r="AB75" s="673">
        <f>T_CEFF!V61</f>
        <v>0.31873000000000001</v>
      </c>
      <c r="AC75" s="928"/>
      <c r="AE75" s="567"/>
      <c r="AV75" s="699" t="str">
        <f t="shared" si="49"/>
        <v/>
      </c>
    </row>
    <row r="76" spans="1:64" x14ac:dyDescent="0.3">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19"/>
      <c r="AE76" s="567"/>
      <c r="AV76" s="699" t="str">
        <f t="shared" si="49"/>
        <v/>
      </c>
    </row>
    <row r="77" spans="1:64" x14ac:dyDescent="0.3">
      <c r="A77" s="22"/>
      <c r="B77" s="186" t="str">
        <f t="shared" si="63"/>
        <v>TCARGAS100</v>
      </c>
      <c r="C77" s="186"/>
      <c r="D77" s="187"/>
      <c r="E77" s="186"/>
      <c r="F77" s="170"/>
      <c r="G77" s="213"/>
      <c r="H77" s="170"/>
      <c r="I77" s="190"/>
      <c r="J77" s="191"/>
      <c r="K77" s="191"/>
      <c r="L77" s="211" t="s">
        <v>1129</v>
      </c>
      <c r="M77" s="186" t="s">
        <v>1130</v>
      </c>
      <c r="N77" s="376">
        <f>LOOKUP($C$71, T_NCAP_AF!$C$5:$C$15, T_NCAP_AF!D$5:D$15)*(1+N26)</f>
        <v>15.843313</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7"/>
      <c r="AV77" s="699" t="str">
        <f t="shared" si="49"/>
        <v/>
      </c>
    </row>
    <row r="78" spans="1:64" x14ac:dyDescent="0.3">
      <c r="A78" s="22"/>
      <c r="B78" s="186" t="str">
        <f t="shared" si="63"/>
        <v>TCARGAS100</v>
      </c>
      <c r="C78" s="186"/>
      <c r="D78" s="187"/>
      <c r="E78" s="186"/>
      <c r="F78" s="170"/>
      <c r="G78" s="213"/>
      <c r="H78" s="170"/>
      <c r="I78" s="190">
        <f>$M$3</f>
        <v>2019</v>
      </c>
      <c r="J78" s="191"/>
      <c r="K78" s="191"/>
      <c r="L78" s="211" t="s">
        <v>1064</v>
      </c>
      <c r="M78" s="186" t="s">
        <v>747</v>
      </c>
      <c r="N78" s="686">
        <f>LOOKUP($C$71, T_Stock_Private!$C$10:$C$20, T_Stock_Private!D$10:D$20)*(1+N27)</f>
        <v>9299.9820900000013</v>
      </c>
      <c r="O78" s="686">
        <f>LOOKUP($C$71, T_Stock_Private!$C$10:$C$20, T_Stock_Private!E$10:E$20)*(1+O27)</f>
        <v>0</v>
      </c>
      <c r="P78" s="686">
        <f>LOOKUP($C$71, T_Stock_Private!$C$10:$C$20, T_Stock_Private!F$10:F$20)*(1+P27)</f>
        <v>0</v>
      </c>
      <c r="Q78" s="686">
        <f>LOOKUP($C$71, T_Stock_Private!$C$10:$C$20, T_Stock_Private!G$10:G$20)*(1+Q27)</f>
        <v>0</v>
      </c>
      <c r="R78" s="686">
        <f>LOOKUP($C$71, T_Stock_Private!$C$10:$C$20, T_Stock_Private!H$10:H$20)*(1+R27)</f>
        <v>0</v>
      </c>
      <c r="S78" s="686">
        <f>LOOKUP($C$71, T_Stock_Private!$C$10:$C$20, T_Stock_Private!I$10:I$20)*(1+S27)</f>
        <v>0</v>
      </c>
      <c r="T78" s="686">
        <f>LOOKUP($C$71, T_Stock_Private!$C$10:$C$20, T_Stock_Private!J$10:J$20)*(1+T27)</f>
        <v>0</v>
      </c>
      <c r="U78" s="686">
        <f>LOOKUP($C$71, T_Stock_Private!$C$10:$C$20, T_Stock_Private!K$10:K$20)*(1+U27)</f>
        <v>0</v>
      </c>
      <c r="V78" s="686">
        <f>LOOKUP($C$71, T_Stock_Private!$C$10:$C$20, T_Stock_Private!L$10:L$20)*(1+V27)</f>
        <v>0</v>
      </c>
      <c r="W78" s="686">
        <f>LOOKUP($C$71, T_Stock_Private!$C$10:$C$20, T_Stock_Private!M$10:M$20)*(1+W27)</f>
        <v>0</v>
      </c>
      <c r="X78" s="686">
        <f>LOOKUP($C$71, T_Stock_Private!$C$10:$C$20, T_Stock_Private!N$10:N$20)*(1+X27)</f>
        <v>0</v>
      </c>
      <c r="Y78" s="686">
        <f>LOOKUP($C$71, T_Stock_Private!$C$10:$C$20, T_Stock_Private!O$10:O$20)*(1+Y27)</f>
        <v>0</v>
      </c>
      <c r="Z78" s="686">
        <f>LOOKUP($C$71, T_Stock_Private!$C$10:$C$20, T_Stock_Private!P$10:P$20)*(1+Z27)</f>
        <v>0</v>
      </c>
      <c r="AA78" s="686">
        <f>LOOKUP($C$71, T_Stock_Private!$C$10:$C$20, T_Stock_Private!Q$10:Q$20)*(1+AA27)</f>
        <v>0</v>
      </c>
      <c r="AB78" s="686">
        <f>LOOKUP($C$71, T_Stock_Private!$C$10:$C$20, T_Stock_Private!R$10:R$20)*(1+AB27)</f>
        <v>0</v>
      </c>
      <c r="AC78" s="925"/>
      <c r="AE78" s="567"/>
      <c r="AV78" s="699" t="str">
        <f t="shared" si="49"/>
        <v/>
      </c>
    </row>
    <row r="79" spans="1:64" x14ac:dyDescent="0.3">
      <c r="A79" s="22"/>
      <c r="B79" s="186" t="str">
        <f t="shared" si="63"/>
        <v>TCARGAS100</v>
      </c>
      <c r="C79" s="186"/>
      <c r="D79" s="187"/>
      <c r="E79" s="186"/>
      <c r="F79" s="170"/>
      <c r="G79" s="213"/>
      <c r="H79" s="170"/>
      <c r="I79" s="190">
        <f>AF$5</f>
        <v>2020</v>
      </c>
      <c r="J79" s="191"/>
      <c r="K79" s="191"/>
      <c r="L79" s="211" t="s">
        <v>1064</v>
      </c>
      <c r="M79" s="186" t="s">
        <v>747</v>
      </c>
      <c r="N79" s="686">
        <f t="shared" ref="N79:AB79" si="65">N78*LOOKUP($AD71,$AG$4:$AO$4,$AG$5:$AO$5)</f>
        <v>8834.9829855000007</v>
      </c>
      <c r="O79" s="686">
        <f t="shared" si="65"/>
        <v>0</v>
      </c>
      <c r="P79" s="686">
        <f t="shared" si="65"/>
        <v>0</v>
      </c>
      <c r="Q79" s="686">
        <f t="shared" si="65"/>
        <v>0</v>
      </c>
      <c r="R79" s="686">
        <f t="shared" si="65"/>
        <v>0</v>
      </c>
      <c r="S79" s="686">
        <f t="shared" si="65"/>
        <v>0</v>
      </c>
      <c r="T79" s="686">
        <f t="shared" si="65"/>
        <v>0</v>
      </c>
      <c r="U79" s="686">
        <f t="shared" si="65"/>
        <v>0</v>
      </c>
      <c r="V79" s="686">
        <f t="shared" si="65"/>
        <v>0</v>
      </c>
      <c r="W79" s="686">
        <f t="shared" si="65"/>
        <v>0</v>
      </c>
      <c r="X79" s="686">
        <f t="shared" si="65"/>
        <v>0</v>
      </c>
      <c r="Y79" s="686">
        <f t="shared" si="65"/>
        <v>0</v>
      </c>
      <c r="Z79" s="686">
        <f t="shared" si="65"/>
        <v>0</v>
      </c>
      <c r="AA79" s="686">
        <f t="shared" si="65"/>
        <v>0</v>
      </c>
      <c r="AB79" s="686">
        <f t="shared" si="65"/>
        <v>0</v>
      </c>
      <c r="AC79" s="925"/>
      <c r="AE79" s="568">
        <f>SUM(AF79:AT79)</f>
        <v>176.81103257551703</v>
      </c>
      <c r="AF79" s="567">
        <f t="shared" ref="AF79:AT79" si="66">N76*N77*N78/1000</f>
        <v>176.81103257551703</v>
      </c>
      <c r="AG79" s="567">
        <f t="shared" si="66"/>
        <v>0</v>
      </c>
      <c r="AH79" s="567">
        <f t="shared" si="66"/>
        <v>0</v>
      </c>
      <c r="AI79" s="567">
        <f t="shared" si="66"/>
        <v>0</v>
      </c>
      <c r="AJ79" s="567">
        <f t="shared" si="66"/>
        <v>0</v>
      </c>
      <c r="AK79" s="567">
        <f t="shared" si="66"/>
        <v>0</v>
      </c>
      <c r="AL79" s="567">
        <f t="shared" si="66"/>
        <v>0</v>
      </c>
      <c r="AM79" s="567">
        <f t="shared" si="66"/>
        <v>0</v>
      </c>
      <c r="AN79" s="567">
        <f t="shared" si="66"/>
        <v>0</v>
      </c>
      <c r="AO79" s="567">
        <f t="shared" si="66"/>
        <v>0</v>
      </c>
      <c r="AP79" s="567">
        <f t="shared" si="66"/>
        <v>0</v>
      </c>
      <c r="AQ79" s="567">
        <f t="shared" si="66"/>
        <v>0</v>
      </c>
      <c r="AR79" s="567">
        <f t="shared" si="66"/>
        <v>0</v>
      </c>
      <c r="AS79" s="567">
        <f t="shared" si="66"/>
        <v>0</v>
      </c>
      <c r="AT79" s="567">
        <f t="shared" si="66"/>
        <v>0</v>
      </c>
      <c r="AV79" s="699" t="str">
        <f t="shared" si="49"/>
        <v/>
      </c>
    </row>
    <row r="80" spans="1:64" x14ac:dyDescent="0.3">
      <c r="A80" s="22"/>
      <c r="B80" s="186" t="str">
        <f t="shared" si="63"/>
        <v>TCARGAS100</v>
      </c>
      <c r="C80" s="186"/>
      <c r="D80" s="187"/>
      <c r="E80" s="186"/>
      <c r="F80" s="170"/>
      <c r="G80" s="213"/>
      <c r="H80" s="170"/>
      <c r="I80" s="190">
        <f>AF$6</f>
        <v>2025</v>
      </c>
      <c r="J80" s="191"/>
      <c r="K80" s="191"/>
      <c r="L80" s="211" t="s">
        <v>1064</v>
      </c>
      <c r="M80" s="186" t="s">
        <v>747</v>
      </c>
      <c r="N80" s="686">
        <f t="shared" ref="N80:AB80" si="67">N78*LOOKUP($AD71,$AG$4:$AO$4,$AG$6:$AO$6)</f>
        <v>6509.9874630000004</v>
      </c>
      <c r="O80" s="686">
        <f t="shared" si="67"/>
        <v>0</v>
      </c>
      <c r="P80" s="686">
        <f t="shared" si="67"/>
        <v>0</v>
      </c>
      <c r="Q80" s="686">
        <f t="shared" si="67"/>
        <v>0</v>
      </c>
      <c r="R80" s="686">
        <f t="shared" si="67"/>
        <v>0</v>
      </c>
      <c r="S80" s="686">
        <f t="shared" si="67"/>
        <v>0</v>
      </c>
      <c r="T80" s="686">
        <f t="shared" si="67"/>
        <v>0</v>
      </c>
      <c r="U80" s="686">
        <f t="shared" si="67"/>
        <v>0</v>
      </c>
      <c r="V80" s="686">
        <f t="shared" si="67"/>
        <v>0</v>
      </c>
      <c r="W80" s="686">
        <f t="shared" si="67"/>
        <v>0</v>
      </c>
      <c r="X80" s="686">
        <f t="shared" si="67"/>
        <v>0</v>
      </c>
      <c r="Y80" s="686">
        <f t="shared" si="67"/>
        <v>0</v>
      </c>
      <c r="Z80" s="686">
        <f t="shared" si="67"/>
        <v>0</v>
      </c>
      <c r="AA80" s="686">
        <f t="shared" si="67"/>
        <v>0</v>
      </c>
      <c r="AB80" s="686">
        <f t="shared" si="67"/>
        <v>0</v>
      </c>
      <c r="AC80" s="925"/>
      <c r="AE80" s="567"/>
      <c r="AV80" s="699" t="str">
        <f t="shared" si="49"/>
        <v/>
      </c>
    </row>
    <row r="81" spans="1:64" x14ac:dyDescent="0.3">
      <c r="A81" s="22"/>
      <c r="B81" s="186" t="str">
        <f t="shared" si="63"/>
        <v>TCARGAS100</v>
      </c>
      <c r="C81" s="186"/>
      <c r="D81" s="187"/>
      <c r="E81" s="186"/>
      <c r="F81" s="170"/>
      <c r="G81" s="213"/>
      <c r="H81" s="170"/>
      <c r="I81" s="190">
        <f>AF$7</f>
        <v>2030</v>
      </c>
      <c r="J81" s="191"/>
      <c r="K81" s="191"/>
      <c r="L81" s="211" t="s">
        <v>1064</v>
      </c>
      <c r="M81" s="186" t="s">
        <v>747</v>
      </c>
      <c r="N81" s="686">
        <f t="shared" ref="N81:AB81" si="68">N78*LOOKUP($AD71,$AG$4:$AO$4,$AG$7:$AO$7)</f>
        <v>3719.9928360000008</v>
      </c>
      <c r="O81" s="686">
        <f t="shared" si="68"/>
        <v>0</v>
      </c>
      <c r="P81" s="686">
        <f t="shared" si="68"/>
        <v>0</v>
      </c>
      <c r="Q81" s="686">
        <f t="shared" si="68"/>
        <v>0</v>
      </c>
      <c r="R81" s="686">
        <f t="shared" si="68"/>
        <v>0</v>
      </c>
      <c r="S81" s="686">
        <f t="shared" si="68"/>
        <v>0</v>
      </c>
      <c r="T81" s="686">
        <f t="shared" si="68"/>
        <v>0</v>
      </c>
      <c r="U81" s="686">
        <f t="shared" si="68"/>
        <v>0</v>
      </c>
      <c r="V81" s="686">
        <f t="shared" si="68"/>
        <v>0</v>
      </c>
      <c r="W81" s="686">
        <f t="shared" si="68"/>
        <v>0</v>
      </c>
      <c r="X81" s="686">
        <f t="shared" si="68"/>
        <v>0</v>
      </c>
      <c r="Y81" s="686">
        <f t="shared" si="68"/>
        <v>0</v>
      </c>
      <c r="Z81" s="686">
        <f t="shared" si="68"/>
        <v>0</v>
      </c>
      <c r="AA81" s="686">
        <f t="shared" si="68"/>
        <v>0</v>
      </c>
      <c r="AB81" s="686">
        <f t="shared" si="68"/>
        <v>0</v>
      </c>
      <c r="AC81" s="925"/>
      <c r="AE81" s="567"/>
      <c r="AV81" s="699" t="str">
        <f t="shared" si="49"/>
        <v/>
      </c>
    </row>
    <row r="82" spans="1:64" x14ac:dyDescent="0.3">
      <c r="A82" s="22"/>
      <c r="B82" s="186" t="str">
        <f t="shared" si="63"/>
        <v>TCARGAS100</v>
      </c>
      <c r="C82" s="186"/>
      <c r="D82" s="187"/>
      <c r="E82" s="186"/>
      <c r="F82" s="170"/>
      <c r="G82" s="213"/>
      <c r="H82" s="170"/>
      <c r="I82" s="190">
        <f>AF$8</f>
        <v>2035</v>
      </c>
      <c r="J82" s="191"/>
      <c r="K82" s="191"/>
      <c r="L82" s="211" t="s">
        <v>1064</v>
      </c>
      <c r="M82" s="186" t="s">
        <v>747</v>
      </c>
      <c r="N82" s="686">
        <f t="shared" ref="N82:AB82" si="69">N78*LOOKUP($AD71,$AG$4:$AO$4,$AG$8:$AO$8)</f>
        <v>1394.9973135000002</v>
      </c>
      <c r="O82" s="686">
        <f t="shared" si="69"/>
        <v>0</v>
      </c>
      <c r="P82" s="686">
        <f t="shared" si="69"/>
        <v>0</v>
      </c>
      <c r="Q82" s="686">
        <f t="shared" si="69"/>
        <v>0</v>
      </c>
      <c r="R82" s="686">
        <f t="shared" si="69"/>
        <v>0</v>
      </c>
      <c r="S82" s="686">
        <f t="shared" si="69"/>
        <v>0</v>
      </c>
      <c r="T82" s="686">
        <f t="shared" si="69"/>
        <v>0</v>
      </c>
      <c r="U82" s="686">
        <f t="shared" si="69"/>
        <v>0</v>
      </c>
      <c r="V82" s="686">
        <f t="shared" si="69"/>
        <v>0</v>
      </c>
      <c r="W82" s="686">
        <f t="shared" si="69"/>
        <v>0</v>
      </c>
      <c r="X82" s="686">
        <f t="shared" si="69"/>
        <v>0</v>
      </c>
      <c r="Y82" s="686">
        <f t="shared" si="69"/>
        <v>0</v>
      </c>
      <c r="Z82" s="686">
        <f t="shared" si="69"/>
        <v>0</v>
      </c>
      <c r="AA82" s="686">
        <f t="shared" si="69"/>
        <v>0</v>
      </c>
      <c r="AB82" s="686">
        <f t="shared" si="69"/>
        <v>0</v>
      </c>
      <c r="AC82" s="925"/>
      <c r="AE82" s="567"/>
      <c r="AV82" s="699" t="str">
        <f t="shared" si="49"/>
        <v/>
      </c>
    </row>
    <row r="83" spans="1:64" x14ac:dyDescent="0.3">
      <c r="A83" s="22"/>
      <c r="B83" s="186" t="str">
        <f t="shared" si="63"/>
        <v>TCARGAS100</v>
      </c>
      <c r="C83" s="186"/>
      <c r="D83" s="187"/>
      <c r="E83" s="186"/>
      <c r="F83" s="170"/>
      <c r="G83" s="213"/>
      <c r="H83" s="170"/>
      <c r="I83" s="190">
        <f>AF$9</f>
        <v>2040</v>
      </c>
      <c r="J83" s="191"/>
      <c r="K83" s="191"/>
      <c r="L83" s="211" t="s">
        <v>1064</v>
      </c>
      <c r="M83" s="186" t="s">
        <v>747</v>
      </c>
      <c r="N83" s="686">
        <f t="shared" ref="N83:AB83" si="70">N78*LOOKUP($AD71,$AG$4:$AO$4,$AG$9:$AO$9)</f>
        <v>46.499910450000009</v>
      </c>
      <c r="O83" s="686">
        <f t="shared" si="70"/>
        <v>0</v>
      </c>
      <c r="P83" s="686">
        <f t="shared" si="70"/>
        <v>0</v>
      </c>
      <c r="Q83" s="686">
        <f t="shared" si="70"/>
        <v>0</v>
      </c>
      <c r="R83" s="686">
        <f t="shared" si="70"/>
        <v>0</v>
      </c>
      <c r="S83" s="686">
        <f t="shared" si="70"/>
        <v>0</v>
      </c>
      <c r="T83" s="686">
        <f t="shared" si="70"/>
        <v>0</v>
      </c>
      <c r="U83" s="686">
        <f t="shared" si="70"/>
        <v>0</v>
      </c>
      <c r="V83" s="686">
        <f t="shared" si="70"/>
        <v>0</v>
      </c>
      <c r="W83" s="686">
        <f t="shared" si="70"/>
        <v>0</v>
      </c>
      <c r="X83" s="686">
        <f t="shared" si="70"/>
        <v>0</v>
      </c>
      <c r="Y83" s="686">
        <f t="shared" si="70"/>
        <v>0</v>
      </c>
      <c r="Z83" s="686">
        <f t="shared" si="70"/>
        <v>0</v>
      </c>
      <c r="AA83" s="686">
        <f t="shared" si="70"/>
        <v>0</v>
      </c>
      <c r="AB83" s="686">
        <f t="shared" si="70"/>
        <v>0</v>
      </c>
      <c r="AC83" s="925"/>
      <c r="AE83" s="567"/>
      <c r="AV83" s="699" t="str">
        <f t="shared" si="49"/>
        <v/>
      </c>
    </row>
    <row r="84" spans="1:64" x14ac:dyDescent="0.3">
      <c r="A84" s="22"/>
      <c r="B84" s="193" t="str">
        <f t="shared" si="63"/>
        <v>TCARGAS100</v>
      </c>
      <c r="C84" s="193"/>
      <c r="D84" s="194"/>
      <c r="E84" s="193"/>
      <c r="F84" s="196"/>
      <c r="G84" s="215"/>
      <c r="H84" s="196"/>
      <c r="I84" s="197">
        <f>AF$10</f>
        <v>2050</v>
      </c>
      <c r="J84" s="198"/>
      <c r="K84" s="198"/>
      <c r="L84" s="212" t="s">
        <v>1064</v>
      </c>
      <c r="M84" s="193" t="s">
        <v>747</v>
      </c>
      <c r="N84" s="687">
        <f t="shared" ref="N84:AB84" si="71">N78*LOOKUP($AD71,$AG$4:$AO$4,$AG$10:$AO$10)</f>
        <v>0</v>
      </c>
      <c r="O84" s="687">
        <f t="shared" si="71"/>
        <v>0</v>
      </c>
      <c r="P84" s="687">
        <f t="shared" si="71"/>
        <v>0</v>
      </c>
      <c r="Q84" s="687">
        <f t="shared" si="71"/>
        <v>0</v>
      </c>
      <c r="R84" s="687">
        <f t="shared" si="71"/>
        <v>0</v>
      </c>
      <c r="S84" s="687">
        <f t="shared" si="71"/>
        <v>0</v>
      </c>
      <c r="T84" s="687">
        <f t="shared" si="71"/>
        <v>0</v>
      </c>
      <c r="U84" s="687">
        <f t="shared" si="71"/>
        <v>0</v>
      </c>
      <c r="V84" s="687">
        <f t="shared" si="71"/>
        <v>0</v>
      </c>
      <c r="W84" s="687">
        <f t="shared" si="71"/>
        <v>0</v>
      </c>
      <c r="X84" s="687">
        <f t="shared" si="71"/>
        <v>0</v>
      </c>
      <c r="Y84" s="687">
        <f t="shared" si="71"/>
        <v>0</v>
      </c>
      <c r="Z84" s="687">
        <f t="shared" si="71"/>
        <v>0</v>
      </c>
      <c r="AA84" s="687">
        <f t="shared" si="71"/>
        <v>0</v>
      </c>
      <c r="AB84" s="687">
        <f t="shared" si="71"/>
        <v>0</v>
      </c>
      <c r="AC84" s="925"/>
      <c r="AE84" s="567"/>
      <c r="AV84" s="699" t="str">
        <f t="shared" si="49"/>
        <v/>
      </c>
    </row>
    <row r="85" spans="1:64" x14ac:dyDescent="0.3">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6"/>
      <c r="AD85" s="402" t="str">
        <f>MID(D85,5,3)</f>
        <v>GSL</v>
      </c>
      <c r="AE85" s="567"/>
      <c r="AV85" s="699" t="str">
        <f t="shared" si="49"/>
        <v>TRAGSL</v>
      </c>
      <c r="AW85" s="567">
        <f t="shared" ref="AW85:AW86" si="73">SUM(AX85:BL85)</f>
        <v>7822.5150037454259</v>
      </c>
      <c r="AX85" s="567">
        <f t="shared" ref="AX85:BL85" si="74">N$91*N$92*(1-N86)/N$89/1000</f>
        <v>7822.5150037454259</v>
      </c>
      <c r="AY85" s="567">
        <f t="shared" si="74"/>
        <v>0</v>
      </c>
      <c r="AZ85" s="567">
        <f t="shared" si="74"/>
        <v>0</v>
      </c>
      <c r="BA85" s="567">
        <f t="shared" si="74"/>
        <v>0</v>
      </c>
      <c r="BB85" s="567">
        <f t="shared" si="74"/>
        <v>0</v>
      </c>
      <c r="BC85" s="567">
        <f t="shared" si="74"/>
        <v>0</v>
      </c>
      <c r="BD85" s="567">
        <f t="shared" si="74"/>
        <v>0</v>
      </c>
      <c r="BE85" s="567">
        <f t="shared" si="74"/>
        <v>0</v>
      </c>
      <c r="BF85" s="567">
        <f t="shared" si="74"/>
        <v>0</v>
      </c>
      <c r="BG85" s="567">
        <f t="shared" si="74"/>
        <v>0</v>
      </c>
      <c r="BH85" s="567">
        <f t="shared" si="74"/>
        <v>0</v>
      </c>
      <c r="BI85" s="567">
        <f t="shared" si="74"/>
        <v>0</v>
      </c>
      <c r="BJ85" s="567">
        <f t="shared" si="74"/>
        <v>0</v>
      </c>
      <c r="BK85" s="567">
        <f t="shared" si="74"/>
        <v>0</v>
      </c>
      <c r="BL85" s="567">
        <f t="shared" si="74"/>
        <v>0</v>
      </c>
    </row>
    <row r="86" spans="1:64" x14ac:dyDescent="0.3">
      <c r="A86" s="22"/>
      <c r="B86" s="186" t="str">
        <f>B85</f>
        <v>TCARGSL100</v>
      </c>
      <c r="C86" s="186"/>
      <c r="D86" s="187"/>
      <c r="E86" s="258" t="s">
        <v>1011</v>
      </c>
      <c r="F86" s="170"/>
      <c r="G86" s="213"/>
      <c r="H86" s="170"/>
      <c r="I86" s="190"/>
      <c r="J86" s="191" t="s">
        <v>1126</v>
      </c>
      <c r="K86" s="191"/>
      <c r="L86" s="211" t="s">
        <v>101</v>
      </c>
      <c r="M86" s="186"/>
      <c r="N86" s="377">
        <f>N$19</f>
        <v>5.0999999999999997E-2</v>
      </c>
      <c r="O86" s="377">
        <f t="shared" ref="O86:AB86" si="75">O$19</f>
        <v>5.0999999999999997E-2</v>
      </c>
      <c r="P86" s="377">
        <f t="shared" si="75"/>
        <v>5.0999999999999997E-2</v>
      </c>
      <c r="Q86" s="377">
        <f t="shared" si="75"/>
        <v>5.0999999999999997E-2</v>
      </c>
      <c r="R86" s="377">
        <f t="shared" si="75"/>
        <v>5.0999999999999997E-2</v>
      </c>
      <c r="S86" s="377">
        <f t="shared" si="75"/>
        <v>5.0999999999999997E-2</v>
      </c>
      <c r="T86" s="377">
        <f t="shared" si="75"/>
        <v>5.0999999999999997E-2</v>
      </c>
      <c r="U86" s="377">
        <f t="shared" si="75"/>
        <v>5.0999999999999997E-2</v>
      </c>
      <c r="V86" s="377">
        <f t="shared" si="75"/>
        <v>5.0999999999999997E-2</v>
      </c>
      <c r="W86" s="377">
        <f t="shared" si="75"/>
        <v>5.0999999999999997E-2</v>
      </c>
      <c r="X86" s="377">
        <f t="shared" si="75"/>
        <v>5.0999999999999997E-2</v>
      </c>
      <c r="Y86" s="377">
        <f t="shared" si="75"/>
        <v>5.0999999999999997E-2</v>
      </c>
      <c r="Z86" s="377">
        <f t="shared" si="75"/>
        <v>5.0999999999999997E-2</v>
      </c>
      <c r="AA86" s="377">
        <f t="shared" si="75"/>
        <v>5.0999999999999997E-2</v>
      </c>
      <c r="AB86" s="377">
        <f t="shared" si="75"/>
        <v>5.0999999999999997E-2</v>
      </c>
      <c r="AC86" s="924"/>
      <c r="AD86" s="66" t="str">
        <f>IF(COUNTIF($AG$4:$AP$4,AD85)=1,"ok","MISSING")</f>
        <v>ok</v>
      </c>
      <c r="AE86" s="567"/>
      <c r="AV86" s="699" t="str">
        <f t="shared" si="49"/>
        <v>TRAETHM</v>
      </c>
      <c r="AW86" s="567">
        <f t="shared" si="73"/>
        <v>420.38805604954337</v>
      </c>
      <c r="AX86" s="567">
        <f t="shared" ref="AX86:BL87" si="76">N$91*N$92*N86/N$89/1000</f>
        <v>420.38805604954337</v>
      </c>
      <c r="AY86" s="567">
        <f t="shared" si="76"/>
        <v>0</v>
      </c>
      <c r="AZ86" s="567">
        <f t="shared" si="76"/>
        <v>0</v>
      </c>
      <c r="BA86" s="567">
        <f t="shared" si="76"/>
        <v>0</v>
      </c>
      <c r="BB86" s="567">
        <f t="shared" si="76"/>
        <v>0</v>
      </c>
      <c r="BC86" s="567">
        <f t="shared" si="76"/>
        <v>0</v>
      </c>
      <c r="BD86" s="567">
        <f t="shared" si="76"/>
        <v>0</v>
      </c>
      <c r="BE86" s="567">
        <f t="shared" si="76"/>
        <v>0</v>
      </c>
      <c r="BF86" s="567">
        <f t="shared" si="76"/>
        <v>0</v>
      </c>
      <c r="BG86" s="567">
        <f t="shared" si="76"/>
        <v>0</v>
      </c>
      <c r="BH86" s="567">
        <f t="shared" si="76"/>
        <v>0</v>
      </c>
      <c r="BI86" s="567">
        <f t="shared" si="76"/>
        <v>0</v>
      </c>
      <c r="BJ86" s="567">
        <f t="shared" si="76"/>
        <v>0</v>
      </c>
      <c r="BK86" s="567">
        <f t="shared" si="76"/>
        <v>0</v>
      </c>
      <c r="BL86" s="567">
        <f t="shared" si="76"/>
        <v>0</v>
      </c>
    </row>
    <row r="87" spans="1:64" x14ac:dyDescent="0.3">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4"/>
      <c r="AD87" s="66"/>
      <c r="AE87" s="567"/>
      <c r="AV87" s="699" t="str">
        <f>MID(E87,1,8)</f>
        <v>TRABGSLM</v>
      </c>
      <c r="AW87" s="567">
        <f t="shared" ref="AW87" si="79">SUM(AX87:BL87)</f>
        <v>0</v>
      </c>
      <c r="AX87" s="567">
        <f t="shared" si="76"/>
        <v>0</v>
      </c>
      <c r="AY87" s="567">
        <f t="shared" si="76"/>
        <v>0</v>
      </c>
      <c r="AZ87" s="567">
        <f t="shared" si="76"/>
        <v>0</v>
      </c>
      <c r="BA87" s="567">
        <f t="shared" si="76"/>
        <v>0</v>
      </c>
      <c r="BB87" s="567">
        <f t="shared" si="76"/>
        <v>0</v>
      </c>
      <c r="BC87" s="567">
        <f t="shared" si="76"/>
        <v>0</v>
      </c>
      <c r="BD87" s="567">
        <f t="shared" si="76"/>
        <v>0</v>
      </c>
      <c r="BE87" s="567">
        <f t="shared" si="76"/>
        <v>0</v>
      </c>
      <c r="BF87" s="567">
        <f t="shared" si="76"/>
        <v>0</v>
      </c>
      <c r="BG87" s="567">
        <f t="shared" si="76"/>
        <v>0</v>
      </c>
      <c r="BH87" s="567">
        <f t="shared" si="76"/>
        <v>0</v>
      </c>
      <c r="BI87" s="567">
        <f t="shared" si="76"/>
        <v>0</v>
      </c>
      <c r="BJ87" s="567">
        <f t="shared" si="76"/>
        <v>0</v>
      </c>
      <c r="BK87" s="567">
        <f t="shared" si="76"/>
        <v>0</v>
      </c>
      <c r="BL87" s="567">
        <f t="shared" si="76"/>
        <v>0</v>
      </c>
    </row>
    <row r="88" spans="1:64" x14ac:dyDescent="0.3">
      <c r="A88" s="22"/>
      <c r="B88" s="186" t="str">
        <f t="shared" si="77"/>
        <v>TCARGSL100</v>
      </c>
      <c r="C88" s="186"/>
      <c r="D88" s="187"/>
      <c r="E88" s="186"/>
      <c r="F88" s="170"/>
      <c r="G88" s="214" t="s">
        <v>402</v>
      </c>
      <c r="H88" s="170"/>
      <c r="I88" s="190"/>
      <c r="J88" s="191"/>
      <c r="K88" s="191"/>
      <c r="L88" s="191" t="s">
        <v>1125</v>
      </c>
      <c r="M88" s="186" t="s">
        <v>677</v>
      </c>
      <c r="N88" s="673">
        <f>T_CEFF!H42</f>
        <v>0.37208999999999998</v>
      </c>
      <c r="O88" s="673">
        <f>T_CEFF!I42</f>
        <v>0.37208999999999998</v>
      </c>
      <c r="P88" s="673">
        <f>T_CEFF!J42</f>
        <v>0.37208999999999998</v>
      </c>
      <c r="Q88" s="673">
        <f>T_CEFF!K42</f>
        <v>0.37208999999999998</v>
      </c>
      <c r="R88" s="673">
        <f>T_CEFF!L42</f>
        <v>0.37208999999999998</v>
      </c>
      <c r="S88" s="673">
        <f>T_CEFF!M42</f>
        <v>0.37208999999999998</v>
      </c>
      <c r="T88" s="673">
        <f>T_CEFF!N42</f>
        <v>0.37208999999999998</v>
      </c>
      <c r="U88" s="673">
        <f>T_CEFF!O42</f>
        <v>0.37208999999999998</v>
      </c>
      <c r="V88" s="673">
        <f>T_CEFF!P42</f>
        <v>0.37208999999999998</v>
      </c>
      <c r="W88" s="673">
        <f>T_CEFF!Q42</f>
        <v>0.37208999999999998</v>
      </c>
      <c r="X88" s="673">
        <f>T_CEFF!R42</f>
        <v>0.37208999999999998</v>
      </c>
      <c r="Y88" s="673">
        <f>T_CEFF!S42</f>
        <v>0.37208999999999998</v>
      </c>
      <c r="Z88" s="673">
        <f>T_CEFF!T42</f>
        <v>0.37208999999999998</v>
      </c>
      <c r="AA88" s="673">
        <f>T_CEFF!U42</f>
        <v>0.37208999999999998</v>
      </c>
      <c r="AB88" s="673">
        <f>T_CEFF!V42</f>
        <v>0.37208999999999998</v>
      </c>
      <c r="AC88" s="928"/>
      <c r="AE88" s="567"/>
      <c r="AV88" s="699" t="str">
        <f t="shared" ref="AV88:AV114" si="80">MID(E88,1,7)</f>
        <v/>
      </c>
    </row>
    <row r="89" spans="1:64" x14ac:dyDescent="0.3">
      <c r="A89" s="22"/>
      <c r="B89" s="186" t="str">
        <f t="shared" si="77"/>
        <v>TCARGSL100</v>
      </c>
      <c r="C89" s="186"/>
      <c r="D89" s="187"/>
      <c r="E89" s="186"/>
      <c r="F89" s="170"/>
      <c r="G89" s="214" t="s">
        <v>404</v>
      </c>
      <c r="H89" s="170"/>
      <c r="I89" s="190"/>
      <c r="J89" s="191"/>
      <c r="K89" s="191"/>
      <c r="L89" s="191" t="s">
        <v>1125</v>
      </c>
      <c r="M89" s="186" t="s">
        <v>677</v>
      </c>
      <c r="N89" s="673">
        <f>T_CEFF!H43</f>
        <v>0.30188999999999999</v>
      </c>
      <c r="O89" s="673">
        <f>T_CEFF!I43</f>
        <v>0.30188999999999999</v>
      </c>
      <c r="P89" s="673">
        <f>T_CEFF!J43</f>
        <v>0.30188999999999999</v>
      </c>
      <c r="Q89" s="673">
        <f>T_CEFF!K43</f>
        <v>0.30188999999999999</v>
      </c>
      <c r="R89" s="673">
        <f>T_CEFF!L43</f>
        <v>0.30188999999999999</v>
      </c>
      <c r="S89" s="673">
        <f>T_CEFF!M43</f>
        <v>0.30188999999999999</v>
      </c>
      <c r="T89" s="673">
        <f>T_CEFF!N43</f>
        <v>0.30188999999999999</v>
      </c>
      <c r="U89" s="673">
        <f>T_CEFF!O43</f>
        <v>0.30188999999999999</v>
      </c>
      <c r="V89" s="673">
        <f>T_CEFF!P43</f>
        <v>0.30188999999999999</v>
      </c>
      <c r="W89" s="673">
        <f>T_CEFF!Q43</f>
        <v>0.30188999999999999</v>
      </c>
      <c r="X89" s="673">
        <f>T_CEFF!R43</f>
        <v>0.30188999999999999</v>
      </c>
      <c r="Y89" s="673">
        <f>T_CEFF!S43</f>
        <v>0.30188999999999999</v>
      </c>
      <c r="Z89" s="673">
        <f>T_CEFF!T43</f>
        <v>0.30188999999999999</v>
      </c>
      <c r="AA89" s="673">
        <f>T_CEFF!U43</f>
        <v>0.30188999999999999</v>
      </c>
      <c r="AB89" s="673">
        <f>T_CEFF!V43</f>
        <v>0.30188999999999999</v>
      </c>
      <c r="AC89" s="928"/>
      <c r="AE89" s="567"/>
      <c r="AV89" s="699" t="str">
        <f t="shared" si="80"/>
        <v/>
      </c>
    </row>
    <row r="90" spans="1:64" x14ac:dyDescent="0.3">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19"/>
      <c r="AE90" s="567"/>
      <c r="AV90" s="699" t="str">
        <f t="shared" si="80"/>
        <v/>
      </c>
    </row>
    <row r="91" spans="1:64" x14ac:dyDescent="0.3">
      <c r="A91" s="22"/>
      <c r="B91" s="186" t="str">
        <f t="shared" si="77"/>
        <v>TCARGSL100</v>
      </c>
      <c r="C91" s="186"/>
      <c r="D91" s="187"/>
      <c r="E91" s="186"/>
      <c r="F91" s="170"/>
      <c r="G91" s="213"/>
      <c r="H91" s="170"/>
      <c r="I91" s="190"/>
      <c r="J91" s="191"/>
      <c r="K91" s="191"/>
      <c r="L91" s="211" t="s">
        <v>1129</v>
      </c>
      <c r="M91" s="186" t="s">
        <v>1130</v>
      </c>
      <c r="N91" s="376">
        <f>LOOKUP($C$85, T_NCAP_AF!$C$5:$C$15, T_NCAP_AF!D$5:D$15)*(1+N26)</f>
        <v>7.9081460000000003</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7"/>
      <c r="AV91" s="699" t="str">
        <f t="shared" si="80"/>
        <v/>
      </c>
    </row>
    <row r="92" spans="1:64" x14ac:dyDescent="0.3">
      <c r="A92" s="22"/>
      <c r="B92" s="186" t="str">
        <f t="shared" si="77"/>
        <v>TCARGSL100</v>
      </c>
      <c r="C92" s="186"/>
      <c r="D92" s="187"/>
      <c r="E92" s="186"/>
      <c r="F92" s="170"/>
      <c r="G92" s="213"/>
      <c r="H92" s="170"/>
      <c r="I92" s="190">
        <f>$M$3</f>
        <v>2019</v>
      </c>
      <c r="J92" s="191"/>
      <c r="K92" s="191"/>
      <c r="L92" s="211" t="s">
        <v>1064</v>
      </c>
      <c r="M92" s="186" t="s">
        <v>747</v>
      </c>
      <c r="N92" s="686">
        <f>LOOKUP($C$85, T_Stock_Private!$C$10:$C$20, T_Stock_Private!D$10:D$20)*(1+N27)</f>
        <v>314669.20371999999</v>
      </c>
      <c r="O92" s="686">
        <f>LOOKUP($C$85, T_Stock_Private!$C$10:$C$20, T_Stock_Private!E$10:E$20)*(1+O27)</f>
        <v>0</v>
      </c>
      <c r="P92" s="686">
        <f>LOOKUP($C$85, T_Stock_Private!$C$10:$C$20, T_Stock_Private!F$10:F$20)*(1+P27)</f>
        <v>0</v>
      </c>
      <c r="Q92" s="686">
        <f>LOOKUP($C$85, T_Stock_Private!$C$10:$C$20, T_Stock_Private!G$10:G$20)*(1+Q27)</f>
        <v>0</v>
      </c>
      <c r="R92" s="686">
        <f>LOOKUP($C$85, T_Stock_Private!$C$10:$C$20, T_Stock_Private!H$10:H$20)*(1+R27)</f>
        <v>0</v>
      </c>
      <c r="S92" s="686">
        <f>LOOKUP($C$85, T_Stock_Private!$C$10:$C$20, T_Stock_Private!I$10:I$20)*(1+S27)</f>
        <v>0</v>
      </c>
      <c r="T92" s="686">
        <f>LOOKUP($C$85, T_Stock_Private!$C$10:$C$20, T_Stock_Private!J$10:J$20)*(1+T27)</f>
        <v>0</v>
      </c>
      <c r="U92" s="686">
        <f>LOOKUP($C$85, T_Stock_Private!$C$10:$C$20, T_Stock_Private!K$10:K$20)*(1+U27)</f>
        <v>0</v>
      </c>
      <c r="V92" s="686">
        <f>LOOKUP($C$85, T_Stock_Private!$C$10:$C$20, T_Stock_Private!L$10:L$20)*(1+V27)</f>
        <v>0</v>
      </c>
      <c r="W92" s="686">
        <f>LOOKUP($C$85, T_Stock_Private!$C$10:$C$20, T_Stock_Private!M$10:M$20)*(1+W27)</f>
        <v>0</v>
      </c>
      <c r="X92" s="686">
        <f>LOOKUP($C$85, T_Stock_Private!$C$10:$C$20, T_Stock_Private!N$10:N$20)*(1+X27)</f>
        <v>0</v>
      </c>
      <c r="Y92" s="686">
        <f>LOOKUP($C$85, T_Stock_Private!$C$10:$C$20, T_Stock_Private!O$10:O$20)*(1+Y27)</f>
        <v>0</v>
      </c>
      <c r="Z92" s="686">
        <f>LOOKUP($C$85, T_Stock_Private!$C$10:$C$20, T_Stock_Private!P$10:P$20)*(1+Z27)</f>
        <v>0</v>
      </c>
      <c r="AA92" s="686">
        <f>LOOKUP($C$85, T_Stock_Private!$C$10:$C$20, T_Stock_Private!Q$10:Q$20)*(1+AA27)</f>
        <v>0</v>
      </c>
      <c r="AB92" s="686">
        <f>LOOKUP($C$85, T_Stock_Private!$C$10:$C$20, T_Stock_Private!R$10:R$20)*(1+AB27)</f>
        <v>0</v>
      </c>
      <c r="AC92" s="925"/>
      <c r="AE92" s="567"/>
      <c r="AV92" s="699" t="str">
        <f t="shared" si="80"/>
        <v/>
      </c>
    </row>
    <row r="93" spans="1:64" x14ac:dyDescent="0.3">
      <c r="A93" s="22"/>
      <c r="B93" s="186" t="str">
        <f t="shared" si="77"/>
        <v>TCARGSL100</v>
      </c>
      <c r="C93" s="186"/>
      <c r="D93" s="187"/>
      <c r="E93" s="186"/>
      <c r="F93" s="170"/>
      <c r="G93" s="213"/>
      <c r="H93" s="170"/>
      <c r="I93" s="190">
        <f>AF$5</f>
        <v>2020</v>
      </c>
      <c r="J93" s="191"/>
      <c r="K93" s="191"/>
      <c r="L93" s="211" t="s">
        <v>1064</v>
      </c>
      <c r="M93" s="186" t="s">
        <v>747</v>
      </c>
      <c r="N93" s="686">
        <f t="shared" ref="N93:AB93" si="82">N92*LOOKUP($AD85,$AG$4:$AO$4,$AG$5:$AO$5)</f>
        <v>298935.74353399995</v>
      </c>
      <c r="O93" s="686">
        <f t="shared" si="82"/>
        <v>0</v>
      </c>
      <c r="P93" s="686">
        <f t="shared" si="82"/>
        <v>0</v>
      </c>
      <c r="Q93" s="686">
        <f t="shared" si="82"/>
        <v>0</v>
      </c>
      <c r="R93" s="686">
        <f t="shared" si="82"/>
        <v>0</v>
      </c>
      <c r="S93" s="686">
        <f t="shared" si="82"/>
        <v>0</v>
      </c>
      <c r="T93" s="686">
        <f t="shared" si="82"/>
        <v>0</v>
      </c>
      <c r="U93" s="686">
        <f t="shared" si="82"/>
        <v>0</v>
      </c>
      <c r="V93" s="686">
        <f t="shared" si="82"/>
        <v>0</v>
      </c>
      <c r="W93" s="686">
        <f t="shared" si="82"/>
        <v>0</v>
      </c>
      <c r="X93" s="686">
        <f t="shared" si="82"/>
        <v>0</v>
      </c>
      <c r="Y93" s="686">
        <f t="shared" si="82"/>
        <v>0</v>
      </c>
      <c r="Z93" s="686">
        <f t="shared" si="82"/>
        <v>0</v>
      </c>
      <c r="AA93" s="686">
        <f t="shared" si="82"/>
        <v>0</v>
      </c>
      <c r="AB93" s="686">
        <f t="shared" si="82"/>
        <v>0</v>
      </c>
      <c r="AC93" s="925"/>
      <c r="AE93" s="568">
        <f>SUM(AF93:AT93)</f>
        <v>2986.140005665804</v>
      </c>
      <c r="AF93" s="567">
        <f t="shared" ref="AF93:AT93" si="83">N90*N91*N92/1000</f>
        <v>2986.140005665804</v>
      </c>
      <c r="AG93" s="567">
        <f t="shared" si="83"/>
        <v>0</v>
      </c>
      <c r="AH93" s="567">
        <f t="shared" si="83"/>
        <v>0</v>
      </c>
      <c r="AI93" s="567">
        <f t="shared" si="83"/>
        <v>0</v>
      </c>
      <c r="AJ93" s="567">
        <f t="shared" si="83"/>
        <v>0</v>
      </c>
      <c r="AK93" s="567">
        <f t="shared" si="83"/>
        <v>0</v>
      </c>
      <c r="AL93" s="567">
        <f t="shared" si="83"/>
        <v>0</v>
      </c>
      <c r="AM93" s="567">
        <f t="shared" si="83"/>
        <v>0</v>
      </c>
      <c r="AN93" s="567">
        <f t="shared" si="83"/>
        <v>0</v>
      </c>
      <c r="AO93" s="567">
        <f t="shared" si="83"/>
        <v>0</v>
      </c>
      <c r="AP93" s="567">
        <f t="shared" si="83"/>
        <v>0</v>
      </c>
      <c r="AQ93" s="567">
        <f t="shared" si="83"/>
        <v>0</v>
      </c>
      <c r="AR93" s="567">
        <f t="shared" si="83"/>
        <v>0</v>
      </c>
      <c r="AS93" s="567">
        <f t="shared" si="83"/>
        <v>0</v>
      </c>
      <c r="AT93" s="567">
        <f t="shared" si="83"/>
        <v>0</v>
      </c>
      <c r="AV93" s="699" t="str">
        <f t="shared" si="80"/>
        <v/>
      </c>
    </row>
    <row r="94" spans="1:64" x14ac:dyDescent="0.3">
      <c r="A94" s="22"/>
      <c r="B94" s="186" t="str">
        <f t="shared" si="77"/>
        <v>TCARGSL100</v>
      </c>
      <c r="C94" s="186"/>
      <c r="D94" s="187"/>
      <c r="E94" s="186"/>
      <c r="F94" s="170"/>
      <c r="G94" s="213"/>
      <c r="H94" s="170"/>
      <c r="I94" s="190">
        <f>AF$6</f>
        <v>2025</v>
      </c>
      <c r="J94" s="191"/>
      <c r="K94" s="191"/>
      <c r="L94" s="211" t="s">
        <v>1064</v>
      </c>
      <c r="M94" s="186" t="s">
        <v>747</v>
      </c>
      <c r="N94" s="686">
        <f t="shared" ref="N94:AB94" si="84">N92*LOOKUP($AD85,$AG$4:$AO$4,$AG$6:$AO$6)</f>
        <v>220268.44260399998</v>
      </c>
      <c r="O94" s="686">
        <f t="shared" si="84"/>
        <v>0</v>
      </c>
      <c r="P94" s="686">
        <f t="shared" si="84"/>
        <v>0</v>
      </c>
      <c r="Q94" s="686">
        <f t="shared" si="84"/>
        <v>0</v>
      </c>
      <c r="R94" s="686">
        <f t="shared" si="84"/>
        <v>0</v>
      </c>
      <c r="S94" s="686">
        <f t="shared" si="84"/>
        <v>0</v>
      </c>
      <c r="T94" s="686">
        <f t="shared" si="84"/>
        <v>0</v>
      </c>
      <c r="U94" s="686">
        <f t="shared" si="84"/>
        <v>0</v>
      </c>
      <c r="V94" s="686">
        <f t="shared" si="84"/>
        <v>0</v>
      </c>
      <c r="W94" s="686">
        <f t="shared" si="84"/>
        <v>0</v>
      </c>
      <c r="X94" s="686">
        <f t="shared" si="84"/>
        <v>0</v>
      </c>
      <c r="Y94" s="686">
        <f t="shared" si="84"/>
        <v>0</v>
      </c>
      <c r="Z94" s="686">
        <f t="shared" si="84"/>
        <v>0</v>
      </c>
      <c r="AA94" s="686">
        <f t="shared" si="84"/>
        <v>0</v>
      </c>
      <c r="AB94" s="686">
        <f t="shared" si="84"/>
        <v>0</v>
      </c>
      <c r="AC94" s="925"/>
      <c r="AE94" s="567"/>
      <c r="AV94" s="699" t="str">
        <f t="shared" si="80"/>
        <v/>
      </c>
    </row>
    <row r="95" spans="1:64" x14ac:dyDescent="0.3">
      <c r="A95" s="22"/>
      <c r="B95" s="186" t="str">
        <f t="shared" si="77"/>
        <v>TCARGSL100</v>
      </c>
      <c r="C95" s="186"/>
      <c r="D95" s="187"/>
      <c r="E95" s="186"/>
      <c r="F95" s="170"/>
      <c r="G95" s="213"/>
      <c r="H95" s="170"/>
      <c r="I95" s="190">
        <f>AF$7</f>
        <v>2030</v>
      </c>
      <c r="J95" s="191"/>
      <c r="K95" s="191"/>
      <c r="L95" s="211" t="s">
        <v>1064</v>
      </c>
      <c r="M95" s="186" t="s">
        <v>747</v>
      </c>
      <c r="N95" s="686">
        <f t="shared" ref="N95:AB95" si="85">N92*LOOKUP($AD85,$AG$4:$AO$4,$AG$7:$AO$7)</f>
        <v>125867.681488</v>
      </c>
      <c r="O95" s="686">
        <f t="shared" si="85"/>
        <v>0</v>
      </c>
      <c r="P95" s="686">
        <f t="shared" si="85"/>
        <v>0</v>
      </c>
      <c r="Q95" s="686">
        <f t="shared" si="85"/>
        <v>0</v>
      </c>
      <c r="R95" s="686">
        <f t="shared" si="85"/>
        <v>0</v>
      </c>
      <c r="S95" s="686">
        <f t="shared" si="85"/>
        <v>0</v>
      </c>
      <c r="T95" s="686">
        <f t="shared" si="85"/>
        <v>0</v>
      </c>
      <c r="U95" s="686">
        <f t="shared" si="85"/>
        <v>0</v>
      </c>
      <c r="V95" s="686">
        <f t="shared" si="85"/>
        <v>0</v>
      </c>
      <c r="W95" s="686">
        <f t="shared" si="85"/>
        <v>0</v>
      </c>
      <c r="X95" s="686">
        <f t="shared" si="85"/>
        <v>0</v>
      </c>
      <c r="Y95" s="686">
        <f t="shared" si="85"/>
        <v>0</v>
      </c>
      <c r="Z95" s="686">
        <f t="shared" si="85"/>
        <v>0</v>
      </c>
      <c r="AA95" s="686">
        <f t="shared" si="85"/>
        <v>0</v>
      </c>
      <c r="AB95" s="686">
        <f t="shared" si="85"/>
        <v>0</v>
      </c>
      <c r="AC95" s="925"/>
      <c r="AE95" s="567"/>
      <c r="AV95" s="699" t="str">
        <f t="shared" si="80"/>
        <v/>
      </c>
    </row>
    <row r="96" spans="1:64" x14ac:dyDescent="0.3">
      <c r="A96" s="22"/>
      <c r="B96" s="186" t="str">
        <f t="shared" si="77"/>
        <v>TCARGSL100</v>
      </c>
      <c r="C96" s="186"/>
      <c r="D96" s="187"/>
      <c r="E96" s="186"/>
      <c r="F96" s="170"/>
      <c r="G96" s="213"/>
      <c r="H96" s="170"/>
      <c r="I96" s="190">
        <f>AF$8</f>
        <v>2035</v>
      </c>
      <c r="J96" s="191"/>
      <c r="K96" s="191"/>
      <c r="L96" s="211" t="s">
        <v>1064</v>
      </c>
      <c r="M96" s="186" t="s">
        <v>747</v>
      </c>
      <c r="N96" s="686">
        <f t="shared" ref="N96:AB96" si="86">N92*LOOKUP($AD85,$AG$4:$AO$4,$AG$8:$AO$8)</f>
        <v>47200.380557999997</v>
      </c>
      <c r="O96" s="686">
        <f t="shared" si="86"/>
        <v>0</v>
      </c>
      <c r="P96" s="686">
        <f t="shared" si="86"/>
        <v>0</v>
      </c>
      <c r="Q96" s="686">
        <f t="shared" si="86"/>
        <v>0</v>
      </c>
      <c r="R96" s="686">
        <f t="shared" si="86"/>
        <v>0</v>
      </c>
      <c r="S96" s="686">
        <f t="shared" si="86"/>
        <v>0</v>
      </c>
      <c r="T96" s="686">
        <f t="shared" si="86"/>
        <v>0</v>
      </c>
      <c r="U96" s="686">
        <f t="shared" si="86"/>
        <v>0</v>
      </c>
      <c r="V96" s="686">
        <f t="shared" si="86"/>
        <v>0</v>
      </c>
      <c r="W96" s="686">
        <f t="shared" si="86"/>
        <v>0</v>
      </c>
      <c r="X96" s="686">
        <f t="shared" si="86"/>
        <v>0</v>
      </c>
      <c r="Y96" s="686">
        <f t="shared" si="86"/>
        <v>0</v>
      </c>
      <c r="Z96" s="686">
        <f t="shared" si="86"/>
        <v>0</v>
      </c>
      <c r="AA96" s="686">
        <f t="shared" si="86"/>
        <v>0</v>
      </c>
      <c r="AB96" s="686">
        <f t="shared" si="86"/>
        <v>0</v>
      </c>
      <c r="AC96" s="925"/>
      <c r="AE96" s="567"/>
      <c r="AV96" s="699" t="str">
        <f t="shared" si="80"/>
        <v/>
      </c>
    </row>
    <row r="97" spans="1:64" x14ac:dyDescent="0.3">
      <c r="A97" s="22"/>
      <c r="B97" s="186" t="str">
        <f t="shared" si="77"/>
        <v>TCARGSL100</v>
      </c>
      <c r="C97" s="186"/>
      <c r="D97" s="187"/>
      <c r="E97" s="186"/>
      <c r="F97" s="170"/>
      <c r="G97" s="213"/>
      <c r="H97" s="170"/>
      <c r="I97" s="190">
        <f>AF$9</f>
        <v>2040</v>
      </c>
      <c r="J97" s="191"/>
      <c r="K97" s="191"/>
      <c r="L97" s="211" t="s">
        <v>1064</v>
      </c>
      <c r="M97" s="186" t="s">
        <v>747</v>
      </c>
      <c r="N97" s="686">
        <f t="shared" ref="N97:AB97" si="87">N92*LOOKUP($AD85,$AG$4:$AO$4,$AG$9:$AO$9)</f>
        <v>1573.3460186</v>
      </c>
      <c r="O97" s="686">
        <f t="shared" si="87"/>
        <v>0</v>
      </c>
      <c r="P97" s="686">
        <f t="shared" si="87"/>
        <v>0</v>
      </c>
      <c r="Q97" s="686">
        <f t="shared" si="87"/>
        <v>0</v>
      </c>
      <c r="R97" s="686">
        <f t="shared" si="87"/>
        <v>0</v>
      </c>
      <c r="S97" s="686">
        <f t="shared" si="87"/>
        <v>0</v>
      </c>
      <c r="T97" s="686">
        <f t="shared" si="87"/>
        <v>0</v>
      </c>
      <c r="U97" s="686">
        <f t="shared" si="87"/>
        <v>0</v>
      </c>
      <c r="V97" s="686">
        <f t="shared" si="87"/>
        <v>0</v>
      </c>
      <c r="W97" s="686">
        <f t="shared" si="87"/>
        <v>0</v>
      </c>
      <c r="X97" s="686">
        <f t="shared" si="87"/>
        <v>0</v>
      </c>
      <c r="Y97" s="686">
        <f t="shared" si="87"/>
        <v>0</v>
      </c>
      <c r="Z97" s="686">
        <f t="shared" si="87"/>
        <v>0</v>
      </c>
      <c r="AA97" s="686">
        <f t="shared" si="87"/>
        <v>0</v>
      </c>
      <c r="AB97" s="686">
        <f t="shared" si="87"/>
        <v>0</v>
      </c>
      <c r="AC97" s="925"/>
      <c r="AE97" s="567"/>
      <c r="AV97" s="699" t="str">
        <f t="shared" si="80"/>
        <v/>
      </c>
    </row>
    <row r="98" spans="1:64" x14ac:dyDescent="0.3">
      <c r="A98" s="22"/>
      <c r="B98" s="193" t="str">
        <f t="shared" si="77"/>
        <v>TCARGSL100</v>
      </c>
      <c r="C98" s="193"/>
      <c r="D98" s="194"/>
      <c r="E98" s="193"/>
      <c r="F98" s="196"/>
      <c r="G98" s="215"/>
      <c r="H98" s="196"/>
      <c r="I98" s="197">
        <f>AF$10</f>
        <v>2050</v>
      </c>
      <c r="J98" s="198"/>
      <c r="K98" s="198"/>
      <c r="L98" s="212" t="s">
        <v>1064</v>
      </c>
      <c r="M98" s="193" t="s">
        <v>747</v>
      </c>
      <c r="N98" s="687">
        <f t="shared" ref="N98:AB98" si="88">N92*LOOKUP($AD85,$AG$4:$AO$4,$AG$10:$AO$10)</f>
        <v>0</v>
      </c>
      <c r="O98" s="687">
        <f t="shared" si="88"/>
        <v>0</v>
      </c>
      <c r="P98" s="687">
        <f t="shared" si="88"/>
        <v>0</v>
      </c>
      <c r="Q98" s="687">
        <f t="shared" si="88"/>
        <v>0</v>
      </c>
      <c r="R98" s="687">
        <f t="shared" si="88"/>
        <v>0</v>
      </c>
      <c r="S98" s="687">
        <f t="shared" si="88"/>
        <v>0</v>
      </c>
      <c r="T98" s="687">
        <f t="shared" si="88"/>
        <v>0</v>
      </c>
      <c r="U98" s="687">
        <f t="shared" si="88"/>
        <v>0</v>
      </c>
      <c r="V98" s="687">
        <f t="shared" si="88"/>
        <v>0</v>
      </c>
      <c r="W98" s="687">
        <f t="shared" si="88"/>
        <v>0</v>
      </c>
      <c r="X98" s="687">
        <f t="shared" si="88"/>
        <v>0</v>
      </c>
      <c r="Y98" s="687">
        <f t="shared" si="88"/>
        <v>0</v>
      </c>
      <c r="Z98" s="687">
        <f t="shared" si="88"/>
        <v>0</v>
      </c>
      <c r="AA98" s="687">
        <f t="shared" si="88"/>
        <v>0</v>
      </c>
      <c r="AB98" s="687">
        <f t="shared" si="88"/>
        <v>0</v>
      </c>
      <c r="AC98" s="925"/>
      <c r="AE98" s="567"/>
      <c r="AV98" s="699" t="str">
        <f t="shared" si="80"/>
        <v/>
      </c>
    </row>
    <row r="99" spans="1:64" s="83" customFormat="1" x14ac:dyDescent="0.3">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29"/>
      <c r="AD99" s="402" t="str">
        <f>MID(C99,5,3)</f>
        <v>HYD</v>
      </c>
      <c r="AE99" s="567"/>
      <c r="AF99" s="35"/>
      <c r="AG99" s="35"/>
      <c r="AH99" s="35"/>
      <c r="AI99" s="35"/>
      <c r="AJ99" s="35"/>
      <c r="AK99" s="35"/>
      <c r="AL99" s="35"/>
      <c r="AM99" s="35"/>
      <c r="AN99" s="35"/>
      <c r="AO99" s="35"/>
      <c r="AP99" s="35"/>
      <c r="AQ99" s="35"/>
      <c r="AR99" s="35"/>
      <c r="AS99" s="35"/>
      <c r="AT99" s="35"/>
      <c r="AV99" s="699" t="str">
        <f t="shared" si="80"/>
        <v>TRABDL</v>
      </c>
      <c r="AW99" s="567">
        <f t="shared" ref="AW99:AW100" si="90">SUM(AX99:BL99)</f>
        <v>0</v>
      </c>
      <c r="AX99" s="567">
        <f t="shared" ref="AX99:BL99" si="91">N$105*N$106*(1-N100)/N$103/1000</f>
        <v>0</v>
      </c>
      <c r="AY99" s="567">
        <f t="shared" si="91"/>
        <v>0</v>
      </c>
      <c r="AZ99" s="567">
        <f t="shared" si="91"/>
        <v>0</v>
      </c>
      <c r="BA99" s="567">
        <f t="shared" si="91"/>
        <v>0</v>
      </c>
      <c r="BB99" s="567">
        <f t="shared" si="91"/>
        <v>0</v>
      </c>
      <c r="BC99" s="567">
        <f t="shared" si="91"/>
        <v>0</v>
      </c>
      <c r="BD99" s="567">
        <f t="shared" si="91"/>
        <v>0</v>
      </c>
      <c r="BE99" s="567">
        <f t="shared" si="91"/>
        <v>0</v>
      </c>
      <c r="BF99" s="567">
        <f t="shared" si="91"/>
        <v>0</v>
      </c>
      <c r="BG99" s="567">
        <f t="shared" si="91"/>
        <v>0</v>
      </c>
      <c r="BH99" s="567">
        <f t="shared" si="91"/>
        <v>0</v>
      </c>
      <c r="BI99" s="567">
        <f t="shared" si="91"/>
        <v>0</v>
      </c>
      <c r="BJ99" s="567">
        <f t="shared" si="91"/>
        <v>0</v>
      </c>
      <c r="BK99" s="567">
        <f t="shared" si="91"/>
        <v>0</v>
      </c>
      <c r="BL99" s="567">
        <f t="shared" si="91"/>
        <v>0</v>
      </c>
    </row>
    <row r="100" spans="1:64" x14ac:dyDescent="0.3">
      <c r="A100" s="22"/>
      <c r="B100" s="186" t="str">
        <f>B99</f>
        <v>TCARHYD100</v>
      </c>
      <c r="C100" s="186"/>
      <c r="D100" s="187"/>
      <c r="E100" s="188" t="s">
        <v>185</v>
      </c>
      <c r="F100" s="170"/>
      <c r="G100" s="213"/>
      <c r="H100" s="170"/>
      <c r="I100" s="190"/>
      <c r="J100" s="191" t="str">
        <f>$J$33</f>
        <v>UP</v>
      </c>
      <c r="K100" s="191"/>
      <c r="L100" s="211" t="s">
        <v>101</v>
      </c>
      <c r="M100" s="186"/>
      <c r="N100" s="377">
        <f>1-(N$17+N$18)</f>
        <v>0.76700000000000002</v>
      </c>
      <c r="O100" s="377">
        <f t="shared" ref="O100:AB100" si="92">1-(O$17+O$18)</f>
        <v>0.76700000000000002</v>
      </c>
      <c r="P100" s="377">
        <f t="shared" si="92"/>
        <v>0.76700000000000002</v>
      </c>
      <c r="Q100" s="377">
        <f t="shared" si="92"/>
        <v>0.76700000000000002</v>
      </c>
      <c r="R100" s="377">
        <f t="shared" si="92"/>
        <v>0.76700000000000002</v>
      </c>
      <c r="S100" s="377">
        <f t="shared" si="92"/>
        <v>0.76700000000000002</v>
      </c>
      <c r="T100" s="377">
        <f t="shared" si="92"/>
        <v>0.76700000000000002</v>
      </c>
      <c r="U100" s="377">
        <f t="shared" si="92"/>
        <v>0.76700000000000002</v>
      </c>
      <c r="V100" s="377">
        <f t="shared" si="92"/>
        <v>0.76700000000000002</v>
      </c>
      <c r="W100" s="377">
        <f t="shared" si="92"/>
        <v>0.76700000000000002</v>
      </c>
      <c r="X100" s="377">
        <f t="shared" si="92"/>
        <v>0.76700000000000002</v>
      </c>
      <c r="Y100" s="377">
        <f t="shared" si="92"/>
        <v>0.76700000000000002</v>
      </c>
      <c r="Z100" s="377">
        <f t="shared" si="92"/>
        <v>0.76700000000000002</v>
      </c>
      <c r="AA100" s="377">
        <f t="shared" si="92"/>
        <v>0.76700000000000002</v>
      </c>
      <c r="AB100" s="377">
        <f t="shared" si="92"/>
        <v>0.76700000000000002</v>
      </c>
      <c r="AC100" s="924"/>
      <c r="AD100" s="66" t="str">
        <f>IF(COUNTIF($AG$4:$AP$4,AD99)=1,"ok","MISSING")</f>
        <v>ok</v>
      </c>
      <c r="AE100" s="569"/>
      <c r="AF100" s="83"/>
      <c r="AG100" s="83"/>
      <c r="AH100" s="83"/>
      <c r="AI100" s="83"/>
      <c r="AJ100" s="83"/>
      <c r="AK100" s="83"/>
      <c r="AL100" s="83"/>
      <c r="AM100" s="83"/>
      <c r="AN100" s="83"/>
      <c r="AO100" s="83"/>
      <c r="AP100" s="83"/>
      <c r="AQ100" s="83"/>
      <c r="AR100" s="83"/>
      <c r="AS100" s="83"/>
      <c r="AT100" s="83"/>
      <c r="AV100" s="699" t="str">
        <f t="shared" si="80"/>
        <v>TRADST</v>
      </c>
      <c r="AW100" s="567">
        <f t="shared" si="90"/>
        <v>0</v>
      </c>
      <c r="AX100" s="567">
        <f t="shared" ref="AX100:BL101" si="93">N$105*N$106*N100/N$103/1000</f>
        <v>0</v>
      </c>
      <c r="AY100" s="567">
        <f t="shared" si="93"/>
        <v>0</v>
      </c>
      <c r="AZ100" s="567">
        <f t="shared" si="93"/>
        <v>0</v>
      </c>
      <c r="BA100" s="567">
        <f t="shared" si="93"/>
        <v>0</v>
      </c>
      <c r="BB100" s="567">
        <f t="shared" si="93"/>
        <v>0</v>
      </c>
      <c r="BC100" s="567">
        <f t="shared" si="93"/>
        <v>0</v>
      </c>
      <c r="BD100" s="567">
        <f t="shared" si="93"/>
        <v>0</v>
      </c>
      <c r="BE100" s="567">
        <f t="shared" si="93"/>
        <v>0</v>
      </c>
      <c r="BF100" s="567">
        <f t="shared" si="93"/>
        <v>0</v>
      </c>
      <c r="BG100" s="567">
        <f t="shared" si="93"/>
        <v>0</v>
      </c>
      <c r="BH100" s="567">
        <f t="shared" si="93"/>
        <v>0</v>
      </c>
      <c r="BI100" s="567">
        <f t="shared" si="93"/>
        <v>0</v>
      </c>
      <c r="BJ100" s="567">
        <f t="shared" si="93"/>
        <v>0</v>
      </c>
      <c r="BK100" s="567">
        <f t="shared" si="93"/>
        <v>0</v>
      </c>
      <c r="BL100" s="567">
        <f t="shared" si="93"/>
        <v>0</v>
      </c>
    </row>
    <row r="101" spans="1:64" x14ac:dyDescent="0.3">
      <c r="A101" s="22"/>
      <c r="B101" s="186" t="str">
        <f t="shared" ref="B101:B112" si="94">B100</f>
        <v>TCARHYD100</v>
      </c>
      <c r="C101" s="186"/>
      <c r="D101" s="187"/>
      <c r="E101" s="188" t="s">
        <v>989</v>
      </c>
      <c r="F101" s="170"/>
      <c r="G101" s="213"/>
      <c r="H101" s="170"/>
      <c r="I101" s="190"/>
      <c r="J101" s="191" t="s">
        <v>1156</v>
      </c>
      <c r="K101" s="191"/>
      <c r="L101" s="211" t="s">
        <v>101</v>
      </c>
      <c r="M101" s="186"/>
      <c r="N101" s="377">
        <f>N$17</f>
        <v>5.8000000000000003E-2</v>
      </c>
      <c r="O101" s="377">
        <f t="shared" ref="O101:AB101" si="95">O$17</f>
        <v>5.8000000000000003E-2</v>
      </c>
      <c r="P101" s="377">
        <f t="shared" si="95"/>
        <v>5.8000000000000003E-2</v>
      </c>
      <c r="Q101" s="377">
        <f t="shared" si="95"/>
        <v>5.8000000000000003E-2</v>
      </c>
      <c r="R101" s="377">
        <f t="shared" si="95"/>
        <v>5.8000000000000003E-2</v>
      </c>
      <c r="S101" s="377">
        <f t="shared" si="95"/>
        <v>5.8000000000000003E-2</v>
      </c>
      <c r="T101" s="377">
        <f t="shared" si="95"/>
        <v>5.8000000000000003E-2</v>
      </c>
      <c r="U101" s="377">
        <f t="shared" si="95"/>
        <v>5.8000000000000003E-2</v>
      </c>
      <c r="V101" s="377">
        <f t="shared" si="95"/>
        <v>5.8000000000000003E-2</v>
      </c>
      <c r="W101" s="377">
        <f t="shared" si="95"/>
        <v>5.8000000000000003E-2</v>
      </c>
      <c r="X101" s="377">
        <f t="shared" si="95"/>
        <v>5.8000000000000003E-2</v>
      </c>
      <c r="Y101" s="377">
        <f t="shared" si="95"/>
        <v>5.8000000000000003E-2</v>
      </c>
      <c r="Z101" s="377">
        <f t="shared" si="95"/>
        <v>5.8000000000000003E-2</v>
      </c>
      <c r="AA101" s="377">
        <f t="shared" si="95"/>
        <v>5.8000000000000003E-2</v>
      </c>
      <c r="AB101" s="377">
        <f t="shared" si="95"/>
        <v>5.8000000000000003E-2</v>
      </c>
      <c r="AC101" s="924"/>
      <c r="AD101" s="66"/>
      <c r="AE101" s="569"/>
      <c r="AF101" s="83"/>
      <c r="AG101" s="83"/>
      <c r="AH101" s="83"/>
      <c r="AI101" s="83"/>
      <c r="AJ101" s="83"/>
      <c r="AK101" s="83"/>
      <c r="AL101" s="83"/>
      <c r="AM101" s="83"/>
      <c r="AN101" s="83"/>
      <c r="AO101" s="83"/>
      <c r="AP101" s="83"/>
      <c r="AQ101" s="83"/>
      <c r="AR101" s="83"/>
      <c r="AS101" s="83"/>
      <c r="AT101" s="83"/>
      <c r="AV101" s="699" t="str">
        <f t="shared" si="80"/>
        <v>TRABDLM</v>
      </c>
      <c r="AW101" s="567">
        <f t="shared" ref="AW101" si="96">SUM(AX101:BL101)</f>
        <v>0</v>
      </c>
      <c r="AX101" s="567">
        <f t="shared" si="93"/>
        <v>0</v>
      </c>
      <c r="AY101" s="567">
        <f t="shared" si="93"/>
        <v>0</v>
      </c>
      <c r="AZ101" s="567">
        <f t="shared" si="93"/>
        <v>0</v>
      </c>
      <c r="BA101" s="567">
        <f t="shared" si="93"/>
        <v>0</v>
      </c>
      <c r="BB101" s="567">
        <f t="shared" si="93"/>
        <v>0</v>
      </c>
      <c r="BC101" s="567">
        <f t="shared" si="93"/>
        <v>0</v>
      </c>
      <c r="BD101" s="567">
        <f t="shared" si="93"/>
        <v>0</v>
      </c>
      <c r="BE101" s="567">
        <f t="shared" si="93"/>
        <v>0</v>
      </c>
      <c r="BF101" s="567">
        <f t="shared" si="93"/>
        <v>0</v>
      </c>
      <c r="BG101" s="567">
        <f t="shared" si="93"/>
        <v>0</v>
      </c>
      <c r="BH101" s="567">
        <f t="shared" si="93"/>
        <v>0</v>
      </c>
      <c r="BI101" s="567">
        <f t="shared" si="93"/>
        <v>0</v>
      </c>
      <c r="BJ101" s="567">
        <f t="shared" si="93"/>
        <v>0</v>
      </c>
      <c r="BK101" s="567">
        <f t="shared" si="93"/>
        <v>0</v>
      </c>
      <c r="BL101" s="567">
        <f t="shared" si="93"/>
        <v>0</v>
      </c>
    </row>
    <row r="102" spans="1:64" x14ac:dyDescent="0.3">
      <c r="A102" s="22"/>
      <c r="B102" s="186" t="str">
        <f t="shared" si="94"/>
        <v>TCARHYD100</v>
      </c>
      <c r="C102" s="186"/>
      <c r="D102" s="187"/>
      <c r="E102" s="186"/>
      <c r="F102" s="170"/>
      <c r="G102" s="214" t="s">
        <v>402</v>
      </c>
      <c r="H102" s="170"/>
      <c r="I102" s="190"/>
      <c r="J102" s="191"/>
      <c r="K102" s="191"/>
      <c r="L102" s="191" t="s">
        <v>1125</v>
      </c>
      <c r="M102" s="186" t="s">
        <v>677</v>
      </c>
      <c r="N102" s="673">
        <f>T_CEFF!H64</f>
        <v>0.53332999999999997</v>
      </c>
      <c r="O102" s="673">
        <f>T_CEFF!I64</f>
        <v>0.53332999999999997</v>
      </c>
      <c r="P102" s="673">
        <f>T_CEFF!J64</f>
        <v>0.53332999999999997</v>
      </c>
      <c r="Q102" s="673">
        <f>T_CEFF!K64</f>
        <v>0.53332999999999997</v>
      </c>
      <c r="R102" s="673">
        <f>T_CEFF!L64</f>
        <v>0.53332999999999997</v>
      </c>
      <c r="S102" s="673">
        <f>T_CEFF!M64</f>
        <v>0.53332999999999997</v>
      </c>
      <c r="T102" s="673">
        <f>T_CEFF!N64</f>
        <v>0.53332999999999997</v>
      </c>
      <c r="U102" s="673">
        <f>T_CEFF!O64</f>
        <v>0.53332999999999997</v>
      </c>
      <c r="V102" s="673">
        <f>T_CEFF!P64</f>
        <v>0.53332999999999997</v>
      </c>
      <c r="W102" s="673">
        <f>T_CEFF!Q64</f>
        <v>0.53332999999999997</v>
      </c>
      <c r="X102" s="673">
        <f>T_CEFF!R64</f>
        <v>0.53332999999999997</v>
      </c>
      <c r="Y102" s="673">
        <f>T_CEFF!S64</f>
        <v>0.53332999999999997</v>
      </c>
      <c r="Z102" s="673">
        <f>T_CEFF!T64</f>
        <v>0.53332999999999997</v>
      </c>
      <c r="AA102" s="673">
        <f>T_CEFF!U64</f>
        <v>0.53332999999999997</v>
      </c>
      <c r="AB102" s="673">
        <f>T_CEFF!V64</f>
        <v>0.53332999999999997</v>
      </c>
      <c r="AC102" s="928"/>
      <c r="AE102" s="567"/>
      <c r="AV102" s="699" t="str">
        <f t="shared" si="80"/>
        <v/>
      </c>
    </row>
    <row r="103" spans="1:64" x14ac:dyDescent="0.3">
      <c r="A103" s="22"/>
      <c r="B103" s="186" t="str">
        <f t="shared" si="94"/>
        <v>TCARHYD100</v>
      </c>
      <c r="C103" s="186"/>
      <c r="D103" s="187"/>
      <c r="E103" s="186"/>
      <c r="F103" s="170"/>
      <c r="G103" s="214" t="s">
        <v>404</v>
      </c>
      <c r="H103" s="170"/>
      <c r="I103" s="190"/>
      <c r="J103" s="191"/>
      <c r="K103" s="191"/>
      <c r="L103" s="191" t="s">
        <v>1125</v>
      </c>
      <c r="M103" s="186" t="s">
        <v>677</v>
      </c>
      <c r="N103" s="673">
        <f>T_CEFF!H65</f>
        <v>0.47059000000000001</v>
      </c>
      <c r="O103" s="673">
        <f>T_CEFF!I65</f>
        <v>0.47059000000000001</v>
      </c>
      <c r="P103" s="673">
        <f>T_CEFF!J65</f>
        <v>0.47059000000000001</v>
      </c>
      <c r="Q103" s="673">
        <f>T_CEFF!K65</f>
        <v>0.47059000000000001</v>
      </c>
      <c r="R103" s="673">
        <f>T_CEFF!L65</f>
        <v>0.47059000000000001</v>
      </c>
      <c r="S103" s="673">
        <f>T_CEFF!M65</f>
        <v>0.47059000000000001</v>
      </c>
      <c r="T103" s="673">
        <f>T_CEFF!N65</f>
        <v>0.47059000000000001</v>
      </c>
      <c r="U103" s="673">
        <f>T_CEFF!O65</f>
        <v>0.47059000000000001</v>
      </c>
      <c r="V103" s="673">
        <f>T_CEFF!P65</f>
        <v>0.47059000000000001</v>
      </c>
      <c r="W103" s="673">
        <f>T_CEFF!Q65</f>
        <v>0.47059000000000001</v>
      </c>
      <c r="X103" s="673">
        <f>T_CEFF!R65</f>
        <v>0.47059000000000001</v>
      </c>
      <c r="Y103" s="673">
        <f>T_CEFF!S65</f>
        <v>0.47059000000000001</v>
      </c>
      <c r="Z103" s="673">
        <f>T_CEFF!T65</f>
        <v>0.47059000000000001</v>
      </c>
      <c r="AA103" s="673">
        <f>T_CEFF!U65</f>
        <v>0.47059000000000001</v>
      </c>
      <c r="AB103" s="673">
        <f>T_CEFF!V65</f>
        <v>0.47059000000000001</v>
      </c>
      <c r="AC103" s="928"/>
      <c r="AE103" s="567"/>
      <c r="AV103" s="699" t="str">
        <f t="shared" si="80"/>
        <v/>
      </c>
    </row>
    <row r="104" spans="1:64" x14ac:dyDescent="0.3">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19"/>
      <c r="AE104" s="567"/>
      <c r="AV104" s="699" t="str">
        <f t="shared" si="80"/>
        <v/>
      </c>
    </row>
    <row r="105" spans="1:64" x14ac:dyDescent="0.3">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5.7644800000000007</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7"/>
      <c r="AV105" s="699" t="str">
        <f t="shared" si="80"/>
        <v/>
      </c>
    </row>
    <row r="106" spans="1:64" x14ac:dyDescent="0.3">
      <c r="A106" s="22"/>
      <c r="B106" s="186" t="str">
        <f t="shared" si="94"/>
        <v>TCARHYD100</v>
      </c>
      <c r="C106" s="186"/>
      <c r="D106" s="187"/>
      <c r="E106" s="186"/>
      <c r="F106" s="170"/>
      <c r="G106" s="213"/>
      <c r="H106" s="170"/>
      <c r="I106" s="190">
        <f>$M$3</f>
        <v>2019</v>
      </c>
      <c r="J106" s="191"/>
      <c r="K106" s="191"/>
      <c r="L106" s="211" t="s">
        <v>1064</v>
      </c>
      <c r="M106" s="186" t="s">
        <v>747</v>
      </c>
      <c r="N106" s="686">
        <f>LOOKUP($C$99, T_Stock_Private!$C$10:$C$20, T_Stock_Private!D$10:D$20)*(1+N27)</f>
        <v>0</v>
      </c>
      <c r="O106" s="686">
        <f>LOOKUP($C$99, T_Stock_Private!$C$10:$C$20, T_Stock_Private!E$10:E$20)*(1+O27)</f>
        <v>0</v>
      </c>
      <c r="P106" s="686">
        <f>LOOKUP($C$99, T_Stock_Private!$C$10:$C$20, T_Stock_Private!F$10:F$20)*(1+P27)</f>
        <v>0</v>
      </c>
      <c r="Q106" s="686">
        <f>LOOKUP($C$99, T_Stock_Private!$C$10:$C$20, T_Stock_Private!G$10:G$20)*(1+Q27)</f>
        <v>0</v>
      </c>
      <c r="R106" s="686">
        <f>LOOKUP($C$99, T_Stock_Private!$C$10:$C$20, T_Stock_Private!H$10:H$20)*(1+R27)</f>
        <v>0</v>
      </c>
      <c r="S106" s="686">
        <f>LOOKUP($C$99, T_Stock_Private!$C$10:$C$20, T_Stock_Private!I$10:I$20)*(1+S27)</f>
        <v>0</v>
      </c>
      <c r="T106" s="686">
        <f>LOOKUP($C$99, T_Stock_Private!$C$10:$C$20, T_Stock_Private!J$10:J$20)*(1+T27)</f>
        <v>0</v>
      </c>
      <c r="U106" s="686">
        <f>LOOKUP($C$99, T_Stock_Private!$C$10:$C$20, T_Stock_Private!K$10:K$20)*(1+U27)</f>
        <v>0</v>
      </c>
      <c r="V106" s="686">
        <f>LOOKUP($C$99, T_Stock_Private!$C$10:$C$20, T_Stock_Private!L$10:L$20)*(1+V27)</f>
        <v>0</v>
      </c>
      <c r="W106" s="686">
        <f>LOOKUP($C$99, T_Stock_Private!$C$10:$C$20, T_Stock_Private!M$10:M$20)*(1+W27)</f>
        <v>0</v>
      </c>
      <c r="X106" s="686">
        <f>LOOKUP($C$99, T_Stock_Private!$C$10:$C$20, T_Stock_Private!N$10:N$20)*(1+X27)</f>
        <v>0</v>
      </c>
      <c r="Y106" s="686">
        <f>LOOKUP($C$99, T_Stock_Private!$C$10:$C$20, T_Stock_Private!O$10:O$20)*(1+Y27)</f>
        <v>0</v>
      </c>
      <c r="Z106" s="686">
        <f>LOOKUP($C$99, T_Stock_Private!$C$10:$C$20, T_Stock_Private!P$10:P$20)*(1+Z27)</f>
        <v>0</v>
      </c>
      <c r="AA106" s="686">
        <f>LOOKUP($C$99, T_Stock_Private!$C$10:$C$20, T_Stock_Private!Q$10:Q$20)*(1+AA27)</f>
        <v>0</v>
      </c>
      <c r="AB106" s="686">
        <f>LOOKUP($C$99, T_Stock_Private!$C$10:$C$20, T_Stock_Private!R$10:R$20)*(1+AB27)</f>
        <v>0</v>
      </c>
      <c r="AC106" s="925"/>
      <c r="AE106" s="567"/>
      <c r="AV106" s="699" t="str">
        <f t="shared" si="80"/>
        <v/>
      </c>
    </row>
    <row r="107" spans="1:64" x14ac:dyDescent="0.3">
      <c r="A107" s="22"/>
      <c r="B107" s="186" t="str">
        <f t="shared" si="94"/>
        <v>TCARHYD100</v>
      </c>
      <c r="C107" s="186"/>
      <c r="D107" s="187"/>
      <c r="E107" s="186"/>
      <c r="F107" s="170"/>
      <c r="G107" s="213"/>
      <c r="H107" s="170"/>
      <c r="I107" s="190">
        <f>AF$5</f>
        <v>2020</v>
      </c>
      <c r="J107" s="191"/>
      <c r="K107" s="191"/>
      <c r="L107" s="211" t="s">
        <v>1064</v>
      </c>
      <c r="M107" s="186" t="s">
        <v>747</v>
      </c>
      <c r="N107" s="686">
        <f t="shared" ref="N107:AB107" si="98">N106*LOOKUP($AD99,$AG$4:$AO$4,$AG$5:$AO$5)</f>
        <v>0</v>
      </c>
      <c r="O107" s="686">
        <f t="shared" si="98"/>
        <v>0</v>
      </c>
      <c r="P107" s="686">
        <f t="shared" si="98"/>
        <v>0</v>
      </c>
      <c r="Q107" s="686">
        <f t="shared" si="98"/>
        <v>0</v>
      </c>
      <c r="R107" s="686">
        <f t="shared" si="98"/>
        <v>0</v>
      </c>
      <c r="S107" s="686">
        <f t="shared" si="98"/>
        <v>0</v>
      </c>
      <c r="T107" s="686">
        <f t="shared" si="98"/>
        <v>0</v>
      </c>
      <c r="U107" s="686">
        <f t="shared" si="98"/>
        <v>0</v>
      </c>
      <c r="V107" s="686">
        <f t="shared" si="98"/>
        <v>0</v>
      </c>
      <c r="W107" s="686">
        <f t="shared" si="98"/>
        <v>0</v>
      </c>
      <c r="X107" s="686">
        <f t="shared" si="98"/>
        <v>0</v>
      </c>
      <c r="Y107" s="686">
        <f t="shared" si="98"/>
        <v>0</v>
      </c>
      <c r="Z107" s="686">
        <f t="shared" si="98"/>
        <v>0</v>
      </c>
      <c r="AA107" s="686">
        <f t="shared" si="98"/>
        <v>0</v>
      </c>
      <c r="AB107" s="686">
        <f t="shared" si="98"/>
        <v>0</v>
      </c>
      <c r="AC107" s="925"/>
      <c r="AE107" s="568">
        <f>SUM(AF107:AT107)</f>
        <v>0</v>
      </c>
      <c r="AF107" s="567">
        <f t="shared" ref="AF107:AT107" si="99">N104*N105*N106/1000</f>
        <v>0</v>
      </c>
      <c r="AG107" s="567">
        <f t="shared" si="99"/>
        <v>0</v>
      </c>
      <c r="AH107" s="567">
        <f t="shared" si="99"/>
        <v>0</v>
      </c>
      <c r="AI107" s="567">
        <f t="shared" si="99"/>
        <v>0</v>
      </c>
      <c r="AJ107" s="567">
        <f t="shared" si="99"/>
        <v>0</v>
      </c>
      <c r="AK107" s="567">
        <f t="shared" si="99"/>
        <v>0</v>
      </c>
      <c r="AL107" s="567">
        <f t="shared" si="99"/>
        <v>0</v>
      </c>
      <c r="AM107" s="567">
        <f t="shared" si="99"/>
        <v>0</v>
      </c>
      <c r="AN107" s="567">
        <f t="shared" si="99"/>
        <v>0</v>
      </c>
      <c r="AO107" s="567">
        <f t="shared" si="99"/>
        <v>0</v>
      </c>
      <c r="AP107" s="567">
        <f t="shared" si="99"/>
        <v>0</v>
      </c>
      <c r="AQ107" s="567">
        <f t="shared" si="99"/>
        <v>0</v>
      </c>
      <c r="AR107" s="567">
        <f t="shared" si="99"/>
        <v>0</v>
      </c>
      <c r="AS107" s="567">
        <f t="shared" si="99"/>
        <v>0</v>
      </c>
      <c r="AT107" s="567">
        <f t="shared" si="99"/>
        <v>0</v>
      </c>
      <c r="AV107" s="699" t="str">
        <f t="shared" si="80"/>
        <v/>
      </c>
    </row>
    <row r="108" spans="1:64" x14ac:dyDescent="0.3">
      <c r="A108" s="22"/>
      <c r="B108" s="186" t="str">
        <f t="shared" si="94"/>
        <v>TCARHYD100</v>
      </c>
      <c r="C108" s="186"/>
      <c r="D108" s="187"/>
      <c r="E108" s="186"/>
      <c r="F108" s="170"/>
      <c r="G108" s="213"/>
      <c r="H108" s="170"/>
      <c r="I108" s="190">
        <f>AF$6</f>
        <v>2025</v>
      </c>
      <c r="J108" s="191"/>
      <c r="K108" s="191"/>
      <c r="L108" s="211" t="s">
        <v>1064</v>
      </c>
      <c r="M108" s="186" t="s">
        <v>747</v>
      </c>
      <c r="N108" s="686">
        <f t="shared" ref="N108:AB108" si="100">N106*LOOKUP($AD99,$AG$4:$AO$4,$AG$6:$AO$6)</f>
        <v>0</v>
      </c>
      <c r="O108" s="686">
        <f t="shared" si="100"/>
        <v>0</v>
      </c>
      <c r="P108" s="686">
        <f t="shared" si="100"/>
        <v>0</v>
      </c>
      <c r="Q108" s="686">
        <f t="shared" si="100"/>
        <v>0</v>
      </c>
      <c r="R108" s="686">
        <f t="shared" si="100"/>
        <v>0</v>
      </c>
      <c r="S108" s="686">
        <f t="shared" si="100"/>
        <v>0</v>
      </c>
      <c r="T108" s="686">
        <f t="shared" si="100"/>
        <v>0</v>
      </c>
      <c r="U108" s="686">
        <f t="shared" si="100"/>
        <v>0</v>
      </c>
      <c r="V108" s="686">
        <f t="shared" si="100"/>
        <v>0</v>
      </c>
      <c r="W108" s="686">
        <f t="shared" si="100"/>
        <v>0</v>
      </c>
      <c r="X108" s="686">
        <f t="shared" si="100"/>
        <v>0</v>
      </c>
      <c r="Y108" s="686">
        <f t="shared" si="100"/>
        <v>0</v>
      </c>
      <c r="Z108" s="686">
        <f t="shared" si="100"/>
        <v>0</v>
      </c>
      <c r="AA108" s="686">
        <f t="shared" si="100"/>
        <v>0</v>
      </c>
      <c r="AB108" s="686">
        <f t="shared" si="100"/>
        <v>0</v>
      </c>
      <c r="AC108" s="925"/>
      <c r="AE108" s="567"/>
      <c r="AV108" s="699" t="str">
        <f t="shared" si="80"/>
        <v/>
      </c>
    </row>
    <row r="109" spans="1:64" x14ac:dyDescent="0.3">
      <c r="A109" s="22"/>
      <c r="B109" s="186" t="str">
        <f t="shared" si="94"/>
        <v>TCARHYD100</v>
      </c>
      <c r="C109" s="186"/>
      <c r="D109" s="187"/>
      <c r="E109" s="186"/>
      <c r="F109" s="170"/>
      <c r="G109" s="213"/>
      <c r="H109" s="170"/>
      <c r="I109" s="190">
        <f>AF$7</f>
        <v>2030</v>
      </c>
      <c r="J109" s="191"/>
      <c r="K109" s="191"/>
      <c r="L109" s="211" t="s">
        <v>1064</v>
      </c>
      <c r="M109" s="186" t="s">
        <v>747</v>
      </c>
      <c r="N109" s="686">
        <f t="shared" ref="N109:AB109" si="101">N106*LOOKUP($AD99,$AG$4:$AO$4,$AG$7:$AO$7)</f>
        <v>0</v>
      </c>
      <c r="O109" s="686">
        <f t="shared" si="101"/>
        <v>0</v>
      </c>
      <c r="P109" s="686">
        <f t="shared" si="101"/>
        <v>0</v>
      </c>
      <c r="Q109" s="686">
        <f t="shared" si="101"/>
        <v>0</v>
      </c>
      <c r="R109" s="686">
        <f t="shared" si="101"/>
        <v>0</v>
      </c>
      <c r="S109" s="686">
        <f t="shared" si="101"/>
        <v>0</v>
      </c>
      <c r="T109" s="686">
        <f t="shared" si="101"/>
        <v>0</v>
      </c>
      <c r="U109" s="686">
        <f t="shared" si="101"/>
        <v>0</v>
      </c>
      <c r="V109" s="686">
        <f t="shared" si="101"/>
        <v>0</v>
      </c>
      <c r="W109" s="686">
        <f t="shared" si="101"/>
        <v>0</v>
      </c>
      <c r="X109" s="686">
        <f t="shared" si="101"/>
        <v>0</v>
      </c>
      <c r="Y109" s="686">
        <f t="shared" si="101"/>
        <v>0</v>
      </c>
      <c r="Z109" s="686">
        <f t="shared" si="101"/>
        <v>0</v>
      </c>
      <c r="AA109" s="686">
        <f t="shared" si="101"/>
        <v>0</v>
      </c>
      <c r="AB109" s="686">
        <f t="shared" si="101"/>
        <v>0</v>
      </c>
      <c r="AC109" s="925"/>
      <c r="AE109" s="567"/>
      <c r="AV109" s="699" t="str">
        <f t="shared" si="80"/>
        <v/>
      </c>
    </row>
    <row r="110" spans="1:64" x14ac:dyDescent="0.3">
      <c r="A110" s="22"/>
      <c r="B110" s="186" t="str">
        <f t="shared" si="94"/>
        <v>TCARHYD100</v>
      </c>
      <c r="C110" s="186"/>
      <c r="D110" s="187"/>
      <c r="E110" s="186"/>
      <c r="F110" s="170"/>
      <c r="G110" s="213"/>
      <c r="H110" s="170"/>
      <c r="I110" s="190">
        <f>AF$8</f>
        <v>2035</v>
      </c>
      <c r="J110" s="191"/>
      <c r="K110" s="191"/>
      <c r="L110" s="211" t="s">
        <v>1064</v>
      </c>
      <c r="M110" s="186" t="s">
        <v>747</v>
      </c>
      <c r="N110" s="686">
        <f t="shared" ref="N110:AB110" si="102">N106*LOOKUP($AD99,$AG$4:$AO$4,$AG$8:$AO$8)</f>
        <v>0</v>
      </c>
      <c r="O110" s="686">
        <f t="shared" si="102"/>
        <v>0</v>
      </c>
      <c r="P110" s="686">
        <f t="shared" si="102"/>
        <v>0</v>
      </c>
      <c r="Q110" s="686">
        <f t="shared" si="102"/>
        <v>0</v>
      </c>
      <c r="R110" s="686">
        <f t="shared" si="102"/>
        <v>0</v>
      </c>
      <c r="S110" s="686">
        <f t="shared" si="102"/>
        <v>0</v>
      </c>
      <c r="T110" s="686">
        <f t="shared" si="102"/>
        <v>0</v>
      </c>
      <c r="U110" s="686">
        <f t="shared" si="102"/>
        <v>0</v>
      </c>
      <c r="V110" s="686">
        <f t="shared" si="102"/>
        <v>0</v>
      </c>
      <c r="W110" s="686">
        <f t="shared" si="102"/>
        <v>0</v>
      </c>
      <c r="X110" s="686">
        <f t="shared" si="102"/>
        <v>0</v>
      </c>
      <c r="Y110" s="686">
        <f t="shared" si="102"/>
        <v>0</v>
      </c>
      <c r="Z110" s="686">
        <f t="shared" si="102"/>
        <v>0</v>
      </c>
      <c r="AA110" s="686">
        <f t="shared" si="102"/>
        <v>0</v>
      </c>
      <c r="AB110" s="686">
        <f t="shared" si="102"/>
        <v>0</v>
      </c>
      <c r="AC110" s="925"/>
      <c r="AE110" s="567"/>
      <c r="AV110" s="699" t="str">
        <f t="shared" si="80"/>
        <v/>
      </c>
    </row>
    <row r="111" spans="1:64" x14ac:dyDescent="0.3">
      <c r="A111" s="22"/>
      <c r="B111" s="186" t="str">
        <f t="shared" si="94"/>
        <v>TCARHYD100</v>
      </c>
      <c r="C111" s="186"/>
      <c r="D111" s="187"/>
      <c r="E111" s="186"/>
      <c r="F111" s="170"/>
      <c r="G111" s="213"/>
      <c r="H111" s="170"/>
      <c r="I111" s="190">
        <f>AF$9</f>
        <v>2040</v>
      </c>
      <c r="J111" s="191"/>
      <c r="K111" s="191"/>
      <c r="L111" s="211" t="s">
        <v>1064</v>
      </c>
      <c r="M111" s="186" t="s">
        <v>747</v>
      </c>
      <c r="N111" s="686">
        <f t="shared" ref="N111:AB111" si="103">N106*LOOKUP($AD99,$AG$4:$AO$4,$AG$9:$AO$9)</f>
        <v>0</v>
      </c>
      <c r="O111" s="686">
        <f t="shared" si="103"/>
        <v>0</v>
      </c>
      <c r="P111" s="686">
        <f t="shared" si="103"/>
        <v>0</v>
      </c>
      <c r="Q111" s="686">
        <f t="shared" si="103"/>
        <v>0</v>
      </c>
      <c r="R111" s="686">
        <f t="shared" si="103"/>
        <v>0</v>
      </c>
      <c r="S111" s="686">
        <f t="shared" si="103"/>
        <v>0</v>
      </c>
      <c r="T111" s="686">
        <f t="shared" si="103"/>
        <v>0</v>
      </c>
      <c r="U111" s="686">
        <f t="shared" si="103"/>
        <v>0</v>
      </c>
      <c r="V111" s="686">
        <f t="shared" si="103"/>
        <v>0</v>
      </c>
      <c r="W111" s="686">
        <f t="shared" si="103"/>
        <v>0</v>
      </c>
      <c r="X111" s="686">
        <f t="shared" si="103"/>
        <v>0</v>
      </c>
      <c r="Y111" s="686">
        <f t="shared" si="103"/>
        <v>0</v>
      </c>
      <c r="Z111" s="686">
        <f t="shared" si="103"/>
        <v>0</v>
      </c>
      <c r="AA111" s="686">
        <f t="shared" si="103"/>
        <v>0</v>
      </c>
      <c r="AB111" s="686">
        <f t="shared" si="103"/>
        <v>0</v>
      </c>
      <c r="AC111" s="925"/>
      <c r="AE111" s="567"/>
      <c r="AV111" s="699" t="str">
        <f t="shared" si="80"/>
        <v/>
      </c>
    </row>
    <row r="112" spans="1:64" x14ac:dyDescent="0.3">
      <c r="A112" s="22"/>
      <c r="B112" s="193" t="str">
        <f t="shared" si="94"/>
        <v>TCARHYD100</v>
      </c>
      <c r="C112" s="193"/>
      <c r="D112" s="194"/>
      <c r="E112" s="193"/>
      <c r="F112" s="196"/>
      <c r="G112" s="215"/>
      <c r="H112" s="196"/>
      <c r="I112" s="197">
        <f>AF$10</f>
        <v>2050</v>
      </c>
      <c r="J112" s="198"/>
      <c r="K112" s="198"/>
      <c r="L112" s="212" t="s">
        <v>1064</v>
      </c>
      <c r="M112" s="193" t="s">
        <v>747</v>
      </c>
      <c r="N112" s="687">
        <f t="shared" ref="N112:AB112" si="104">N106*LOOKUP($AD99,$AG$4:$AO$4,$AG$10:$AO$10)</f>
        <v>0</v>
      </c>
      <c r="O112" s="687">
        <f t="shared" si="104"/>
        <v>0</v>
      </c>
      <c r="P112" s="687">
        <f t="shared" si="104"/>
        <v>0</v>
      </c>
      <c r="Q112" s="687">
        <f t="shared" si="104"/>
        <v>0</v>
      </c>
      <c r="R112" s="687">
        <f t="shared" si="104"/>
        <v>0</v>
      </c>
      <c r="S112" s="687">
        <f t="shared" si="104"/>
        <v>0</v>
      </c>
      <c r="T112" s="687">
        <f t="shared" si="104"/>
        <v>0</v>
      </c>
      <c r="U112" s="687">
        <f t="shared" si="104"/>
        <v>0</v>
      </c>
      <c r="V112" s="687">
        <f t="shared" si="104"/>
        <v>0</v>
      </c>
      <c r="W112" s="687">
        <f t="shared" si="104"/>
        <v>0</v>
      </c>
      <c r="X112" s="687">
        <f t="shared" si="104"/>
        <v>0</v>
      </c>
      <c r="Y112" s="687">
        <f t="shared" si="104"/>
        <v>0</v>
      </c>
      <c r="Z112" s="687">
        <f t="shared" si="104"/>
        <v>0</v>
      </c>
      <c r="AA112" s="687">
        <f t="shared" si="104"/>
        <v>0</v>
      </c>
      <c r="AB112" s="687">
        <f t="shared" si="104"/>
        <v>0</v>
      </c>
      <c r="AC112" s="925"/>
      <c r="AE112" s="567"/>
      <c r="AV112" s="699" t="str">
        <f t="shared" si="80"/>
        <v/>
      </c>
    </row>
    <row r="113" spans="1:64" x14ac:dyDescent="0.3">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6"/>
      <c r="AD113" s="402" t="str">
        <f>MID(C113,5,3)</f>
        <v>HYG</v>
      </c>
      <c r="AE113" s="567"/>
      <c r="AV113" s="699" t="str">
        <f t="shared" si="80"/>
        <v>TRAGSL</v>
      </c>
      <c r="AW113" s="567">
        <f t="shared" ref="AW113:AW114" si="106">SUM(AX113:BL113)</f>
        <v>0</v>
      </c>
      <c r="AX113" s="567">
        <f t="shared" ref="AX113:BL113" si="107">N$119*N$120*(1-N114)/N$117/1000</f>
        <v>0</v>
      </c>
      <c r="AY113" s="567">
        <f t="shared" si="107"/>
        <v>0</v>
      </c>
      <c r="AZ113" s="567">
        <f t="shared" si="107"/>
        <v>0</v>
      </c>
      <c r="BA113" s="567">
        <f t="shared" si="107"/>
        <v>0</v>
      </c>
      <c r="BB113" s="567">
        <f t="shared" si="107"/>
        <v>0</v>
      </c>
      <c r="BC113" s="567">
        <f t="shared" si="107"/>
        <v>0</v>
      </c>
      <c r="BD113" s="567">
        <f t="shared" si="107"/>
        <v>0</v>
      </c>
      <c r="BE113" s="567">
        <f t="shared" si="107"/>
        <v>0</v>
      </c>
      <c r="BF113" s="567">
        <f t="shared" si="107"/>
        <v>0</v>
      </c>
      <c r="BG113" s="567">
        <f t="shared" si="107"/>
        <v>0</v>
      </c>
      <c r="BH113" s="567">
        <f t="shared" si="107"/>
        <v>0</v>
      </c>
      <c r="BI113" s="567">
        <f t="shared" si="107"/>
        <v>0</v>
      </c>
      <c r="BJ113" s="567">
        <f t="shared" si="107"/>
        <v>0</v>
      </c>
      <c r="BK113" s="567">
        <f t="shared" si="107"/>
        <v>0</v>
      </c>
      <c r="BL113" s="567">
        <f t="shared" si="107"/>
        <v>0</v>
      </c>
    </row>
    <row r="114" spans="1:64" x14ac:dyDescent="0.3">
      <c r="A114" s="22"/>
      <c r="B114" s="186" t="str">
        <f t="shared" ref="B114:B126" si="108">B113</f>
        <v>TCARHYG100</v>
      </c>
      <c r="C114" s="186"/>
      <c r="D114" s="187"/>
      <c r="E114" s="258" t="s">
        <v>1011</v>
      </c>
      <c r="F114" s="170"/>
      <c r="G114" s="213"/>
      <c r="H114" s="170"/>
      <c r="I114" s="190"/>
      <c r="J114" s="191" t="s">
        <v>1126</v>
      </c>
      <c r="K114" s="191"/>
      <c r="L114" s="211" t="s">
        <v>101</v>
      </c>
      <c r="M114" s="186"/>
      <c r="N114" s="377">
        <f>N$19</f>
        <v>5.0999999999999997E-2</v>
      </c>
      <c r="O114" s="377">
        <f t="shared" ref="O114:AB114" si="109">O$19</f>
        <v>5.0999999999999997E-2</v>
      </c>
      <c r="P114" s="377">
        <f t="shared" si="109"/>
        <v>5.0999999999999997E-2</v>
      </c>
      <c r="Q114" s="377">
        <f t="shared" si="109"/>
        <v>5.0999999999999997E-2</v>
      </c>
      <c r="R114" s="377">
        <f t="shared" si="109"/>
        <v>5.0999999999999997E-2</v>
      </c>
      <c r="S114" s="377">
        <f t="shared" si="109"/>
        <v>5.0999999999999997E-2</v>
      </c>
      <c r="T114" s="377">
        <f t="shared" si="109"/>
        <v>5.0999999999999997E-2</v>
      </c>
      <c r="U114" s="377">
        <f t="shared" si="109"/>
        <v>5.0999999999999997E-2</v>
      </c>
      <c r="V114" s="377">
        <f t="shared" si="109"/>
        <v>5.0999999999999997E-2</v>
      </c>
      <c r="W114" s="377">
        <f t="shared" si="109"/>
        <v>5.0999999999999997E-2</v>
      </c>
      <c r="X114" s="377">
        <f t="shared" si="109"/>
        <v>5.0999999999999997E-2</v>
      </c>
      <c r="Y114" s="377">
        <f t="shared" si="109"/>
        <v>5.0999999999999997E-2</v>
      </c>
      <c r="Z114" s="377">
        <f t="shared" si="109"/>
        <v>5.0999999999999997E-2</v>
      </c>
      <c r="AA114" s="377">
        <f t="shared" si="109"/>
        <v>5.0999999999999997E-2</v>
      </c>
      <c r="AB114" s="377">
        <f t="shared" si="109"/>
        <v>5.0999999999999997E-2</v>
      </c>
      <c r="AC114" s="924"/>
      <c r="AD114" s="66" t="str">
        <f>IF(COUNTIF($AG$4:$AP$4,AD113)=1,"ok","MISSING")</f>
        <v>ok</v>
      </c>
      <c r="AE114" s="567"/>
      <c r="AV114" s="699" t="str">
        <f t="shared" si="80"/>
        <v>TRAETHM</v>
      </c>
      <c r="AW114" s="567">
        <f t="shared" si="106"/>
        <v>0</v>
      </c>
      <c r="AX114" s="567">
        <f t="shared" ref="AX114:BL115" si="110">N$119*N$120*N114/N$117/1000</f>
        <v>0</v>
      </c>
      <c r="AY114" s="567">
        <f t="shared" si="110"/>
        <v>0</v>
      </c>
      <c r="AZ114" s="567">
        <f t="shared" si="110"/>
        <v>0</v>
      </c>
      <c r="BA114" s="567">
        <f t="shared" si="110"/>
        <v>0</v>
      </c>
      <c r="BB114" s="567">
        <f t="shared" si="110"/>
        <v>0</v>
      </c>
      <c r="BC114" s="567">
        <f t="shared" si="110"/>
        <v>0</v>
      </c>
      <c r="BD114" s="567">
        <f t="shared" si="110"/>
        <v>0</v>
      </c>
      <c r="BE114" s="567">
        <f t="shared" si="110"/>
        <v>0</v>
      </c>
      <c r="BF114" s="567">
        <f t="shared" si="110"/>
        <v>0</v>
      </c>
      <c r="BG114" s="567">
        <f t="shared" si="110"/>
        <v>0</v>
      </c>
      <c r="BH114" s="567">
        <f t="shared" si="110"/>
        <v>0</v>
      </c>
      <c r="BI114" s="567">
        <f t="shared" si="110"/>
        <v>0</v>
      </c>
      <c r="BJ114" s="567">
        <f t="shared" si="110"/>
        <v>0</v>
      </c>
      <c r="BK114" s="567">
        <f t="shared" si="110"/>
        <v>0</v>
      </c>
      <c r="BL114" s="567">
        <f t="shared" si="110"/>
        <v>0</v>
      </c>
    </row>
    <row r="115" spans="1:64" x14ac:dyDescent="0.3">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4"/>
      <c r="AD115" s="66"/>
      <c r="AE115" s="567"/>
      <c r="AV115" s="699" t="str">
        <f>MID(E115,1,8)</f>
        <v>TRABGSLM</v>
      </c>
      <c r="AW115" s="567">
        <f t="shared" ref="AW115" si="112">SUM(AX115:BL115)</f>
        <v>0</v>
      </c>
      <c r="AX115" s="567">
        <f t="shared" si="110"/>
        <v>0</v>
      </c>
      <c r="AY115" s="567">
        <f t="shared" si="110"/>
        <v>0</v>
      </c>
      <c r="AZ115" s="567">
        <f t="shared" si="110"/>
        <v>0</v>
      </c>
      <c r="BA115" s="567">
        <f t="shared" si="110"/>
        <v>0</v>
      </c>
      <c r="BB115" s="567">
        <f t="shared" si="110"/>
        <v>0</v>
      </c>
      <c r="BC115" s="567">
        <f t="shared" si="110"/>
        <v>0</v>
      </c>
      <c r="BD115" s="567">
        <f t="shared" si="110"/>
        <v>0</v>
      </c>
      <c r="BE115" s="567">
        <f t="shared" si="110"/>
        <v>0</v>
      </c>
      <c r="BF115" s="567">
        <f t="shared" si="110"/>
        <v>0</v>
      </c>
      <c r="BG115" s="567">
        <f t="shared" si="110"/>
        <v>0</v>
      </c>
      <c r="BH115" s="567">
        <f t="shared" si="110"/>
        <v>0</v>
      </c>
      <c r="BI115" s="567">
        <f t="shared" si="110"/>
        <v>0</v>
      </c>
      <c r="BJ115" s="567">
        <f t="shared" si="110"/>
        <v>0</v>
      </c>
      <c r="BK115" s="567">
        <f t="shared" si="110"/>
        <v>0</v>
      </c>
      <c r="BL115" s="567">
        <f t="shared" si="110"/>
        <v>0</v>
      </c>
    </row>
    <row r="116" spans="1:64" x14ac:dyDescent="0.3">
      <c r="A116" s="22"/>
      <c r="B116" s="186" t="str">
        <f>B114</f>
        <v>TCARHYG100</v>
      </c>
      <c r="C116" s="186"/>
      <c r="D116" s="187"/>
      <c r="E116" s="186"/>
      <c r="F116" s="170"/>
      <c r="G116" s="214" t="s">
        <v>402</v>
      </c>
      <c r="H116" s="170"/>
      <c r="I116" s="190"/>
      <c r="J116" s="191"/>
      <c r="K116" s="191"/>
      <c r="L116" s="191" t="s">
        <v>1125</v>
      </c>
      <c r="M116" s="186" t="s">
        <v>677</v>
      </c>
      <c r="N116" s="673">
        <f>T_CEFF!H66</f>
        <v>0.47904000000000002</v>
      </c>
      <c r="O116" s="673">
        <f>T_CEFF!I66</f>
        <v>0.47904000000000002</v>
      </c>
      <c r="P116" s="673">
        <f>T_CEFF!J66</f>
        <v>0.47904000000000002</v>
      </c>
      <c r="Q116" s="673">
        <f>T_CEFF!K66</f>
        <v>0.47904000000000002</v>
      </c>
      <c r="R116" s="673">
        <f>T_CEFF!L66</f>
        <v>0.47904000000000002</v>
      </c>
      <c r="S116" s="673">
        <f>T_CEFF!M66</f>
        <v>0.47904000000000002</v>
      </c>
      <c r="T116" s="673">
        <f>T_CEFF!N66</f>
        <v>0.47904000000000002</v>
      </c>
      <c r="U116" s="673">
        <f>T_CEFF!O66</f>
        <v>0.47904000000000002</v>
      </c>
      <c r="V116" s="673">
        <f>T_CEFF!P66</f>
        <v>0.47904000000000002</v>
      </c>
      <c r="W116" s="673">
        <f>T_CEFF!Q66</f>
        <v>0.47904000000000002</v>
      </c>
      <c r="X116" s="673">
        <f>T_CEFF!R66</f>
        <v>0.47904000000000002</v>
      </c>
      <c r="Y116" s="673">
        <f>T_CEFF!S66</f>
        <v>0.47904000000000002</v>
      </c>
      <c r="Z116" s="673">
        <f>T_CEFF!T66</f>
        <v>0.47904000000000002</v>
      </c>
      <c r="AA116" s="673">
        <f>T_CEFF!U66</f>
        <v>0.47904000000000002</v>
      </c>
      <c r="AB116" s="673">
        <f>T_CEFF!V66</f>
        <v>0.47904000000000002</v>
      </c>
      <c r="AC116" s="928"/>
      <c r="AE116" s="567"/>
      <c r="AV116" s="699" t="str">
        <f t="shared" ref="AV116:AV154" si="113">MID(E116,1,7)</f>
        <v/>
      </c>
    </row>
    <row r="117" spans="1:64" x14ac:dyDescent="0.3">
      <c r="A117" s="22"/>
      <c r="B117" s="186" t="str">
        <f t="shared" si="108"/>
        <v>TCARHYG100</v>
      </c>
      <c r="C117" s="186"/>
      <c r="D117" s="187"/>
      <c r="E117" s="186"/>
      <c r="F117" s="170"/>
      <c r="G117" s="214" t="s">
        <v>404</v>
      </c>
      <c r="H117" s="170"/>
      <c r="I117" s="190"/>
      <c r="J117" s="191"/>
      <c r="K117" s="191"/>
      <c r="L117" s="191" t="s">
        <v>1125</v>
      </c>
      <c r="M117" s="186" t="s">
        <v>677</v>
      </c>
      <c r="N117" s="673">
        <f>T_CEFF!H67</f>
        <v>0.39604</v>
      </c>
      <c r="O117" s="673">
        <f>T_CEFF!I67</f>
        <v>0.39604</v>
      </c>
      <c r="P117" s="673">
        <f>T_CEFF!J67</f>
        <v>0.39604</v>
      </c>
      <c r="Q117" s="673">
        <f>T_CEFF!K67</f>
        <v>0.39604</v>
      </c>
      <c r="R117" s="673">
        <f>T_CEFF!L67</f>
        <v>0.39604</v>
      </c>
      <c r="S117" s="673">
        <f>T_CEFF!M67</f>
        <v>0.39604</v>
      </c>
      <c r="T117" s="673">
        <f>T_CEFF!N67</f>
        <v>0.39604</v>
      </c>
      <c r="U117" s="673">
        <f>T_CEFF!O67</f>
        <v>0.39604</v>
      </c>
      <c r="V117" s="673">
        <f>T_CEFF!P67</f>
        <v>0.39604</v>
      </c>
      <c r="W117" s="673">
        <f>T_CEFF!Q67</f>
        <v>0.39604</v>
      </c>
      <c r="X117" s="673">
        <f>T_CEFF!R67</f>
        <v>0.39604</v>
      </c>
      <c r="Y117" s="673">
        <f>T_CEFF!S67</f>
        <v>0.39604</v>
      </c>
      <c r="Z117" s="673">
        <f>T_CEFF!T67</f>
        <v>0.39604</v>
      </c>
      <c r="AA117" s="673">
        <f>T_CEFF!U67</f>
        <v>0.39604</v>
      </c>
      <c r="AB117" s="673">
        <f>T_CEFF!V67</f>
        <v>0.39604</v>
      </c>
      <c r="AC117" s="928"/>
      <c r="AE117" s="567"/>
      <c r="AV117" s="699" t="str">
        <f t="shared" si="113"/>
        <v/>
      </c>
    </row>
    <row r="118" spans="1:64" x14ac:dyDescent="0.3">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19"/>
      <c r="AE118" s="567"/>
      <c r="AV118" s="699" t="str">
        <f t="shared" si="113"/>
        <v/>
      </c>
    </row>
    <row r="119" spans="1:64" x14ac:dyDescent="0.3">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5.7644800000000007</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7"/>
      <c r="AV119" s="699" t="str">
        <f t="shared" si="113"/>
        <v/>
      </c>
    </row>
    <row r="120" spans="1:64" x14ac:dyDescent="0.3">
      <c r="A120" s="22"/>
      <c r="B120" s="186" t="str">
        <f t="shared" si="108"/>
        <v>TCARHYG100</v>
      </c>
      <c r="C120" s="186"/>
      <c r="D120" s="187"/>
      <c r="E120" s="186"/>
      <c r="F120" s="170"/>
      <c r="G120" s="213"/>
      <c r="H120" s="170"/>
      <c r="I120" s="190">
        <f>$M$3</f>
        <v>2019</v>
      </c>
      <c r="J120" s="191"/>
      <c r="K120" s="191"/>
      <c r="L120" s="211" t="s">
        <v>1064</v>
      </c>
      <c r="M120" s="186" t="s">
        <v>747</v>
      </c>
      <c r="N120" s="686">
        <f>LOOKUP($C$113, T_Stock_Private!$C$10:$C$20, T_Stock_Private!D$10:D$20)*(1+N27)</f>
        <v>0</v>
      </c>
      <c r="O120" s="686">
        <f>LOOKUP($C$113, T_Stock_Private!$C$10:$C$20, T_Stock_Private!E$10:E$20)*(1+O27)</f>
        <v>0</v>
      </c>
      <c r="P120" s="686">
        <f>LOOKUP($C$113, T_Stock_Private!$C$10:$C$20, T_Stock_Private!F$10:F$20)*(1+P27)</f>
        <v>0</v>
      </c>
      <c r="Q120" s="686">
        <f>LOOKUP($C$113, T_Stock_Private!$C$10:$C$20, T_Stock_Private!G$10:G$20)*(1+Q27)</f>
        <v>0</v>
      </c>
      <c r="R120" s="686">
        <f>LOOKUP($C$113, T_Stock_Private!$C$10:$C$20, T_Stock_Private!H$10:H$20)*(1+R27)</f>
        <v>0</v>
      </c>
      <c r="S120" s="686">
        <f>LOOKUP($C$113, T_Stock_Private!$C$10:$C$20, T_Stock_Private!I$10:I$20)*(1+S27)</f>
        <v>0</v>
      </c>
      <c r="T120" s="686">
        <f>LOOKUP($C$113, T_Stock_Private!$C$10:$C$20, T_Stock_Private!J$10:J$20)*(1+T27)</f>
        <v>0</v>
      </c>
      <c r="U120" s="686">
        <f>LOOKUP($C$113, T_Stock_Private!$C$10:$C$20, T_Stock_Private!K$10:K$20)*(1+U27)</f>
        <v>0</v>
      </c>
      <c r="V120" s="686">
        <f>LOOKUP($C$113, T_Stock_Private!$C$10:$C$20, T_Stock_Private!L$10:L$20)*(1+V27)</f>
        <v>0</v>
      </c>
      <c r="W120" s="686">
        <f>LOOKUP($C$113, T_Stock_Private!$C$10:$C$20, T_Stock_Private!M$10:M$20)*(1+W27)</f>
        <v>0</v>
      </c>
      <c r="X120" s="686">
        <f>LOOKUP($C$113, T_Stock_Private!$C$10:$C$20, T_Stock_Private!N$10:N$20)*(1+X27)</f>
        <v>0</v>
      </c>
      <c r="Y120" s="686">
        <f>LOOKUP($C$113, T_Stock_Private!$C$10:$C$20, T_Stock_Private!O$10:O$20)*(1+Y27)</f>
        <v>0</v>
      </c>
      <c r="Z120" s="686">
        <f>LOOKUP($C$113, T_Stock_Private!$C$10:$C$20, T_Stock_Private!P$10:P$20)*(1+Z27)</f>
        <v>0</v>
      </c>
      <c r="AA120" s="686">
        <f>LOOKUP($C$113, T_Stock_Private!$C$10:$C$20, T_Stock_Private!Q$10:Q$20)*(1+AA27)</f>
        <v>0</v>
      </c>
      <c r="AB120" s="686">
        <f>LOOKUP($C$113, T_Stock_Private!$C$10:$C$20, T_Stock_Private!R$10:R$20)*(1+AB27)</f>
        <v>0</v>
      </c>
      <c r="AC120" s="925"/>
      <c r="AE120" s="567"/>
      <c r="AV120" s="699" t="str">
        <f t="shared" si="113"/>
        <v/>
      </c>
    </row>
    <row r="121" spans="1:64" x14ac:dyDescent="0.3">
      <c r="A121" s="22"/>
      <c r="B121" s="186" t="str">
        <f t="shared" si="108"/>
        <v>TCARHYG100</v>
      </c>
      <c r="C121" s="186"/>
      <c r="D121" s="187"/>
      <c r="E121" s="186"/>
      <c r="F121" s="170"/>
      <c r="G121" s="213"/>
      <c r="H121" s="170"/>
      <c r="I121" s="190">
        <f>AF$5</f>
        <v>2020</v>
      </c>
      <c r="J121" s="191"/>
      <c r="K121" s="191"/>
      <c r="L121" s="211" t="s">
        <v>1064</v>
      </c>
      <c r="M121" s="186" t="s">
        <v>747</v>
      </c>
      <c r="N121" s="686">
        <f t="shared" ref="N121:AB121" si="115">N120*LOOKUP($AD113,$AG$4:$AO$4,$AG$5:$AO$5)</f>
        <v>0</v>
      </c>
      <c r="O121" s="686">
        <f t="shared" si="115"/>
        <v>0</v>
      </c>
      <c r="P121" s="686">
        <f t="shared" si="115"/>
        <v>0</v>
      </c>
      <c r="Q121" s="686">
        <f t="shared" si="115"/>
        <v>0</v>
      </c>
      <c r="R121" s="686">
        <f t="shared" si="115"/>
        <v>0</v>
      </c>
      <c r="S121" s="686">
        <f t="shared" si="115"/>
        <v>0</v>
      </c>
      <c r="T121" s="686">
        <f t="shared" si="115"/>
        <v>0</v>
      </c>
      <c r="U121" s="686">
        <f t="shared" si="115"/>
        <v>0</v>
      </c>
      <c r="V121" s="686">
        <f t="shared" si="115"/>
        <v>0</v>
      </c>
      <c r="W121" s="686">
        <f t="shared" si="115"/>
        <v>0</v>
      </c>
      <c r="X121" s="686">
        <f t="shared" si="115"/>
        <v>0</v>
      </c>
      <c r="Y121" s="686">
        <f t="shared" si="115"/>
        <v>0</v>
      </c>
      <c r="Z121" s="686">
        <f t="shared" si="115"/>
        <v>0</v>
      </c>
      <c r="AA121" s="686">
        <f t="shared" si="115"/>
        <v>0</v>
      </c>
      <c r="AB121" s="686">
        <f t="shared" si="115"/>
        <v>0</v>
      </c>
      <c r="AC121" s="925"/>
      <c r="AE121" s="568">
        <f>SUM(AF121:AT121)</f>
        <v>0</v>
      </c>
      <c r="AF121" s="567">
        <f t="shared" ref="AF121:AT121" si="116">N118*N119*N120/1000</f>
        <v>0</v>
      </c>
      <c r="AG121" s="567">
        <f t="shared" si="116"/>
        <v>0</v>
      </c>
      <c r="AH121" s="567">
        <f t="shared" si="116"/>
        <v>0</v>
      </c>
      <c r="AI121" s="567">
        <f t="shared" si="116"/>
        <v>0</v>
      </c>
      <c r="AJ121" s="567">
        <f t="shared" si="116"/>
        <v>0</v>
      </c>
      <c r="AK121" s="567">
        <f t="shared" si="116"/>
        <v>0</v>
      </c>
      <c r="AL121" s="567">
        <f t="shared" si="116"/>
        <v>0</v>
      </c>
      <c r="AM121" s="567">
        <f t="shared" si="116"/>
        <v>0</v>
      </c>
      <c r="AN121" s="567">
        <f t="shared" si="116"/>
        <v>0</v>
      </c>
      <c r="AO121" s="567">
        <f t="shared" si="116"/>
        <v>0</v>
      </c>
      <c r="AP121" s="567">
        <f t="shared" si="116"/>
        <v>0</v>
      </c>
      <c r="AQ121" s="567">
        <f t="shared" si="116"/>
        <v>0</v>
      </c>
      <c r="AR121" s="567">
        <f t="shared" si="116"/>
        <v>0</v>
      </c>
      <c r="AS121" s="567">
        <f t="shared" si="116"/>
        <v>0</v>
      </c>
      <c r="AT121" s="567">
        <f t="shared" si="116"/>
        <v>0</v>
      </c>
      <c r="AV121" s="699" t="str">
        <f t="shared" si="113"/>
        <v/>
      </c>
    </row>
    <row r="122" spans="1:64" x14ac:dyDescent="0.3">
      <c r="A122" s="22"/>
      <c r="B122" s="186" t="str">
        <f t="shared" si="108"/>
        <v>TCARHYG100</v>
      </c>
      <c r="C122" s="186"/>
      <c r="D122" s="187"/>
      <c r="E122" s="186"/>
      <c r="F122" s="170"/>
      <c r="G122" s="213"/>
      <c r="H122" s="170"/>
      <c r="I122" s="190">
        <f>AF$6</f>
        <v>2025</v>
      </c>
      <c r="J122" s="191"/>
      <c r="K122" s="191"/>
      <c r="L122" s="211" t="s">
        <v>1064</v>
      </c>
      <c r="M122" s="186" t="s">
        <v>747</v>
      </c>
      <c r="N122" s="686">
        <f t="shared" ref="N122:AB122" si="117">N120*LOOKUP($AD113,$AG$4:$AO$4,$AG$6:$AO$6)</f>
        <v>0</v>
      </c>
      <c r="O122" s="686">
        <f t="shared" si="117"/>
        <v>0</v>
      </c>
      <c r="P122" s="686">
        <f t="shared" si="117"/>
        <v>0</v>
      </c>
      <c r="Q122" s="686">
        <f t="shared" si="117"/>
        <v>0</v>
      </c>
      <c r="R122" s="686">
        <f t="shared" si="117"/>
        <v>0</v>
      </c>
      <c r="S122" s="686">
        <f t="shared" si="117"/>
        <v>0</v>
      </c>
      <c r="T122" s="686">
        <f t="shared" si="117"/>
        <v>0</v>
      </c>
      <c r="U122" s="686">
        <f t="shared" si="117"/>
        <v>0</v>
      </c>
      <c r="V122" s="686">
        <f t="shared" si="117"/>
        <v>0</v>
      </c>
      <c r="W122" s="686">
        <f t="shared" si="117"/>
        <v>0</v>
      </c>
      <c r="X122" s="686">
        <f t="shared" si="117"/>
        <v>0</v>
      </c>
      <c r="Y122" s="686">
        <f t="shared" si="117"/>
        <v>0</v>
      </c>
      <c r="Z122" s="686">
        <f t="shared" si="117"/>
        <v>0</v>
      </c>
      <c r="AA122" s="686">
        <f t="shared" si="117"/>
        <v>0</v>
      </c>
      <c r="AB122" s="686">
        <f t="shared" si="117"/>
        <v>0</v>
      </c>
      <c r="AC122" s="925"/>
      <c r="AE122" s="567"/>
      <c r="AV122" s="699" t="str">
        <f t="shared" si="113"/>
        <v/>
      </c>
    </row>
    <row r="123" spans="1:64" x14ac:dyDescent="0.3">
      <c r="A123" s="22"/>
      <c r="B123" s="186" t="str">
        <f t="shared" si="108"/>
        <v>TCARHYG100</v>
      </c>
      <c r="C123" s="186"/>
      <c r="D123" s="187"/>
      <c r="E123" s="186"/>
      <c r="F123" s="170"/>
      <c r="G123" s="213"/>
      <c r="H123" s="170"/>
      <c r="I123" s="190">
        <v>2025</v>
      </c>
      <c r="J123" s="191"/>
      <c r="K123" s="191"/>
      <c r="L123" s="211" t="s">
        <v>1064</v>
      </c>
      <c r="M123" s="186" t="s">
        <v>747</v>
      </c>
      <c r="N123" s="686">
        <f t="shared" ref="N123:AB123" si="118">N120*LOOKUP($AD113,$AG$4:$AO$4,$AG$7:$AO$7)</f>
        <v>0</v>
      </c>
      <c r="O123" s="686">
        <f t="shared" si="118"/>
        <v>0</v>
      </c>
      <c r="P123" s="686">
        <f t="shared" si="118"/>
        <v>0</v>
      </c>
      <c r="Q123" s="686">
        <f t="shared" si="118"/>
        <v>0</v>
      </c>
      <c r="R123" s="686">
        <f t="shared" si="118"/>
        <v>0</v>
      </c>
      <c r="S123" s="686">
        <f t="shared" si="118"/>
        <v>0</v>
      </c>
      <c r="T123" s="686">
        <f t="shared" si="118"/>
        <v>0</v>
      </c>
      <c r="U123" s="686">
        <f t="shared" si="118"/>
        <v>0</v>
      </c>
      <c r="V123" s="686">
        <f t="shared" si="118"/>
        <v>0</v>
      </c>
      <c r="W123" s="686">
        <f t="shared" si="118"/>
        <v>0</v>
      </c>
      <c r="X123" s="686">
        <f t="shared" si="118"/>
        <v>0</v>
      </c>
      <c r="Y123" s="686">
        <f t="shared" si="118"/>
        <v>0</v>
      </c>
      <c r="Z123" s="686">
        <f t="shared" si="118"/>
        <v>0</v>
      </c>
      <c r="AA123" s="686">
        <f t="shared" si="118"/>
        <v>0</v>
      </c>
      <c r="AB123" s="686">
        <f t="shared" si="118"/>
        <v>0</v>
      </c>
      <c r="AC123" s="925"/>
      <c r="AE123" s="567"/>
      <c r="AV123" s="699" t="str">
        <f t="shared" si="113"/>
        <v/>
      </c>
    </row>
    <row r="124" spans="1:64" x14ac:dyDescent="0.3">
      <c r="A124" s="22"/>
      <c r="B124" s="186" t="str">
        <f t="shared" si="108"/>
        <v>TCARHYG100</v>
      </c>
      <c r="C124" s="186"/>
      <c r="D124" s="187"/>
      <c r="E124" s="186"/>
      <c r="F124" s="170"/>
      <c r="G124" s="213"/>
      <c r="H124" s="170"/>
      <c r="I124" s="190">
        <f>AF$8</f>
        <v>2035</v>
      </c>
      <c r="J124" s="191"/>
      <c r="K124" s="191"/>
      <c r="L124" s="211" t="s">
        <v>1064</v>
      </c>
      <c r="M124" s="186" t="s">
        <v>747</v>
      </c>
      <c r="N124" s="686">
        <f t="shared" ref="N124:AB124" si="119">N120*LOOKUP($AD113,$AG$4:$AO$4,$AG$8:$AO$8)</f>
        <v>0</v>
      </c>
      <c r="O124" s="686">
        <f t="shared" si="119"/>
        <v>0</v>
      </c>
      <c r="P124" s="686">
        <f t="shared" si="119"/>
        <v>0</v>
      </c>
      <c r="Q124" s="686">
        <f t="shared" si="119"/>
        <v>0</v>
      </c>
      <c r="R124" s="686">
        <f t="shared" si="119"/>
        <v>0</v>
      </c>
      <c r="S124" s="686">
        <f t="shared" si="119"/>
        <v>0</v>
      </c>
      <c r="T124" s="686">
        <f t="shared" si="119"/>
        <v>0</v>
      </c>
      <c r="U124" s="686">
        <f t="shared" si="119"/>
        <v>0</v>
      </c>
      <c r="V124" s="686">
        <f t="shared" si="119"/>
        <v>0</v>
      </c>
      <c r="W124" s="686">
        <f t="shared" si="119"/>
        <v>0</v>
      </c>
      <c r="X124" s="686">
        <f t="shared" si="119"/>
        <v>0</v>
      </c>
      <c r="Y124" s="686">
        <f t="shared" si="119"/>
        <v>0</v>
      </c>
      <c r="Z124" s="686">
        <f t="shared" si="119"/>
        <v>0</v>
      </c>
      <c r="AA124" s="686">
        <f t="shared" si="119"/>
        <v>0</v>
      </c>
      <c r="AB124" s="686">
        <f t="shared" si="119"/>
        <v>0</v>
      </c>
      <c r="AC124" s="925"/>
      <c r="AE124" s="567"/>
      <c r="AV124" s="699" t="str">
        <f t="shared" si="113"/>
        <v/>
      </c>
    </row>
    <row r="125" spans="1:64" x14ac:dyDescent="0.3">
      <c r="A125" s="22"/>
      <c r="B125" s="186" t="str">
        <f t="shared" si="108"/>
        <v>TCARHYG100</v>
      </c>
      <c r="C125" s="186"/>
      <c r="D125" s="187"/>
      <c r="E125" s="186"/>
      <c r="F125" s="170"/>
      <c r="G125" s="213"/>
      <c r="H125" s="170"/>
      <c r="I125" s="190">
        <f>AF$9</f>
        <v>2040</v>
      </c>
      <c r="J125" s="191"/>
      <c r="K125" s="191"/>
      <c r="L125" s="211" t="s">
        <v>1064</v>
      </c>
      <c r="M125" s="186" t="s">
        <v>747</v>
      </c>
      <c r="N125" s="686">
        <f t="shared" ref="N125:AB125" si="120">N120*LOOKUP($AD113,$AG$4:$AO$4,$AG$9:$AO$9)</f>
        <v>0</v>
      </c>
      <c r="O125" s="686">
        <f t="shared" si="120"/>
        <v>0</v>
      </c>
      <c r="P125" s="686">
        <f t="shared" si="120"/>
        <v>0</v>
      </c>
      <c r="Q125" s="686">
        <f t="shared" si="120"/>
        <v>0</v>
      </c>
      <c r="R125" s="686">
        <f t="shared" si="120"/>
        <v>0</v>
      </c>
      <c r="S125" s="686">
        <f t="shared" si="120"/>
        <v>0</v>
      </c>
      <c r="T125" s="686">
        <f t="shared" si="120"/>
        <v>0</v>
      </c>
      <c r="U125" s="686">
        <f t="shared" si="120"/>
        <v>0</v>
      </c>
      <c r="V125" s="686">
        <f t="shared" si="120"/>
        <v>0</v>
      </c>
      <c r="W125" s="686">
        <f t="shared" si="120"/>
        <v>0</v>
      </c>
      <c r="X125" s="686">
        <f t="shared" si="120"/>
        <v>0</v>
      </c>
      <c r="Y125" s="686">
        <f t="shared" si="120"/>
        <v>0</v>
      </c>
      <c r="Z125" s="686">
        <f t="shared" si="120"/>
        <v>0</v>
      </c>
      <c r="AA125" s="686">
        <f t="shared" si="120"/>
        <v>0</v>
      </c>
      <c r="AB125" s="686">
        <f t="shared" si="120"/>
        <v>0</v>
      </c>
      <c r="AC125" s="925"/>
      <c r="AE125" s="567"/>
      <c r="AV125" s="699" t="str">
        <f t="shared" si="113"/>
        <v/>
      </c>
    </row>
    <row r="126" spans="1:64" x14ac:dyDescent="0.3">
      <c r="A126" s="22"/>
      <c r="B126" s="193" t="str">
        <f t="shared" si="108"/>
        <v>TCARHYG100</v>
      </c>
      <c r="C126" s="193"/>
      <c r="D126" s="194"/>
      <c r="E126" s="193"/>
      <c r="F126" s="196"/>
      <c r="G126" s="215"/>
      <c r="H126" s="196"/>
      <c r="I126" s="197">
        <f>AF$10</f>
        <v>2050</v>
      </c>
      <c r="J126" s="198"/>
      <c r="K126" s="198"/>
      <c r="L126" s="212" t="s">
        <v>1064</v>
      </c>
      <c r="M126" s="193" t="s">
        <v>747</v>
      </c>
      <c r="N126" s="687">
        <f t="shared" ref="N126:AB126" si="121">N120*LOOKUP($AD113,$AG$4:$AO$4,$AG$10:$AO$10)</f>
        <v>0</v>
      </c>
      <c r="O126" s="687">
        <f t="shared" si="121"/>
        <v>0</v>
      </c>
      <c r="P126" s="687">
        <f t="shared" si="121"/>
        <v>0</v>
      </c>
      <c r="Q126" s="687">
        <f t="shared" si="121"/>
        <v>0</v>
      </c>
      <c r="R126" s="687">
        <f t="shared" si="121"/>
        <v>0</v>
      </c>
      <c r="S126" s="687">
        <f t="shared" si="121"/>
        <v>0</v>
      </c>
      <c r="T126" s="687">
        <f t="shared" si="121"/>
        <v>0</v>
      </c>
      <c r="U126" s="687">
        <f t="shared" si="121"/>
        <v>0</v>
      </c>
      <c r="V126" s="687">
        <f t="shared" si="121"/>
        <v>0</v>
      </c>
      <c r="W126" s="687">
        <f t="shared" si="121"/>
        <v>0</v>
      </c>
      <c r="X126" s="687">
        <f t="shared" si="121"/>
        <v>0</v>
      </c>
      <c r="Y126" s="687">
        <f t="shared" si="121"/>
        <v>0</v>
      </c>
      <c r="Z126" s="687">
        <f t="shared" si="121"/>
        <v>0</v>
      </c>
      <c r="AA126" s="687">
        <f t="shared" si="121"/>
        <v>0</v>
      </c>
      <c r="AB126" s="687">
        <f t="shared" si="121"/>
        <v>0</v>
      </c>
      <c r="AC126" s="925"/>
      <c r="AE126" s="567"/>
      <c r="AV126" s="699" t="str">
        <f t="shared" si="113"/>
        <v/>
      </c>
    </row>
    <row r="127" spans="1:64" x14ac:dyDescent="0.3">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6"/>
      <c r="AD127" s="402" t="str">
        <f>MID(D127,5,3)</f>
        <v>LPG</v>
      </c>
      <c r="AE127" s="567"/>
      <c r="AV127" s="699" t="str">
        <f t="shared" si="113"/>
        <v>TRALPG</v>
      </c>
      <c r="AW127" s="567">
        <f>SUM(AX127:BL127)</f>
        <v>0</v>
      </c>
      <c r="AX127" s="567">
        <f t="shared" ref="AX127:BL127" si="123">N$131*N$132/N$129/1000</f>
        <v>0</v>
      </c>
      <c r="AY127" s="567">
        <f t="shared" si="123"/>
        <v>0</v>
      </c>
      <c r="AZ127" s="567">
        <f t="shared" si="123"/>
        <v>0</v>
      </c>
      <c r="BA127" s="567">
        <f t="shared" si="123"/>
        <v>0</v>
      </c>
      <c r="BB127" s="567">
        <f t="shared" si="123"/>
        <v>0</v>
      </c>
      <c r="BC127" s="567">
        <f t="shared" si="123"/>
        <v>0</v>
      </c>
      <c r="BD127" s="567">
        <f t="shared" si="123"/>
        <v>0</v>
      </c>
      <c r="BE127" s="567">
        <f t="shared" si="123"/>
        <v>0</v>
      </c>
      <c r="BF127" s="567">
        <f t="shared" si="123"/>
        <v>0</v>
      </c>
      <c r="BG127" s="567">
        <f t="shared" si="123"/>
        <v>0</v>
      </c>
      <c r="BH127" s="567">
        <f t="shared" si="123"/>
        <v>0</v>
      </c>
      <c r="BI127" s="567">
        <f t="shared" si="123"/>
        <v>0</v>
      </c>
      <c r="BJ127" s="567">
        <f t="shared" si="123"/>
        <v>0</v>
      </c>
      <c r="BK127" s="567">
        <f t="shared" si="123"/>
        <v>0</v>
      </c>
      <c r="BL127" s="567">
        <f t="shared" si="123"/>
        <v>0</v>
      </c>
    </row>
    <row r="128" spans="1:64" x14ac:dyDescent="0.3">
      <c r="A128" s="22"/>
      <c r="B128" s="186" t="str">
        <f>B127</f>
        <v>TCARLPG100</v>
      </c>
      <c r="C128" s="186"/>
      <c r="D128" s="187"/>
      <c r="E128" s="186"/>
      <c r="F128" s="170"/>
      <c r="G128" s="214" t="s">
        <v>402</v>
      </c>
      <c r="H128" s="170"/>
      <c r="I128" s="190"/>
      <c r="J128" s="191"/>
      <c r="K128" s="191"/>
      <c r="L128" s="191" t="s">
        <v>1125</v>
      </c>
      <c r="M128" s="186" t="s">
        <v>677</v>
      </c>
      <c r="N128" s="673">
        <f>T_CEFF!H48</f>
        <v>0.38646999999999998</v>
      </c>
      <c r="O128" s="673">
        <f>T_CEFF!I48</f>
        <v>0.38646999999999998</v>
      </c>
      <c r="P128" s="673">
        <f>T_CEFF!J48</f>
        <v>0.38646999999999998</v>
      </c>
      <c r="Q128" s="673">
        <f>T_CEFF!K48</f>
        <v>0.38646999999999998</v>
      </c>
      <c r="R128" s="673">
        <f>T_CEFF!L48</f>
        <v>0.38646999999999998</v>
      </c>
      <c r="S128" s="673">
        <f>T_CEFF!M48</f>
        <v>0.38646999999999998</v>
      </c>
      <c r="T128" s="673">
        <f>T_CEFF!N48</f>
        <v>0.38646999999999998</v>
      </c>
      <c r="U128" s="673">
        <f>T_CEFF!O48</f>
        <v>0.38646999999999998</v>
      </c>
      <c r="V128" s="673">
        <f>T_CEFF!P48</f>
        <v>0.38646999999999998</v>
      </c>
      <c r="W128" s="673">
        <f>T_CEFF!Q48</f>
        <v>0.38646999999999998</v>
      </c>
      <c r="X128" s="673">
        <f>T_CEFF!R48</f>
        <v>0.38646999999999998</v>
      </c>
      <c r="Y128" s="673">
        <f>T_CEFF!S48</f>
        <v>0.38646999999999998</v>
      </c>
      <c r="Z128" s="673">
        <f>T_CEFF!T48</f>
        <v>0.38646999999999998</v>
      </c>
      <c r="AA128" s="673">
        <f>T_CEFF!U48</f>
        <v>0.38646999999999998</v>
      </c>
      <c r="AB128" s="673">
        <f>T_CEFF!V48</f>
        <v>0.38646999999999998</v>
      </c>
      <c r="AC128" s="928"/>
      <c r="AD128" s="66" t="str">
        <f>IF(COUNTIF($AG$4:$AP$4,AD127)=1,"ok","MISSING")</f>
        <v>ok</v>
      </c>
      <c r="AE128" s="567"/>
      <c r="AV128" s="699" t="str">
        <f t="shared" si="113"/>
        <v/>
      </c>
    </row>
    <row r="129" spans="1:64" x14ac:dyDescent="0.3">
      <c r="A129" s="22"/>
      <c r="B129" s="186" t="str">
        <f t="shared" ref="B129:B138" si="124">B128</f>
        <v>TCARLPG100</v>
      </c>
      <c r="C129" s="186"/>
      <c r="D129" s="187"/>
      <c r="E129" s="186"/>
      <c r="F129" s="170"/>
      <c r="G129" s="214" t="s">
        <v>404</v>
      </c>
      <c r="H129" s="170"/>
      <c r="I129" s="190"/>
      <c r="J129" s="191"/>
      <c r="K129" s="191"/>
      <c r="L129" s="191" t="s">
        <v>1125</v>
      </c>
      <c r="M129" s="186" t="s">
        <v>677</v>
      </c>
      <c r="N129" s="673">
        <f>T_CEFF!H49</f>
        <v>0.31873000000000001</v>
      </c>
      <c r="O129" s="673">
        <f>T_CEFF!I49</f>
        <v>0.31873000000000001</v>
      </c>
      <c r="P129" s="673">
        <f>T_CEFF!J49</f>
        <v>0.31873000000000001</v>
      </c>
      <c r="Q129" s="673">
        <f>T_CEFF!K49</f>
        <v>0.31873000000000001</v>
      </c>
      <c r="R129" s="673">
        <f>T_CEFF!L49</f>
        <v>0.31873000000000001</v>
      </c>
      <c r="S129" s="673">
        <f>T_CEFF!M49</f>
        <v>0.31873000000000001</v>
      </c>
      <c r="T129" s="673">
        <f>T_CEFF!N49</f>
        <v>0.31873000000000001</v>
      </c>
      <c r="U129" s="673">
        <f>T_CEFF!O49</f>
        <v>0.31873000000000001</v>
      </c>
      <c r="V129" s="673">
        <f>T_CEFF!P49</f>
        <v>0.31873000000000001</v>
      </c>
      <c r="W129" s="673">
        <f>T_CEFF!Q49</f>
        <v>0.31873000000000001</v>
      </c>
      <c r="X129" s="673">
        <f>T_CEFF!R49</f>
        <v>0.31873000000000001</v>
      </c>
      <c r="Y129" s="673">
        <f>T_CEFF!S49</f>
        <v>0.31873000000000001</v>
      </c>
      <c r="Z129" s="673">
        <f>T_CEFF!T49</f>
        <v>0.31873000000000001</v>
      </c>
      <c r="AA129" s="673">
        <f>T_CEFF!U49</f>
        <v>0.31873000000000001</v>
      </c>
      <c r="AB129" s="673">
        <f>T_CEFF!V49</f>
        <v>0.31873000000000001</v>
      </c>
      <c r="AC129" s="928"/>
      <c r="AE129" s="567"/>
      <c r="AV129" s="699" t="str">
        <f t="shared" si="113"/>
        <v/>
      </c>
    </row>
    <row r="130" spans="1:64" x14ac:dyDescent="0.3">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19"/>
      <c r="AE130" s="567"/>
      <c r="AV130" s="699" t="str">
        <f t="shared" si="113"/>
        <v/>
      </c>
    </row>
    <row r="131" spans="1:64" x14ac:dyDescent="0.3">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7"/>
      <c r="AV131" s="699" t="str">
        <f t="shared" si="113"/>
        <v/>
      </c>
    </row>
    <row r="132" spans="1:64" x14ac:dyDescent="0.3">
      <c r="A132" s="22"/>
      <c r="B132" s="186" t="str">
        <f t="shared" si="124"/>
        <v>TCARLPG100</v>
      </c>
      <c r="C132" s="186"/>
      <c r="D132" s="187"/>
      <c r="E132" s="186"/>
      <c r="F132" s="170"/>
      <c r="G132" s="189"/>
      <c r="H132" s="170"/>
      <c r="I132" s="190">
        <f>$M$3</f>
        <v>2019</v>
      </c>
      <c r="J132" s="191"/>
      <c r="K132" s="191"/>
      <c r="L132" s="211" t="s">
        <v>1064</v>
      </c>
      <c r="M132" s="186" t="s">
        <v>747</v>
      </c>
      <c r="N132" s="686">
        <f>LOOKUP($C$127, T_Stock_Private!$C$10:$C$20, T_Stock_Private!D$10:D$20)*(1+N27)</f>
        <v>0</v>
      </c>
      <c r="O132" s="686">
        <f>LOOKUP($C$127, T_Stock_Private!$C$10:$C$20, T_Stock_Private!E$10:E$20)*(1+O27)</f>
        <v>0</v>
      </c>
      <c r="P132" s="686">
        <f>LOOKUP($C$127, T_Stock_Private!$C$10:$C$20, T_Stock_Private!F$10:F$20)*(1+P27)</f>
        <v>0</v>
      </c>
      <c r="Q132" s="686">
        <f>LOOKUP($C$127, T_Stock_Private!$C$10:$C$20, T_Stock_Private!G$10:G$20)*(1+Q27)</f>
        <v>0</v>
      </c>
      <c r="R132" s="686">
        <f>LOOKUP($C$127, T_Stock_Private!$C$10:$C$20, T_Stock_Private!H$10:H$20)*(1+R27)</f>
        <v>0</v>
      </c>
      <c r="S132" s="686">
        <f>LOOKUP($C$127, T_Stock_Private!$C$10:$C$20, T_Stock_Private!I$10:I$20)*(1+S27)</f>
        <v>0</v>
      </c>
      <c r="T132" s="686">
        <f>LOOKUP($C$127, T_Stock_Private!$C$10:$C$20, T_Stock_Private!J$10:J$20)*(1+T27)</f>
        <v>0</v>
      </c>
      <c r="U132" s="686">
        <f>LOOKUP($C$127, T_Stock_Private!$C$10:$C$20, T_Stock_Private!K$10:K$20)*(1+U27)</f>
        <v>0</v>
      </c>
      <c r="V132" s="686">
        <f>LOOKUP($C$127, T_Stock_Private!$C$10:$C$20, T_Stock_Private!L$10:L$20)*(1+V27)</f>
        <v>0</v>
      </c>
      <c r="W132" s="686">
        <f>LOOKUP($C$127, T_Stock_Private!$C$10:$C$20, T_Stock_Private!M$10:M$20)*(1+W27)</f>
        <v>0</v>
      </c>
      <c r="X132" s="686">
        <f>LOOKUP($C$127, T_Stock_Private!$C$10:$C$20, T_Stock_Private!N$10:N$20)*(1+X27)</f>
        <v>0</v>
      </c>
      <c r="Y132" s="686">
        <f>LOOKUP($C$127, T_Stock_Private!$C$10:$C$20, T_Stock_Private!O$10:O$20)*(1+Y27)</f>
        <v>0</v>
      </c>
      <c r="Z132" s="686">
        <f>LOOKUP($C$127, T_Stock_Private!$C$10:$C$20, T_Stock_Private!P$10:P$20)*(1+Z27)</f>
        <v>0</v>
      </c>
      <c r="AA132" s="686">
        <f>LOOKUP($C$127, T_Stock_Private!$C$10:$C$20, T_Stock_Private!Q$10:Q$20)*(1+AA27)</f>
        <v>0</v>
      </c>
      <c r="AB132" s="686">
        <f>LOOKUP($C$127, T_Stock_Private!$C$10:$C$20, T_Stock_Private!R$10:R$20)*(1+AB27)</f>
        <v>0</v>
      </c>
      <c r="AC132" s="925"/>
      <c r="AE132" s="567"/>
      <c r="AV132" s="699" t="str">
        <f t="shared" si="113"/>
        <v/>
      </c>
    </row>
    <row r="133" spans="1:64" x14ac:dyDescent="0.3">
      <c r="A133" s="22"/>
      <c r="B133" s="186" t="str">
        <f t="shared" si="124"/>
        <v>TCARLPG100</v>
      </c>
      <c r="C133" s="186"/>
      <c r="D133" s="187"/>
      <c r="E133" s="186"/>
      <c r="F133" s="170"/>
      <c r="G133" s="189"/>
      <c r="H133" s="170"/>
      <c r="I133" s="190">
        <f>AF$5</f>
        <v>2020</v>
      </c>
      <c r="J133" s="191"/>
      <c r="K133" s="191"/>
      <c r="L133" s="211" t="s">
        <v>1064</v>
      </c>
      <c r="M133" s="186" t="s">
        <v>747</v>
      </c>
      <c r="N133" s="686">
        <f t="shared" ref="N133:AB133" si="126">N132*LOOKUP($AD127,$AG$4:$AO$4,$AG$5:$AO$5)</f>
        <v>0</v>
      </c>
      <c r="O133" s="686">
        <f t="shared" si="126"/>
        <v>0</v>
      </c>
      <c r="P133" s="686">
        <f t="shared" si="126"/>
        <v>0</v>
      </c>
      <c r="Q133" s="686">
        <f t="shared" si="126"/>
        <v>0</v>
      </c>
      <c r="R133" s="686">
        <f t="shared" si="126"/>
        <v>0</v>
      </c>
      <c r="S133" s="686">
        <f t="shared" si="126"/>
        <v>0</v>
      </c>
      <c r="T133" s="686">
        <f t="shared" si="126"/>
        <v>0</v>
      </c>
      <c r="U133" s="686">
        <f t="shared" si="126"/>
        <v>0</v>
      </c>
      <c r="V133" s="686">
        <f t="shared" si="126"/>
        <v>0</v>
      </c>
      <c r="W133" s="686">
        <f t="shared" si="126"/>
        <v>0</v>
      </c>
      <c r="X133" s="686">
        <f t="shared" si="126"/>
        <v>0</v>
      </c>
      <c r="Y133" s="686">
        <f t="shared" si="126"/>
        <v>0</v>
      </c>
      <c r="Z133" s="686">
        <f t="shared" si="126"/>
        <v>0</v>
      </c>
      <c r="AA133" s="686">
        <f t="shared" si="126"/>
        <v>0</v>
      </c>
      <c r="AB133" s="686">
        <f t="shared" si="126"/>
        <v>0</v>
      </c>
      <c r="AC133" s="925"/>
      <c r="AE133" s="568">
        <f>SUM(AF133:AT133)</f>
        <v>0</v>
      </c>
      <c r="AF133" s="567">
        <f t="shared" ref="AF133:AT133" si="127">N130*N131*N132/1000</f>
        <v>0</v>
      </c>
      <c r="AG133" s="567">
        <f t="shared" si="127"/>
        <v>0</v>
      </c>
      <c r="AH133" s="567">
        <f t="shared" si="127"/>
        <v>0</v>
      </c>
      <c r="AI133" s="567">
        <f t="shared" si="127"/>
        <v>0</v>
      </c>
      <c r="AJ133" s="567">
        <f t="shared" si="127"/>
        <v>0</v>
      </c>
      <c r="AK133" s="567">
        <f t="shared" si="127"/>
        <v>0</v>
      </c>
      <c r="AL133" s="567">
        <f t="shared" si="127"/>
        <v>0</v>
      </c>
      <c r="AM133" s="567">
        <f t="shared" si="127"/>
        <v>0</v>
      </c>
      <c r="AN133" s="567">
        <f t="shared" si="127"/>
        <v>0</v>
      </c>
      <c r="AO133" s="567">
        <f t="shared" si="127"/>
        <v>0</v>
      </c>
      <c r="AP133" s="567">
        <f t="shared" si="127"/>
        <v>0</v>
      </c>
      <c r="AQ133" s="567">
        <f t="shared" si="127"/>
        <v>0</v>
      </c>
      <c r="AR133" s="567">
        <f t="shared" si="127"/>
        <v>0</v>
      </c>
      <c r="AS133" s="567">
        <f t="shared" si="127"/>
        <v>0</v>
      </c>
      <c r="AT133" s="567">
        <f t="shared" si="127"/>
        <v>0</v>
      </c>
      <c r="AV133" s="699" t="str">
        <f t="shared" si="113"/>
        <v/>
      </c>
    </row>
    <row r="134" spans="1:64" x14ac:dyDescent="0.3">
      <c r="A134" s="22"/>
      <c r="B134" s="186" t="str">
        <f t="shared" si="124"/>
        <v>TCARLPG100</v>
      </c>
      <c r="C134" s="186"/>
      <c r="D134" s="187"/>
      <c r="E134" s="186"/>
      <c r="F134" s="170"/>
      <c r="G134" s="189"/>
      <c r="H134" s="170"/>
      <c r="I134" s="190">
        <f>AF$6</f>
        <v>2025</v>
      </c>
      <c r="J134" s="191"/>
      <c r="K134" s="191"/>
      <c r="L134" s="211" t="s">
        <v>1064</v>
      </c>
      <c r="M134" s="186" t="s">
        <v>747</v>
      </c>
      <c r="N134" s="686">
        <f t="shared" ref="N134:AB134" si="128">N132*LOOKUP($AD127,$AG$4:$AO$4,$AG$6:$AO$6)</f>
        <v>0</v>
      </c>
      <c r="O134" s="686">
        <f t="shared" si="128"/>
        <v>0</v>
      </c>
      <c r="P134" s="686">
        <f t="shared" si="128"/>
        <v>0</v>
      </c>
      <c r="Q134" s="686">
        <f t="shared" si="128"/>
        <v>0</v>
      </c>
      <c r="R134" s="686">
        <f t="shared" si="128"/>
        <v>0</v>
      </c>
      <c r="S134" s="686">
        <f t="shared" si="128"/>
        <v>0</v>
      </c>
      <c r="T134" s="686">
        <f t="shared" si="128"/>
        <v>0</v>
      </c>
      <c r="U134" s="686">
        <f t="shared" si="128"/>
        <v>0</v>
      </c>
      <c r="V134" s="686">
        <f t="shared" si="128"/>
        <v>0</v>
      </c>
      <c r="W134" s="686">
        <f t="shared" si="128"/>
        <v>0</v>
      </c>
      <c r="X134" s="686">
        <f t="shared" si="128"/>
        <v>0</v>
      </c>
      <c r="Y134" s="686">
        <f t="shared" si="128"/>
        <v>0</v>
      </c>
      <c r="Z134" s="686">
        <f t="shared" si="128"/>
        <v>0</v>
      </c>
      <c r="AA134" s="686">
        <f t="shared" si="128"/>
        <v>0</v>
      </c>
      <c r="AB134" s="686">
        <f t="shared" si="128"/>
        <v>0</v>
      </c>
      <c r="AC134" s="925"/>
      <c r="AE134" s="567"/>
      <c r="AV134" s="699" t="str">
        <f t="shared" si="113"/>
        <v/>
      </c>
    </row>
    <row r="135" spans="1:64" x14ac:dyDescent="0.3">
      <c r="A135" s="22"/>
      <c r="B135" s="186" t="str">
        <f t="shared" si="124"/>
        <v>TCARLPG100</v>
      </c>
      <c r="C135" s="186"/>
      <c r="D135" s="187"/>
      <c r="E135" s="186"/>
      <c r="F135" s="170"/>
      <c r="G135" s="189"/>
      <c r="H135" s="170"/>
      <c r="I135" s="190">
        <f>AF$7</f>
        <v>2030</v>
      </c>
      <c r="J135" s="191"/>
      <c r="K135" s="191"/>
      <c r="L135" s="211" t="s">
        <v>1064</v>
      </c>
      <c r="M135" s="186" t="s">
        <v>747</v>
      </c>
      <c r="N135" s="686">
        <f t="shared" ref="N135:AB135" si="129">N132*LOOKUP($AD127,$AG$4:$AO$4,$AG$7:$AO$7)</f>
        <v>0</v>
      </c>
      <c r="O135" s="686">
        <f t="shared" si="129"/>
        <v>0</v>
      </c>
      <c r="P135" s="686">
        <f t="shared" si="129"/>
        <v>0</v>
      </c>
      <c r="Q135" s="686">
        <f t="shared" si="129"/>
        <v>0</v>
      </c>
      <c r="R135" s="686">
        <f t="shared" si="129"/>
        <v>0</v>
      </c>
      <c r="S135" s="686">
        <f t="shared" si="129"/>
        <v>0</v>
      </c>
      <c r="T135" s="686">
        <f t="shared" si="129"/>
        <v>0</v>
      </c>
      <c r="U135" s="686">
        <f t="shared" si="129"/>
        <v>0</v>
      </c>
      <c r="V135" s="686">
        <f t="shared" si="129"/>
        <v>0</v>
      </c>
      <c r="W135" s="686">
        <f t="shared" si="129"/>
        <v>0</v>
      </c>
      <c r="X135" s="686">
        <f t="shared" si="129"/>
        <v>0</v>
      </c>
      <c r="Y135" s="686">
        <f t="shared" si="129"/>
        <v>0</v>
      </c>
      <c r="Z135" s="686">
        <f t="shared" si="129"/>
        <v>0</v>
      </c>
      <c r="AA135" s="686">
        <f t="shared" si="129"/>
        <v>0</v>
      </c>
      <c r="AB135" s="686">
        <f t="shared" si="129"/>
        <v>0</v>
      </c>
      <c r="AC135" s="925"/>
      <c r="AE135" s="567"/>
      <c r="AV135" s="699" t="str">
        <f t="shared" si="113"/>
        <v/>
      </c>
    </row>
    <row r="136" spans="1:64" x14ac:dyDescent="0.3">
      <c r="A136" s="22"/>
      <c r="B136" s="186" t="str">
        <f t="shared" si="124"/>
        <v>TCARLPG100</v>
      </c>
      <c r="C136" s="186"/>
      <c r="D136" s="187"/>
      <c r="E136" s="186"/>
      <c r="F136" s="170"/>
      <c r="G136" s="189"/>
      <c r="H136" s="170"/>
      <c r="I136" s="190">
        <f>AF$8</f>
        <v>2035</v>
      </c>
      <c r="J136" s="191"/>
      <c r="K136" s="191"/>
      <c r="L136" s="211" t="s">
        <v>1064</v>
      </c>
      <c r="M136" s="186" t="s">
        <v>747</v>
      </c>
      <c r="N136" s="686">
        <f t="shared" ref="N136:AB136" si="130">N132*LOOKUP($AD127,$AG$4:$AO$4,$AG$8:$AO$8)</f>
        <v>0</v>
      </c>
      <c r="O136" s="686">
        <f t="shared" si="130"/>
        <v>0</v>
      </c>
      <c r="P136" s="686">
        <f t="shared" si="130"/>
        <v>0</v>
      </c>
      <c r="Q136" s="686">
        <f t="shared" si="130"/>
        <v>0</v>
      </c>
      <c r="R136" s="686">
        <f t="shared" si="130"/>
        <v>0</v>
      </c>
      <c r="S136" s="686">
        <f t="shared" si="130"/>
        <v>0</v>
      </c>
      <c r="T136" s="686">
        <f t="shared" si="130"/>
        <v>0</v>
      </c>
      <c r="U136" s="686">
        <f t="shared" si="130"/>
        <v>0</v>
      </c>
      <c r="V136" s="686">
        <f t="shared" si="130"/>
        <v>0</v>
      </c>
      <c r="W136" s="686">
        <f t="shared" si="130"/>
        <v>0</v>
      </c>
      <c r="X136" s="686">
        <f t="shared" si="130"/>
        <v>0</v>
      </c>
      <c r="Y136" s="686">
        <f t="shared" si="130"/>
        <v>0</v>
      </c>
      <c r="Z136" s="686">
        <f t="shared" si="130"/>
        <v>0</v>
      </c>
      <c r="AA136" s="686">
        <f t="shared" si="130"/>
        <v>0</v>
      </c>
      <c r="AB136" s="686">
        <f t="shared" si="130"/>
        <v>0</v>
      </c>
      <c r="AC136" s="925"/>
      <c r="AE136" s="567"/>
      <c r="AV136" s="699" t="str">
        <f t="shared" si="113"/>
        <v/>
      </c>
    </row>
    <row r="137" spans="1:64" x14ac:dyDescent="0.3">
      <c r="A137" s="22"/>
      <c r="B137" s="186" t="str">
        <f t="shared" si="124"/>
        <v>TCARLPG100</v>
      </c>
      <c r="C137" s="186"/>
      <c r="D137" s="187"/>
      <c r="E137" s="186"/>
      <c r="F137" s="170"/>
      <c r="G137" s="189"/>
      <c r="H137" s="170"/>
      <c r="I137" s="190">
        <f>AF$9</f>
        <v>2040</v>
      </c>
      <c r="J137" s="191"/>
      <c r="K137" s="191"/>
      <c r="L137" s="211" t="s">
        <v>1064</v>
      </c>
      <c r="M137" s="186" t="s">
        <v>747</v>
      </c>
      <c r="N137" s="686">
        <f t="shared" ref="N137:AB137" si="131">N132*LOOKUP($AD127,$AG$4:$AO$4,$AG$9:$AO$9)</f>
        <v>0</v>
      </c>
      <c r="O137" s="686">
        <f t="shared" si="131"/>
        <v>0</v>
      </c>
      <c r="P137" s="686">
        <f t="shared" si="131"/>
        <v>0</v>
      </c>
      <c r="Q137" s="686">
        <f t="shared" si="131"/>
        <v>0</v>
      </c>
      <c r="R137" s="686">
        <f t="shared" si="131"/>
        <v>0</v>
      </c>
      <c r="S137" s="686">
        <f t="shared" si="131"/>
        <v>0</v>
      </c>
      <c r="T137" s="686">
        <f t="shared" si="131"/>
        <v>0</v>
      </c>
      <c r="U137" s="686">
        <f t="shared" si="131"/>
        <v>0</v>
      </c>
      <c r="V137" s="686">
        <f t="shared" si="131"/>
        <v>0</v>
      </c>
      <c r="W137" s="686">
        <f t="shared" si="131"/>
        <v>0</v>
      </c>
      <c r="X137" s="686">
        <f t="shared" si="131"/>
        <v>0</v>
      </c>
      <c r="Y137" s="686">
        <f t="shared" si="131"/>
        <v>0</v>
      </c>
      <c r="Z137" s="686">
        <f t="shared" si="131"/>
        <v>0</v>
      </c>
      <c r="AA137" s="686">
        <f t="shared" si="131"/>
        <v>0</v>
      </c>
      <c r="AB137" s="686">
        <f t="shared" si="131"/>
        <v>0</v>
      </c>
      <c r="AC137" s="925"/>
      <c r="AE137" s="567"/>
      <c r="AV137" s="699" t="str">
        <f t="shared" si="113"/>
        <v/>
      </c>
    </row>
    <row r="138" spans="1:64" x14ac:dyDescent="0.3">
      <c r="A138" s="22"/>
      <c r="B138" s="193" t="str">
        <f t="shared" si="124"/>
        <v>TCARLPG100</v>
      </c>
      <c r="C138" s="193"/>
      <c r="D138" s="194"/>
      <c r="E138" s="193"/>
      <c r="F138" s="196"/>
      <c r="G138" s="195"/>
      <c r="H138" s="196"/>
      <c r="I138" s="197">
        <f>AF$10</f>
        <v>2050</v>
      </c>
      <c r="J138" s="198"/>
      <c r="K138" s="198"/>
      <c r="L138" s="212" t="s">
        <v>1064</v>
      </c>
      <c r="M138" s="193" t="s">
        <v>747</v>
      </c>
      <c r="N138" s="687">
        <f t="shared" ref="N138:AB138" si="132">N132*LOOKUP($AD127,$AG$4:$AO$4,$AG$10:$AO$10)</f>
        <v>0</v>
      </c>
      <c r="O138" s="687">
        <f t="shared" si="132"/>
        <v>0</v>
      </c>
      <c r="P138" s="687">
        <f t="shared" si="132"/>
        <v>0</v>
      </c>
      <c r="Q138" s="687">
        <f t="shared" si="132"/>
        <v>0</v>
      </c>
      <c r="R138" s="687">
        <f t="shared" si="132"/>
        <v>0</v>
      </c>
      <c r="S138" s="687">
        <f t="shared" si="132"/>
        <v>0</v>
      </c>
      <c r="T138" s="687">
        <f t="shared" si="132"/>
        <v>0</v>
      </c>
      <c r="U138" s="687">
        <f t="shared" si="132"/>
        <v>0</v>
      </c>
      <c r="V138" s="687">
        <f t="shared" si="132"/>
        <v>0</v>
      </c>
      <c r="W138" s="687">
        <f t="shared" si="132"/>
        <v>0</v>
      </c>
      <c r="X138" s="687">
        <f t="shared" si="132"/>
        <v>0</v>
      </c>
      <c r="Y138" s="687">
        <f t="shared" si="132"/>
        <v>0</v>
      </c>
      <c r="Z138" s="687">
        <f t="shared" si="132"/>
        <v>0</v>
      </c>
      <c r="AA138" s="687">
        <f t="shared" si="132"/>
        <v>0</v>
      </c>
      <c r="AB138" s="687">
        <f t="shared" si="132"/>
        <v>0</v>
      </c>
      <c r="AC138" s="925"/>
      <c r="AE138" s="567"/>
      <c r="AV138" s="699" t="str">
        <f t="shared" si="113"/>
        <v/>
      </c>
    </row>
    <row r="139" spans="1:64" s="83" customFormat="1" ht="15.75" customHeight="1" x14ac:dyDescent="0.3">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29"/>
      <c r="AD139" s="410" t="str">
        <f>MID(C139,5,3)</f>
        <v>PYD</v>
      </c>
      <c r="AE139" s="569"/>
      <c r="AV139" s="713" t="str">
        <f t="shared" si="113"/>
        <v>TRABDL</v>
      </c>
      <c r="AW139" s="569">
        <f t="shared" ref="AW139:AW141" si="134">SUM(AX139:BL139)</f>
        <v>0</v>
      </c>
      <c r="AX139" s="569">
        <f t="shared" ref="AX139:BL139" si="135">N$145*N$146*(1-N140)/N$142/1000</f>
        <v>0</v>
      </c>
      <c r="AY139" s="569">
        <f t="shared" si="135"/>
        <v>0</v>
      </c>
      <c r="AZ139" s="569">
        <f t="shared" si="135"/>
        <v>0</v>
      </c>
      <c r="BA139" s="569">
        <f t="shared" si="135"/>
        <v>0</v>
      </c>
      <c r="BB139" s="569">
        <f t="shared" si="135"/>
        <v>0</v>
      </c>
      <c r="BC139" s="569">
        <f t="shared" si="135"/>
        <v>0</v>
      </c>
      <c r="BD139" s="569">
        <f t="shared" si="135"/>
        <v>0</v>
      </c>
      <c r="BE139" s="569">
        <f t="shared" si="135"/>
        <v>0</v>
      </c>
      <c r="BF139" s="569">
        <f t="shared" si="135"/>
        <v>0</v>
      </c>
      <c r="BG139" s="569">
        <f t="shared" si="135"/>
        <v>0</v>
      </c>
      <c r="BH139" s="569">
        <f t="shared" si="135"/>
        <v>0</v>
      </c>
      <c r="BI139" s="569">
        <f t="shared" si="135"/>
        <v>0</v>
      </c>
      <c r="BJ139" s="569">
        <f t="shared" si="135"/>
        <v>0</v>
      </c>
      <c r="BK139" s="569">
        <f t="shared" si="135"/>
        <v>0</v>
      </c>
      <c r="BL139" s="569">
        <f t="shared" si="135"/>
        <v>0</v>
      </c>
    </row>
    <row r="140" spans="1:64" x14ac:dyDescent="0.3">
      <c r="A140" s="22"/>
      <c r="B140" s="186" t="str">
        <f>B139</f>
        <v>TCARPYD100</v>
      </c>
      <c r="C140" s="186"/>
      <c r="D140" s="187"/>
      <c r="E140" s="188" t="s">
        <v>185</v>
      </c>
      <c r="F140" s="170"/>
      <c r="G140" s="213"/>
      <c r="H140" s="170"/>
      <c r="I140" s="190"/>
      <c r="J140" s="191" t="str">
        <f>$J$33</f>
        <v>UP</v>
      </c>
      <c r="K140" s="191"/>
      <c r="L140" s="211" t="s">
        <v>101</v>
      </c>
      <c r="M140" s="186"/>
      <c r="N140" s="377">
        <f>1-(N$17+N$18)</f>
        <v>0.76700000000000002</v>
      </c>
      <c r="O140" s="377">
        <f t="shared" ref="O140:AB140" si="136">1-(O$17+O$18)</f>
        <v>0.76700000000000002</v>
      </c>
      <c r="P140" s="377">
        <f t="shared" si="136"/>
        <v>0.76700000000000002</v>
      </c>
      <c r="Q140" s="377">
        <f t="shared" si="136"/>
        <v>0.76700000000000002</v>
      </c>
      <c r="R140" s="377">
        <f t="shared" si="136"/>
        <v>0.76700000000000002</v>
      </c>
      <c r="S140" s="377">
        <f t="shared" si="136"/>
        <v>0.76700000000000002</v>
      </c>
      <c r="T140" s="377">
        <f t="shared" si="136"/>
        <v>0.76700000000000002</v>
      </c>
      <c r="U140" s="377">
        <f t="shared" si="136"/>
        <v>0.76700000000000002</v>
      </c>
      <c r="V140" s="377">
        <f t="shared" si="136"/>
        <v>0.76700000000000002</v>
      </c>
      <c r="W140" s="377">
        <f t="shared" si="136"/>
        <v>0.76700000000000002</v>
      </c>
      <c r="X140" s="377">
        <f t="shared" si="136"/>
        <v>0.76700000000000002</v>
      </c>
      <c r="Y140" s="377">
        <f t="shared" si="136"/>
        <v>0.76700000000000002</v>
      </c>
      <c r="Z140" s="377">
        <f t="shared" si="136"/>
        <v>0.76700000000000002</v>
      </c>
      <c r="AA140" s="377">
        <f t="shared" si="136"/>
        <v>0.76700000000000002</v>
      </c>
      <c r="AB140" s="377">
        <f t="shared" si="136"/>
        <v>0.76700000000000002</v>
      </c>
      <c r="AC140" s="924"/>
      <c r="AD140" s="66" t="str">
        <f>IF(COUNTIF($AG$4:$AP$4,AD139)=1,"ok","MISSING")</f>
        <v>ok</v>
      </c>
      <c r="AE140" s="569"/>
      <c r="AF140" s="83"/>
      <c r="AG140" s="83"/>
      <c r="AH140" s="83"/>
      <c r="AI140" s="83"/>
      <c r="AJ140" s="83"/>
      <c r="AK140" s="83"/>
      <c r="AL140" s="83"/>
      <c r="AM140" s="83"/>
      <c r="AN140" s="83"/>
      <c r="AO140" s="83"/>
      <c r="AP140" s="83"/>
      <c r="AQ140" s="83"/>
      <c r="AR140" s="83"/>
      <c r="AS140" s="83"/>
      <c r="AT140" s="83"/>
      <c r="AV140" s="699" t="str">
        <f t="shared" si="113"/>
        <v>TRADST</v>
      </c>
      <c r="AW140" s="567">
        <f t="shared" si="134"/>
        <v>0</v>
      </c>
      <c r="AX140" s="569">
        <f t="shared" ref="AX140:BL141" si="137">N$145*N$146*N140/N$142/1000</f>
        <v>0</v>
      </c>
      <c r="AY140" s="569">
        <f t="shared" si="137"/>
        <v>0</v>
      </c>
      <c r="AZ140" s="569">
        <f t="shared" si="137"/>
        <v>0</v>
      </c>
      <c r="BA140" s="569">
        <f t="shared" si="137"/>
        <v>0</v>
      </c>
      <c r="BB140" s="569">
        <f t="shared" si="137"/>
        <v>0</v>
      </c>
      <c r="BC140" s="569">
        <f t="shared" si="137"/>
        <v>0</v>
      </c>
      <c r="BD140" s="569">
        <f t="shared" si="137"/>
        <v>0</v>
      </c>
      <c r="BE140" s="569">
        <f t="shared" si="137"/>
        <v>0</v>
      </c>
      <c r="BF140" s="569">
        <f t="shared" si="137"/>
        <v>0</v>
      </c>
      <c r="BG140" s="569">
        <f t="shared" si="137"/>
        <v>0</v>
      </c>
      <c r="BH140" s="569">
        <f t="shared" si="137"/>
        <v>0</v>
      </c>
      <c r="BI140" s="569">
        <f t="shared" si="137"/>
        <v>0</v>
      </c>
      <c r="BJ140" s="569">
        <f t="shared" si="137"/>
        <v>0</v>
      </c>
      <c r="BK140" s="569">
        <f t="shared" si="137"/>
        <v>0</v>
      </c>
      <c r="BL140" s="569">
        <f t="shared" si="137"/>
        <v>0</v>
      </c>
    </row>
    <row r="141" spans="1:64" x14ac:dyDescent="0.3">
      <c r="A141" s="22"/>
      <c r="B141" s="186" t="str">
        <f t="shared" ref="B141" si="138">B140</f>
        <v>TCARPYD100</v>
      </c>
      <c r="C141" s="186"/>
      <c r="D141" s="187"/>
      <c r="E141" s="188" t="s">
        <v>989</v>
      </c>
      <c r="F141" s="170"/>
      <c r="G141" s="213"/>
      <c r="H141" s="170"/>
      <c r="I141" s="190"/>
      <c r="J141" s="191" t="s">
        <v>1156</v>
      </c>
      <c r="K141" s="191"/>
      <c r="L141" s="211" t="s">
        <v>101</v>
      </c>
      <c r="M141" s="186"/>
      <c r="N141" s="377">
        <f>N$17</f>
        <v>5.8000000000000003E-2</v>
      </c>
      <c r="O141" s="377">
        <f t="shared" ref="O141:AB141" si="139">O$17</f>
        <v>5.8000000000000003E-2</v>
      </c>
      <c r="P141" s="377">
        <f t="shared" si="139"/>
        <v>5.8000000000000003E-2</v>
      </c>
      <c r="Q141" s="377">
        <f t="shared" si="139"/>
        <v>5.8000000000000003E-2</v>
      </c>
      <c r="R141" s="377">
        <f t="shared" si="139"/>
        <v>5.8000000000000003E-2</v>
      </c>
      <c r="S141" s="377">
        <f t="shared" si="139"/>
        <v>5.8000000000000003E-2</v>
      </c>
      <c r="T141" s="377">
        <f t="shared" si="139"/>
        <v>5.8000000000000003E-2</v>
      </c>
      <c r="U141" s="377">
        <f t="shared" si="139"/>
        <v>5.8000000000000003E-2</v>
      </c>
      <c r="V141" s="377">
        <f t="shared" si="139"/>
        <v>5.8000000000000003E-2</v>
      </c>
      <c r="W141" s="377">
        <f t="shared" si="139"/>
        <v>5.8000000000000003E-2</v>
      </c>
      <c r="X141" s="377">
        <f t="shared" si="139"/>
        <v>5.8000000000000003E-2</v>
      </c>
      <c r="Y141" s="377">
        <f t="shared" si="139"/>
        <v>5.8000000000000003E-2</v>
      </c>
      <c r="Z141" s="377">
        <f t="shared" si="139"/>
        <v>5.8000000000000003E-2</v>
      </c>
      <c r="AA141" s="377">
        <f t="shared" si="139"/>
        <v>5.8000000000000003E-2</v>
      </c>
      <c r="AB141" s="377">
        <f t="shared" si="139"/>
        <v>5.8000000000000003E-2</v>
      </c>
      <c r="AC141" s="924"/>
      <c r="AD141" s="66"/>
      <c r="AE141" s="569"/>
      <c r="AF141" s="83"/>
      <c r="AG141" s="83"/>
      <c r="AH141" s="83"/>
      <c r="AI141" s="83"/>
      <c r="AJ141" s="83"/>
      <c r="AK141" s="83"/>
      <c r="AL141" s="83"/>
      <c r="AM141" s="83"/>
      <c r="AN141" s="83"/>
      <c r="AO141" s="83"/>
      <c r="AP141" s="83"/>
      <c r="AQ141" s="83"/>
      <c r="AR141" s="83"/>
      <c r="AS141" s="83"/>
      <c r="AT141" s="83"/>
      <c r="AV141" s="699" t="str">
        <f t="shared" si="113"/>
        <v>TRABDLM</v>
      </c>
      <c r="AW141" s="567">
        <f t="shared" si="134"/>
        <v>0</v>
      </c>
      <c r="AX141" s="569">
        <f t="shared" si="137"/>
        <v>0</v>
      </c>
      <c r="AY141" s="569">
        <f t="shared" si="137"/>
        <v>0</v>
      </c>
      <c r="AZ141" s="569">
        <f t="shared" si="137"/>
        <v>0</v>
      </c>
      <c r="BA141" s="569">
        <f t="shared" si="137"/>
        <v>0</v>
      </c>
      <c r="BB141" s="569">
        <f t="shared" si="137"/>
        <v>0</v>
      </c>
      <c r="BC141" s="569">
        <f t="shared" si="137"/>
        <v>0</v>
      </c>
      <c r="BD141" s="569">
        <f t="shared" si="137"/>
        <v>0</v>
      </c>
      <c r="BE141" s="569">
        <f t="shared" si="137"/>
        <v>0</v>
      </c>
      <c r="BF141" s="569">
        <f t="shared" si="137"/>
        <v>0</v>
      </c>
      <c r="BG141" s="569">
        <f t="shared" si="137"/>
        <v>0</v>
      </c>
      <c r="BH141" s="569">
        <f t="shared" si="137"/>
        <v>0</v>
      </c>
      <c r="BI141" s="569">
        <f t="shared" si="137"/>
        <v>0</v>
      </c>
      <c r="BJ141" s="569">
        <f t="shared" si="137"/>
        <v>0</v>
      </c>
      <c r="BK141" s="569">
        <f t="shared" si="137"/>
        <v>0</v>
      </c>
      <c r="BL141" s="569">
        <f t="shared" si="137"/>
        <v>0</v>
      </c>
    </row>
    <row r="142" spans="1:64" x14ac:dyDescent="0.3">
      <c r="A142" s="22"/>
      <c r="B142" s="186" t="str">
        <f>B140</f>
        <v>TCARPYD100</v>
      </c>
      <c r="C142" s="186"/>
      <c r="D142" s="187"/>
      <c r="E142" s="186"/>
      <c r="F142" s="170"/>
      <c r="G142" s="214" t="s">
        <v>402</v>
      </c>
      <c r="H142" s="170"/>
      <c r="I142" s="190"/>
      <c r="J142" s="191"/>
      <c r="K142" s="191"/>
      <c r="L142" s="191" t="s">
        <v>1125</v>
      </c>
      <c r="M142" s="186" t="s">
        <v>677</v>
      </c>
      <c r="N142" s="673">
        <f>T_CEFF!H70</f>
        <v>0.68376000000000003</v>
      </c>
      <c r="O142" s="673">
        <f>T_CEFF!I70</f>
        <v>0.68376000000000003</v>
      </c>
      <c r="P142" s="673">
        <f>T_CEFF!J70</f>
        <v>0.68376000000000003</v>
      </c>
      <c r="Q142" s="673">
        <f>T_CEFF!K70</f>
        <v>0.68376000000000003</v>
      </c>
      <c r="R142" s="673">
        <f>T_CEFF!L70</f>
        <v>0.68376000000000003</v>
      </c>
      <c r="S142" s="673">
        <f>T_CEFF!M70</f>
        <v>0.68376000000000003</v>
      </c>
      <c r="T142" s="673">
        <f>T_CEFF!N70</f>
        <v>0.68376000000000003</v>
      </c>
      <c r="U142" s="673">
        <f>T_CEFF!O70</f>
        <v>0.68376000000000003</v>
      </c>
      <c r="V142" s="673">
        <f>T_CEFF!P70</f>
        <v>0.68376000000000003</v>
      </c>
      <c r="W142" s="673">
        <f>T_CEFF!Q70</f>
        <v>0.68376000000000003</v>
      </c>
      <c r="X142" s="673">
        <f>T_CEFF!R70</f>
        <v>0.68376000000000003</v>
      </c>
      <c r="Y142" s="673">
        <f>T_CEFF!S70</f>
        <v>0.68376000000000003</v>
      </c>
      <c r="Z142" s="673">
        <f>T_CEFF!T70</f>
        <v>0.68376000000000003</v>
      </c>
      <c r="AA142" s="673">
        <f>T_CEFF!U70</f>
        <v>0.68376000000000003</v>
      </c>
      <c r="AB142" s="673">
        <f>T_CEFF!V70</f>
        <v>0.68376000000000003</v>
      </c>
      <c r="AC142" s="928"/>
      <c r="AE142" s="567"/>
      <c r="AV142" s="699" t="str">
        <f t="shared" si="113"/>
        <v/>
      </c>
    </row>
    <row r="143" spans="1:64" x14ac:dyDescent="0.3">
      <c r="A143" s="22"/>
      <c r="B143" s="186" t="str">
        <f>B142</f>
        <v>TCARPYD100</v>
      </c>
      <c r="C143" s="186"/>
      <c r="D143" s="187"/>
      <c r="E143" s="186"/>
      <c r="F143" s="170"/>
      <c r="G143" s="214" t="s">
        <v>404</v>
      </c>
      <c r="H143" s="170"/>
      <c r="I143" s="190"/>
      <c r="J143" s="191"/>
      <c r="K143" s="191"/>
      <c r="L143" s="191" t="s">
        <v>1125</v>
      </c>
      <c r="M143" s="186" t="s">
        <v>677</v>
      </c>
      <c r="N143" s="673">
        <f>T_CEFF!H71</f>
        <v>0.87912000000000001</v>
      </c>
      <c r="O143" s="673">
        <f>T_CEFF!I71</f>
        <v>0.87912000000000001</v>
      </c>
      <c r="P143" s="673">
        <f>T_CEFF!J71</f>
        <v>0.87912000000000001</v>
      </c>
      <c r="Q143" s="673">
        <f>T_CEFF!K71</f>
        <v>0.87912000000000001</v>
      </c>
      <c r="R143" s="673">
        <f>T_CEFF!L71</f>
        <v>0.87912000000000001</v>
      </c>
      <c r="S143" s="673">
        <f>T_CEFF!M71</f>
        <v>0.87912000000000001</v>
      </c>
      <c r="T143" s="673">
        <f>T_CEFF!N71</f>
        <v>0.87912000000000001</v>
      </c>
      <c r="U143" s="673">
        <f>T_CEFF!O71</f>
        <v>0.87912000000000001</v>
      </c>
      <c r="V143" s="673">
        <f>T_CEFF!P71</f>
        <v>0.87912000000000001</v>
      </c>
      <c r="W143" s="673">
        <f>T_CEFF!Q71</f>
        <v>0.87912000000000001</v>
      </c>
      <c r="X143" s="673">
        <f>T_CEFF!R71</f>
        <v>0.87912000000000001</v>
      </c>
      <c r="Y143" s="673">
        <f>T_CEFF!S71</f>
        <v>0.87912000000000001</v>
      </c>
      <c r="Z143" s="673">
        <f>T_CEFF!T71</f>
        <v>0.87912000000000001</v>
      </c>
      <c r="AA143" s="673">
        <f>T_CEFF!U71</f>
        <v>0.87912000000000001</v>
      </c>
      <c r="AB143" s="673">
        <f>T_CEFF!V71</f>
        <v>0.87912000000000001</v>
      </c>
      <c r="AC143" s="928"/>
      <c r="AE143" s="567"/>
      <c r="AV143" s="699" t="str">
        <f t="shared" si="113"/>
        <v/>
      </c>
    </row>
    <row r="144" spans="1:64" x14ac:dyDescent="0.3">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19"/>
      <c r="AE144" s="567"/>
      <c r="AV144" s="699" t="str">
        <f t="shared" si="113"/>
        <v/>
      </c>
    </row>
    <row r="145" spans="1:64" x14ac:dyDescent="0.3">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5.9266060000000005</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7"/>
      <c r="AV145" s="699" t="str">
        <f t="shared" si="113"/>
        <v/>
      </c>
    </row>
    <row r="146" spans="1:64" x14ac:dyDescent="0.3">
      <c r="A146" s="22"/>
      <c r="B146" s="186" t="str">
        <f t="shared" si="140"/>
        <v>TCARPYD100</v>
      </c>
      <c r="C146" s="186"/>
      <c r="D146" s="187"/>
      <c r="E146" s="186"/>
      <c r="F146" s="170"/>
      <c r="G146" s="213"/>
      <c r="H146" s="170"/>
      <c r="I146" s="190">
        <f>$M$3</f>
        <v>2019</v>
      </c>
      <c r="J146" s="191"/>
      <c r="K146" s="191"/>
      <c r="L146" s="211" t="s">
        <v>1064</v>
      </c>
      <c r="M146" s="186" t="s">
        <v>747</v>
      </c>
      <c r="N146" s="686">
        <f>LOOKUP($C$139, T_Stock_Private!$C$10:$C$20, T_Stock_Private!D$10:D$20)*(1+N27)</f>
        <v>0</v>
      </c>
      <c r="O146" s="686">
        <f>LOOKUP($C$139, T_Stock_Private!$C$10:$C$20, T_Stock_Private!E$10:E$20)*(1+O27)</f>
        <v>0</v>
      </c>
      <c r="P146" s="686">
        <f>LOOKUP($C$139, T_Stock_Private!$C$10:$C$20, T_Stock_Private!F$10:F$20)*(1+P27)</f>
        <v>0</v>
      </c>
      <c r="Q146" s="686">
        <f>LOOKUP($C$139, T_Stock_Private!$C$10:$C$20, T_Stock_Private!G$10:G$20)*(1+Q27)</f>
        <v>0</v>
      </c>
      <c r="R146" s="686">
        <f>LOOKUP($C$139, T_Stock_Private!$C$10:$C$20, T_Stock_Private!H$10:H$20)*(1+R27)</f>
        <v>0</v>
      </c>
      <c r="S146" s="686">
        <f>LOOKUP($C$139, T_Stock_Private!$C$10:$C$20, T_Stock_Private!I$10:I$20)*(1+S27)</f>
        <v>0</v>
      </c>
      <c r="T146" s="686">
        <f>LOOKUP($C$139, T_Stock_Private!$C$10:$C$20, T_Stock_Private!J$10:J$20)*(1+T27)</f>
        <v>0</v>
      </c>
      <c r="U146" s="686">
        <f>LOOKUP($C$139, T_Stock_Private!$C$10:$C$20, T_Stock_Private!K$10:K$20)*(1+U27)</f>
        <v>0</v>
      </c>
      <c r="V146" s="686">
        <f>LOOKUP($C$139, T_Stock_Private!$C$10:$C$20, T_Stock_Private!L$10:L$20)*(1+V27)</f>
        <v>0</v>
      </c>
      <c r="W146" s="686">
        <f>LOOKUP($C$139, T_Stock_Private!$C$10:$C$20, T_Stock_Private!M$10:M$20)*(1+W27)</f>
        <v>0</v>
      </c>
      <c r="X146" s="686">
        <f>LOOKUP($C$139, T_Stock_Private!$C$10:$C$20, T_Stock_Private!N$10:N$20)*(1+X27)</f>
        <v>0</v>
      </c>
      <c r="Y146" s="686">
        <f>LOOKUP($C$139, T_Stock_Private!$C$10:$C$20, T_Stock_Private!O$10:O$20)*(1+Y27)</f>
        <v>0</v>
      </c>
      <c r="Z146" s="686">
        <f>LOOKUP($C$139, T_Stock_Private!$C$10:$C$20, T_Stock_Private!P$10:P$20)*(1+Z27)</f>
        <v>0</v>
      </c>
      <c r="AA146" s="686">
        <f>LOOKUP($C$139, T_Stock_Private!$C$10:$C$20, T_Stock_Private!Q$10:Q$20)*(1+AA27)</f>
        <v>0</v>
      </c>
      <c r="AB146" s="686">
        <f>LOOKUP($C$139, T_Stock_Private!$C$10:$C$20, T_Stock_Private!R$10:R$20)*(1+AB27)</f>
        <v>0</v>
      </c>
      <c r="AC146" s="925"/>
      <c r="AE146" s="567"/>
      <c r="AV146" s="699" t="str">
        <f t="shared" si="113"/>
        <v/>
      </c>
    </row>
    <row r="147" spans="1:64" x14ac:dyDescent="0.3">
      <c r="A147" s="22"/>
      <c r="B147" s="186" t="str">
        <f t="shared" si="140"/>
        <v>TCARPYD100</v>
      </c>
      <c r="C147" s="186"/>
      <c r="D147" s="187"/>
      <c r="E147" s="186"/>
      <c r="F147" s="170"/>
      <c r="G147" s="213"/>
      <c r="H147" s="170"/>
      <c r="I147" s="190">
        <f>AF$5</f>
        <v>2020</v>
      </c>
      <c r="J147" s="191"/>
      <c r="K147" s="191"/>
      <c r="L147" s="211" t="s">
        <v>1064</v>
      </c>
      <c r="M147" s="186" t="s">
        <v>747</v>
      </c>
      <c r="N147" s="686">
        <f t="shared" ref="N147:AB147" si="142">N146*LOOKUP($AD139,$AG$4:$AO$4,$AG$5:$AO$5)</f>
        <v>0</v>
      </c>
      <c r="O147" s="686">
        <f t="shared" si="142"/>
        <v>0</v>
      </c>
      <c r="P147" s="686">
        <f t="shared" si="142"/>
        <v>0</v>
      </c>
      <c r="Q147" s="686">
        <f t="shared" si="142"/>
        <v>0</v>
      </c>
      <c r="R147" s="686">
        <f t="shared" si="142"/>
        <v>0</v>
      </c>
      <c r="S147" s="686">
        <f t="shared" si="142"/>
        <v>0</v>
      </c>
      <c r="T147" s="686">
        <f t="shared" si="142"/>
        <v>0</v>
      </c>
      <c r="U147" s="686">
        <f t="shared" si="142"/>
        <v>0</v>
      </c>
      <c r="V147" s="686">
        <f t="shared" si="142"/>
        <v>0</v>
      </c>
      <c r="W147" s="686">
        <f t="shared" si="142"/>
        <v>0</v>
      </c>
      <c r="X147" s="686">
        <f t="shared" si="142"/>
        <v>0</v>
      </c>
      <c r="Y147" s="686">
        <f t="shared" si="142"/>
        <v>0</v>
      </c>
      <c r="Z147" s="686">
        <f t="shared" si="142"/>
        <v>0</v>
      </c>
      <c r="AA147" s="686">
        <f t="shared" si="142"/>
        <v>0</v>
      </c>
      <c r="AB147" s="686">
        <f t="shared" si="142"/>
        <v>0</v>
      </c>
      <c r="AC147" s="925"/>
      <c r="AE147" s="568">
        <f>SUM(AF147:AT147)</f>
        <v>0</v>
      </c>
      <c r="AF147" s="567">
        <f t="shared" ref="AF147:AT147" si="143">N144*N145*N146/1000</f>
        <v>0</v>
      </c>
      <c r="AG147" s="567">
        <f t="shared" si="143"/>
        <v>0</v>
      </c>
      <c r="AH147" s="567">
        <f t="shared" si="143"/>
        <v>0</v>
      </c>
      <c r="AI147" s="567">
        <f t="shared" si="143"/>
        <v>0</v>
      </c>
      <c r="AJ147" s="567">
        <f t="shared" si="143"/>
        <v>0</v>
      </c>
      <c r="AK147" s="567">
        <f t="shared" si="143"/>
        <v>0</v>
      </c>
      <c r="AL147" s="567">
        <f t="shared" si="143"/>
        <v>0</v>
      </c>
      <c r="AM147" s="567">
        <f t="shared" si="143"/>
        <v>0</v>
      </c>
      <c r="AN147" s="567">
        <f t="shared" si="143"/>
        <v>0</v>
      </c>
      <c r="AO147" s="567">
        <f t="shared" si="143"/>
        <v>0</v>
      </c>
      <c r="AP147" s="567">
        <f t="shared" si="143"/>
        <v>0</v>
      </c>
      <c r="AQ147" s="567">
        <f t="shared" si="143"/>
        <v>0</v>
      </c>
      <c r="AR147" s="567">
        <f t="shared" si="143"/>
        <v>0</v>
      </c>
      <c r="AS147" s="567">
        <f t="shared" si="143"/>
        <v>0</v>
      </c>
      <c r="AT147" s="567">
        <f t="shared" si="143"/>
        <v>0</v>
      </c>
      <c r="AV147" s="699" t="str">
        <f t="shared" si="113"/>
        <v/>
      </c>
    </row>
    <row r="148" spans="1:64" x14ac:dyDescent="0.3">
      <c r="A148" s="22"/>
      <c r="B148" s="186" t="str">
        <f t="shared" si="140"/>
        <v>TCARPYD100</v>
      </c>
      <c r="C148" s="186"/>
      <c r="D148" s="187"/>
      <c r="E148" s="186"/>
      <c r="F148" s="170"/>
      <c r="G148" s="213"/>
      <c r="H148" s="170"/>
      <c r="I148" s="190">
        <f>AF$6</f>
        <v>2025</v>
      </c>
      <c r="J148" s="191"/>
      <c r="K148" s="191"/>
      <c r="L148" s="211" t="s">
        <v>1064</v>
      </c>
      <c r="M148" s="186" t="s">
        <v>747</v>
      </c>
      <c r="N148" s="686">
        <f t="shared" ref="N148:AB148" si="144">N146*LOOKUP($AD139,$AG$4:$AO$4,$AG$6:$AO$6)</f>
        <v>0</v>
      </c>
      <c r="O148" s="686">
        <f t="shared" si="144"/>
        <v>0</v>
      </c>
      <c r="P148" s="686">
        <f t="shared" si="144"/>
        <v>0</v>
      </c>
      <c r="Q148" s="686">
        <f t="shared" si="144"/>
        <v>0</v>
      </c>
      <c r="R148" s="686">
        <f t="shared" si="144"/>
        <v>0</v>
      </c>
      <c r="S148" s="686">
        <f t="shared" si="144"/>
        <v>0</v>
      </c>
      <c r="T148" s="686">
        <f t="shared" si="144"/>
        <v>0</v>
      </c>
      <c r="U148" s="686">
        <f t="shared" si="144"/>
        <v>0</v>
      </c>
      <c r="V148" s="686">
        <f t="shared" si="144"/>
        <v>0</v>
      </c>
      <c r="W148" s="686">
        <f t="shared" si="144"/>
        <v>0</v>
      </c>
      <c r="X148" s="686">
        <f t="shared" si="144"/>
        <v>0</v>
      </c>
      <c r="Y148" s="686">
        <f t="shared" si="144"/>
        <v>0</v>
      </c>
      <c r="Z148" s="686">
        <f t="shared" si="144"/>
        <v>0</v>
      </c>
      <c r="AA148" s="686">
        <f t="shared" si="144"/>
        <v>0</v>
      </c>
      <c r="AB148" s="686">
        <f t="shared" si="144"/>
        <v>0</v>
      </c>
      <c r="AC148" s="925"/>
      <c r="AE148" s="567"/>
      <c r="AV148" s="699" t="str">
        <f t="shared" si="113"/>
        <v/>
      </c>
    </row>
    <row r="149" spans="1:64" x14ac:dyDescent="0.3">
      <c r="A149" s="22"/>
      <c r="B149" s="186" t="str">
        <f t="shared" si="140"/>
        <v>TCARPYD100</v>
      </c>
      <c r="C149" s="186"/>
      <c r="D149" s="187"/>
      <c r="E149" s="186"/>
      <c r="F149" s="170"/>
      <c r="G149" s="213"/>
      <c r="H149" s="170"/>
      <c r="I149" s="190">
        <f>AF$7</f>
        <v>2030</v>
      </c>
      <c r="J149" s="191"/>
      <c r="K149" s="191"/>
      <c r="L149" s="211" t="s">
        <v>1064</v>
      </c>
      <c r="M149" s="186" t="s">
        <v>747</v>
      </c>
      <c r="N149" s="686">
        <f t="shared" ref="N149:AB149" si="145">N146*LOOKUP($AD139,$AG$4:$AO$4,$AG$7:$AO$7)</f>
        <v>0</v>
      </c>
      <c r="O149" s="686">
        <f t="shared" si="145"/>
        <v>0</v>
      </c>
      <c r="P149" s="686">
        <f t="shared" si="145"/>
        <v>0</v>
      </c>
      <c r="Q149" s="686">
        <f t="shared" si="145"/>
        <v>0</v>
      </c>
      <c r="R149" s="686">
        <f t="shared" si="145"/>
        <v>0</v>
      </c>
      <c r="S149" s="686">
        <f t="shared" si="145"/>
        <v>0</v>
      </c>
      <c r="T149" s="686">
        <f t="shared" si="145"/>
        <v>0</v>
      </c>
      <c r="U149" s="686">
        <f t="shared" si="145"/>
        <v>0</v>
      </c>
      <c r="V149" s="686">
        <f t="shared" si="145"/>
        <v>0</v>
      </c>
      <c r="W149" s="686">
        <f t="shared" si="145"/>
        <v>0</v>
      </c>
      <c r="X149" s="686">
        <f t="shared" si="145"/>
        <v>0</v>
      </c>
      <c r="Y149" s="686">
        <f t="shared" si="145"/>
        <v>0</v>
      </c>
      <c r="Z149" s="686">
        <f t="shared" si="145"/>
        <v>0</v>
      </c>
      <c r="AA149" s="686">
        <f t="shared" si="145"/>
        <v>0</v>
      </c>
      <c r="AB149" s="686">
        <f t="shared" si="145"/>
        <v>0</v>
      </c>
      <c r="AC149" s="925"/>
      <c r="AE149" s="567"/>
      <c r="AV149" s="699" t="str">
        <f t="shared" si="113"/>
        <v/>
      </c>
    </row>
    <row r="150" spans="1:64" x14ac:dyDescent="0.3">
      <c r="A150" s="22"/>
      <c r="B150" s="186" t="str">
        <f t="shared" si="140"/>
        <v>TCARPYD100</v>
      </c>
      <c r="C150" s="186"/>
      <c r="D150" s="187"/>
      <c r="E150" s="186"/>
      <c r="F150" s="170"/>
      <c r="G150" s="213"/>
      <c r="H150" s="170"/>
      <c r="I150" s="190">
        <f>AF$8</f>
        <v>2035</v>
      </c>
      <c r="J150" s="191"/>
      <c r="K150" s="191"/>
      <c r="L150" s="211" t="s">
        <v>1064</v>
      </c>
      <c r="M150" s="186" t="s">
        <v>747</v>
      </c>
      <c r="N150" s="686">
        <f t="shared" ref="N150:AB150" si="146">N146*LOOKUP($AD139,$AG$4:$AO$4,$AG$8:$AO$8)</f>
        <v>0</v>
      </c>
      <c r="O150" s="686">
        <f t="shared" si="146"/>
        <v>0</v>
      </c>
      <c r="P150" s="686">
        <f t="shared" si="146"/>
        <v>0</v>
      </c>
      <c r="Q150" s="686">
        <f t="shared" si="146"/>
        <v>0</v>
      </c>
      <c r="R150" s="686">
        <f t="shared" si="146"/>
        <v>0</v>
      </c>
      <c r="S150" s="686">
        <f t="shared" si="146"/>
        <v>0</v>
      </c>
      <c r="T150" s="686">
        <f t="shared" si="146"/>
        <v>0</v>
      </c>
      <c r="U150" s="686">
        <f t="shared" si="146"/>
        <v>0</v>
      </c>
      <c r="V150" s="686">
        <f t="shared" si="146"/>
        <v>0</v>
      </c>
      <c r="W150" s="686">
        <f t="shared" si="146"/>
        <v>0</v>
      </c>
      <c r="X150" s="686">
        <f t="shared" si="146"/>
        <v>0</v>
      </c>
      <c r="Y150" s="686">
        <f t="shared" si="146"/>
        <v>0</v>
      </c>
      <c r="Z150" s="686">
        <f t="shared" si="146"/>
        <v>0</v>
      </c>
      <c r="AA150" s="686">
        <f t="shared" si="146"/>
        <v>0</v>
      </c>
      <c r="AB150" s="686">
        <f t="shared" si="146"/>
        <v>0</v>
      </c>
      <c r="AC150" s="925"/>
      <c r="AE150" s="567"/>
      <c r="AV150" s="699" t="str">
        <f t="shared" si="113"/>
        <v/>
      </c>
    </row>
    <row r="151" spans="1:64" x14ac:dyDescent="0.3">
      <c r="A151" s="22"/>
      <c r="B151" s="186" t="str">
        <f t="shared" si="140"/>
        <v>TCARPYD100</v>
      </c>
      <c r="C151" s="186"/>
      <c r="D151" s="187"/>
      <c r="E151" s="186"/>
      <c r="F151" s="170"/>
      <c r="G151" s="213"/>
      <c r="H151" s="170"/>
      <c r="I151" s="190">
        <f>AF$9</f>
        <v>2040</v>
      </c>
      <c r="J151" s="191"/>
      <c r="K151" s="191"/>
      <c r="L151" s="211" t="s">
        <v>1064</v>
      </c>
      <c r="M151" s="186" t="s">
        <v>747</v>
      </c>
      <c r="N151" s="686">
        <f t="shared" ref="N151:AB151" si="147">N146*LOOKUP($AD139,$AG$4:$AO$4,$AG$9:$AO$9)</f>
        <v>0</v>
      </c>
      <c r="O151" s="686">
        <f t="shared" si="147"/>
        <v>0</v>
      </c>
      <c r="P151" s="686">
        <f t="shared" si="147"/>
        <v>0</v>
      </c>
      <c r="Q151" s="686">
        <f t="shared" si="147"/>
        <v>0</v>
      </c>
      <c r="R151" s="686">
        <f t="shared" si="147"/>
        <v>0</v>
      </c>
      <c r="S151" s="686">
        <f t="shared" si="147"/>
        <v>0</v>
      </c>
      <c r="T151" s="686">
        <f t="shared" si="147"/>
        <v>0</v>
      </c>
      <c r="U151" s="686">
        <f t="shared" si="147"/>
        <v>0</v>
      </c>
      <c r="V151" s="686">
        <f t="shared" si="147"/>
        <v>0</v>
      </c>
      <c r="W151" s="686">
        <f t="shared" si="147"/>
        <v>0</v>
      </c>
      <c r="X151" s="686">
        <f t="shared" si="147"/>
        <v>0</v>
      </c>
      <c r="Y151" s="686">
        <f t="shared" si="147"/>
        <v>0</v>
      </c>
      <c r="Z151" s="686">
        <f t="shared" si="147"/>
        <v>0</v>
      </c>
      <c r="AA151" s="686">
        <f t="shared" si="147"/>
        <v>0</v>
      </c>
      <c r="AB151" s="686">
        <f t="shared" si="147"/>
        <v>0</v>
      </c>
      <c r="AC151" s="925"/>
      <c r="AE151" s="567"/>
      <c r="AV151" s="699" t="str">
        <f t="shared" si="113"/>
        <v/>
      </c>
    </row>
    <row r="152" spans="1:64" x14ac:dyDescent="0.3">
      <c r="A152" s="22"/>
      <c r="B152" s="193" t="str">
        <f t="shared" si="140"/>
        <v>TCARPYD100</v>
      </c>
      <c r="C152" s="193"/>
      <c r="D152" s="194"/>
      <c r="E152" s="193"/>
      <c r="F152" s="196"/>
      <c r="G152" s="215"/>
      <c r="H152" s="196"/>
      <c r="I152" s="197">
        <f>AF$10</f>
        <v>2050</v>
      </c>
      <c r="J152" s="198"/>
      <c r="K152" s="198"/>
      <c r="L152" s="212" t="s">
        <v>1064</v>
      </c>
      <c r="M152" s="193" t="s">
        <v>747</v>
      </c>
      <c r="N152" s="687">
        <f t="shared" ref="N152:AB152" si="148">N146*LOOKUP($AD139,$AG$4:$AO$4,$AG$10:$AO$10)</f>
        <v>0</v>
      </c>
      <c r="O152" s="687">
        <f t="shared" si="148"/>
        <v>0</v>
      </c>
      <c r="P152" s="687">
        <f t="shared" si="148"/>
        <v>0</v>
      </c>
      <c r="Q152" s="687">
        <f t="shared" si="148"/>
        <v>0</v>
      </c>
      <c r="R152" s="687">
        <f t="shared" si="148"/>
        <v>0</v>
      </c>
      <c r="S152" s="687">
        <f t="shared" si="148"/>
        <v>0</v>
      </c>
      <c r="T152" s="687">
        <f t="shared" si="148"/>
        <v>0</v>
      </c>
      <c r="U152" s="687">
        <f t="shared" si="148"/>
        <v>0</v>
      </c>
      <c r="V152" s="687">
        <f t="shared" si="148"/>
        <v>0</v>
      </c>
      <c r="W152" s="687">
        <f t="shared" si="148"/>
        <v>0</v>
      </c>
      <c r="X152" s="687">
        <f t="shared" si="148"/>
        <v>0</v>
      </c>
      <c r="Y152" s="687">
        <f t="shared" si="148"/>
        <v>0</v>
      </c>
      <c r="Z152" s="687">
        <f t="shared" si="148"/>
        <v>0</v>
      </c>
      <c r="AA152" s="687">
        <f t="shared" si="148"/>
        <v>0</v>
      </c>
      <c r="AB152" s="687">
        <f t="shared" si="148"/>
        <v>0</v>
      </c>
      <c r="AC152" s="925"/>
      <c r="AE152" s="567"/>
      <c r="AV152" s="699" t="str">
        <f t="shared" si="113"/>
        <v/>
      </c>
    </row>
    <row r="153" spans="1:64" s="83" customFormat="1" ht="15" customHeight="1" x14ac:dyDescent="0.3">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29"/>
      <c r="AD153" s="410" t="str">
        <f>MID(C153,5,3)</f>
        <v>PYG</v>
      </c>
      <c r="AE153" s="569"/>
      <c r="AV153" s="713" t="str">
        <f t="shared" si="113"/>
        <v>TRAGSL</v>
      </c>
      <c r="AW153" s="569">
        <f t="shared" ref="AW153:AW154" si="150">SUM(AX153:BL153)</f>
        <v>0</v>
      </c>
      <c r="AX153" s="569">
        <f t="shared" ref="AX153:BL153" si="151">N$159*N$160*(1-N154)/N$156/1000</f>
        <v>0</v>
      </c>
      <c r="AY153" s="569">
        <f t="shared" si="151"/>
        <v>0</v>
      </c>
      <c r="AZ153" s="569">
        <f t="shared" si="151"/>
        <v>0</v>
      </c>
      <c r="BA153" s="569">
        <f t="shared" si="151"/>
        <v>0</v>
      </c>
      <c r="BB153" s="569">
        <f t="shared" si="151"/>
        <v>0</v>
      </c>
      <c r="BC153" s="569">
        <f t="shared" si="151"/>
        <v>0</v>
      </c>
      <c r="BD153" s="569">
        <f t="shared" si="151"/>
        <v>0</v>
      </c>
      <c r="BE153" s="569">
        <f t="shared" si="151"/>
        <v>0</v>
      </c>
      <c r="BF153" s="569">
        <f t="shared" si="151"/>
        <v>0</v>
      </c>
      <c r="BG153" s="569">
        <f t="shared" si="151"/>
        <v>0</v>
      </c>
      <c r="BH153" s="569">
        <f t="shared" si="151"/>
        <v>0</v>
      </c>
      <c r="BI153" s="569">
        <f t="shared" si="151"/>
        <v>0</v>
      </c>
      <c r="BJ153" s="569">
        <f t="shared" si="151"/>
        <v>0</v>
      </c>
      <c r="BK153" s="569">
        <f t="shared" si="151"/>
        <v>0</v>
      </c>
      <c r="BL153" s="569">
        <f t="shared" si="151"/>
        <v>0</v>
      </c>
    </row>
    <row r="154" spans="1:64" ht="15" customHeight="1" x14ac:dyDescent="0.3">
      <c r="A154" s="22"/>
      <c r="B154" s="186" t="str">
        <f>B153</f>
        <v>TCARPYG100</v>
      </c>
      <c r="C154" s="186"/>
      <c r="D154" s="187"/>
      <c r="E154" s="258" t="s">
        <v>1011</v>
      </c>
      <c r="F154" s="170"/>
      <c r="G154" s="213"/>
      <c r="H154" s="170"/>
      <c r="I154" s="190"/>
      <c r="J154" s="191" t="s">
        <v>1126</v>
      </c>
      <c r="K154" s="191"/>
      <c r="L154" s="211" t="s">
        <v>101</v>
      </c>
      <c r="M154" s="186"/>
      <c r="N154" s="377">
        <f>N$19</f>
        <v>5.0999999999999997E-2</v>
      </c>
      <c r="O154" s="377">
        <f t="shared" ref="O154:AB154" si="152">O$19</f>
        <v>5.0999999999999997E-2</v>
      </c>
      <c r="P154" s="377">
        <f t="shared" si="152"/>
        <v>5.0999999999999997E-2</v>
      </c>
      <c r="Q154" s="377">
        <f t="shared" si="152"/>
        <v>5.0999999999999997E-2</v>
      </c>
      <c r="R154" s="377">
        <f t="shared" si="152"/>
        <v>5.0999999999999997E-2</v>
      </c>
      <c r="S154" s="377">
        <f t="shared" si="152"/>
        <v>5.0999999999999997E-2</v>
      </c>
      <c r="T154" s="377">
        <f t="shared" si="152"/>
        <v>5.0999999999999997E-2</v>
      </c>
      <c r="U154" s="377">
        <f t="shared" si="152"/>
        <v>5.0999999999999997E-2</v>
      </c>
      <c r="V154" s="377">
        <f t="shared" si="152"/>
        <v>5.0999999999999997E-2</v>
      </c>
      <c r="W154" s="377">
        <f t="shared" si="152"/>
        <v>5.0999999999999997E-2</v>
      </c>
      <c r="X154" s="377">
        <f t="shared" si="152"/>
        <v>5.0999999999999997E-2</v>
      </c>
      <c r="Y154" s="377">
        <f t="shared" si="152"/>
        <v>5.0999999999999997E-2</v>
      </c>
      <c r="Z154" s="377">
        <f t="shared" si="152"/>
        <v>5.0999999999999997E-2</v>
      </c>
      <c r="AA154" s="377">
        <f t="shared" si="152"/>
        <v>5.0999999999999997E-2</v>
      </c>
      <c r="AB154" s="377">
        <f t="shared" si="152"/>
        <v>5.0999999999999997E-2</v>
      </c>
      <c r="AC154" s="924"/>
      <c r="AD154" s="66" t="str">
        <f>IF(COUNTIF($AG$4:$AP$4,AD153)=1,"ok","MISSING")</f>
        <v>ok</v>
      </c>
      <c r="AE154" s="569"/>
      <c r="AF154" s="83"/>
      <c r="AG154" s="83"/>
      <c r="AH154" s="83"/>
      <c r="AI154" s="83"/>
      <c r="AJ154" s="83"/>
      <c r="AK154" s="83"/>
      <c r="AL154" s="83"/>
      <c r="AM154" s="83"/>
      <c r="AN154" s="83"/>
      <c r="AO154" s="83"/>
      <c r="AP154" s="83"/>
      <c r="AQ154" s="83"/>
      <c r="AR154" s="83"/>
      <c r="AS154" s="83"/>
      <c r="AT154" s="83"/>
      <c r="AV154" s="699" t="str">
        <f t="shared" si="113"/>
        <v>TRAETHM</v>
      </c>
      <c r="AW154" s="567">
        <f t="shared" si="150"/>
        <v>0</v>
      </c>
      <c r="AX154" s="567">
        <f t="shared" ref="AX154:BL154" si="153">N$159*N$160*N154/N$156/1000</f>
        <v>0</v>
      </c>
      <c r="AY154" s="567">
        <f t="shared" si="153"/>
        <v>0</v>
      </c>
      <c r="AZ154" s="567">
        <f t="shared" si="153"/>
        <v>0</v>
      </c>
      <c r="BA154" s="567">
        <f t="shared" si="153"/>
        <v>0</v>
      </c>
      <c r="BB154" s="567">
        <f t="shared" si="153"/>
        <v>0</v>
      </c>
      <c r="BC154" s="567">
        <f t="shared" si="153"/>
        <v>0</v>
      </c>
      <c r="BD154" s="567">
        <f t="shared" si="153"/>
        <v>0</v>
      </c>
      <c r="BE154" s="567">
        <f t="shared" si="153"/>
        <v>0</v>
      </c>
      <c r="BF154" s="567">
        <f t="shared" si="153"/>
        <v>0</v>
      </c>
      <c r="BG154" s="567">
        <f t="shared" si="153"/>
        <v>0</v>
      </c>
      <c r="BH154" s="567">
        <f t="shared" si="153"/>
        <v>0</v>
      </c>
      <c r="BI154" s="567">
        <f t="shared" si="153"/>
        <v>0</v>
      </c>
      <c r="BJ154" s="567">
        <f t="shared" si="153"/>
        <v>0</v>
      </c>
      <c r="BK154" s="567">
        <f t="shared" si="153"/>
        <v>0</v>
      </c>
      <c r="BL154" s="567">
        <f t="shared" si="153"/>
        <v>0</v>
      </c>
    </row>
    <row r="155" spans="1:64" x14ac:dyDescent="0.3">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4"/>
      <c r="AD155" s="66"/>
      <c r="AE155" s="567"/>
      <c r="AV155" s="699" t="str">
        <f>MID(E155,1,8)</f>
        <v>TRABGSLM</v>
      </c>
      <c r="AW155" s="567">
        <f t="shared" ref="AW155" si="156">SUM(AX155:BL155)</f>
        <v>0</v>
      </c>
      <c r="AX155" s="567">
        <f>N$159*N$160*N155/N$156/1000</f>
        <v>0</v>
      </c>
      <c r="AY155" s="567">
        <f t="shared" ref="AY155" si="157">O$159*O$160*O155/O$156/1000</f>
        <v>0</v>
      </c>
      <c r="AZ155" s="567">
        <f t="shared" ref="AZ155" si="158">P$159*P$160*P155/P$156/1000</f>
        <v>0</v>
      </c>
      <c r="BA155" s="567">
        <f t="shared" ref="BA155" si="159">Q$159*Q$160*Q155/Q$156/1000</f>
        <v>0</v>
      </c>
      <c r="BB155" s="567">
        <f t="shared" ref="BB155" si="160">R$159*R$160*R155/R$156/1000</f>
        <v>0</v>
      </c>
      <c r="BC155" s="567">
        <f t="shared" ref="BC155" si="161">S$159*S$160*S155/S$156/1000</f>
        <v>0</v>
      </c>
      <c r="BD155" s="567">
        <f t="shared" ref="BD155" si="162">T$159*T$160*T155/T$156/1000</f>
        <v>0</v>
      </c>
      <c r="BE155" s="567">
        <f t="shared" ref="BE155" si="163">U$159*U$160*U155/U$156/1000</f>
        <v>0</v>
      </c>
      <c r="BF155" s="567">
        <f t="shared" ref="BF155" si="164">V$159*V$160*V155/V$156/1000</f>
        <v>0</v>
      </c>
      <c r="BG155" s="567">
        <f t="shared" ref="BG155" si="165">W$159*W$160*W155/W$156/1000</f>
        <v>0</v>
      </c>
      <c r="BH155" s="567">
        <f t="shared" ref="BH155" si="166">X$159*X$160*X155/X$156/1000</f>
        <v>0</v>
      </c>
      <c r="BI155" s="567">
        <f t="shared" ref="BI155" si="167">Y$159*Y$160*Y155/Y$156/1000</f>
        <v>0</v>
      </c>
      <c r="BJ155" s="567">
        <f t="shared" ref="BJ155" si="168">Z$159*Z$160*Z155/Z$156/1000</f>
        <v>0</v>
      </c>
      <c r="BK155" s="567">
        <f t="shared" ref="BK155" si="169">AA$159*AA$160*AA155/AA$156/1000</f>
        <v>0</v>
      </c>
      <c r="BL155" s="567">
        <f t="shared" ref="BL155" si="170">AB$159*AB$160*AB155/AB$156/1000</f>
        <v>0</v>
      </c>
    </row>
    <row r="156" spans="1:64" x14ac:dyDescent="0.3">
      <c r="A156" s="22"/>
      <c r="B156" s="186" t="str">
        <f>B154</f>
        <v>TCARPYG100</v>
      </c>
      <c r="C156" s="186"/>
      <c r="D156" s="187"/>
      <c r="E156" s="186"/>
      <c r="F156" s="170"/>
      <c r="G156" s="214" t="s">
        <v>402</v>
      </c>
      <c r="H156" s="170"/>
      <c r="I156" s="190"/>
      <c r="J156" s="191"/>
      <c r="K156" s="191"/>
      <c r="L156" s="191" t="s">
        <v>1125</v>
      </c>
      <c r="M156" s="186" t="s">
        <v>677</v>
      </c>
      <c r="N156" s="673">
        <f>T_CEFF!H72</f>
        <v>0.72726999999999997</v>
      </c>
      <c r="O156" s="673">
        <f>T_CEFF!I72</f>
        <v>0.72726999999999997</v>
      </c>
      <c r="P156" s="673">
        <f>T_CEFF!J72</f>
        <v>0.72726999999999997</v>
      </c>
      <c r="Q156" s="673">
        <f>T_CEFF!K72</f>
        <v>0.72726999999999997</v>
      </c>
      <c r="R156" s="673">
        <f>T_CEFF!L72</f>
        <v>0.72726999999999997</v>
      </c>
      <c r="S156" s="673">
        <f>T_CEFF!M72</f>
        <v>0.72726999999999997</v>
      </c>
      <c r="T156" s="673">
        <f>T_CEFF!N72</f>
        <v>0.72726999999999997</v>
      </c>
      <c r="U156" s="673">
        <f>T_CEFF!O72</f>
        <v>0.72726999999999997</v>
      </c>
      <c r="V156" s="673">
        <f>T_CEFF!P72</f>
        <v>0.72726999999999997</v>
      </c>
      <c r="W156" s="673">
        <f>T_CEFF!Q72</f>
        <v>0.72726999999999997</v>
      </c>
      <c r="X156" s="673">
        <f>T_CEFF!R72</f>
        <v>0.72726999999999997</v>
      </c>
      <c r="Y156" s="673">
        <f>T_CEFF!S72</f>
        <v>0.72726999999999997</v>
      </c>
      <c r="Z156" s="673">
        <f>T_CEFF!T72</f>
        <v>0.72726999999999997</v>
      </c>
      <c r="AA156" s="673">
        <f>T_CEFF!U72</f>
        <v>0.72726999999999997</v>
      </c>
      <c r="AB156" s="673">
        <f>T_CEFF!V72</f>
        <v>0.72726999999999997</v>
      </c>
      <c r="AC156" s="928"/>
      <c r="AE156" s="567"/>
      <c r="AV156" s="699" t="str">
        <f t="shared" ref="AV156:AV166" si="171">MID(E156,1,7)</f>
        <v/>
      </c>
    </row>
    <row r="157" spans="1:64" x14ac:dyDescent="0.3">
      <c r="A157" s="22"/>
      <c r="B157" s="186" t="str">
        <f>B156</f>
        <v>TCARPYG100</v>
      </c>
      <c r="C157" s="186"/>
      <c r="D157" s="187"/>
      <c r="E157" s="186"/>
      <c r="F157" s="170"/>
      <c r="G157" s="214" t="s">
        <v>404</v>
      </c>
      <c r="H157" s="170"/>
      <c r="I157" s="190"/>
      <c r="J157" s="191"/>
      <c r="K157" s="191"/>
      <c r="L157" s="191" t="s">
        <v>1125</v>
      </c>
      <c r="M157" s="186" t="s">
        <v>677</v>
      </c>
      <c r="N157" s="673">
        <f>T_CEFF!H73</f>
        <v>0.82474000000000003</v>
      </c>
      <c r="O157" s="673">
        <f>T_CEFF!I73</f>
        <v>0.82474000000000003</v>
      </c>
      <c r="P157" s="673">
        <f>T_CEFF!J73</f>
        <v>0.82474000000000003</v>
      </c>
      <c r="Q157" s="673">
        <f>T_CEFF!K73</f>
        <v>0.82474000000000003</v>
      </c>
      <c r="R157" s="673">
        <f>T_CEFF!L73</f>
        <v>0.82474000000000003</v>
      </c>
      <c r="S157" s="673">
        <f>T_CEFF!M73</f>
        <v>0.82474000000000003</v>
      </c>
      <c r="T157" s="673">
        <f>T_CEFF!N73</f>
        <v>0.82474000000000003</v>
      </c>
      <c r="U157" s="673">
        <f>T_CEFF!O73</f>
        <v>0.82474000000000003</v>
      </c>
      <c r="V157" s="673">
        <f>T_CEFF!P73</f>
        <v>0.82474000000000003</v>
      </c>
      <c r="W157" s="673">
        <f>T_CEFF!Q73</f>
        <v>0.82474000000000003</v>
      </c>
      <c r="X157" s="673">
        <f>T_CEFF!R73</f>
        <v>0.82474000000000003</v>
      </c>
      <c r="Y157" s="673">
        <f>T_CEFF!S73</f>
        <v>0.82474000000000003</v>
      </c>
      <c r="Z157" s="673">
        <f>T_CEFF!T73</f>
        <v>0.82474000000000003</v>
      </c>
      <c r="AA157" s="673">
        <f>T_CEFF!U73</f>
        <v>0.82474000000000003</v>
      </c>
      <c r="AB157" s="673">
        <f>T_CEFF!V73</f>
        <v>0.82474000000000003</v>
      </c>
      <c r="AC157" s="928"/>
      <c r="AE157" s="567"/>
      <c r="AV157" s="699" t="str">
        <f t="shared" si="171"/>
        <v/>
      </c>
    </row>
    <row r="158" spans="1:64" x14ac:dyDescent="0.3">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19"/>
      <c r="AE158" s="567"/>
      <c r="AV158" s="699" t="str">
        <f t="shared" si="171"/>
        <v/>
      </c>
    </row>
    <row r="159" spans="1:64" x14ac:dyDescent="0.3">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5.9175990000000009</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7"/>
      <c r="AV159" s="699" t="str">
        <f t="shared" si="171"/>
        <v/>
      </c>
    </row>
    <row r="160" spans="1:64" x14ac:dyDescent="0.3">
      <c r="A160" s="22"/>
      <c r="B160" s="186" t="str">
        <f t="shared" si="172"/>
        <v>TCARPYG100</v>
      </c>
      <c r="C160" s="186"/>
      <c r="D160" s="187"/>
      <c r="E160" s="186"/>
      <c r="F160" s="170"/>
      <c r="G160" s="213"/>
      <c r="H160" s="170"/>
      <c r="I160" s="190">
        <f>$M$3</f>
        <v>2019</v>
      </c>
      <c r="J160" s="191"/>
      <c r="K160" s="191"/>
      <c r="L160" s="211" t="s">
        <v>1064</v>
      </c>
      <c r="M160" s="186" t="s">
        <v>747</v>
      </c>
      <c r="N160" s="686">
        <f>LOOKUP($C$153, T_Stock_Private!$C$10:$C$20, T_Stock_Private!D$10:D$20)*(1+N27)</f>
        <v>0</v>
      </c>
      <c r="O160" s="686">
        <f>LOOKUP($C$153, T_Stock_Private!$C$10:$C$20, T_Stock_Private!E$10:E$20)*(1+O27)</f>
        <v>0</v>
      </c>
      <c r="P160" s="686">
        <f>LOOKUP($C$153, T_Stock_Private!$C$10:$C$20, T_Stock_Private!F$10:F$20)*(1+P27)</f>
        <v>0</v>
      </c>
      <c r="Q160" s="686">
        <f>LOOKUP($C$153, T_Stock_Private!$C$10:$C$20, T_Stock_Private!G$10:G$20)*(1+Q27)</f>
        <v>0</v>
      </c>
      <c r="R160" s="686">
        <f>LOOKUP($C$153, T_Stock_Private!$C$10:$C$20, T_Stock_Private!H$10:H$20)*(1+R27)</f>
        <v>0</v>
      </c>
      <c r="S160" s="686">
        <f>LOOKUP($C$153, T_Stock_Private!$C$10:$C$20, T_Stock_Private!I$10:I$20)*(1+S27)</f>
        <v>0</v>
      </c>
      <c r="T160" s="686">
        <f>LOOKUP($C$153, T_Stock_Private!$C$10:$C$20, T_Stock_Private!J$10:J$20)*(1+T27)</f>
        <v>0</v>
      </c>
      <c r="U160" s="686">
        <f>LOOKUP($C$153, T_Stock_Private!$C$10:$C$20, T_Stock_Private!K$10:K$20)*(1+U27)</f>
        <v>0</v>
      </c>
      <c r="V160" s="686">
        <f>LOOKUP($C$153, T_Stock_Private!$C$10:$C$20, T_Stock_Private!L$10:L$20)*(1+V27)</f>
        <v>0</v>
      </c>
      <c r="W160" s="686">
        <f>LOOKUP($C$153, T_Stock_Private!$C$10:$C$20, T_Stock_Private!M$10:M$20)*(1+W27)</f>
        <v>0</v>
      </c>
      <c r="X160" s="686">
        <f>LOOKUP($C$153, T_Stock_Private!$C$10:$C$20, T_Stock_Private!N$10:N$20)*(1+X27)</f>
        <v>0</v>
      </c>
      <c r="Y160" s="686">
        <f>LOOKUP($C$153, T_Stock_Private!$C$10:$C$20, T_Stock_Private!O$10:O$20)*(1+Y27)</f>
        <v>0</v>
      </c>
      <c r="Z160" s="686">
        <f>LOOKUP($C$153, T_Stock_Private!$C$10:$C$20, T_Stock_Private!P$10:P$20)*(1+Z27)</f>
        <v>0</v>
      </c>
      <c r="AA160" s="686">
        <f>LOOKUP($C$153, T_Stock_Private!$C$10:$C$20, T_Stock_Private!Q$10:Q$20)*(1+AA27)</f>
        <v>0</v>
      </c>
      <c r="AB160" s="686">
        <f>LOOKUP($C$153, T_Stock_Private!$C$10:$C$20, T_Stock_Private!R$10:R$20)*(1+AB27)</f>
        <v>0</v>
      </c>
      <c r="AC160" s="925"/>
      <c r="AE160" s="567"/>
      <c r="AV160" s="699" t="str">
        <f t="shared" si="171"/>
        <v/>
      </c>
    </row>
    <row r="161" spans="1:48" x14ac:dyDescent="0.3">
      <c r="A161" s="22"/>
      <c r="B161" s="186" t="str">
        <f t="shared" si="172"/>
        <v>TCARPYG100</v>
      </c>
      <c r="C161" s="186"/>
      <c r="D161" s="187"/>
      <c r="E161" s="186"/>
      <c r="F161" s="170"/>
      <c r="G161" s="213"/>
      <c r="H161" s="170"/>
      <c r="I161" s="190">
        <f>AF$5</f>
        <v>2020</v>
      </c>
      <c r="J161" s="191"/>
      <c r="K161" s="191"/>
      <c r="L161" s="211" t="s">
        <v>1064</v>
      </c>
      <c r="M161" s="186" t="s">
        <v>747</v>
      </c>
      <c r="N161" s="686">
        <f t="shared" ref="N161:AB161" si="174">N160*LOOKUP($AD153,$AG$4:$AO$4,$AG$5:$AO$5)</f>
        <v>0</v>
      </c>
      <c r="O161" s="686">
        <f t="shared" si="174"/>
        <v>0</v>
      </c>
      <c r="P161" s="686">
        <f t="shared" si="174"/>
        <v>0</v>
      </c>
      <c r="Q161" s="686">
        <f t="shared" si="174"/>
        <v>0</v>
      </c>
      <c r="R161" s="686">
        <f t="shared" si="174"/>
        <v>0</v>
      </c>
      <c r="S161" s="686">
        <f t="shared" si="174"/>
        <v>0</v>
      </c>
      <c r="T161" s="686">
        <f t="shared" si="174"/>
        <v>0</v>
      </c>
      <c r="U161" s="686">
        <f t="shared" si="174"/>
        <v>0</v>
      </c>
      <c r="V161" s="686">
        <f t="shared" si="174"/>
        <v>0</v>
      </c>
      <c r="W161" s="686">
        <f t="shared" si="174"/>
        <v>0</v>
      </c>
      <c r="X161" s="686">
        <f t="shared" si="174"/>
        <v>0</v>
      </c>
      <c r="Y161" s="686">
        <f t="shared" si="174"/>
        <v>0</v>
      </c>
      <c r="Z161" s="686">
        <f t="shared" si="174"/>
        <v>0</v>
      </c>
      <c r="AA161" s="686">
        <f t="shared" si="174"/>
        <v>0</v>
      </c>
      <c r="AB161" s="686">
        <f t="shared" si="174"/>
        <v>0</v>
      </c>
      <c r="AC161" s="925"/>
      <c r="AE161" s="568">
        <f>SUM(AF161:AT161)</f>
        <v>0</v>
      </c>
      <c r="AF161" s="567">
        <f t="shared" ref="AF161:AT161" si="175">N158*N159*N160/1000</f>
        <v>0</v>
      </c>
      <c r="AG161" s="567">
        <f t="shared" si="175"/>
        <v>0</v>
      </c>
      <c r="AH161" s="567">
        <f t="shared" si="175"/>
        <v>0</v>
      </c>
      <c r="AI161" s="567">
        <f t="shared" si="175"/>
        <v>0</v>
      </c>
      <c r="AJ161" s="567">
        <f t="shared" si="175"/>
        <v>0</v>
      </c>
      <c r="AK161" s="567">
        <f t="shared" si="175"/>
        <v>0</v>
      </c>
      <c r="AL161" s="567">
        <f t="shared" si="175"/>
        <v>0</v>
      </c>
      <c r="AM161" s="567">
        <f t="shared" si="175"/>
        <v>0</v>
      </c>
      <c r="AN161" s="567">
        <f t="shared" si="175"/>
        <v>0</v>
      </c>
      <c r="AO161" s="567">
        <f t="shared" si="175"/>
        <v>0</v>
      </c>
      <c r="AP161" s="567">
        <f t="shared" si="175"/>
        <v>0</v>
      </c>
      <c r="AQ161" s="567">
        <f t="shared" si="175"/>
        <v>0</v>
      </c>
      <c r="AR161" s="567">
        <f t="shared" si="175"/>
        <v>0</v>
      </c>
      <c r="AS161" s="567">
        <f t="shared" si="175"/>
        <v>0</v>
      </c>
      <c r="AT161" s="567">
        <f t="shared" si="175"/>
        <v>0</v>
      </c>
      <c r="AV161" s="699" t="str">
        <f t="shared" si="171"/>
        <v/>
      </c>
    </row>
    <row r="162" spans="1:48" x14ac:dyDescent="0.3">
      <c r="A162" s="22"/>
      <c r="B162" s="186" t="str">
        <f t="shared" si="172"/>
        <v>TCARPYG100</v>
      </c>
      <c r="C162" s="186"/>
      <c r="D162" s="187"/>
      <c r="E162" s="186"/>
      <c r="F162" s="170"/>
      <c r="G162" s="213"/>
      <c r="H162" s="170"/>
      <c r="I162" s="190">
        <f>AF$6</f>
        <v>2025</v>
      </c>
      <c r="J162" s="191"/>
      <c r="K162" s="191"/>
      <c r="L162" s="211" t="s">
        <v>1064</v>
      </c>
      <c r="M162" s="186" t="s">
        <v>747</v>
      </c>
      <c r="N162" s="686">
        <f t="shared" ref="N162:AB162" si="176">N160*LOOKUP($AD153,$AG$4:$AO$4,$AG$6:$AO$6)</f>
        <v>0</v>
      </c>
      <c r="O162" s="686">
        <f t="shared" si="176"/>
        <v>0</v>
      </c>
      <c r="P162" s="686">
        <f t="shared" si="176"/>
        <v>0</v>
      </c>
      <c r="Q162" s="686">
        <f t="shared" si="176"/>
        <v>0</v>
      </c>
      <c r="R162" s="686">
        <f t="shared" si="176"/>
        <v>0</v>
      </c>
      <c r="S162" s="686">
        <f t="shared" si="176"/>
        <v>0</v>
      </c>
      <c r="T162" s="686">
        <f t="shared" si="176"/>
        <v>0</v>
      </c>
      <c r="U162" s="686">
        <f t="shared" si="176"/>
        <v>0</v>
      </c>
      <c r="V162" s="686">
        <f t="shared" si="176"/>
        <v>0</v>
      </c>
      <c r="W162" s="686">
        <f t="shared" si="176"/>
        <v>0</v>
      </c>
      <c r="X162" s="686">
        <f t="shared" si="176"/>
        <v>0</v>
      </c>
      <c r="Y162" s="686">
        <f t="shared" si="176"/>
        <v>0</v>
      </c>
      <c r="Z162" s="686">
        <f t="shared" si="176"/>
        <v>0</v>
      </c>
      <c r="AA162" s="686">
        <f t="shared" si="176"/>
        <v>0</v>
      </c>
      <c r="AB162" s="686">
        <f t="shared" si="176"/>
        <v>0</v>
      </c>
      <c r="AC162" s="925"/>
      <c r="AV162" s="699" t="str">
        <f t="shared" si="171"/>
        <v/>
      </c>
    </row>
    <row r="163" spans="1:48" x14ac:dyDescent="0.3">
      <c r="A163" s="22"/>
      <c r="B163" s="186" t="str">
        <f t="shared" si="172"/>
        <v>TCARPYG100</v>
      </c>
      <c r="C163" s="186"/>
      <c r="D163" s="187"/>
      <c r="E163" s="186"/>
      <c r="F163" s="170"/>
      <c r="G163" s="213"/>
      <c r="H163" s="170"/>
      <c r="I163" s="190">
        <f>AF$7</f>
        <v>2030</v>
      </c>
      <c r="J163" s="191"/>
      <c r="K163" s="191"/>
      <c r="L163" s="211" t="s">
        <v>1064</v>
      </c>
      <c r="M163" s="186" t="s">
        <v>747</v>
      </c>
      <c r="N163" s="686">
        <f t="shared" ref="N163:AB163" si="177">N160*LOOKUP($AD153,$AG$4:$AO$4,$AG$7:$AO$7)</f>
        <v>0</v>
      </c>
      <c r="O163" s="686">
        <f t="shared" si="177"/>
        <v>0</v>
      </c>
      <c r="P163" s="686">
        <f t="shared" si="177"/>
        <v>0</v>
      </c>
      <c r="Q163" s="686">
        <f t="shared" si="177"/>
        <v>0</v>
      </c>
      <c r="R163" s="686">
        <f t="shared" si="177"/>
        <v>0</v>
      </c>
      <c r="S163" s="686">
        <f t="shared" si="177"/>
        <v>0</v>
      </c>
      <c r="T163" s="686">
        <f t="shared" si="177"/>
        <v>0</v>
      </c>
      <c r="U163" s="686">
        <f t="shared" si="177"/>
        <v>0</v>
      </c>
      <c r="V163" s="686">
        <f t="shared" si="177"/>
        <v>0</v>
      </c>
      <c r="W163" s="686">
        <f t="shared" si="177"/>
        <v>0</v>
      </c>
      <c r="X163" s="686">
        <f t="shared" si="177"/>
        <v>0</v>
      </c>
      <c r="Y163" s="686">
        <f t="shared" si="177"/>
        <v>0</v>
      </c>
      <c r="Z163" s="686">
        <f t="shared" si="177"/>
        <v>0</v>
      </c>
      <c r="AA163" s="686">
        <f t="shared" si="177"/>
        <v>0</v>
      </c>
      <c r="AB163" s="686">
        <f t="shared" si="177"/>
        <v>0</v>
      </c>
      <c r="AC163" s="925"/>
      <c r="AV163" s="699" t="str">
        <f t="shared" si="171"/>
        <v/>
      </c>
    </row>
    <row r="164" spans="1:48" x14ac:dyDescent="0.3">
      <c r="A164" s="22"/>
      <c r="B164" s="186" t="str">
        <f t="shared" si="172"/>
        <v>TCARPYG100</v>
      </c>
      <c r="C164" s="186"/>
      <c r="D164" s="187"/>
      <c r="E164" s="186"/>
      <c r="F164" s="170"/>
      <c r="G164" s="213"/>
      <c r="H164" s="170"/>
      <c r="I164" s="190">
        <f>AF$8</f>
        <v>2035</v>
      </c>
      <c r="J164" s="191"/>
      <c r="K164" s="191"/>
      <c r="L164" s="211" t="s">
        <v>1064</v>
      </c>
      <c r="M164" s="186" t="s">
        <v>747</v>
      </c>
      <c r="N164" s="686">
        <f t="shared" ref="N164:AB164" si="178">N160*LOOKUP($AD153,$AG$4:$AO$4,$AG$8:$AO$8)</f>
        <v>0</v>
      </c>
      <c r="O164" s="686">
        <f t="shared" si="178"/>
        <v>0</v>
      </c>
      <c r="P164" s="686">
        <f t="shared" si="178"/>
        <v>0</v>
      </c>
      <c r="Q164" s="686">
        <f t="shared" si="178"/>
        <v>0</v>
      </c>
      <c r="R164" s="686">
        <f t="shared" si="178"/>
        <v>0</v>
      </c>
      <c r="S164" s="686">
        <f t="shared" si="178"/>
        <v>0</v>
      </c>
      <c r="T164" s="686">
        <f t="shared" si="178"/>
        <v>0</v>
      </c>
      <c r="U164" s="686">
        <f t="shared" si="178"/>
        <v>0</v>
      </c>
      <c r="V164" s="686">
        <f t="shared" si="178"/>
        <v>0</v>
      </c>
      <c r="W164" s="686">
        <f t="shared" si="178"/>
        <v>0</v>
      </c>
      <c r="X164" s="686">
        <f t="shared" si="178"/>
        <v>0</v>
      </c>
      <c r="Y164" s="686">
        <f t="shared" si="178"/>
        <v>0</v>
      </c>
      <c r="Z164" s="686">
        <f t="shared" si="178"/>
        <v>0</v>
      </c>
      <c r="AA164" s="686">
        <f t="shared" si="178"/>
        <v>0</v>
      </c>
      <c r="AB164" s="686">
        <f t="shared" si="178"/>
        <v>0</v>
      </c>
      <c r="AC164" s="925"/>
      <c r="AV164" s="699" t="str">
        <f t="shared" si="171"/>
        <v/>
      </c>
    </row>
    <row r="165" spans="1:48" x14ac:dyDescent="0.3">
      <c r="A165" s="22"/>
      <c r="B165" s="186" t="str">
        <f t="shared" si="172"/>
        <v>TCARPYG100</v>
      </c>
      <c r="C165" s="186"/>
      <c r="D165" s="187"/>
      <c r="E165" s="186"/>
      <c r="F165" s="170"/>
      <c r="G165" s="213"/>
      <c r="H165" s="170"/>
      <c r="I165" s="190">
        <f>AF$9</f>
        <v>2040</v>
      </c>
      <c r="J165" s="191"/>
      <c r="K165" s="191"/>
      <c r="L165" s="211" t="s">
        <v>1064</v>
      </c>
      <c r="M165" s="186" t="s">
        <v>747</v>
      </c>
      <c r="N165" s="686">
        <f t="shared" ref="N165:AB165" si="179">N160*LOOKUP($AD153,$AG$4:$AO$4,$AG$9:$AO$9)</f>
        <v>0</v>
      </c>
      <c r="O165" s="686">
        <f t="shared" si="179"/>
        <v>0</v>
      </c>
      <c r="P165" s="686">
        <f t="shared" si="179"/>
        <v>0</v>
      </c>
      <c r="Q165" s="686">
        <f t="shared" si="179"/>
        <v>0</v>
      </c>
      <c r="R165" s="686">
        <f t="shared" si="179"/>
        <v>0</v>
      </c>
      <c r="S165" s="686">
        <f t="shared" si="179"/>
        <v>0</v>
      </c>
      <c r="T165" s="686">
        <f t="shared" si="179"/>
        <v>0</v>
      </c>
      <c r="U165" s="686">
        <f t="shared" si="179"/>
        <v>0</v>
      </c>
      <c r="V165" s="686">
        <f t="shared" si="179"/>
        <v>0</v>
      </c>
      <c r="W165" s="686">
        <f t="shared" si="179"/>
        <v>0</v>
      </c>
      <c r="X165" s="686">
        <f t="shared" si="179"/>
        <v>0</v>
      </c>
      <c r="Y165" s="686">
        <f t="shared" si="179"/>
        <v>0</v>
      </c>
      <c r="Z165" s="686">
        <f t="shared" si="179"/>
        <v>0</v>
      </c>
      <c r="AA165" s="686">
        <f t="shared" si="179"/>
        <v>0</v>
      </c>
      <c r="AB165" s="686">
        <f t="shared" si="179"/>
        <v>0</v>
      </c>
      <c r="AC165" s="925"/>
      <c r="AV165" s="699" t="str">
        <f t="shared" si="171"/>
        <v/>
      </c>
    </row>
    <row r="166" spans="1:48" x14ac:dyDescent="0.3">
      <c r="A166" s="22"/>
      <c r="B166" s="193" t="str">
        <f t="shared" si="172"/>
        <v>TCARPYG100</v>
      </c>
      <c r="C166" s="193"/>
      <c r="D166" s="194"/>
      <c r="E166" s="193"/>
      <c r="F166" s="196"/>
      <c r="G166" s="215"/>
      <c r="H166" s="196"/>
      <c r="I166" s="197">
        <f>AF$10</f>
        <v>2050</v>
      </c>
      <c r="J166" s="198"/>
      <c r="K166" s="198"/>
      <c r="L166" s="212" t="s">
        <v>1064</v>
      </c>
      <c r="M166" s="193" t="s">
        <v>747</v>
      </c>
      <c r="N166" s="687">
        <f t="shared" ref="N166:AB166" si="180">N160*LOOKUP($AD153,$AG$4:$AO$4,$AG$10:$AO$10)</f>
        <v>0</v>
      </c>
      <c r="O166" s="687">
        <f t="shared" si="180"/>
        <v>0</v>
      </c>
      <c r="P166" s="687">
        <f t="shared" si="180"/>
        <v>0</v>
      </c>
      <c r="Q166" s="687">
        <f t="shared" si="180"/>
        <v>0</v>
      </c>
      <c r="R166" s="687">
        <f t="shared" si="180"/>
        <v>0</v>
      </c>
      <c r="S166" s="687">
        <f t="shared" si="180"/>
        <v>0</v>
      </c>
      <c r="T166" s="687">
        <f t="shared" si="180"/>
        <v>0</v>
      </c>
      <c r="U166" s="687">
        <f t="shared" si="180"/>
        <v>0</v>
      </c>
      <c r="V166" s="687">
        <f t="shared" si="180"/>
        <v>0</v>
      </c>
      <c r="W166" s="687">
        <f t="shared" si="180"/>
        <v>0</v>
      </c>
      <c r="X166" s="687">
        <f t="shared" si="180"/>
        <v>0</v>
      </c>
      <c r="Y166" s="687">
        <f t="shared" si="180"/>
        <v>0</v>
      </c>
      <c r="Z166" s="687">
        <f t="shared" si="180"/>
        <v>0</v>
      </c>
      <c r="AA166" s="687">
        <f t="shared" si="180"/>
        <v>0</v>
      </c>
      <c r="AB166" s="687">
        <f t="shared" si="180"/>
        <v>0</v>
      </c>
      <c r="AC166" s="925"/>
      <c r="AV166" s="699" t="str">
        <f t="shared" si="171"/>
        <v/>
      </c>
    </row>
    <row r="167" spans="1:48" x14ac:dyDescent="0.3">
      <c r="L167" s="70"/>
      <c r="AE167" s="71"/>
    </row>
    <row r="168" spans="1:48" x14ac:dyDescent="0.3">
      <c r="L168" s="70"/>
      <c r="M168" s="69"/>
      <c r="N168" s="328"/>
    </row>
    <row r="169" spans="1:48" x14ac:dyDescent="0.3">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opLeftCell="D1" zoomScale="75" zoomScaleNormal="75" workbookViewId="0">
      <selection activeCell="AG188" sqref="AG188"/>
    </sheetView>
  </sheetViews>
  <sheetFormatPr defaultColWidth="9.33203125" defaultRowHeight="14.4" x14ac:dyDescent="0.3"/>
  <cols>
    <col min="1" max="1" width="9.33203125" style="35"/>
    <col min="2" max="2" width="21.5546875" style="35" customWidth="1"/>
    <col min="3" max="3" width="15.33203125" style="35" customWidth="1"/>
    <col min="4" max="4" width="39.33203125" style="35" customWidth="1"/>
    <col min="5" max="5" width="11.33203125" style="35" bestFit="1" customWidth="1"/>
    <col min="6" max="6" width="11.44140625" style="35" bestFit="1" customWidth="1"/>
    <col min="7" max="7" width="15.5546875" style="35" bestFit="1" customWidth="1"/>
    <col min="8" max="8" width="9.6640625" style="35" bestFit="1" customWidth="1"/>
    <col min="9" max="9" width="15.5546875" style="35" bestFit="1" customWidth="1"/>
    <col min="10" max="10" width="24" style="35" bestFit="1" customWidth="1"/>
    <col min="11" max="11" width="14.6640625" style="35" customWidth="1"/>
    <col min="12" max="13" width="20" style="35" customWidth="1"/>
    <col min="14" max="14" width="10" style="35" customWidth="1"/>
    <col min="15" max="28" width="9.33203125" style="35" customWidth="1"/>
    <col min="29" max="29" width="10.6640625" style="35" customWidth="1"/>
    <col min="30" max="30" width="21.33203125" style="35" customWidth="1"/>
    <col min="31" max="31" width="9.33203125" style="35" bestFit="1" customWidth="1"/>
    <col min="32" max="46" width="12" style="35" customWidth="1"/>
    <col min="47" max="47" width="9.33203125" style="35"/>
    <col min="48" max="48" width="9.6640625" style="35" customWidth="1"/>
    <col min="49" max="16384" width="9.33203125" style="35"/>
  </cols>
  <sheetData>
    <row r="1" spans="1:64" x14ac:dyDescent="0.3">
      <c r="M1" s="120" t="s">
        <v>1110</v>
      </c>
    </row>
    <row r="2" spans="1:64" ht="19.5" customHeight="1" x14ac:dyDescent="0.3">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0" t="s">
        <v>85</v>
      </c>
      <c r="AW4" s="700" t="s">
        <v>421</v>
      </c>
      <c r="AX4" s="700" t="str">
        <f t="shared" ref="AX4:BL4" si="2">N$2</f>
        <v>Z01</v>
      </c>
      <c r="AY4" s="700" t="str">
        <f t="shared" si="2"/>
        <v>Z02</v>
      </c>
      <c r="AZ4" s="700" t="str">
        <f t="shared" si="2"/>
        <v>Z03</v>
      </c>
      <c r="BA4" s="700" t="str">
        <f t="shared" si="2"/>
        <v>Z04</v>
      </c>
      <c r="BB4" s="700" t="str">
        <f t="shared" si="2"/>
        <v>Z05</v>
      </c>
      <c r="BC4" s="700" t="str">
        <f t="shared" si="2"/>
        <v>Z06</v>
      </c>
      <c r="BD4" s="700" t="str">
        <f t="shared" si="2"/>
        <v>Z07</v>
      </c>
      <c r="BE4" s="700" t="str">
        <f t="shared" si="2"/>
        <v>Z08</v>
      </c>
      <c r="BF4" s="700" t="str">
        <f t="shared" si="2"/>
        <v>Z09</v>
      </c>
      <c r="BG4" s="700" t="str">
        <f t="shared" si="2"/>
        <v>Z10</v>
      </c>
      <c r="BH4" s="700" t="str">
        <f t="shared" si="2"/>
        <v>Z11</v>
      </c>
      <c r="BI4" s="700" t="str">
        <f t="shared" si="2"/>
        <v>Z12</v>
      </c>
      <c r="BJ4" s="700" t="str">
        <f t="shared" si="2"/>
        <v>Z13</v>
      </c>
      <c r="BK4" s="700" t="str">
        <f t="shared" si="2"/>
        <v>Z14</v>
      </c>
      <c r="BL4" s="700" t="str">
        <f t="shared" si="2"/>
        <v>Z15</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6">
        <f t="shared" ref="AW5:AW24" si="3">SUM(AX5:BL5)</f>
        <v>1458.5972627211436</v>
      </c>
      <c r="AX5" s="717">
        <f t="shared" ref="AX5:BL5" si="4">SUM(AX6:AX24)</f>
        <v>1458.5972627211436</v>
      </c>
      <c r="AY5" s="708">
        <f t="shared" si="4"/>
        <v>0</v>
      </c>
      <c r="AZ5" s="708">
        <f t="shared" si="4"/>
        <v>0</v>
      </c>
      <c r="BA5" s="708">
        <f t="shared" si="4"/>
        <v>0</v>
      </c>
      <c r="BB5" s="708">
        <f t="shared" si="4"/>
        <v>0</v>
      </c>
      <c r="BC5" s="708">
        <f t="shared" si="4"/>
        <v>0</v>
      </c>
      <c r="BD5" s="708">
        <f t="shared" si="4"/>
        <v>0</v>
      </c>
      <c r="BE5" s="708">
        <f t="shared" si="4"/>
        <v>0</v>
      </c>
      <c r="BF5" s="708">
        <f t="shared" si="4"/>
        <v>0</v>
      </c>
      <c r="BG5" s="708">
        <f t="shared" si="4"/>
        <v>0</v>
      </c>
      <c r="BH5" s="708">
        <f t="shared" si="4"/>
        <v>0</v>
      </c>
      <c r="BI5" s="708">
        <f t="shared" si="4"/>
        <v>0</v>
      </c>
      <c r="BJ5" s="708">
        <f t="shared" si="4"/>
        <v>0</v>
      </c>
      <c r="BK5" s="708">
        <f t="shared" si="4"/>
        <v>0</v>
      </c>
      <c r="BL5" s="708">
        <f t="shared" si="4"/>
        <v>0</v>
      </c>
    </row>
    <row r="6" spans="1:64" x14ac:dyDescent="0.3">
      <c r="I6" s="36"/>
      <c r="AF6" s="38">
        <f>AF5+5</f>
        <v>2025</v>
      </c>
      <c r="AG6" s="67">
        <v>0.6</v>
      </c>
      <c r="AH6" s="67">
        <v>0.6</v>
      </c>
      <c r="AI6" s="67">
        <v>0.6</v>
      </c>
      <c r="AJ6" s="67">
        <v>0.6</v>
      </c>
      <c r="AK6" s="67">
        <v>0.6</v>
      </c>
      <c r="AL6" s="67">
        <v>0.6</v>
      </c>
      <c r="AM6" s="67">
        <v>0.5</v>
      </c>
      <c r="AN6" s="67">
        <v>0.6</v>
      </c>
      <c r="AO6" s="67">
        <v>0.6</v>
      </c>
      <c r="AP6" s="67">
        <v>0.6</v>
      </c>
      <c r="AT6" s="68"/>
      <c r="AV6" s="724" t="s">
        <v>987</v>
      </c>
      <c r="AW6" s="934">
        <f t="shared" si="3"/>
        <v>573.98472350680379</v>
      </c>
      <c r="AX6" s="727">
        <f t="shared" ref="AX6:BL15" si="5">SUMIF($AV$32:$AV$315,$AV6,AX$32:AX$315)</f>
        <v>573.98472350680379</v>
      </c>
      <c r="AY6" s="722">
        <f t="shared" si="5"/>
        <v>0</v>
      </c>
      <c r="AZ6" s="722">
        <f t="shared" si="5"/>
        <v>0</v>
      </c>
      <c r="BA6" s="722">
        <f t="shared" si="5"/>
        <v>0</v>
      </c>
      <c r="BB6" s="722">
        <f t="shared" si="5"/>
        <v>0</v>
      </c>
      <c r="BC6" s="722">
        <f t="shared" si="5"/>
        <v>0</v>
      </c>
      <c r="BD6" s="722">
        <f t="shared" si="5"/>
        <v>0</v>
      </c>
      <c r="BE6" s="722">
        <f t="shared" si="5"/>
        <v>0</v>
      </c>
      <c r="BF6" s="722">
        <f t="shared" si="5"/>
        <v>0</v>
      </c>
      <c r="BG6" s="722">
        <f t="shared" si="5"/>
        <v>0</v>
      </c>
      <c r="BH6" s="722">
        <f t="shared" si="5"/>
        <v>0</v>
      </c>
      <c r="BI6" s="722">
        <f t="shared" si="5"/>
        <v>0</v>
      </c>
      <c r="BJ6" s="722">
        <f t="shared" si="5"/>
        <v>0</v>
      </c>
      <c r="BK6" s="722">
        <f t="shared" si="5"/>
        <v>0</v>
      </c>
      <c r="BL6" s="722">
        <f t="shared" si="5"/>
        <v>0</v>
      </c>
    </row>
    <row r="7" spans="1:64" s="33" customFormat="1" x14ac:dyDescent="0.3">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4">
        <f t="shared" si="3"/>
        <v>38.08286112311584</v>
      </c>
      <c r="AX7" s="727">
        <f t="shared" si="5"/>
        <v>38.08286112311584</v>
      </c>
      <c r="AY7" s="722">
        <f t="shared" si="5"/>
        <v>0</v>
      </c>
      <c r="AZ7" s="722">
        <f t="shared" si="5"/>
        <v>0</v>
      </c>
      <c r="BA7" s="722">
        <f t="shared" si="5"/>
        <v>0</v>
      </c>
      <c r="BB7" s="722">
        <f t="shared" si="5"/>
        <v>0</v>
      </c>
      <c r="BC7" s="722">
        <f t="shared" si="5"/>
        <v>0</v>
      </c>
      <c r="BD7" s="722">
        <f t="shared" si="5"/>
        <v>0</v>
      </c>
      <c r="BE7" s="722">
        <f t="shared" si="5"/>
        <v>0</v>
      </c>
      <c r="BF7" s="722">
        <f t="shared" si="5"/>
        <v>0</v>
      </c>
      <c r="BG7" s="722">
        <f t="shared" si="5"/>
        <v>0</v>
      </c>
      <c r="BH7" s="722">
        <f t="shared" si="5"/>
        <v>0</v>
      </c>
      <c r="BI7" s="722">
        <f t="shared" si="5"/>
        <v>0</v>
      </c>
      <c r="BJ7" s="722">
        <f t="shared" si="5"/>
        <v>0</v>
      </c>
      <c r="BK7" s="722">
        <f t="shared" si="5"/>
        <v>0</v>
      </c>
      <c r="BL7" s="722">
        <f t="shared" si="5"/>
        <v>0</v>
      </c>
    </row>
    <row r="8" spans="1:64" s="33" customFormat="1" x14ac:dyDescent="0.3">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4" t="s">
        <v>993</v>
      </c>
      <c r="AW8" s="934">
        <f t="shared" si="3"/>
        <v>258.8697447383405</v>
      </c>
      <c r="AX8" s="727">
        <f t="shared" si="5"/>
        <v>258.8697447383405</v>
      </c>
      <c r="AY8" s="722">
        <f t="shared" si="5"/>
        <v>0</v>
      </c>
      <c r="AZ8" s="722">
        <f t="shared" si="5"/>
        <v>0</v>
      </c>
      <c r="BA8" s="722">
        <f t="shared" si="5"/>
        <v>0</v>
      </c>
      <c r="BB8" s="722">
        <f t="shared" si="5"/>
        <v>0</v>
      </c>
      <c r="BC8" s="722">
        <f t="shared" si="5"/>
        <v>0</v>
      </c>
      <c r="BD8" s="722">
        <f t="shared" si="5"/>
        <v>0</v>
      </c>
      <c r="BE8" s="722">
        <f t="shared" si="5"/>
        <v>0</v>
      </c>
      <c r="BF8" s="722">
        <f t="shared" si="5"/>
        <v>0</v>
      </c>
      <c r="BG8" s="722">
        <f t="shared" si="5"/>
        <v>0</v>
      </c>
      <c r="BH8" s="722">
        <f t="shared" si="5"/>
        <v>0</v>
      </c>
      <c r="BI8" s="722">
        <f t="shared" si="5"/>
        <v>0</v>
      </c>
      <c r="BJ8" s="722">
        <f t="shared" si="5"/>
        <v>0</v>
      </c>
      <c r="BK8" s="722">
        <f t="shared" si="5"/>
        <v>0</v>
      </c>
      <c r="BL8" s="722">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4" t="s">
        <v>995</v>
      </c>
      <c r="AW9" s="934">
        <f t="shared" si="3"/>
        <v>0</v>
      </c>
      <c r="AX9" s="727">
        <f t="shared" si="5"/>
        <v>0</v>
      </c>
      <c r="AY9" s="722">
        <f t="shared" si="5"/>
        <v>0</v>
      </c>
      <c r="AZ9" s="722">
        <f t="shared" si="5"/>
        <v>0</v>
      </c>
      <c r="BA9" s="722">
        <f t="shared" si="5"/>
        <v>0</v>
      </c>
      <c r="BB9" s="722">
        <f t="shared" si="5"/>
        <v>0</v>
      </c>
      <c r="BC9" s="722">
        <f t="shared" si="5"/>
        <v>0</v>
      </c>
      <c r="BD9" s="722">
        <f t="shared" si="5"/>
        <v>0</v>
      </c>
      <c r="BE9" s="722">
        <f t="shared" si="5"/>
        <v>0</v>
      </c>
      <c r="BF9" s="722">
        <f t="shared" si="5"/>
        <v>0</v>
      </c>
      <c r="BG9" s="722">
        <f t="shared" si="5"/>
        <v>0</v>
      </c>
      <c r="BH9" s="722">
        <f t="shared" si="5"/>
        <v>0</v>
      </c>
      <c r="BI9" s="722">
        <f t="shared" si="5"/>
        <v>0</v>
      </c>
      <c r="BJ9" s="722">
        <f t="shared" si="5"/>
        <v>0</v>
      </c>
      <c r="BK9" s="722">
        <f t="shared" si="5"/>
        <v>0</v>
      </c>
      <c r="BL9" s="722">
        <f t="shared" si="5"/>
        <v>0</v>
      </c>
    </row>
    <row r="10" spans="1:64" s="33" customFormat="1" x14ac:dyDescent="0.3">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576</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576</v>
      </c>
      <c r="AF10" s="38">
        <f>AF9+10</f>
        <v>2050</v>
      </c>
      <c r="AG10" s="67">
        <v>0</v>
      </c>
      <c r="AH10" s="67">
        <v>0</v>
      </c>
      <c r="AI10" s="67">
        <v>0</v>
      </c>
      <c r="AJ10" s="67">
        <v>0</v>
      </c>
      <c r="AK10" s="67">
        <v>0</v>
      </c>
      <c r="AL10" s="67">
        <v>0</v>
      </c>
      <c r="AM10" s="67">
        <v>0</v>
      </c>
      <c r="AN10" s="67">
        <v>0</v>
      </c>
      <c r="AO10" s="67">
        <v>0</v>
      </c>
      <c r="AP10" s="67">
        <v>0</v>
      </c>
      <c r="AQ10" s="35"/>
      <c r="AR10" s="35"/>
      <c r="AS10" s="35"/>
      <c r="AT10" s="68"/>
      <c r="AV10" s="724" t="s">
        <v>997</v>
      </c>
      <c r="AW10" s="934">
        <f t="shared" si="3"/>
        <v>0</v>
      </c>
      <c r="AX10" s="727">
        <f t="shared" si="5"/>
        <v>0</v>
      </c>
      <c r="AY10" s="722">
        <f t="shared" si="5"/>
        <v>0</v>
      </c>
      <c r="AZ10" s="722">
        <f t="shared" si="5"/>
        <v>0</v>
      </c>
      <c r="BA10" s="722">
        <f t="shared" si="5"/>
        <v>0</v>
      </c>
      <c r="BB10" s="722">
        <f t="shared" si="5"/>
        <v>0</v>
      </c>
      <c r="BC10" s="722">
        <f t="shared" si="5"/>
        <v>0</v>
      </c>
      <c r="BD10" s="722">
        <f t="shared" si="5"/>
        <v>0</v>
      </c>
      <c r="BE10" s="722">
        <f t="shared" si="5"/>
        <v>0</v>
      </c>
      <c r="BF10" s="722">
        <f t="shared" si="5"/>
        <v>0</v>
      </c>
      <c r="BG10" s="722">
        <f t="shared" si="5"/>
        <v>0</v>
      </c>
      <c r="BH10" s="722">
        <f t="shared" si="5"/>
        <v>0</v>
      </c>
      <c r="BI10" s="722">
        <f t="shared" si="5"/>
        <v>0</v>
      </c>
      <c r="BJ10" s="722">
        <f t="shared" si="5"/>
        <v>0</v>
      </c>
      <c r="BK10" s="722">
        <f t="shared" si="5"/>
        <v>0</v>
      </c>
      <c r="BL10" s="722">
        <f t="shared" si="5"/>
        <v>0</v>
      </c>
    </row>
    <row r="11" spans="1:64" s="33" customFormat="1" x14ac:dyDescent="0.3">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F11" s="35"/>
      <c r="AG11" s="35"/>
      <c r="AH11" s="35"/>
      <c r="AI11" s="35"/>
      <c r="AJ11" s="35"/>
      <c r="AK11" s="35"/>
      <c r="AL11" s="35"/>
      <c r="AM11" s="35"/>
      <c r="AN11" s="35"/>
      <c r="AO11" s="35"/>
      <c r="AP11" s="35"/>
      <c r="AQ11" s="35"/>
      <c r="AR11" s="35"/>
      <c r="AS11" s="35"/>
      <c r="AT11" s="35"/>
      <c r="AV11" s="726" t="s">
        <v>999</v>
      </c>
      <c r="AW11" s="934">
        <f t="shared" si="3"/>
        <v>0</v>
      </c>
      <c r="AX11" s="727">
        <f t="shared" si="5"/>
        <v>0</v>
      </c>
      <c r="AY11" s="722">
        <f t="shared" si="5"/>
        <v>0</v>
      </c>
      <c r="AZ11" s="722">
        <f t="shared" si="5"/>
        <v>0</v>
      </c>
      <c r="BA11" s="722">
        <f t="shared" si="5"/>
        <v>0</v>
      </c>
      <c r="BB11" s="722">
        <f t="shared" si="5"/>
        <v>0</v>
      </c>
      <c r="BC11" s="722">
        <f t="shared" si="5"/>
        <v>0</v>
      </c>
      <c r="BD11" s="722">
        <f t="shared" si="5"/>
        <v>0</v>
      </c>
      <c r="BE11" s="722">
        <f t="shared" si="5"/>
        <v>0</v>
      </c>
      <c r="BF11" s="722">
        <f t="shared" si="5"/>
        <v>0</v>
      </c>
      <c r="BG11" s="722">
        <f t="shared" si="5"/>
        <v>0</v>
      </c>
      <c r="BH11" s="722">
        <f t="shared" si="5"/>
        <v>0</v>
      </c>
      <c r="BI11" s="722">
        <f t="shared" si="5"/>
        <v>0</v>
      </c>
      <c r="BJ11" s="722">
        <f t="shared" si="5"/>
        <v>0</v>
      </c>
      <c r="BK11" s="722">
        <f t="shared" si="5"/>
        <v>0</v>
      </c>
      <c r="BL11" s="722">
        <f t="shared" si="5"/>
        <v>0</v>
      </c>
    </row>
    <row r="12" spans="1:64" s="33" customFormat="1" x14ac:dyDescent="0.3">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1344</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4">
        <f>SUM(N12:AB12)</f>
        <v>1344</v>
      </c>
      <c r="AE12" s="35"/>
      <c r="AF12" s="35"/>
      <c r="AG12" s="35"/>
      <c r="AH12" s="35"/>
      <c r="AI12" s="35"/>
      <c r="AJ12" s="35"/>
      <c r="AK12" s="35"/>
      <c r="AL12" s="35"/>
      <c r="AM12" s="35"/>
      <c r="AN12" s="35"/>
      <c r="AP12" s="35"/>
      <c r="AQ12" s="35"/>
      <c r="AR12" s="35"/>
      <c r="AS12" s="35"/>
      <c r="AT12" s="68"/>
      <c r="AV12" s="727" t="s">
        <v>185</v>
      </c>
      <c r="AW12" s="934">
        <f t="shared" si="3"/>
        <v>514.09702286793447</v>
      </c>
      <c r="AX12" s="727">
        <f t="shared" si="5"/>
        <v>514.09702286793447</v>
      </c>
      <c r="AY12" s="722">
        <f t="shared" si="5"/>
        <v>0</v>
      </c>
      <c r="AZ12" s="722">
        <f t="shared" si="5"/>
        <v>0</v>
      </c>
      <c r="BA12" s="722">
        <f t="shared" si="5"/>
        <v>0</v>
      </c>
      <c r="BB12" s="722">
        <f t="shared" si="5"/>
        <v>0</v>
      </c>
      <c r="BC12" s="722">
        <f t="shared" si="5"/>
        <v>0</v>
      </c>
      <c r="BD12" s="722">
        <f t="shared" si="5"/>
        <v>0</v>
      </c>
      <c r="BE12" s="722">
        <f t="shared" si="5"/>
        <v>0</v>
      </c>
      <c r="BF12" s="722">
        <f t="shared" si="5"/>
        <v>0</v>
      </c>
      <c r="BG12" s="722">
        <f t="shared" si="5"/>
        <v>0</v>
      </c>
      <c r="BH12" s="722">
        <f t="shared" si="5"/>
        <v>0</v>
      </c>
      <c r="BI12" s="722">
        <f t="shared" si="5"/>
        <v>0</v>
      </c>
      <c r="BJ12" s="722">
        <f t="shared" si="5"/>
        <v>0</v>
      </c>
      <c r="BK12" s="722">
        <f t="shared" si="5"/>
        <v>0</v>
      </c>
      <c r="BL12" s="722">
        <f t="shared" si="5"/>
        <v>0</v>
      </c>
    </row>
    <row r="13" spans="1:64" s="33" customFormat="1" x14ac:dyDescent="0.3">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4">
        <f>SUM(N13:AB13)</f>
        <v>0</v>
      </c>
      <c r="AE13" s="35"/>
      <c r="AF13" s="35"/>
      <c r="AG13" s="35"/>
      <c r="AH13" s="35"/>
      <c r="AI13" s="35"/>
      <c r="AJ13" s="35"/>
      <c r="AK13" s="35"/>
      <c r="AL13" s="35"/>
      <c r="AM13" s="35"/>
      <c r="AP13" s="35"/>
      <c r="AQ13" s="35"/>
      <c r="AR13" s="35"/>
      <c r="AS13" s="35"/>
      <c r="AV13" s="727" t="s">
        <v>682</v>
      </c>
      <c r="AW13" s="934">
        <f t="shared" si="3"/>
        <v>3.9208659026819461</v>
      </c>
      <c r="AX13" s="727">
        <f t="shared" si="5"/>
        <v>3.9208659026819461</v>
      </c>
      <c r="AY13" s="722">
        <f t="shared" si="5"/>
        <v>0</v>
      </c>
      <c r="AZ13" s="722">
        <f t="shared" si="5"/>
        <v>0</v>
      </c>
      <c r="BA13" s="722">
        <f t="shared" si="5"/>
        <v>0</v>
      </c>
      <c r="BB13" s="722">
        <f t="shared" si="5"/>
        <v>0</v>
      </c>
      <c r="BC13" s="722">
        <f t="shared" si="5"/>
        <v>0</v>
      </c>
      <c r="BD13" s="722">
        <f t="shared" si="5"/>
        <v>0</v>
      </c>
      <c r="BE13" s="722">
        <f t="shared" si="5"/>
        <v>0</v>
      </c>
      <c r="BF13" s="722">
        <f t="shared" si="5"/>
        <v>0</v>
      </c>
      <c r="BG13" s="722">
        <f t="shared" si="5"/>
        <v>0</v>
      </c>
      <c r="BH13" s="722">
        <f t="shared" si="5"/>
        <v>0</v>
      </c>
      <c r="BI13" s="722">
        <f t="shared" si="5"/>
        <v>0</v>
      </c>
      <c r="BJ13" s="722">
        <f t="shared" si="5"/>
        <v>0</v>
      </c>
      <c r="BK13" s="722">
        <f t="shared" si="5"/>
        <v>0</v>
      </c>
      <c r="BL13" s="722">
        <f t="shared" si="5"/>
        <v>0</v>
      </c>
    </row>
    <row r="14" spans="1:64" s="33" customFormat="1" x14ac:dyDescent="0.3">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7" t="s">
        <v>1009</v>
      </c>
      <c r="AW14" s="934">
        <f t="shared" si="3"/>
        <v>69.270725946659795</v>
      </c>
      <c r="AX14" s="727">
        <f t="shared" si="5"/>
        <v>69.270725946659795</v>
      </c>
      <c r="AY14" s="722">
        <f t="shared" si="5"/>
        <v>0</v>
      </c>
      <c r="AZ14" s="722">
        <f t="shared" si="5"/>
        <v>0</v>
      </c>
      <c r="BA14" s="722">
        <f t="shared" si="5"/>
        <v>0</v>
      </c>
      <c r="BB14" s="722">
        <f t="shared" si="5"/>
        <v>0</v>
      </c>
      <c r="BC14" s="722">
        <f t="shared" si="5"/>
        <v>0</v>
      </c>
      <c r="BD14" s="722">
        <f t="shared" si="5"/>
        <v>0</v>
      </c>
      <c r="BE14" s="722">
        <f t="shared" si="5"/>
        <v>0</v>
      </c>
      <c r="BF14" s="722">
        <f t="shared" si="5"/>
        <v>0</v>
      </c>
      <c r="BG14" s="722">
        <f t="shared" si="5"/>
        <v>0</v>
      </c>
      <c r="BH14" s="722">
        <f t="shared" si="5"/>
        <v>0</v>
      </c>
      <c r="BI14" s="722">
        <f t="shared" si="5"/>
        <v>0</v>
      </c>
      <c r="BJ14" s="722">
        <f t="shared" si="5"/>
        <v>0</v>
      </c>
      <c r="BK14" s="722">
        <f t="shared" si="5"/>
        <v>0</v>
      </c>
      <c r="BL14" s="722">
        <f t="shared" si="5"/>
        <v>0</v>
      </c>
    </row>
    <row r="15" spans="1:64" s="33" customFormat="1" x14ac:dyDescent="0.3">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7" t="s">
        <v>1011</v>
      </c>
      <c r="AW15" s="934">
        <f t="shared" si="3"/>
        <v>1.8937250415973394E-2</v>
      </c>
      <c r="AX15" s="727">
        <f t="shared" si="5"/>
        <v>1.8937250415973394E-2</v>
      </c>
      <c r="AY15" s="722">
        <f t="shared" si="5"/>
        <v>0</v>
      </c>
      <c r="AZ15" s="722">
        <f t="shared" si="5"/>
        <v>0</v>
      </c>
      <c r="BA15" s="722">
        <f t="shared" si="5"/>
        <v>0</v>
      </c>
      <c r="BB15" s="722">
        <f t="shared" si="5"/>
        <v>0</v>
      </c>
      <c r="BC15" s="722">
        <f t="shared" si="5"/>
        <v>0</v>
      </c>
      <c r="BD15" s="722">
        <f t="shared" si="5"/>
        <v>0</v>
      </c>
      <c r="BE15" s="722">
        <f t="shared" si="5"/>
        <v>0</v>
      </c>
      <c r="BF15" s="722">
        <f t="shared" si="5"/>
        <v>0</v>
      </c>
      <c r="BG15" s="722">
        <f t="shared" si="5"/>
        <v>0</v>
      </c>
      <c r="BH15" s="722">
        <f t="shared" si="5"/>
        <v>0</v>
      </c>
      <c r="BI15" s="722">
        <f t="shared" si="5"/>
        <v>0</v>
      </c>
      <c r="BJ15" s="722">
        <f t="shared" si="5"/>
        <v>0</v>
      </c>
      <c r="BK15" s="722">
        <f t="shared" si="5"/>
        <v>0</v>
      </c>
      <c r="BL15" s="722">
        <f t="shared" si="5"/>
        <v>0</v>
      </c>
    </row>
    <row r="16" spans="1:64" s="33" customFormat="1" x14ac:dyDescent="0.3">
      <c r="A16" s="44"/>
      <c r="B16" s="44"/>
      <c r="C16" s="44"/>
      <c r="D16" s="35"/>
      <c r="E16" s="35"/>
      <c r="F16" s="44"/>
      <c r="G16" s="44"/>
      <c r="H16" s="35"/>
      <c r="I16" s="35"/>
      <c r="J16" s="35"/>
      <c r="K16" s="35"/>
      <c r="L16" s="170"/>
      <c r="M16" s="186" t="s">
        <v>199</v>
      </c>
      <c r="N16" s="165">
        <f>T_ACTFLO!E23</f>
        <v>18</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7" t="s">
        <v>1013</v>
      </c>
      <c r="AW16" s="934">
        <f t="shared" si="3"/>
        <v>0.35238138519134776</v>
      </c>
      <c r="AX16" s="727">
        <f t="shared" ref="AX16:BL24" si="8">SUMIF($AV$32:$AV$315,$AV16,AX$32:AX$315)</f>
        <v>0.35238138519134776</v>
      </c>
      <c r="AY16" s="722">
        <f t="shared" si="8"/>
        <v>0</v>
      </c>
      <c r="AZ16" s="722">
        <f t="shared" si="8"/>
        <v>0</v>
      </c>
      <c r="BA16" s="722">
        <f t="shared" si="8"/>
        <v>0</v>
      </c>
      <c r="BB16" s="722">
        <f t="shared" si="8"/>
        <v>0</v>
      </c>
      <c r="BC16" s="722">
        <f t="shared" si="8"/>
        <v>0</v>
      </c>
      <c r="BD16" s="722">
        <f t="shared" si="8"/>
        <v>0</v>
      </c>
      <c r="BE16" s="722">
        <f t="shared" si="8"/>
        <v>0</v>
      </c>
      <c r="BF16" s="722">
        <f t="shared" si="8"/>
        <v>0</v>
      </c>
      <c r="BG16" s="722">
        <f t="shared" si="8"/>
        <v>0</v>
      </c>
      <c r="BH16" s="722">
        <f t="shared" si="8"/>
        <v>0</v>
      </c>
      <c r="BI16" s="722">
        <f t="shared" si="8"/>
        <v>0</v>
      </c>
      <c r="BJ16" s="722">
        <f t="shared" si="8"/>
        <v>0</v>
      </c>
      <c r="BK16" s="722">
        <f t="shared" si="8"/>
        <v>0</v>
      </c>
      <c r="BL16" s="722">
        <f t="shared" si="8"/>
        <v>0</v>
      </c>
    </row>
    <row r="17" spans="1:64" s="33" customFormat="1" x14ac:dyDescent="0.3">
      <c r="A17" s="44"/>
      <c r="B17" s="44"/>
      <c r="C17" s="44"/>
      <c r="D17" s="35"/>
      <c r="E17" s="35"/>
      <c r="F17" s="44"/>
      <c r="G17" s="44"/>
      <c r="H17" s="35"/>
      <c r="I17" s="35"/>
      <c r="J17" s="35"/>
      <c r="K17" s="35"/>
      <c r="L17" s="170"/>
      <c r="M17" s="186" t="s">
        <v>1164</v>
      </c>
      <c r="N17" s="165">
        <f>T_ACTFLO!E24</f>
        <v>18</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7" t="s">
        <v>1015</v>
      </c>
      <c r="AW17" s="934">
        <f t="shared" si="3"/>
        <v>0</v>
      </c>
      <c r="AX17" s="727">
        <f t="shared" si="8"/>
        <v>0</v>
      </c>
      <c r="AY17" s="722">
        <f t="shared" si="8"/>
        <v>0</v>
      </c>
      <c r="AZ17" s="722">
        <f t="shared" si="8"/>
        <v>0</v>
      </c>
      <c r="BA17" s="722">
        <f t="shared" si="8"/>
        <v>0</v>
      </c>
      <c r="BB17" s="722">
        <f t="shared" si="8"/>
        <v>0</v>
      </c>
      <c r="BC17" s="722">
        <f t="shared" si="8"/>
        <v>0</v>
      </c>
      <c r="BD17" s="722">
        <f t="shared" si="8"/>
        <v>0</v>
      </c>
      <c r="BE17" s="722">
        <f t="shared" si="8"/>
        <v>0</v>
      </c>
      <c r="BF17" s="722">
        <f t="shared" si="8"/>
        <v>0</v>
      </c>
      <c r="BG17" s="722">
        <f t="shared" si="8"/>
        <v>0</v>
      </c>
      <c r="BH17" s="722">
        <f t="shared" si="8"/>
        <v>0</v>
      </c>
      <c r="BI17" s="722">
        <f t="shared" si="8"/>
        <v>0</v>
      </c>
      <c r="BJ17" s="722">
        <f t="shared" si="8"/>
        <v>0</v>
      </c>
      <c r="BK17" s="722">
        <f t="shared" si="8"/>
        <v>0</v>
      </c>
      <c r="BL17" s="722">
        <f t="shared" si="8"/>
        <v>0</v>
      </c>
    </row>
    <row r="18" spans="1:64" s="33" customFormat="1" x14ac:dyDescent="0.3">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7" t="s">
        <v>1022</v>
      </c>
      <c r="AW18" s="934">
        <f t="shared" si="3"/>
        <v>0</v>
      </c>
      <c r="AX18" s="727">
        <f t="shared" si="8"/>
        <v>0</v>
      </c>
      <c r="AY18" s="722">
        <f t="shared" si="8"/>
        <v>0</v>
      </c>
      <c r="AZ18" s="722">
        <f t="shared" si="8"/>
        <v>0</v>
      </c>
      <c r="BA18" s="722">
        <f t="shared" si="8"/>
        <v>0</v>
      </c>
      <c r="BB18" s="722">
        <f t="shared" si="8"/>
        <v>0</v>
      </c>
      <c r="BC18" s="722">
        <f t="shared" si="8"/>
        <v>0</v>
      </c>
      <c r="BD18" s="722">
        <f t="shared" si="8"/>
        <v>0</v>
      </c>
      <c r="BE18" s="722">
        <f t="shared" si="8"/>
        <v>0</v>
      </c>
      <c r="BF18" s="722">
        <f t="shared" si="8"/>
        <v>0</v>
      </c>
      <c r="BG18" s="722">
        <f t="shared" si="8"/>
        <v>0</v>
      </c>
      <c r="BH18" s="722">
        <f t="shared" si="8"/>
        <v>0</v>
      </c>
      <c r="BI18" s="722">
        <f t="shared" si="8"/>
        <v>0</v>
      </c>
      <c r="BJ18" s="722">
        <f t="shared" si="8"/>
        <v>0</v>
      </c>
      <c r="BK18" s="722">
        <f t="shared" si="8"/>
        <v>0</v>
      </c>
      <c r="BL18" s="722">
        <f t="shared" si="8"/>
        <v>0</v>
      </c>
    </row>
    <row r="19" spans="1:64" s="33" customFormat="1" x14ac:dyDescent="0.3">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4" t="s">
        <v>680</v>
      </c>
      <c r="AW19" s="934">
        <f t="shared" si="3"/>
        <v>0</v>
      </c>
      <c r="AX19" s="727">
        <f t="shared" si="8"/>
        <v>0</v>
      </c>
      <c r="AY19" s="722">
        <f t="shared" si="8"/>
        <v>0</v>
      </c>
      <c r="AZ19" s="722">
        <f t="shared" si="8"/>
        <v>0</v>
      </c>
      <c r="BA19" s="722">
        <f t="shared" si="8"/>
        <v>0</v>
      </c>
      <c r="BB19" s="722">
        <f t="shared" si="8"/>
        <v>0</v>
      </c>
      <c r="BC19" s="722">
        <f t="shared" si="8"/>
        <v>0</v>
      </c>
      <c r="BD19" s="722">
        <f t="shared" si="8"/>
        <v>0</v>
      </c>
      <c r="BE19" s="722">
        <f t="shared" si="8"/>
        <v>0</v>
      </c>
      <c r="BF19" s="722">
        <f t="shared" si="8"/>
        <v>0</v>
      </c>
      <c r="BG19" s="722">
        <f t="shared" si="8"/>
        <v>0</v>
      </c>
      <c r="BH19" s="722">
        <f t="shared" si="8"/>
        <v>0</v>
      </c>
      <c r="BI19" s="722">
        <f t="shared" si="8"/>
        <v>0</v>
      </c>
      <c r="BJ19" s="722">
        <f t="shared" si="8"/>
        <v>0</v>
      </c>
      <c r="BK19" s="722">
        <f t="shared" si="8"/>
        <v>0</v>
      </c>
      <c r="BL19" s="722">
        <f t="shared" si="8"/>
        <v>0</v>
      </c>
    </row>
    <row r="20" spans="1:64" s="33" customFormat="1" x14ac:dyDescent="0.3">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4" t="s">
        <v>1028</v>
      </c>
      <c r="AW20" s="934">
        <f t="shared" si="3"/>
        <v>0</v>
      </c>
      <c r="AX20" s="727">
        <f t="shared" si="8"/>
        <v>0</v>
      </c>
      <c r="AY20" s="722">
        <f t="shared" si="8"/>
        <v>0</v>
      </c>
      <c r="AZ20" s="722">
        <f t="shared" si="8"/>
        <v>0</v>
      </c>
      <c r="BA20" s="722">
        <f t="shared" si="8"/>
        <v>0</v>
      </c>
      <c r="BB20" s="722">
        <f t="shared" si="8"/>
        <v>0</v>
      </c>
      <c r="BC20" s="722">
        <f t="shared" si="8"/>
        <v>0</v>
      </c>
      <c r="BD20" s="722">
        <f t="shared" si="8"/>
        <v>0</v>
      </c>
      <c r="BE20" s="722">
        <f t="shared" si="8"/>
        <v>0</v>
      </c>
      <c r="BF20" s="722">
        <f t="shared" si="8"/>
        <v>0</v>
      </c>
      <c r="BG20" s="722">
        <f t="shared" si="8"/>
        <v>0</v>
      </c>
      <c r="BH20" s="722">
        <f t="shared" si="8"/>
        <v>0</v>
      </c>
      <c r="BI20" s="722">
        <f t="shared" si="8"/>
        <v>0</v>
      </c>
      <c r="BJ20" s="722">
        <f t="shared" si="8"/>
        <v>0</v>
      </c>
      <c r="BK20" s="722">
        <f t="shared" si="8"/>
        <v>0</v>
      </c>
      <c r="BL20" s="722">
        <f t="shared" si="8"/>
        <v>0</v>
      </c>
    </row>
    <row r="21" spans="1:64" s="33" customFormat="1" x14ac:dyDescent="0.3">
      <c r="A21" s="44"/>
      <c r="B21" s="44"/>
      <c r="C21" s="44"/>
      <c r="D21" s="44"/>
      <c r="E21" s="44"/>
      <c r="F21" s="44"/>
      <c r="G21" s="863"/>
      <c r="J21" s="172"/>
      <c r="K21" s="172"/>
      <c r="L21" s="172"/>
      <c r="M21" s="175" t="str">
        <f>STAT_TRA_Shares!B9</f>
        <v>% of HVO in diesel</v>
      </c>
      <c r="N21" s="864">
        <v>5.5039707116126733E-2</v>
      </c>
      <c r="O21" s="864">
        <f t="shared" si="9"/>
        <v>5.5039707116126733E-2</v>
      </c>
      <c r="P21" s="864">
        <f t="shared" si="9"/>
        <v>5.5039707116126733E-2</v>
      </c>
      <c r="Q21" s="864">
        <f t="shared" si="9"/>
        <v>5.5039707116126733E-2</v>
      </c>
      <c r="R21" s="864">
        <f t="shared" si="9"/>
        <v>5.5039707116126733E-2</v>
      </c>
      <c r="S21" s="864">
        <f t="shared" si="9"/>
        <v>5.5039707116126733E-2</v>
      </c>
      <c r="T21" s="864">
        <f t="shared" si="9"/>
        <v>5.5039707116126733E-2</v>
      </c>
      <c r="U21" s="864">
        <f t="shared" si="9"/>
        <v>5.5039707116126733E-2</v>
      </c>
      <c r="V21" s="864">
        <f t="shared" si="9"/>
        <v>5.5039707116126733E-2</v>
      </c>
      <c r="W21" s="864">
        <f t="shared" si="9"/>
        <v>5.5039707116126733E-2</v>
      </c>
      <c r="X21" s="864">
        <f t="shared" si="9"/>
        <v>5.5039707116126733E-2</v>
      </c>
      <c r="Y21" s="864">
        <f t="shared" si="9"/>
        <v>5.5039707116126733E-2</v>
      </c>
      <c r="Z21" s="864">
        <f t="shared" si="9"/>
        <v>5.5039707116126733E-2</v>
      </c>
      <c r="AA21" s="864">
        <f t="shared" si="9"/>
        <v>5.5039707116126733E-2</v>
      </c>
      <c r="AB21" s="864">
        <f t="shared" si="9"/>
        <v>5.5039707116126733E-2</v>
      </c>
      <c r="AD21" s="76"/>
      <c r="AV21" s="724" t="s">
        <v>1030</v>
      </c>
      <c r="AW21" s="934">
        <f t="shared" si="3"/>
        <v>0</v>
      </c>
      <c r="AX21" s="727">
        <f t="shared" si="8"/>
        <v>0</v>
      </c>
      <c r="AY21" s="722">
        <f t="shared" si="8"/>
        <v>0</v>
      </c>
      <c r="AZ21" s="722">
        <f t="shared" si="8"/>
        <v>0</v>
      </c>
      <c r="BA21" s="722">
        <f t="shared" si="8"/>
        <v>0</v>
      </c>
      <c r="BB21" s="722">
        <f t="shared" si="8"/>
        <v>0</v>
      </c>
      <c r="BC21" s="722">
        <f t="shared" si="8"/>
        <v>0</v>
      </c>
      <c r="BD21" s="722">
        <f t="shared" si="8"/>
        <v>0</v>
      </c>
      <c r="BE21" s="722">
        <f t="shared" si="8"/>
        <v>0</v>
      </c>
      <c r="BF21" s="722">
        <f t="shared" si="8"/>
        <v>0</v>
      </c>
      <c r="BG21" s="722">
        <f t="shared" si="8"/>
        <v>0</v>
      </c>
      <c r="BH21" s="722">
        <f t="shared" si="8"/>
        <v>0</v>
      </c>
      <c r="BI21" s="722">
        <f t="shared" si="8"/>
        <v>0</v>
      </c>
      <c r="BJ21" s="722">
        <f t="shared" si="8"/>
        <v>0</v>
      </c>
      <c r="BK21" s="722">
        <f t="shared" si="8"/>
        <v>0</v>
      </c>
      <c r="BL21" s="722">
        <f t="shared" si="8"/>
        <v>0</v>
      </c>
    </row>
    <row r="22" spans="1:64" s="33" customFormat="1" x14ac:dyDescent="0.3">
      <c r="A22" s="44"/>
      <c r="B22" s="44"/>
      <c r="C22" s="44"/>
      <c r="D22" s="44"/>
      <c r="E22" s="44"/>
      <c r="F22" s="44"/>
      <c r="G22" s="44"/>
      <c r="J22" s="172"/>
      <c r="K22" s="172"/>
      <c r="L22" s="172"/>
      <c r="M22" s="175" t="str">
        <f>STAT_TRA_Shares!B10</f>
        <v>% of low-blend bioethanol in gasoline</v>
      </c>
      <c r="N22" s="151">
        <f>STAT_TRA_Shares!C10</f>
        <v>5.0999999999999997E-2</v>
      </c>
      <c r="O22" s="151">
        <f t="shared" si="9"/>
        <v>5.0999999999999997E-2</v>
      </c>
      <c r="P22" s="151">
        <f t="shared" si="9"/>
        <v>5.0999999999999997E-2</v>
      </c>
      <c r="Q22" s="151">
        <f t="shared" si="9"/>
        <v>5.0999999999999997E-2</v>
      </c>
      <c r="R22" s="151">
        <f t="shared" si="9"/>
        <v>5.0999999999999997E-2</v>
      </c>
      <c r="S22" s="151">
        <f t="shared" si="9"/>
        <v>5.0999999999999997E-2</v>
      </c>
      <c r="T22" s="151">
        <f t="shared" si="9"/>
        <v>5.0999999999999997E-2</v>
      </c>
      <c r="U22" s="151">
        <f t="shared" si="9"/>
        <v>5.0999999999999997E-2</v>
      </c>
      <c r="V22" s="151">
        <f t="shared" si="9"/>
        <v>5.0999999999999997E-2</v>
      </c>
      <c r="W22" s="151">
        <f t="shared" si="9"/>
        <v>5.0999999999999997E-2</v>
      </c>
      <c r="X22" s="151">
        <f t="shared" si="9"/>
        <v>5.0999999999999997E-2</v>
      </c>
      <c r="Y22" s="151">
        <f t="shared" si="9"/>
        <v>5.0999999999999997E-2</v>
      </c>
      <c r="Z22" s="151">
        <f t="shared" si="9"/>
        <v>5.0999999999999997E-2</v>
      </c>
      <c r="AA22" s="151">
        <f t="shared" si="9"/>
        <v>5.0999999999999997E-2</v>
      </c>
      <c r="AB22" s="151">
        <f t="shared" si="9"/>
        <v>5.0999999999999997E-2</v>
      </c>
      <c r="AD22" s="76"/>
      <c r="AE22"/>
      <c r="AV22" s="724" t="s">
        <v>1032</v>
      </c>
      <c r="AW22" s="934">
        <f t="shared" si="3"/>
        <v>0</v>
      </c>
      <c r="AX22" s="727">
        <f t="shared" si="8"/>
        <v>0</v>
      </c>
      <c r="AY22" s="722">
        <f t="shared" si="8"/>
        <v>0</v>
      </c>
      <c r="AZ22" s="722">
        <f t="shared" si="8"/>
        <v>0</v>
      </c>
      <c r="BA22" s="722">
        <f t="shared" si="8"/>
        <v>0</v>
      </c>
      <c r="BB22" s="722">
        <f t="shared" si="8"/>
        <v>0</v>
      </c>
      <c r="BC22" s="722">
        <f t="shared" si="8"/>
        <v>0</v>
      </c>
      <c r="BD22" s="722">
        <f t="shared" si="8"/>
        <v>0</v>
      </c>
      <c r="BE22" s="722">
        <f t="shared" si="8"/>
        <v>0</v>
      </c>
      <c r="BF22" s="722">
        <f t="shared" si="8"/>
        <v>0</v>
      </c>
      <c r="BG22" s="722">
        <f t="shared" si="8"/>
        <v>0</v>
      </c>
      <c r="BH22" s="722">
        <f t="shared" si="8"/>
        <v>0</v>
      </c>
      <c r="BI22" s="722">
        <f t="shared" si="8"/>
        <v>0</v>
      </c>
      <c r="BJ22" s="722">
        <f t="shared" si="8"/>
        <v>0</v>
      </c>
      <c r="BK22" s="722">
        <f t="shared" si="8"/>
        <v>0</v>
      </c>
      <c r="BL22" s="722">
        <f t="shared" si="8"/>
        <v>0</v>
      </c>
    </row>
    <row r="23" spans="1:64" s="33" customFormat="1" x14ac:dyDescent="0.3">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4" t="s">
        <v>1034</v>
      </c>
      <c r="AW23" s="934">
        <f t="shared" si="3"/>
        <v>0</v>
      </c>
      <c r="AX23" s="727">
        <f t="shared" si="8"/>
        <v>0</v>
      </c>
      <c r="AY23" s="722">
        <f t="shared" si="8"/>
        <v>0</v>
      </c>
      <c r="AZ23" s="722">
        <f t="shared" si="8"/>
        <v>0</v>
      </c>
      <c r="BA23" s="722">
        <f t="shared" si="8"/>
        <v>0</v>
      </c>
      <c r="BB23" s="722">
        <f t="shared" si="8"/>
        <v>0</v>
      </c>
      <c r="BC23" s="722">
        <f t="shared" si="8"/>
        <v>0</v>
      </c>
      <c r="BD23" s="722">
        <f t="shared" si="8"/>
        <v>0</v>
      </c>
      <c r="BE23" s="722">
        <f t="shared" si="8"/>
        <v>0</v>
      </c>
      <c r="BF23" s="722">
        <f t="shared" si="8"/>
        <v>0</v>
      </c>
      <c r="BG23" s="722">
        <f t="shared" si="8"/>
        <v>0</v>
      </c>
      <c r="BH23" s="722">
        <f t="shared" si="8"/>
        <v>0</v>
      </c>
      <c r="BI23" s="722">
        <f t="shared" si="8"/>
        <v>0</v>
      </c>
      <c r="BJ23" s="722">
        <f t="shared" si="8"/>
        <v>0</v>
      </c>
      <c r="BK23" s="722">
        <f t="shared" si="8"/>
        <v>0</v>
      </c>
      <c r="BL23" s="722">
        <f t="shared" si="8"/>
        <v>0</v>
      </c>
    </row>
    <row r="24" spans="1:64" s="33" customFormat="1" x14ac:dyDescent="0.3">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4" t="s">
        <v>1038</v>
      </c>
      <c r="AW24" s="934">
        <f t="shared" si="3"/>
        <v>0</v>
      </c>
      <c r="AX24" s="727">
        <f t="shared" si="8"/>
        <v>0</v>
      </c>
      <c r="AY24" s="722">
        <f t="shared" si="8"/>
        <v>0</v>
      </c>
      <c r="AZ24" s="722">
        <f t="shared" si="8"/>
        <v>0</v>
      </c>
      <c r="BA24" s="722">
        <f t="shared" si="8"/>
        <v>0</v>
      </c>
      <c r="BB24" s="722">
        <f t="shared" si="8"/>
        <v>0</v>
      </c>
      <c r="BC24" s="722">
        <f t="shared" si="8"/>
        <v>0</v>
      </c>
      <c r="BD24" s="722">
        <f t="shared" si="8"/>
        <v>0</v>
      </c>
      <c r="BE24" s="722">
        <f t="shared" si="8"/>
        <v>0</v>
      </c>
      <c r="BF24" s="722">
        <f t="shared" si="8"/>
        <v>0</v>
      </c>
      <c r="BG24" s="722">
        <f t="shared" si="8"/>
        <v>0</v>
      </c>
      <c r="BH24" s="722">
        <f t="shared" si="8"/>
        <v>0</v>
      </c>
      <c r="BI24" s="722">
        <f t="shared" si="8"/>
        <v>0</v>
      </c>
      <c r="BJ24" s="722">
        <f t="shared" si="8"/>
        <v>0</v>
      </c>
      <c r="BK24" s="722">
        <f t="shared" si="8"/>
        <v>0</v>
      </c>
      <c r="BL24" s="722">
        <f t="shared" si="8"/>
        <v>0</v>
      </c>
    </row>
    <row r="25" spans="1:64" s="33" customFormat="1" x14ac:dyDescent="0.3">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3">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3">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3">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3">
      <c r="A29" s="44"/>
      <c r="B29" s="44"/>
      <c r="C29" s="44"/>
      <c r="D29" s="44"/>
      <c r="E29" s="44"/>
      <c r="F29" s="44"/>
      <c r="G29" s="44"/>
      <c r="M29" s="473" t="s">
        <v>1151</v>
      </c>
      <c r="N29" s="472">
        <v>0.1</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3">
      <c r="B30" s="26" t="s">
        <v>1165</v>
      </c>
      <c r="C30" s="26"/>
      <c r="I30" s="36"/>
      <c r="M30" s="473" t="s">
        <v>1153</v>
      </c>
      <c r="N30" s="472">
        <v>8.2000000000000003E-2</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3">
      <c r="I31" s="36"/>
      <c r="M31" s="473"/>
      <c r="N31" s="473"/>
      <c r="O31" s="473"/>
      <c r="P31" s="473"/>
      <c r="Q31" s="473"/>
      <c r="R31" s="473"/>
      <c r="S31" s="473"/>
      <c r="T31" s="473"/>
      <c r="U31" s="473"/>
      <c r="V31" s="473"/>
      <c r="W31" s="473"/>
      <c r="X31" s="473"/>
      <c r="Y31" s="473"/>
      <c r="Z31" s="473"/>
      <c r="AA31" s="473"/>
      <c r="AB31" s="473"/>
    </row>
    <row r="32" spans="1:64" s="22" customFormat="1" x14ac:dyDescent="0.3">
      <c r="A32" s="35"/>
      <c r="B32" s="35"/>
      <c r="C32" s="50"/>
      <c r="D32" s="50"/>
      <c r="E32" s="35"/>
      <c r="F32" s="35"/>
      <c r="G32" s="35"/>
      <c r="H32" s="41"/>
      <c r="I32" s="51"/>
      <c r="J32" s="41"/>
      <c r="K32" s="41"/>
      <c r="L32" s="40" t="str">
        <f>IF(SUM(N10:AB11)&gt;0,"~FI_T","Not in use")</f>
        <v>~FI_T</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5" t="e">
        <f>SUM(Z10:Z11)/AR35-1</f>
        <v>#DIV/0!</v>
      </c>
      <c r="AS32" s="35"/>
      <c r="AT32" s="865" t="e">
        <f>SUM(AB10:AB11)/AT35-1</f>
        <v>#DIV/0!</v>
      </c>
      <c r="AV32" s="471" t="s">
        <v>1051</v>
      </c>
    </row>
    <row r="33" spans="1:64" s="22" customFormat="1" x14ac:dyDescent="0.3">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0" t="s">
        <v>85</v>
      </c>
      <c r="AW33" s="700" t="s">
        <v>421</v>
      </c>
      <c r="AX33" s="700" t="str">
        <f t="shared" ref="AX33:BL33" si="13">N$2</f>
        <v>Z01</v>
      </c>
      <c r="AY33" s="700" t="str">
        <f t="shared" si="13"/>
        <v>Z02</v>
      </c>
      <c r="AZ33" s="700" t="str">
        <f t="shared" si="13"/>
        <v>Z03</v>
      </c>
      <c r="BA33" s="700" t="str">
        <f t="shared" si="13"/>
        <v>Z04</v>
      </c>
      <c r="BB33" s="700" t="str">
        <f t="shared" si="13"/>
        <v>Z05</v>
      </c>
      <c r="BC33" s="700" t="str">
        <f t="shared" si="13"/>
        <v>Z06</v>
      </c>
      <c r="BD33" s="700" t="str">
        <f t="shared" si="13"/>
        <v>Z07</v>
      </c>
      <c r="BE33" s="700" t="str">
        <f t="shared" si="13"/>
        <v>Z08</v>
      </c>
      <c r="BF33" s="700" t="str">
        <f t="shared" si="13"/>
        <v>Z09</v>
      </c>
      <c r="BG33" s="700" t="str">
        <f t="shared" si="13"/>
        <v>Z10</v>
      </c>
      <c r="BH33" s="700" t="str">
        <f t="shared" si="13"/>
        <v>Z11</v>
      </c>
      <c r="BI33" s="700" t="str">
        <f t="shared" si="13"/>
        <v>Z12</v>
      </c>
      <c r="BJ33" s="700" t="str">
        <f t="shared" si="13"/>
        <v>Z13</v>
      </c>
      <c r="BK33" s="700" t="str">
        <f t="shared" si="13"/>
        <v>Z14</v>
      </c>
      <c r="BL33" s="700" t="str">
        <f t="shared" si="13"/>
        <v>Z15</v>
      </c>
    </row>
    <row r="34" spans="1:64" s="22" customFormat="1" x14ac:dyDescent="0.3">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4" t="str">
        <f>IF(AE35-(AD10+AD11)&lt;0,"too small",IF(AE35-(AD10+AD11)&gt;0.001,"Too big","ok"))</f>
        <v>Too big</v>
      </c>
      <c r="AF34" s="618" t="str">
        <f t="shared" ref="AF34:AS34" si="14">IF(AF35-(N10+N11)&lt;0,"too small",IF(AF35-(N10+N11)&gt;0.001,"Too big","ok"))</f>
        <v>Too big</v>
      </c>
      <c r="AG34" s="618" t="str">
        <f t="shared" si="14"/>
        <v>ok</v>
      </c>
      <c r="AH34" s="618" t="str">
        <f t="shared" si="14"/>
        <v>ok</v>
      </c>
      <c r="AI34" s="618" t="str">
        <f t="shared" si="14"/>
        <v>ok</v>
      </c>
      <c r="AJ34" s="618" t="str">
        <f t="shared" si="14"/>
        <v>ok</v>
      </c>
      <c r="AK34" s="618" t="str">
        <f t="shared" si="14"/>
        <v>ok</v>
      </c>
      <c r="AL34" s="618" t="str">
        <f t="shared" si="14"/>
        <v>ok</v>
      </c>
      <c r="AM34" s="618" t="str">
        <f t="shared" si="14"/>
        <v>ok</v>
      </c>
      <c r="AN34" s="618" t="str">
        <f t="shared" si="14"/>
        <v>ok</v>
      </c>
      <c r="AO34" s="618" t="str">
        <f t="shared" si="14"/>
        <v>ok</v>
      </c>
      <c r="AP34" s="618" t="str">
        <f t="shared" si="14"/>
        <v>ok</v>
      </c>
      <c r="AQ34" s="618" t="str">
        <f t="shared" si="14"/>
        <v>ok</v>
      </c>
      <c r="AR34" s="618" t="str">
        <f>IF(AR35-(Z10+Z11)&lt;0,"too small",IF(AR35-(Z10+Z11)&gt;0.0005,"Too big","ok"))</f>
        <v>ok</v>
      </c>
      <c r="AS34" s="618" t="str">
        <f t="shared" si="14"/>
        <v>ok</v>
      </c>
      <c r="AT34" s="618" t="str">
        <f>IF(AT35-(AB10+AB11)&lt;0,"too small",IF(AT35-(AB10+AB11)&gt;0.0005,"Too big","ok"))</f>
        <v>ok</v>
      </c>
      <c r="AV34" s="398" t="s">
        <v>103</v>
      </c>
      <c r="AW34" s="709">
        <f>SUM(AX34:BL34)</f>
        <v>524.41250946537957</v>
      </c>
      <c r="AX34" s="708">
        <f t="shared" ref="AX34:BL34" si="15">SUM(AX35:AX176)</f>
        <v>524.41250946537957</v>
      </c>
      <c r="AY34" s="708">
        <f t="shared" si="15"/>
        <v>0</v>
      </c>
      <c r="AZ34" s="708">
        <f t="shared" si="15"/>
        <v>0</v>
      </c>
      <c r="BA34" s="708">
        <f t="shared" si="15"/>
        <v>0</v>
      </c>
      <c r="BB34" s="708">
        <f t="shared" si="15"/>
        <v>0</v>
      </c>
      <c r="BC34" s="708">
        <f t="shared" si="15"/>
        <v>0</v>
      </c>
      <c r="BD34" s="708">
        <f t="shared" si="15"/>
        <v>0</v>
      </c>
      <c r="BE34" s="708">
        <f t="shared" si="15"/>
        <v>0</v>
      </c>
      <c r="BF34" s="708">
        <f t="shared" si="15"/>
        <v>0</v>
      </c>
      <c r="BG34" s="708">
        <f t="shared" si="15"/>
        <v>0</v>
      </c>
      <c r="BH34" s="708">
        <f t="shared" si="15"/>
        <v>0</v>
      </c>
      <c r="BI34" s="708">
        <f t="shared" si="15"/>
        <v>0</v>
      </c>
      <c r="BJ34" s="708">
        <f t="shared" si="15"/>
        <v>0</v>
      </c>
      <c r="BK34" s="708">
        <f t="shared" si="15"/>
        <v>0</v>
      </c>
      <c r="BL34" s="708">
        <f t="shared" si="15"/>
        <v>0</v>
      </c>
    </row>
    <row r="35" spans="1:64" s="83" customFormat="1" x14ac:dyDescent="0.3">
      <c r="A35" s="82"/>
      <c r="B35" s="178" t="str">
        <f>C35</f>
        <v>TBUSBDL100</v>
      </c>
      <c r="C35" s="178" t="s">
        <v>325</v>
      </c>
      <c r="D35" s="179" t="s">
        <v>762</v>
      </c>
      <c r="E35" s="407" t="s">
        <v>987</v>
      </c>
      <c r="F35" s="182"/>
      <c r="G35" s="181"/>
      <c r="H35" s="182"/>
      <c r="I35" s="183"/>
      <c r="J35" s="184"/>
      <c r="K35" s="184"/>
      <c r="L35" s="203" t="s">
        <v>1106</v>
      </c>
      <c r="M35" s="184" t="s">
        <v>1155</v>
      </c>
      <c r="N35" s="600">
        <f>10^-3</f>
        <v>1E-3</v>
      </c>
      <c r="O35" s="600">
        <f t="shared" ref="O35:AB35" si="16">$N35</f>
        <v>1E-3</v>
      </c>
      <c r="P35" s="600">
        <f t="shared" si="16"/>
        <v>1E-3</v>
      </c>
      <c r="Q35" s="600">
        <f t="shared" si="16"/>
        <v>1E-3</v>
      </c>
      <c r="R35" s="600">
        <f t="shared" si="16"/>
        <v>1E-3</v>
      </c>
      <c r="S35" s="600">
        <f t="shared" si="16"/>
        <v>1E-3</v>
      </c>
      <c r="T35" s="600">
        <f t="shared" si="16"/>
        <v>1E-3</v>
      </c>
      <c r="U35" s="600">
        <f t="shared" si="16"/>
        <v>1E-3</v>
      </c>
      <c r="V35" s="600">
        <f t="shared" si="16"/>
        <v>1E-3</v>
      </c>
      <c r="W35" s="600">
        <f t="shared" si="16"/>
        <v>1E-3</v>
      </c>
      <c r="X35" s="600">
        <f t="shared" si="16"/>
        <v>1E-3</v>
      </c>
      <c r="Y35" s="600">
        <f t="shared" si="16"/>
        <v>1E-3</v>
      </c>
      <c r="Z35" s="600">
        <f t="shared" si="16"/>
        <v>1E-3</v>
      </c>
      <c r="AA35" s="600">
        <f t="shared" si="16"/>
        <v>1E-3</v>
      </c>
      <c r="AB35" s="600">
        <f t="shared" si="16"/>
        <v>1E-3</v>
      </c>
      <c r="AD35" s="86" t="str">
        <f>MID(D35,11,3)</f>
        <v>BDL</v>
      </c>
      <c r="AE35" s="571">
        <f>SUM(AF35:AT35)</f>
        <v>576.2305692000001</v>
      </c>
      <c r="AF35" s="585">
        <f t="shared" ref="AF35:AT35" si="17">SUM(AF39:AF169)</f>
        <v>576.2305692000001</v>
      </c>
      <c r="AG35" s="585">
        <f t="shared" si="17"/>
        <v>0</v>
      </c>
      <c r="AH35" s="585">
        <f t="shared" si="17"/>
        <v>0</v>
      </c>
      <c r="AI35" s="585">
        <f t="shared" si="17"/>
        <v>0</v>
      </c>
      <c r="AJ35" s="585">
        <f t="shared" si="17"/>
        <v>0</v>
      </c>
      <c r="AK35" s="585">
        <f t="shared" si="17"/>
        <v>0</v>
      </c>
      <c r="AL35" s="585">
        <f t="shared" si="17"/>
        <v>0</v>
      </c>
      <c r="AM35" s="585">
        <f t="shared" si="17"/>
        <v>0</v>
      </c>
      <c r="AN35" s="585">
        <f t="shared" si="17"/>
        <v>0</v>
      </c>
      <c r="AO35" s="585">
        <f t="shared" si="17"/>
        <v>0</v>
      </c>
      <c r="AP35" s="585">
        <f t="shared" si="17"/>
        <v>0</v>
      </c>
      <c r="AQ35" s="585">
        <f t="shared" si="17"/>
        <v>0</v>
      </c>
      <c r="AR35" s="585">
        <f t="shared" si="17"/>
        <v>0</v>
      </c>
      <c r="AS35" s="585">
        <f t="shared" si="17"/>
        <v>0</v>
      </c>
      <c r="AT35" s="585">
        <f t="shared" si="17"/>
        <v>0</v>
      </c>
      <c r="AV35" s="699" t="str">
        <f>MID(E35,1,7)</f>
        <v>TRABDL</v>
      </c>
      <c r="AW35" s="567">
        <f>SUM(AX35:BL35)</f>
        <v>190.08923953802312</v>
      </c>
      <c r="AX35" s="567">
        <f>N$39*N$40/N$36/1000</f>
        <v>190.08923953802312</v>
      </c>
      <c r="AY35" s="567">
        <f t="shared" ref="AY35:BL35" si="18">O$39*O$40/O$36/1000</f>
        <v>0</v>
      </c>
      <c r="AZ35" s="567">
        <f t="shared" si="18"/>
        <v>0</v>
      </c>
      <c r="BA35" s="567">
        <f t="shared" si="18"/>
        <v>0</v>
      </c>
      <c r="BB35" s="567">
        <f t="shared" si="18"/>
        <v>0</v>
      </c>
      <c r="BC35" s="567">
        <f t="shared" si="18"/>
        <v>0</v>
      </c>
      <c r="BD35" s="567">
        <f t="shared" si="18"/>
        <v>0</v>
      </c>
      <c r="BE35" s="567">
        <f t="shared" si="18"/>
        <v>0</v>
      </c>
      <c r="BF35" s="567">
        <f t="shared" si="18"/>
        <v>0</v>
      </c>
      <c r="BG35" s="567">
        <f t="shared" si="18"/>
        <v>0</v>
      </c>
      <c r="BH35" s="567">
        <f t="shared" si="18"/>
        <v>0</v>
      </c>
      <c r="BI35" s="567">
        <f t="shared" si="18"/>
        <v>0</v>
      </c>
      <c r="BJ35" s="567">
        <f t="shared" si="18"/>
        <v>0</v>
      </c>
      <c r="BK35" s="567">
        <f t="shared" si="18"/>
        <v>0</v>
      </c>
      <c r="BL35" s="567">
        <f t="shared" si="18"/>
        <v>0</v>
      </c>
    </row>
    <row r="36" spans="1:64" s="83" customFormat="1" x14ac:dyDescent="0.3">
      <c r="B36" s="178" t="str">
        <f>B35</f>
        <v>TBUSBDL100</v>
      </c>
      <c r="C36" s="178"/>
      <c r="D36" s="179"/>
      <c r="E36" s="178"/>
      <c r="F36" s="182"/>
      <c r="G36" s="180" t="s">
        <v>415</v>
      </c>
      <c r="H36" s="182"/>
      <c r="I36" s="183"/>
      <c r="J36" s="184"/>
      <c r="K36" s="184"/>
      <c r="L36" s="184" t="s">
        <v>1125</v>
      </c>
      <c r="M36" s="178" t="s">
        <v>677</v>
      </c>
      <c r="N36" s="689">
        <f>T_CEFF!H110</f>
        <v>6.6669999999999993E-2</v>
      </c>
      <c r="O36" s="689">
        <f>T_CEFF!I110</f>
        <v>6.6669999999999993E-2</v>
      </c>
      <c r="P36" s="689">
        <f>T_CEFF!J110</f>
        <v>6.6669999999999993E-2</v>
      </c>
      <c r="Q36" s="689">
        <f>T_CEFF!K110</f>
        <v>6.6669999999999993E-2</v>
      </c>
      <c r="R36" s="689">
        <f>T_CEFF!L110</f>
        <v>6.6669999999999993E-2</v>
      </c>
      <c r="S36" s="689">
        <f>T_CEFF!M110</f>
        <v>6.6669999999999993E-2</v>
      </c>
      <c r="T36" s="689">
        <f>T_CEFF!N110</f>
        <v>6.6669999999999993E-2</v>
      </c>
      <c r="U36" s="689">
        <f>T_CEFF!O110</f>
        <v>6.6669999999999993E-2</v>
      </c>
      <c r="V36" s="689">
        <f>T_CEFF!P110</f>
        <v>6.6669999999999993E-2</v>
      </c>
      <c r="W36" s="689">
        <f>T_CEFF!Q110</f>
        <v>6.6669999999999993E-2</v>
      </c>
      <c r="X36" s="689">
        <f>T_CEFF!R110</f>
        <v>6.6669999999999993E-2</v>
      </c>
      <c r="Y36" s="689">
        <f>T_CEFF!S110</f>
        <v>6.6669999999999993E-2</v>
      </c>
      <c r="Z36" s="689">
        <f>T_CEFF!T110</f>
        <v>6.6669999999999993E-2</v>
      </c>
      <c r="AA36" s="689">
        <f>T_CEFF!U110</f>
        <v>6.6669999999999993E-2</v>
      </c>
      <c r="AB36" s="689">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699" t="str">
        <f>MID(E36,1,7)</f>
        <v/>
      </c>
      <c r="AW36" s="567"/>
      <c r="AX36" s="567"/>
      <c r="AY36" s="567"/>
      <c r="AZ36" s="567"/>
      <c r="BA36" s="567"/>
      <c r="BB36" s="567"/>
      <c r="BC36" s="567"/>
      <c r="BD36" s="567"/>
      <c r="BE36" s="567"/>
      <c r="BF36" s="567"/>
      <c r="BG36" s="567"/>
      <c r="BH36" s="567"/>
      <c r="BI36" s="567"/>
      <c r="BJ36" s="567"/>
      <c r="BK36" s="567"/>
      <c r="BL36" s="567"/>
    </row>
    <row r="37" spans="1:64" s="83" customFormat="1" x14ac:dyDescent="0.3">
      <c r="B37" s="178" t="str">
        <f t="shared" ref="B37:B46" si="19">B36</f>
        <v>TBUSBDL100</v>
      </c>
      <c r="C37" s="178"/>
      <c r="D37" s="179"/>
      <c r="E37" s="178"/>
      <c r="F37" s="182"/>
      <c r="G37" s="180" t="s">
        <v>592</v>
      </c>
      <c r="H37" s="182"/>
      <c r="I37" s="183"/>
      <c r="J37" s="184"/>
      <c r="K37" s="184"/>
      <c r="L37" s="184" t="s">
        <v>1125</v>
      </c>
      <c r="M37" s="178" t="s">
        <v>677</v>
      </c>
      <c r="N37" s="689">
        <f>T_CEFF!H111</f>
        <v>6.6669999999999993E-2</v>
      </c>
      <c r="O37" s="689">
        <f>T_CEFF!I111</f>
        <v>6.6669999999999993E-2</v>
      </c>
      <c r="P37" s="689">
        <f>T_CEFF!J111</f>
        <v>6.6669999999999993E-2</v>
      </c>
      <c r="Q37" s="689">
        <f>T_CEFF!K111</f>
        <v>6.6669999999999993E-2</v>
      </c>
      <c r="R37" s="689">
        <f>T_CEFF!L111</f>
        <v>6.6669999999999993E-2</v>
      </c>
      <c r="S37" s="689">
        <f>T_CEFF!M111</f>
        <v>6.6669999999999993E-2</v>
      </c>
      <c r="T37" s="689">
        <f>T_CEFF!N111</f>
        <v>6.6669999999999993E-2</v>
      </c>
      <c r="U37" s="689">
        <f>T_CEFF!O111</f>
        <v>6.6669999999999993E-2</v>
      </c>
      <c r="V37" s="689">
        <f>T_CEFF!P111</f>
        <v>6.6669999999999993E-2</v>
      </c>
      <c r="W37" s="689">
        <f>T_CEFF!Q111</f>
        <v>6.6669999999999993E-2</v>
      </c>
      <c r="X37" s="689">
        <f>T_CEFF!R111</f>
        <v>6.6669999999999993E-2</v>
      </c>
      <c r="Y37" s="689">
        <f>T_CEFF!S111</f>
        <v>6.6669999999999993E-2</v>
      </c>
      <c r="Z37" s="689">
        <f>T_CEFF!T111</f>
        <v>6.6669999999999993E-2</v>
      </c>
      <c r="AA37" s="689">
        <f>T_CEFF!U111</f>
        <v>6.6669999999999993E-2</v>
      </c>
      <c r="AB37" s="689">
        <f>T_CEFF!V111</f>
        <v>6.6669999999999993E-2</v>
      </c>
      <c r="AE37" s="357"/>
      <c r="AV37" s="699" t="str">
        <f t="shared" ref="AV37:AV101" si="20">MID(E37,1,7)</f>
        <v/>
      </c>
      <c r="AW37" s="704"/>
      <c r="AX37" s="567"/>
      <c r="AY37" s="704"/>
      <c r="AZ37" s="704"/>
      <c r="BA37" s="704"/>
      <c r="BB37" s="704"/>
      <c r="BC37" s="704"/>
      <c r="BD37" s="704"/>
      <c r="BE37" s="704"/>
      <c r="BF37" s="704"/>
      <c r="BG37" s="704"/>
      <c r="BH37" s="704"/>
      <c r="BI37" s="704"/>
      <c r="BJ37" s="704"/>
      <c r="BK37" s="704"/>
      <c r="BL37" s="704"/>
    </row>
    <row r="38" spans="1:64" s="83" customFormat="1" x14ac:dyDescent="0.3">
      <c r="B38" s="178" t="str">
        <f>B37</f>
        <v>TBUSBDL100</v>
      </c>
      <c r="C38" s="178"/>
      <c r="D38" s="179"/>
      <c r="E38" s="178"/>
      <c r="F38" s="182"/>
      <c r="G38" s="181"/>
      <c r="H38" s="182"/>
      <c r="I38" s="183"/>
      <c r="J38" s="184"/>
      <c r="K38" s="184" t="s">
        <v>748</v>
      </c>
      <c r="L38" s="184" t="s">
        <v>1127</v>
      </c>
      <c r="M38" s="186" t="s">
        <v>1158</v>
      </c>
      <c r="N38" s="690">
        <f>N$16</f>
        <v>18</v>
      </c>
      <c r="O38" s="690">
        <f t="shared" ref="O38:AB38" si="21">O$16</f>
        <v>0</v>
      </c>
      <c r="P38" s="690">
        <f t="shared" si="21"/>
        <v>0</v>
      </c>
      <c r="Q38" s="690">
        <f t="shared" si="21"/>
        <v>0</v>
      </c>
      <c r="R38" s="690">
        <f t="shared" si="21"/>
        <v>0</v>
      </c>
      <c r="S38" s="690">
        <f t="shared" si="21"/>
        <v>0</v>
      </c>
      <c r="T38" s="690">
        <f t="shared" si="21"/>
        <v>0</v>
      </c>
      <c r="U38" s="690">
        <f t="shared" si="21"/>
        <v>0</v>
      </c>
      <c r="V38" s="690">
        <f t="shared" si="21"/>
        <v>0</v>
      </c>
      <c r="W38" s="690">
        <f t="shared" si="21"/>
        <v>0</v>
      </c>
      <c r="X38" s="690">
        <f t="shared" si="21"/>
        <v>0</v>
      </c>
      <c r="Y38" s="690">
        <f t="shared" si="21"/>
        <v>0</v>
      </c>
      <c r="Z38" s="690">
        <f t="shared" si="21"/>
        <v>0</v>
      </c>
      <c r="AA38" s="690">
        <f t="shared" si="21"/>
        <v>0</v>
      </c>
      <c r="AB38" s="690">
        <f t="shared" si="21"/>
        <v>0</v>
      </c>
      <c r="AE38" s="357"/>
      <c r="AV38" s="699" t="str">
        <f t="shared" si="20"/>
        <v/>
      </c>
      <c r="AW38" s="35"/>
      <c r="AX38" s="567"/>
      <c r="AY38" s="35"/>
      <c r="AZ38" s="35"/>
      <c r="BA38" s="35"/>
      <c r="BB38" s="35"/>
      <c r="BC38" s="35"/>
      <c r="BD38" s="35"/>
      <c r="BE38" s="35"/>
      <c r="BF38" s="35"/>
      <c r="BG38" s="35"/>
      <c r="BH38" s="35"/>
      <c r="BI38" s="35"/>
      <c r="BJ38" s="35"/>
      <c r="BK38" s="35"/>
      <c r="BL38" s="35"/>
    </row>
    <row r="39" spans="1:64" s="83" customFormat="1" x14ac:dyDescent="0.3">
      <c r="B39" s="178" t="str">
        <f t="shared" si="19"/>
        <v>TBUSBDL100</v>
      </c>
      <c r="C39" s="178"/>
      <c r="D39" s="179"/>
      <c r="E39" s="178"/>
      <c r="F39" s="182"/>
      <c r="G39" s="181"/>
      <c r="H39" s="182"/>
      <c r="I39" s="183"/>
      <c r="J39" s="184"/>
      <c r="K39" s="184"/>
      <c r="L39" s="203" t="s">
        <v>1129</v>
      </c>
      <c r="M39" s="178" t="s">
        <v>1130</v>
      </c>
      <c r="N39" s="389">
        <f>LOOKUP($C$35, T_NCAP_AF!$C$95:$C$105, T_NCAP_AF!D$95:D$105)*(1+N29)</f>
        <v>24.200000000000003</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1">
        <f>SUM(AF39:AT39)</f>
        <v>228.11849280000001</v>
      </c>
      <c r="AF39" s="85">
        <f>N38*N39*N40/1000</f>
        <v>228.11849280000001</v>
      </c>
      <c r="AG39" s="85">
        <f t="shared" ref="AG39:AT39" si="22">O38*O39*O40/1000</f>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699" t="str">
        <f t="shared" si="20"/>
        <v/>
      </c>
      <c r="AW39" s="35"/>
      <c r="AX39" s="35"/>
      <c r="AY39" s="35"/>
      <c r="AZ39" s="35"/>
      <c r="BA39" s="35"/>
      <c r="BB39" s="35"/>
      <c r="BC39" s="35"/>
      <c r="BD39" s="35"/>
      <c r="BE39" s="35"/>
      <c r="BF39" s="35"/>
      <c r="BG39" s="35"/>
      <c r="BH39" s="35"/>
      <c r="BI39" s="35"/>
      <c r="BJ39" s="35"/>
      <c r="BK39" s="35"/>
      <c r="BL39" s="35"/>
    </row>
    <row r="40" spans="1:64" s="83" customFormat="1" x14ac:dyDescent="0.3">
      <c r="B40" s="178" t="str">
        <f>B39</f>
        <v>TBUSBDL100</v>
      </c>
      <c r="C40" s="178"/>
      <c r="D40" s="179"/>
      <c r="E40" s="178"/>
      <c r="F40" s="182"/>
      <c r="G40" s="181"/>
      <c r="H40" s="182"/>
      <c r="I40" s="183">
        <f>$M$3</f>
        <v>2019</v>
      </c>
      <c r="J40" s="184"/>
      <c r="K40" s="184"/>
      <c r="L40" s="203" t="s">
        <v>1064</v>
      </c>
      <c r="M40" s="178" t="s">
        <v>747</v>
      </c>
      <c r="N40" s="686">
        <f>LOOKUP($C$35, T_Stock_Private!$C$58:$C$68, T_Stock_Private!D$58:D$68)*(1+N30)</f>
        <v>523.68799999999999</v>
      </c>
      <c r="O40" s="686">
        <f>LOOKUP($C$35, T_Stock_Private!$C$58:$C$68, T_Stock_Private!E$58:E$68)*(1+O30)</f>
        <v>0</v>
      </c>
      <c r="P40" s="686">
        <f>LOOKUP($C$35, T_Stock_Private!$C$58:$C$68, T_Stock_Private!F$58:F$68)*(1+P30)</f>
        <v>0</v>
      </c>
      <c r="Q40" s="686">
        <f>LOOKUP($C$35, T_Stock_Private!$C$58:$C$68, T_Stock_Private!G$58:G$68)*(1+Q30)</f>
        <v>0</v>
      </c>
      <c r="R40" s="686">
        <f>LOOKUP($C$35, T_Stock_Private!$C$58:$C$68, T_Stock_Private!H$58:H$68)*(1+R30)</f>
        <v>0</v>
      </c>
      <c r="S40" s="686">
        <f>LOOKUP($C$35, T_Stock_Private!$C$58:$C$68, T_Stock_Private!I$58:I$68)*(1+S30)</f>
        <v>0</v>
      </c>
      <c r="T40" s="686">
        <f>LOOKUP($C$35, T_Stock_Private!$C$58:$C$68, T_Stock_Private!J$58:J$68)*(1+T30)</f>
        <v>0</v>
      </c>
      <c r="U40" s="686">
        <f>LOOKUP($C$35, T_Stock_Private!$C$58:$C$68, T_Stock_Private!K$58:K$68)*(1+U30)</f>
        <v>0</v>
      </c>
      <c r="V40" s="686">
        <f>LOOKUP($C$35, T_Stock_Private!$C$58:$C$68, T_Stock_Private!L$58:L$68)*(1+V30)</f>
        <v>0</v>
      </c>
      <c r="W40" s="686">
        <f>LOOKUP($C$35, T_Stock_Private!$C$58:$C$68, T_Stock_Private!M$58:M$68)*(1+W30)</f>
        <v>0</v>
      </c>
      <c r="X40" s="686">
        <f>LOOKUP($C$35, T_Stock_Private!$C$58:$C$68, T_Stock_Private!N$58:N$68)*(1+X30)</f>
        <v>0</v>
      </c>
      <c r="Y40" s="686">
        <f>LOOKUP($C$35, T_Stock_Private!$C$58:$C$68, T_Stock_Private!O$58:O$68)*(1+Y30)</f>
        <v>0</v>
      </c>
      <c r="Z40" s="686">
        <f>LOOKUP($C$35, T_Stock_Private!$C$58:$C$68, T_Stock_Private!P$58:P$68)*(1+Z30)</f>
        <v>0</v>
      </c>
      <c r="AA40" s="686">
        <f>LOOKUP($C$35, T_Stock_Private!$C$58:$C$68, T_Stock_Private!Q$58:Q$68)*(1+AA30)</f>
        <v>0</v>
      </c>
      <c r="AB40" s="686">
        <f>LOOKUP($C$35, T_Stock_Private!$C$58:$C$68, T_Stock_Private!R$58:R$68)*(1+AB30)</f>
        <v>0</v>
      </c>
      <c r="AC40" s="89"/>
      <c r="AE40" s="357"/>
      <c r="AF40" s="89"/>
      <c r="AV40" s="699" t="str">
        <f t="shared" si="20"/>
        <v/>
      </c>
      <c r="AW40" s="35"/>
      <c r="AX40" s="35"/>
      <c r="AY40" s="35"/>
      <c r="AZ40" s="35"/>
      <c r="BA40" s="35"/>
      <c r="BB40" s="35"/>
      <c r="BC40" s="35"/>
      <c r="BD40" s="35"/>
      <c r="BE40" s="35"/>
      <c r="BF40" s="35"/>
      <c r="BG40" s="35"/>
      <c r="BH40" s="35"/>
      <c r="BI40" s="35"/>
      <c r="BJ40" s="35"/>
      <c r="BK40" s="35"/>
      <c r="BL40" s="35"/>
    </row>
    <row r="41" spans="1:64" s="83" customFormat="1" x14ac:dyDescent="0.3">
      <c r="B41" s="178" t="str">
        <f t="shared" si="19"/>
        <v>TBUSBDL100</v>
      </c>
      <c r="C41" s="178"/>
      <c r="D41" s="179"/>
      <c r="E41" s="178"/>
      <c r="F41" s="182"/>
      <c r="G41" s="181"/>
      <c r="H41" s="182"/>
      <c r="I41" s="183">
        <f>AF$5</f>
        <v>2020</v>
      </c>
      <c r="J41" s="184"/>
      <c r="K41" s="184"/>
      <c r="L41" s="203" t="s">
        <v>1064</v>
      </c>
      <c r="M41" s="178" t="s">
        <v>747</v>
      </c>
      <c r="N41" s="686">
        <f t="shared" ref="N41:AB41" si="23">N40*LOOKUP($AD35,$AG$4:$AP$4,$AG$5:$AP$5)</f>
        <v>497.50359999999995</v>
      </c>
      <c r="O41" s="686">
        <f t="shared" si="23"/>
        <v>0</v>
      </c>
      <c r="P41" s="686">
        <f t="shared" si="23"/>
        <v>0</v>
      </c>
      <c r="Q41" s="686">
        <f t="shared" si="23"/>
        <v>0</v>
      </c>
      <c r="R41" s="686">
        <f t="shared" si="23"/>
        <v>0</v>
      </c>
      <c r="S41" s="686">
        <f t="shared" si="23"/>
        <v>0</v>
      </c>
      <c r="T41" s="686">
        <f t="shared" si="23"/>
        <v>0</v>
      </c>
      <c r="U41" s="686">
        <f t="shared" si="23"/>
        <v>0</v>
      </c>
      <c r="V41" s="686">
        <f t="shared" si="23"/>
        <v>0</v>
      </c>
      <c r="W41" s="686">
        <f t="shared" si="23"/>
        <v>0</v>
      </c>
      <c r="X41" s="686">
        <f t="shared" si="23"/>
        <v>0</v>
      </c>
      <c r="Y41" s="686">
        <f t="shared" si="23"/>
        <v>0</v>
      </c>
      <c r="Z41" s="686">
        <f t="shared" si="23"/>
        <v>0</v>
      </c>
      <c r="AA41" s="686">
        <f t="shared" si="23"/>
        <v>0</v>
      </c>
      <c r="AB41" s="686">
        <f t="shared" si="23"/>
        <v>0</v>
      </c>
      <c r="AE41" s="357"/>
      <c r="AF41" s="89"/>
      <c r="AV41" s="699" t="str">
        <f t="shared" si="20"/>
        <v/>
      </c>
      <c r="AW41" s="35"/>
      <c r="AX41" s="35"/>
      <c r="AY41" s="35"/>
      <c r="AZ41" s="35"/>
      <c r="BA41" s="35"/>
      <c r="BB41" s="35"/>
      <c r="BC41" s="35"/>
      <c r="BD41" s="35"/>
      <c r="BE41" s="35"/>
      <c r="BF41" s="35"/>
      <c r="BG41" s="35"/>
      <c r="BH41" s="35"/>
      <c r="BI41" s="35"/>
      <c r="BJ41" s="35"/>
      <c r="BK41" s="35"/>
      <c r="BL41" s="35"/>
    </row>
    <row r="42" spans="1:64" s="83" customFormat="1" x14ac:dyDescent="0.3">
      <c r="B42" s="178" t="str">
        <f t="shared" si="19"/>
        <v>TBUSBDL100</v>
      </c>
      <c r="C42" s="178"/>
      <c r="D42" s="179"/>
      <c r="E42" s="178"/>
      <c r="F42" s="182"/>
      <c r="G42" s="181"/>
      <c r="H42" s="182"/>
      <c r="I42" s="183">
        <f>AF$6</f>
        <v>2025</v>
      </c>
      <c r="J42" s="184"/>
      <c r="K42" s="184"/>
      <c r="L42" s="203" t="s">
        <v>1064</v>
      </c>
      <c r="M42" s="178" t="s">
        <v>747</v>
      </c>
      <c r="N42" s="686">
        <f t="shared" ref="N42:AB42" si="24">N40*LOOKUP($AD35,$AG$4:$AP$4,$AG$6:$AP$6)</f>
        <v>314.21279999999996</v>
      </c>
      <c r="O42" s="686">
        <f t="shared" si="24"/>
        <v>0</v>
      </c>
      <c r="P42" s="686">
        <f t="shared" si="24"/>
        <v>0</v>
      </c>
      <c r="Q42" s="686">
        <f t="shared" si="24"/>
        <v>0</v>
      </c>
      <c r="R42" s="686">
        <f t="shared" si="24"/>
        <v>0</v>
      </c>
      <c r="S42" s="686">
        <f t="shared" si="24"/>
        <v>0</v>
      </c>
      <c r="T42" s="686">
        <f t="shared" si="24"/>
        <v>0</v>
      </c>
      <c r="U42" s="686">
        <f t="shared" si="24"/>
        <v>0</v>
      </c>
      <c r="V42" s="686">
        <f t="shared" si="24"/>
        <v>0</v>
      </c>
      <c r="W42" s="686">
        <f t="shared" si="24"/>
        <v>0</v>
      </c>
      <c r="X42" s="686">
        <f t="shared" si="24"/>
        <v>0</v>
      </c>
      <c r="Y42" s="686">
        <f t="shared" si="24"/>
        <v>0</v>
      </c>
      <c r="Z42" s="686">
        <f t="shared" si="24"/>
        <v>0</v>
      </c>
      <c r="AA42" s="686">
        <f t="shared" si="24"/>
        <v>0</v>
      </c>
      <c r="AB42" s="686">
        <f t="shared" si="24"/>
        <v>0</v>
      </c>
      <c r="AE42" s="357"/>
      <c r="AF42" s="89"/>
      <c r="AV42" s="699" t="str">
        <f t="shared" si="20"/>
        <v/>
      </c>
      <c r="AW42" s="35"/>
      <c r="AX42" s="35"/>
      <c r="AY42" s="35"/>
      <c r="AZ42" s="35"/>
      <c r="BA42" s="35"/>
      <c r="BB42" s="35"/>
      <c r="BC42" s="35"/>
      <c r="BD42" s="35"/>
      <c r="BE42" s="35"/>
      <c r="BF42" s="35"/>
      <c r="BG42" s="35"/>
      <c r="BH42" s="35"/>
      <c r="BI42" s="35"/>
      <c r="BJ42" s="35"/>
      <c r="BK42" s="35"/>
      <c r="BL42" s="35"/>
    </row>
    <row r="43" spans="1:64" s="83" customFormat="1" x14ac:dyDescent="0.3">
      <c r="B43" s="178" t="str">
        <f t="shared" si="19"/>
        <v>TBUSBDL100</v>
      </c>
      <c r="C43" s="178"/>
      <c r="D43" s="179"/>
      <c r="E43" s="178"/>
      <c r="F43" s="182"/>
      <c r="G43" s="181"/>
      <c r="H43" s="182"/>
      <c r="I43" s="183">
        <f>AF$7</f>
        <v>2030</v>
      </c>
      <c r="J43" s="184"/>
      <c r="K43" s="184"/>
      <c r="L43" s="203" t="s">
        <v>1064</v>
      </c>
      <c r="M43" s="178" t="s">
        <v>747</v>
      </c>
      <c r="N43" s="686">
        <f t="shared" ref="N43:AB43" si="25">N40*LOOKUP($AD35,$AG$4:$AP$4,$AG$7:$AP$7)</f>
        <v>52.3688</v>
      </c>
      <c r="O43" s="686">
        <f t="shared" si="25"/>
        <v>0</v>
      </c>
      <c r="P43" s="686">
        <f t="shared" si="25"/>
        <v>0</v>
      </c>
      <c r="Q43" s="686">
        <f t="shared" si="25"/>
        <v>0</v>
      </c>
      <c r="R43" s="686">
        <f t="shared" si="25"/>
        <v>0</v>
      </c>
      <c r="S43" s="686">
        <f t="shared" si="25"/>
        <v>0</v>
      </c>
      <c r="T43" s="686">
        <f t="shared" si="25"/>
        <v>0</v>
      </c>
      <c r="U43" s="686">
        <f t="shared" si="25"/>
        <v>0</v>
      </c>
      <c r="V43" s="686">
        <f t="shared" si="25"/>
        <v>0</v>
      </c>
      <c r="W43" s="686">
        <f t="shared" si="25"/>
        <v>0</v>
      </c>
      <c r="X43" s="686">
        <f t="shared" si="25"/>
        <v>0</v>
      </c>
      <c r="Y43" s="686">
        <f t="shared" si="25"/>
        <v>0</v>
      </c>
      <c r="Z43" s="686">
        <f t="shared" si="25"/>
        <v>0</v>
      </c>
      <c r="AA43" s="686">
        <f t="shared" si="25"/>
        <v>0</v>
      </c>
      <c r="AB43" s="686">
        <f t="shared" si="25"/>
        <v>0</v>
      </c>
      <c r="AE43" s="357"/>
      <c r="AF43" s="89"/>
      <c r="AV43" s="699" t="str">
        <f t="shared" si="20"/>
        <v/>
      </c>
      <c r="AW43" s="35"/>
      <c r="AX43" s="35"/>
      <c r="AY43" s="35"/>
      <c r="AZ43" s="35"/>
      <c r="BA43" s="35"/>
      <c r="BB43" s="35"/>
      <c r="BC43" s="35"/>
      <c r="BD43" s="35"/>
      <c r="BE43" s="35"/>
      <c r="BF43" s="35"/>
      <c r="BG43" s="35"/>
      <c r="BH43" s="35"/>
      <c r="BI43" s="35"/>
      <c r="BJ43" s="35"/>
      <c r="BK43" s="35"/>
      <c r="BL43" s="35"/>
    </row>
    <row r="44" spans="1:64" s="83" customFormat="1" x14ac:dyDescent="0.3">
      <c r="B44" s="178" t="str">
        <f t="shared" si="19"/>
        <v>TBUSBDL100</v>
      </c>
      <c r="C44" s="178"/>
      <c r="D44" s="179"/>
      <c r="E44" s="178"/>
      <c r="F44" s="182"/>
      <c r="G44" s="181"/>
      <c r="H44" s="182"/>
      <c r="I44" s="183">
        <f>AF$8</f>
        <v>2035</v>
      </c>
      <c r="J44" s="184"/>
      <c r="K44" s="184"/>
      <c r="L44" s="203" t="s">
        <v>1064</v>
      </c>
      <c r="M44" s="178" t="s">
        <v>747</v>
      </c>
      <c r="N44" s="686">
        <f t="shared" ref="N44:AB44" si="26">N40*LOOKUP($AD35,$AG$4:$AP$4,$AG$8:$AP$8)</f>
        <v>5.2368800000000002</v>
      </c>
      <c r="O44" s="686">
        <f t="shared" si="26"/>
        <v>0</v>
      </c>
      <c r="P44" s="686">
        <f t="shared" si="26"/>
        <v>0</v>
      </c>
      <c r="Q44" s="686">
        <f t="shared" si="26"/>
        <v>0</v>
      </c>
      <c r="R44" s="686">
        <f t="shared" si="26"/>
        <v>0</v>
      </c>
      <c r="S44" s="686">
        <f t="shared" si="26"/>
        <v>0</v>
      </c>
      <c r="T44" s="686">
        <f t="shared" si="26"/>
        <v>0</v>
      </c>
      <c r="U44" s="686">
        <f t="shared" si="26"/>
        <v>0</v>
      </c>
      <c r="V44" s="686">
        <f t="shared" si="26"/>
        <v>0</v>
      </c>
      <c r="W44" s="686">
        <f t="shared" si="26"/>
        <v>0</v>
      </c>
      <c r="X44" s="686">
        <f t="shared" si="26"/>
        <v>0</v>
      </c>
      <c r="Y44" s="686">
        <f t="shared" si="26"/>
        <v>0</v>
      </c>
      <c r="Z44" s="686">
        <f t="shared" si="26"/>
        <v>0</v>
      </c>
      <c r="AA44" s="686">
        <f t="shared" si="26"/>
        <v>0</v>
      </c>
      <c r="AB44" s="686">
        <f t="shared" si="26"/>
        <v>0</v>
      </c>
      <c r="AE44" s="357"/>
      <c r="AF44" s="89"/>
      <c r="AV44" s="699" t="str">
        <f t="shared" si="20"/>
        <v/>
      </c>
      <c r="AW44" s="35"/>
      <c r="AX44" s="35"/>
      <c r="AY44" s="35"/>
      <c r="AZ44" s="35"/>
      <c r="BA44" s="35"/>
      <c r="BB44" s="35"/>
      <c r="BC44" s="35"/>
      <c r="BD44" s="35"/>
      <c r="BE44" s="35"/>
      <c r="BF44" s="35"/>
      <c r="BG44" s="35"/>
      <c r="BH44" s="35"/>
      <c r="BI44" s="35"/>
      <c r="BJ44" s="35"/>
      <c r="BK44" s="35"/>
      <c r="BL44" s="35"/>
    </row>
    <row r="45" spans="1:64" s="83" customFormat="1" x14ac:dyDescent="0.3">
      <c r="B45" s="178" t="str">
        <f t="shared" si="19"/>
        <v>TBUSBDL100</v>
      </c>
      <c r="C45" s="178"/>
      <c r="D45" s="179"/>
      <c r="E45" s="178"/>
      <c r="F45" s="182"/>
      <c r="G45" s="181"/>
      <c r="H45" s="182"/>
      <c r="I45" s="183">
        <f>AF$9</f>
        <v>2040</v>
      </c>
      <c r="J45" s="184"/>
      <c r="K45" s="184"/>
      <c r="L45" s="203" t="s">
        <v>1064</v>
      </c>
      <c r="M45" s="178" t="s">
        <v>747</v>
      </c>
      <c r="N45" s="686">
        <f t="shared" ref="N45:AB45" si="27">N40*LOOKUP($AD35,$AG$4:$AP$4,$AG$9:$AP$9)</f>
        <v>0</v>
      </c>
      <c r="O45" s="686">
        <f t="shared" si="27"/>
        <v>0</v>
      </c>
      <c r="P45" s="686">
        <f t="shared" si="27"/>
        <v>0</v>
      </c>
      <c r="Q45" s="686">
        <f t="shared" si="27"/>
        <v>0</v>
      </c>
      <c r="R45" s="686">
        <f t="shared" si="27"/>
        <v>0</v>
      </c>
      <c r="S45" s="686">
        <f t="shared" si="27"/>
        <v>0</v>
      </c>
      <c r="T45" s="686">
        <f t="shared" si="27"/>
        <v>0</v>
      </c>
      <c r="U45" s="686">
        <f t="shared" si="27"/>
        <v>0</v>
      </c>
      <c r="V45" s="686">
        <f t="shared" si="27"/>
        <v>0</v>
      </c>
      <c r="W45" s="686">
        <f t="shared" si="27"/>
        <v>0</v>
      </c>
      <c r="X45" s="686">
        <f t="shared" si="27"/>
        <v>0</v>
      </c>
      <c r="Y45" s="686">
        <f t="shared" si="27"/>
        <v>0</v>
      </c>
      <c r="Z45" s="686">
        <f t="shared" si="27"/>
        <v>0</v>
      </c>
      <c r="AA45" s="686">
        <f t="shared" si="27"/>
        <v>0</v>
      </c>
      <c r="AB45" s="686">
        <f t="shared" si="27"/>
        <v>0</v>
      </c>
      <c r="AE45" s="357"/>
      <c r="AF45" s="89"/>
      <c r="AV45" s="699" t="str">
        <f t="shared" si="20"/>
        <v/>
      </c>
      <c r="AW45" s="35"/>
      <c r="AX45" s="35"/>
      <c r="AY45" s="35"/>
      <c r="AZ45" s="35"/>
      <c r="BA45" s="35"/>
      <c r="BB45" s="35"/>
      <c r="BC45" s="35"/>
      <c r="BD45" s="35"/>
      <c r="BE45" s="35"/>
      <c r="BF45" s="35"/>
      <c r="BG45" s="35"/>
      <c r="BH45" s="35"/>
      <c r="BI45" s="35"/>
      <c r="BJ45" s="35"/>
      <c r="BK45" s="35"/>
      <c r="BL45" s="35"/>
    </row>
    <row r="46" spans="1:64" s="83" customFormat="1" x14ac:dyDescent="0.3">
      <c r="B46" s="204" t="str">
        <f t="shared" si="19"/>
        <v>TBUSBDL100</v>
      </c>
      <c r="C46" s="204"/>
      <c r="D46" s="205"/>
      <c r="E46" s="204"/>
      <c r="F46" s="206"/>
      <c r="G46" s="207"/>
      <c r="H46" s="206"/>
      <c r="I46" s="208">
        <f>AF$10</f>
        <v>2050</v>
      </c>
      <c r="J46" s="209"/>
      <c r="K46" s="209"/>
      <c r="L46" s="210" t="s">
        <v>1064</v>
      </c>
      <c r="M46" s="204" t="s">
        <v>747</v>
      </c>
      <c r="N46" s="687">
        <f t="shared" ref="N46:AB46" si="28">N40*LOOKUP($AD35,$AG$4:$AP$4,$AG$10:$AP$10)</f>
        <v>0</v>
      </c>
      <c r="O46" s="687">
        <f t="shared" si="28"/>
        <v>0</v>
      </c>
      <c r="P46" s="687">
        <f t="shared" si="28"/>
        <v>0</v>
      </c>
      <c r="Q46" s="687">
        <f t="shared" si="28"/>
        <v>0</v>
      </c>
      <c r="R46" s="687">
        <f t="shared" si="28"/>
        <v>0</v>
      </c>
      <c r="S46" s="687">
        <f t="shared" si="28"/>
        <v>0</v>
      </c>
      <c r="T46" s="687">
        <f t="shared" si="28"/>
        <v>0</v>
      </c>
      <c r="U46" s="687">
        <f t="shared" si="28"/>
        <v>0</v>
      </c>
      <c r="V46" s="687">
        <f t="shared" si="28"/>
        <v>0</v>
      </c>
      <c r="W46" s="687">
        <f t="shared" si="28"/>
        <v>0</v>
      </c>
      <c r="X46" s="687">
        <f t="shared" si="28"/>
        <v>0</v>
      </c>
      <c r="Y46" s="687">
        <f t="shared" si="28"/>
        <v>0</v>
      </c>
      <c r="Z46" s="687">
        <f t="shared" si="28"/>
        <v>0</v>
      </c>
      <c r="AA46" s="687">
        <f t="shared" si="28"/>
        <v>0</v>
      </c>
      <c r="AB46" s="687">
        <f t="shared" si="28"/>
        <v>0</v>
      </c>
      <c r="AE46" s="357"/>
      <c r="AF46" s="89"/>
      <c r="AV46" s="699" t="str">
        <f t="shared" si="20"/>
        <v/>
      </c>
      <c r="AW46" s="35"/>
      <c r="AX46" s="35"/>
      <c r="AY46" s="35"/>
      <c r="AZ46" s="35"/>
      <c r="BA46" s="35"/>
      <c r="BB46" s="35"/>
      <c r="BC46" s="35"/>
      <c r="BD46" s="35"/>
      <c r="BE46" s="35"/>
      <c r="BF46" s="35"/>
      <c r="BG46" s="35"/>
      <c r="BH46" s="35"/>
      <c r="BI46" s="35"/>
      <c r="BJ46" s="35"/>
      <c r="BK46" s="35"/>
      <c r="BL46" s="35"/>
    </row>
    <row r="47" spans="1:64" s="83" customFormat="1" x14ac:dyDescent="0.3">
      <c r="A47" s="82"/>
      <c r="B47" s="178" t="str">
        <f>C47</f>
        <v>TBUSDST100</v>
      </c>
      <c r="C47" s="178" t="s">
        <v>326</v>
      </c>
      <c r="D47" s="179" t="s">
        <v>763</v>
      </c>
      <c r="E47" s="407" t="s">
        <v>987</v>
      </c>
      <c r="F47" s="182"/>
      <c r="G47" s="181"/>
      <c r="H47" s="182"/>
      <c r="I47" s="183"/>
      <c r="J47" s="184"/>
      <c r="K47" s="184"/>
      <c r="L47" s="203" t="s">
        <v>1106</v>
      </c>
      <c r="M47" s="184" t="s">
        <v>1155</v>
      </c>
      <c r="N47" s="691">
        <f>N$35</f>
        <v>1E-3</v>
      </c>
      <c r="O47" s="691">
        <f t="shared" ref="O47:AB47" si="29">$N47</f>
        <v>1E-3</v>
      </c>
      <c r="P47" s="691">
        <f t="shared" si="29"/>
        <v>1E-3</v>
      </c>
      <c r="Q47" s="691">
        <f t="shared" si="29"/>
        <v>1E-3</v>
      </c>
      <c r="R47" s="691">
        <f t="shared" si="29"/>
        <v>1E-3</v>
      </c>
      <c r="S47" s="691">
        <f t="shared" si="29"/>
        <v>1E-3</v>
      </c>
      <c r="T47" s="691">
        <f t="shared" si="29"/>
        <v>1E-3</v>
      </c>
      <c r="U47" s="691">
        <f t="shared" si="29"/>
        <v>1E-3</v>
      </c>
      <c r="V47" s="691">
        <f t="shared" si="29"/>
        <v>1E-3</v>
      </c>
      <c r="W47" s="691">
        <f t="shared" si="29"/>
        <v>1E-3</v>
      </c>
      <c r="X47" s="691">
        <f t="shared" si="29"/>
        <v>1E-3</v>
      </c>
      <c r="Y47" s="691">
        <f t="shared" si="29"/>
        <v>1E-3</v>
      </c>
      <c r="Z47" s="691">
        <f t="shared" si="29"/>
        <v>1E-3</v>
      </c>
      <c r="AA47" s="691">
        <f t="shared" si="29"/>
        <v>1E-3</v>
      </c>
      <c r="AB47" s="691">
        <f t="shared" si="29"/>
        <v>1E-3</v>
      </c>
      <c r="AD47" s="410" t="str">
        <f>MID(D47,11,3)</f>
        <v>DST</v>
      </c>
      <c r="AE47" s="357"/>
      <c r="AF47" s="89"/>
      <c r="AV47" s="699" t="str">
        <f t="shared" si="20"/>
        <v>TRABDL</v>
      </c>
      <c r="AW47" s="567">
        <f>SUM(AX47:BL47)</f>
        <v>10.462456070100048</v>
      </c>
      <c r="AX47" s="707">
        <f>N$53*N$54*(1-N48)/N$50/1000</f>
        <v>10.462456070100048</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7">
        <f t="shared" si="30"/>
        <v>0</v>
      </c>
      <c r="BK47" s="707">
        <f t="shared" si="30"/>
        <v>0</v>
      </c>
      <c r="BL47" s="707">
        <f t="shared" si="30"/>
        <v>0</v>
      </c>
    </row>
    <row r="48" spans="1:64" s="83" customFormat="1" x14ac:dyDescent="0.3">
      <c r="A48" s="82"/>
      <c r="B48" s="178" t="str">
        <f>B47</f>
        <v>TBUSDST100</v>
      </c>
      <c r="C48" s="178"/>
      <c r="D48" s="179"/>
      <c r="E48" s="407" t="s">
        <v>185</v>
      </c>
      <c r="F48" s="182"/>
      <c r="G48" s="181"/>
      <c r="H48" s="182"/>
      <c r="I48" s="183"/>
      <c r="J48" s="184" t="s">
        <v>1156</v>
      </c>
      <c r="K48" s="184"/>
      <c r="L48" s="203" t="s">
        <v>101</v>
      </c>
      <c r="M48" s="184"/>
      <c r="N48" s="689">
        <f>1-N$21</f>
        <v>0.94496029288387329</v>
      </c>
      <c r="O48" s="689">
        <f t="shared" ref="O48:AB48" si="31">1-O$21</f>
        <v>0.94496029288387329</v>
      </c>
      <c r="P48" s="689">
        <f t="shared" si="31"/>
        <v>0.94496029288387329</v>
      </c>
      <c r="Q48" s="689">
        <f t="shared" si="31"/>
        <v>0.94496029288387329</v>
      </c>
      <c r="R48" s="689">
        <f t="shared" si="31"/>
        <v>0.94496029288387329</v>
      </c>
      <c r="S48" s="689">
        <f t="shared" si="31"/>
        <v>0.94496029288387329</v>
      </c>
      <c r="T48" s="689">
        <f t="shared" si="31"/>
        <v>0.94496029288387329</v>
      </c>
      <c r="U48" s="689">
        <f t="shared" si="31"/>
        <v>0.94496029288387329</v>
      </c>
      <c r="V48" s="689">
        <f t="shared" si="31"/>
        <v>0.94496029288387329</v>
      </c>
      <c r="W48" s="689">
        <f t="shared" si="31"/>
        <v>0.94496029288387329</v>
      </c>
      <c r="X48" s="689">
        <f t="shared" si="31"/>
        <v>0.94496029288387329</v>
      </c>
      <c r="Y48" s="689">
        <f t="shared" si="31"/>
        <v>0.94496029288387329</v>
      </c>
      <c r="Z48" s="689">
        <f t="shared" si="31"/>
        <v>0.94496029288387329</v>
      </c>
      <c r="AA48" s="689">
        <f t="shared" si="31"/>
        <v>0.94496029288387329</v>
      </c>
      <c r="AB48" s="689">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699" t="str">
        <f t="shared" si="20"/>
        <v>TRADST</v>
      </c>
      <c r="AW48" s="567">
        <f>SUM(AX48:BL48)</f>
        <v>179.62678346792308</v>
      </c>
      <c r="AX48" s="707">
        <f>N$53*N$54*N48/N$50/1000</f>
        <v>179.62678346792308</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7">
        <f t="shared" si="32"/>
        <v>0</v>
      </c>
      <c r="BK48" s="707">
        <f t="shared" si="32"/>
        <v>0</v>
      </c>
      <c r="BL48" s="707">
        <f t="shared" si="32"/>
        <v>0</v>
      </c>
    </row>
    <row r="49" spans="1:64" s="83" customFormat="1" x14ac:dyDescent="0.3">
      <c r="A49" s="82"/>
      <c r="B49" s="178" t="str">
        <f t="shared" ref="B49:B60" si="33">B48</f>
        <v>TBUSDST100</v>
      </c>
      <c r="C49" s="178"/>
      <c r="D49" s="179"/>
      <c r="E49" s="407" t="s">
        <v>989</v>
      </c>
      <c r="F49" s="182"/>
      <c r="G49" s="181"/>
      <c r="H49" s="182"/>
      <c r="I49" s="183"/>
      <c r="J49" s="184" t="s">
        <v>1156</v>
      </c>
      <c r="K49" s="184"/>
      <c r="L49" s="203" t="s">
        <v>101</v>
      </c>
      <c r="M49" s="184"/>
      <c r="N49" s="689">
        <f>N$20</f>
        <v>7.0000000000000007E-2</v>
      </c>
      <c r="O49" s="689">
        <f t="shared" ref="O49:AB49" si="34">O$20</f>
        <v>7.0000000000000007E-2</v>
      </c>
      <c r="P49" s="689">
        <f t="shared" si="34"/>
        <v>7.0000000000000007E-2</v>
      </c>
      <c r="Q49" s="689">
        <f t="shared" si="34"/>
        <v>7.0000000000000007E-2</v>
      </c>
      <c r="R49" s="689">
        <f t="shared" si="34"/>
        <v>7.0000000000000007E-2</v>
      </c>
      <c r="S49" s="689">
        <f t="shared" si="34"/>
        <v>7.0000000000000007E-2</v>
      </c>
      <c r="T49" s="689">
        <f t="shared" si="34"/>
        <v>7.0000000000000007E-2</v>
      </c>
      <c r="U49" s="689">
        <f t="shared" si="34"/>
        <v>7.0000000000000007E-2</v>
      </c>
      <c r="V49" s="689">
        <f t="shared" si="34"/>
        <v>7.0000000000000007E-2</v>
      </c>
      <c r="W49" s="689">
        <f t="shared" si="34"/>
        <v>7.0000000000000007E-2</v>
      </c>
      <c r="X49" s="689">
        <f t="shared" si="34"/>
        <v>7.0000000000000007E-2</v>
      </c>
      <c r="Y49" s="689">
        <f t="shared" si="34"/>
        <v>7.0000000000000007E-2</v>
      </c>
      <c r="Z49" s="689">
        <f t="shared" si="34"/>
        <v>7.0000000000000007E-2</v>
      </c>
      <c r="AA49" s="689">
        <f t="shared" si="34"/>
        <v>7.0000000000000007E-2</v>
      </c>
      <c r="AB49" s="689">
        <f t="shared" si="34"/>
        <v>7.0000000000000007E-2</v>
      </c>
      <c r="AD49" s="408"/>
      <c r="AE49" s="357"/>
      <c r="AF49" s="84"/>
      <c r="AG49" s="84"/>
      <c r="AH49" s="84"/>
      <c r="AI49" s="84"/>
      <c r="AJ49" s="84"/>
      <c r="AK49" s="84"/>
      <c r="AL49" s="84"/>
      <c r="AM49" s="84"/>
      <c r="AN49" s="84"/>
      <c r="AO49" s="84"/>
      <c r="AP49" s="84"/>
      <c r="AQ49" s="84"/>
      <c r="AR49" s="84"/>
      <c r="AS49" s="84"/>
      <c r="AT49" s="84"/>
      <c r="AV49" s="699" t="str">
        <f t="shared" ref="AV49" si="35">MID(E49,1,7)</f>
        <v>TRABDLM</v>
      </c>
      <c r="AW49" s="567">
        <f>SUM(AX49:BL49)</f>
        <v>13.306246767661619</v>
      </c>
      <c r="AX49" s="707">
        <f>N$53*N$54*N49/N$50/1000</f>
        <v>13.306246767661619</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7">
        <f t="shared" ref="BJ49" si="47">Z$53*Z$54*Z49/Z$50/1000</f>
        <v>0</v>
      </c>
      <c r="BK49" s="707">
        <f t="shared" ref="BK49" si="48">AA$53*AA$54*AA49/AA$50/1000</f>
        <v>0</v>
      </c>
      <c r="BL49" s="707">
        <f t="shared" ref="BL49" si="49">AB$53*AB$54*AB49/AB$50/1000</f>
        <v>0</v>
      </c>
    </row>
    <row r="50" spans="1:64" s="83" customFormat="1" x14ac:dyDescent="0.3">
      <c r="B50" s="178" t="str">
        <f t="shared" si="33"/>
        <v>TBUSDST100</v>
      </c>
      <c r="C50" s="178"/>
      <c r="D50" s="179"/>
      <c r="E50" s="178"/>
      <c r="F50" s="182"/>
      <c r="G50" s="180" t="s">
        <v>415</v>
      </c>
      <c r="H50" s="182"/>
      <c r="I50" s="183"/>
      <c r="J50" s="184"/>
      <c r="K50" s="184"/>
      <c r="L50" s="184" t="s">
        <v>1125</v>
      </c>
      <c r="M50" s="178" t="s">
        <v>677</v>
      </c>
      <c r="N50" s="689">
        <f>T_CEFF!H110</f>
        <v>6.6669999999999993E-2</v>
      </c>
      <c r="O50" s="689">
        <f>T_CEFF!I110</f>
        <v>6.6669999999999993E-2</v>
      </c>
      <c r="P50" s="689">
        <f>T_CEFF!J110</f>
        <v>6.6669999999999993E-2</v>
      </c>
      <c r="Q50" s="689">
        <f>T_CEFF!K110</f>
        <v>6.6669999999999993E-2</v>
      </c>
      <c r="R50" s="689">
        <f>T_CEFF!L110</f>
        <v>6.6669999999999993E-2</v>
      </c>
      <c r="S50" s="689">
        <f>T_CEFF!M110</f>
        <v>6.6669999999999993E-2</v>
      </c>
      <c r="T50" s="689">
        <f>T_CEFF!N110</f>
        <v>6.6669999999999993E-2</v>
      </c>
      <c r="U50" s="689">
        <f>T_CEFF!O110</f>
        <v>6.6669999999999993E-2</v>
      </c>
      <c r="V50" s="689">
        <f>T_CEFF!P110</f>
        <v>6.6669999999999993E-2</v>
      </c>
      <c r="W50" s="689">
        <f>T_CEFF!Q110</f>
        <v>6.6669999999999993E-2</v>
      </c>
      <c r="X50" s="689">
        <f>T_CEFF!R110</f>
        <v>6.6669999999999993E-2</v>
      </c>
      <c r="Y50" s="689">
        <f>T_CEFF!S110</f>
        <v>6.6669999999999993E-2</v>
      </c>
      <c r="Z50" s="689">
        <f>T_CEFF!T110</f>
        <v>6.6669999999999993E-2</v>
      </c>
      <c r="AA50" s="689">
        <f>T_CEFF!U110</f>
        <v>6.6669999999999993E-2</v>
      </c>
      <c r="AB50" s="689">
        <f>T_CEFF!V110</f>
        <v>6.6669999999999993E-2</v>
      </c>
      <c r="AE50" s="357"/>
      <c r="AV50" s="699" t="str">
        <f t="shared" si="20"/>
        <v/>
      </c>
      <c r="AW50" s="35"/>
      <c r="AX50" s="35"/>
      <c r="AY50" s="35"/>
      <c r="AZ50" s="35"/>
      <c r="BA50" s="35"/>
      <c r="BB50" s="35"/>
      <c r="BC50" s="35"/>
      <c r="BD50" s="35"/>
      <c r="BE50" s="35"/>
      <c r="BF50" s="35"/>
      <c r="BG50" s="35"/>
      <c r="BH50" s="35"/>
      <c r="BI50" s="35"/>
      <c r="BJ50" s="35"/>
      <c r="BK50" s="35"/>
      <c r="BL50" s="35"/>
    </row>
    <row r="51" spans="1:64" s="83" customFormat="1" x14ac:dyDescent="0.3">
      <c r="B51" s="178" t="str">
        <f t="shared" si="33"/>
        <v>TBUSDST100</v>
      </c>
      <c r="C51" s="178"/>
      <c r="D51" s="179"/>
      <c r="E51" s="178"/>
      <c r="F51" s="182"/>
      <c r="G51" s="180" t="s">
        <v>592</v>
      </c>
      <c r="H51" s="182"/>
      <c r="I51" s="183"/>
      <c r="J51" s="184"/>
      <c r="K51" s="184"/>
      <c r="L51" s="184" t="s">
        <v>1125</v>
      </c>
      <c r="M51" s="178" t="s">
        <v>677</v>
      </c>
      <c r="N51" s="689">
        <f>T_CEFF!H111</f>
        <v>6.6669999999999993E-2</v>
      </c>
      <c r="O51" s="689">
        <f>T_CEFF!I111</f>
        <v>6.6669999999999993E-2</v>
      </c>
      <c r="P51" s="689">
        <f>T_CEFF!J111</f>
        <v>6.6669999999999993E-2</v>
      </c>
      <c r="Q51" s="689">
        <f>T_CEFF!K111</f>
        <v>6.6669999999999993E-2</v>
      </c>
      <c r="R51" s="689">
        <f>T_CEFF!L111</f>
        <v>6.6669999999999993E-2</v>
      </c>
      <c r="S51" s="689">
        <f>T_CEFF!M111</f>
        <v>6.6669999999999993E-2</v>
      </c>
      <c r="T51" s="689">
        <f>T_CEFF!N111</f>
        <v>6.6669999999999993E-2</v>
      </c>
      <c r="U51" s="689">
        <f>T_CEFF!O111</f>
        <v>6.6669999999999993E-2</v>
      </c>
      <c r="V51" s="689">
        <f>T_CEFF!P111</f>
        <v>6.6669999999999993E-2</v>
      </c>
      <c r="W51" s="689">
        <f>T_CEFF!Q111</f>
        <v>6.6669999999999993E-2</v>
      </c>
      <c r="X51" s="689">
        <f>T_CEFF!R111</f>
        <v>6.6669999999999993E-2</v>
      </c>
      <c r="Y51" s="689">
        <f>T_CEFF!S111</f>
        <v>6.6669999999999993E-2</v>
      </c>
      <c r="Z51" s="689">
        <f>T_CEFF!T111</f>
        <v>6.6669999999999993E-2</v>
      </c>
      <c r="AA51" s="689">
        <f>T_CEFF!U111</f>
        <v>6.6669999999999993E-2</v>
      </c>
      <c r="AB51" s="689">
        <f>T_CEFF!V111</f>
        <v>6.6669999999999993E-2</v>
      </c>
      <c r="AE51" s="357"/>
      <c r="AV51" s="699" t="str">
        <f t="shared" si="20"/>
        <v/>
      </c>
      <c r="AW51" s="35"/>
      <c r="AX51" s="35"/>
      <c r="AY51" s="35"/>
      <c r="AZ51" s="35"/>
      <c r="BA51" s="35"/>
      <c r="BB51" s="35"/>
      <c r="BC51" s="35"/>
      <c r="BD51" s="35"/>
      <c r="BE51" s="35"/>
      <c r="BF51" s="35"/>
      <c r="BG51" s="35"/>
      <c r="BH51" s="35"/>
      <c r="BI51" s="35"/>
      <c r="BJ51" s="35"/>
      <c r="BK51" s="35"/>
      <c r="BL51" s="35"/>
    </row>
    <row r="52" spans="1:64" s="83" customFormat="1" x14ac:dyDescent="0.3">
      <c r="B52" s="178" t="str">
        <f t="shared" si="33"/>
        <v>TBUSDST100</v>
      </c>
      <c r="C52" s="178"/>
      <c r="D52" s="179"/>
      <c r="E52" s="178"/>
      <c r="F52" s="182"/>
      <c r="G52" s="181"/>
      <c r="H52" s="182"/>
      <c r="I52" s="183"/>
      <c r="J52" s="184"/>
      <c r="K52" s="184" t="s">
        <v>748</v>
      </c>
      <c r="L52" s="184" t="s">
        <v>1127</v>
      </c>
      <c r="M52" s="186" t="s">
        <v>1158</v>
      </c>
      <c r="N52" s="690">
        <f t="shared" ref="N52:AB52" si="50">N$16</f>
        <v>18</v>
      </c>
      <c r="O52" s="690">
        <f t="shared" si="50"/>
        <v>0</v>
      </c>
      <c r="P52" s="690">
        <f t="shared" si="50"/>
        <v>0</v>
      </c>
      <c r="Q52" s="690">
        <f t="shared" si="50"/>
        <v>0</v>
      </c>
      <c r="R52" s="690">
        <f t="shared" si="50"/>
        <v>0</v>
      </c>
      <c r="S52" s="690">
        <f t="shared" si="50"/>
        <v>0</v>
      </c>
      <c r="T52" s="690">
        <f t="shared" si="50"/>
        <v>0</v>
      </c>
      <c r="U52" s="690">
        <f t="shared" si="50"/>
        <v>0</v>
      </c>
      <c r="V52" s="690">
        <f t="shared" si="50"/>
        <v>0</v>
      </c>
      <c r="W52" s="690">
        <f t="shared" si="50"/>
        <v>0</v>
      </c>
      <c r="X52" s="690">
        <f t="shared" si="50"/>
        <v>0</v>
      </c>
      <c r="Y52" s="690">
        <f t="shared" si="50"/>
        <v>0</v>
      </c>
      <c r="Z52" s="690">
        <f t="shared" si="50"/>
        <v>0</v>
      </c>
      <c r="AA52" s="690">
        <f t="shared" si="50"/>
        <v>0</v>
      </c>
      <c r="AB52" s="690">
        <f t="shared" si="50"/>
        <v>0</v>
      </c>
      <c r="AE52" s="357"/>
      <c r="AV52" s="699" t="str">
        <f t="shared" si="20"/>
        <v/>
      </c>
      <c r="AW52" s="35"/>
      <c r="AX52" s="35"/>
      <c r="AY52" s="35"/>
      <c r="AZ52" s="35"/>
      <c r="BA52" s="35"/>
      <c r="BB52" s="35"/>
      <c r="BC52" s="35"/>
      <c r="BD52" s="35"/>
      <c r="BE52" s="35"/>
      <c r="BF52" s="35"/>
      <c r="BG52" s="35"/>
      <c r="BH52" s="35"/>
      <c r="BI52" s="35"/>
      <c r="BJ52" s="35"/>
      <c r="BK52" s="35"/>
      <c r="BL52" s="35"/>
    </row>
    <row r="53" spans="1:64" s="83" customFormat="1" x14ac:dyDescent="0.3">
      <c r="B53" s="178" t="str">
        <f t="shared" si="33"/>
        <v>TBUSDST100</v>
      </c>
      <c r="C53" s="178"/>
      <c r="D53" s="179"/>
      <c r="E53" s="178"/>
      <c r="F53" s="182"/>
      <c r="G53" s="181"/>
      <c r="H53" s="182"/>
      <c r="I53" s="183"/>
      <c r="J53" s="184"/>
      <c r="K53" s="184"/>
      <c r="L53" s="203" t="s">
        <v>1129</v>
      </c>
      <c r="M53" s="178" t="s">
        <v>1130</v>
      </c>
      <c r="N53" s="389">
        <f>LOOKUP($C$47, T_NCAP_AF!$C$95:$C$105, T_NCAP_AF!D$95:D$105)*(1+N29)</f>
        <v>24.200000000000003</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1">
        <f>SUM(AF53:AT53)</f>
        <v>228.11849280000001</v>
      </c>
      <c r="AF53" s="85">
        <f>N52*N53*N54/1000</f>
        <v>228.11849280000001</v>
      </c>
      <c r="AG53" s="85">
        <f t="shared" ref="AG53:AT53" si="51">O52*O53*O54/1000</f>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699" t="str">
        <f t="shared" si="20"/>
        <v/>
      </c>
      <c r="AW53" s="35"/>
      <c r="AX53" s="35"/>
      <c r="AY53" s="35"/>
      <c r="AZ53" s="35"/>
      <c r="BA53" s="35"/>
      <c r="BB53" s="35"/>
      <c r="BC53" s="35"/>
      <c r="BD53" s="35"/>
      <c r="BE53" s="35"/>
      <c r="BF53" s="35"/>
      <c r="BG53" s="35"/>
      <c r="BH53" s="35"/>
      <c r="BI53" s="35"/>
      <c r="BJ53" s="35"/>
      <c r="BK53" s="35"/>
      <c r="BL53" s="35"/>
    </row>
    <row r="54" spans="1:64" s="83" customFormat="1" x14ac:dyDescent="0.3">
      <c r="B54" s="178" t="str">
        <f t="shared" si="33"/>
        <v>TBUSDST100</v>
      </c>
      <c r="C54" s="178"/>
      <c r="D54" s="179"/>
      <c r="E54" s="178"/>
      <c r="F54" s="182"/>
      <c r="G54" s="181"/>
      <c r="H54" s="182"/>
      <c r="I54" s="183">
        <f>$M$3</f>
        <v>2019</v>
      </c>
      <c r="J54" s="184"/>
      <c r="K54" s="184"/>
      <c r="L54" s="203" t="s">
        <v>1064</v>
      </c>
      <c r="M54" s="178" t="s">
        <v>747</v>
      </c>
      <c r="N54" s="686">
        <f>LOOKUP($C$47, T_Stock_Private!$C$58:$C$68, T_Stock_Private!D$58:D$68)*(1+N30)</f>
        <v>523.68799999999999</v>
      </c>
      <c r="O54" s="686">
        <f>LOOKUP($C$47, T_Stock_Private!$C$58:$C$68, T_Stock_Private!E$58:E$68)*(1+O30)</f>
        <v>0</v>
      </c>
      <c r="P54" s="686">
        <f>LOOKUP($C$47, T_Stock_Private!$C$58:$C$68, T_Stock_Private!F$58:F$68)*(1+P30)</f>
        <v>0</v>
      </c>
      <c r="Q54" s="686">
        <f>LOOKUP($C$47, T_Stock_Private!$C$58:$C$68, T_Stock_Private!G$58:G$68)*(1+Q30)</f>
        <v>0</v>
      </c>
      <c r="R54" s="686">
        <f>LOOKUP($C$47, T_Stock_Private!$C$58:$C$68, T_Stock_Private!H$58:H$68)*(1+R30)</f>
        <v>0</v>
      </c>
      <c r="S54" s="686">
        <f>LOOKUP($C$47, T_Stock_Private!$C$58:$C$68, T_Stock_Private!I$58:I$68)*(1+S30)</f>
        <v>0</v>
      </c>
      <c r="T54" s="686">
        <f>LOOKUP($C$47, T_Stock_Private!$C$58:$C$68, T_Stock_Private!J$58:J$68)*(1+T30)</f>
        <v>0</v>
      </c>
      <c r="U54" s="686">
        <f>LOOKUP($C$47, T_Stock_Private!$C$58:$C$68, T_Stock_Private!K$58:K$68)*(1+U30)</f>
        <v>0</v>
      </c>
      <c r="V54" s="686">
        <f>LOOKUP($C$47, T_Stock_Private!$C$58:$C$68, T_Stock_Private!L$58:L$68)*(1+V30)</f>
        <v>0</v>
      </c>
      <c r="W54" s="686">
        <f>LOOKUP($C$47, T_Stock_Private!$C$58:$C$68, T_Stock_Private!M$58:M$68)*(1+W30)</f>
        <v>0</v>
      </c>
      <c r="X54" s="686">
        <f>LOOKUP($C$47, T_Stock_Private!$C$58:$C$68, T_Stock_Private!N$58:N$68)*(1+X30)</f>
        <v>0</v>
      </c>
      <c r="Y54" s="686">
        <f>LOOKUP($C$47, T_Stock_Private!$C$58:$C$68, T_Stock_Private!O$58:O$68)*(1+Y30)</f>
        <v>0</v>
      </c>
      <c r="Z54" s="686">
        <f>LOOKUP($C$47, T_Stock_Private!$C$58:$C$68, T_Stock_Private!P$58:P$68)*(1+Z30)</f>
        <v>0</v>
      </c>
      <c r="AA54" s="686">
        <f>LOOKUP($C$47, T_Stock_Private!$C$58:$C$68, T_Stock_Private!Q$58:Q$68)*(1+AA30)</f>
        <v>0</v>
      </c>
      <c r="AB54" s="686">
        <f>LOOKUP($C$47, T_Stock_Private!$C$58:$C$68, T_Stock_Private!R$58:R$68)*(1+AB30)</f>
        <v>0</v>
      </c>
      <c r="AC54" s="89"/>
      <c r="AE54" s="357"/>
      <c r="AF54" s="89"/>
      <c r="AV54" s="699" t="str">
        <f t="shared" si="20"/>
        <v/>
      </c>
      <c r="AW54" s="35"/>
      <c r="AX54" s="35"/>
      <c r="AY54" s="35"/>
      <c r="AZ54" s="35"/>
      <c r="BA54" s="35"/>
      <c r="BB54" s="35"/>
      <c r="BC54" s="35"/>
      <c r="BD54" s="35"/>
      <c r="BE54" s="35"/>
      <c r="BF54" s="35"/>
      <c r="BG54" s="35"/>
      <c r="BH54" s="35"/>
      <c r="BI54" s="35"/>
      <c r="BJ54" s="35"/>
      <c r="BK54" s="35"/>
      <c r="BL54" s="35"/>
    </row>
    <row r="55" spans="1:64" s="83" customFormat="1" x14ac:dyDescent="0.3">
      <c r="B55" s="178" t="str">
        <f t="shared" si="33"/>
        <v>TBUSDST100</v>
      </c>
      <c r="C55" s="178"/>
      <c r="D55" s="179"/>
      <c r="E55" s="178"/>
      <c r="F55" s="182"/>
      <c r="G55" s="181"/>
      <c r="H55" s="182"/>
      <c r="I55" s="183">
        <f>AF$5</f>
        <v>2020</v>
      </c>
      <c r="J55" s="184"/>
      <c r="K55" s="184"/>
      <c r="L55" s="203" t="s">
        <v>1064</v>
      </c>
      <c r="M55" s="178" t="s">
        <v>747</v>
      </c>
      <c r="N55" s="686">
        <f t="shared" ref="N55:AB55" si="52">N54*LOOKUP($AD47,$AG$4:$AP$4,$AG$5:$AP$5)</f>
        <v>497.50359999999995</v>
      </c>
      <c r="O55" s="686">
        <f t="shared" si="52"/>
        <v>0</v>
      </c>
      <c r="P55" s="686">
        <f t="shared" si="52"/>
        <v>0</v>
      </c>
      <c r="Q55" s="686">
        <f t="shared" si="52"/>
        <v>0</v>
      </c>
      <c r="R55" s="686">
        <f t="shared" si="52"/>
        <v>0</v>
      </c>
      <c r="S55" s="686">
        <f t="shared" si="52"/>
        <v>0</v>
      </c>
      <c r="T55" s="686">
        <f t="shared" si="52"/>
        <v>0</v>
      </c>
      <c r="U55" s="686">
        <f t="shared" si="52"/>
        <v>0</v>
      </c>
      <c r="V55" s="686">
        <f t="shared" si="52"/>
        <v>0</v>
      </c>
      <c r="W55" s="686">
        <f t="shared" si="52"/>
        <v>0</v>
      </c>
      <c r="X55" s="686">
        <f t="shared" si="52"/>
        <v>0</v>
      </c>
      <c r="Y55" s="686">
        <f t="shared" si="52"/>
        <v>0</v>
      </c>
      <c r="Z55" s="686">
        <f t="shared" si="52"/>
        <v>0</v>
      </c>
      <c r="AA55" s="686">
        <f t="shared" si="52"/>
        <v>0</v>
      </c>
      <c r="AB55" s="686">
        <f t="shared" si="52"/>
        <v>0</v>
      </c>
      <c r="AE55" s="357"/>
      <c r="AF55" s="89"/>
      <c r="AV55" s="699" t="str">
        <f t="shared" si="20"/>
        <v/>
      </c>
      <c r="AW55" s="35"/>
      <c r="AX55" s="35"/>
      <c r="AY55" s="35"/>
      <c r="AZ55" s="35"/>
      <c r="BA55" s="35"/>
      <c r="BB55" s="35"/>
      <c r="BC55" s="35"/>
      <c r="BD55" s="35"/>
      <c r="BE55" s="35"/>
      <c r="BF55" s="35"/>
      <c r="BG55" s="35"/>
      <c r="BH55" s="35"/>
      <c r="BI55" s="35"/>
      <c r="BJ55" s="35"/>
      <c r="BK55" s="35"/>
      <c r="BL55" s="35"/>
    </row>
    <row r="56" spans="1:64" s="83" customFormat="1" x14ac:dyDescent="0.3">
      <c r="B56" s="178" t="str">
        <f t="shared" si="33"/>
        <v>TBUSDST100</v>
      </c>
      <c r="C56" s="178"/>
      <c r="D56" s="179"/>
      <c r="E56" s="178"/>
      <c r="F56" s="182"/>
      <c r="G56" s="181"/>
      <c r="H56" s="182"/>
      <c r="I56" s="183">
        <f>AF$6</f>
        <v>2025</v>
      </c>
      <c r="J56" s="184"/>
      <c r="K56" s="184"/>
      <c r="L56" s="203" t="s">
        <v>1064</v>
      </c>
      <c r="M56" s="178" t="s">
        <v>747</v>
      </c>
      <c r="N56" s="686">
        <f t="shared" ref="N56:AB56" si="53">N54*LOOKUP($AD47,$AG$4:$AP$4,$AG$6:$AP$6)</f>
        <v>314.21279999999996</v>
      </c>
      <c r="O56" s="686">
        <f t="shared" si="53"/>
        <v>0</v>
      </c>
      <c r="P56" s="686">
        <f t="shared" si="53"/>
        <v>0</v>
      </c>
      <c r="Q56" s="686">
        <f t="shared" si="53"/>
        <v>0</v>
      </c>
      <c r="R56" s="686">
        <f t="shared" si="53"/>
        <v>0</v>
      </c>
      <c r="S56" s="686">
        <f t="shared" si="53"/>
        <v>0</v>
      </c>
      <c r="T56" s="686">
        <f t="shared" si="53"/>
        <v>0</v>
      </c>
      <c r="U56" s="686">
        <f t="shared" si="53"/>
        <v>0</v>
      </c>
      <c r="V56" s="686">
        <f t="shared" si="53"/>
        <v>0</v>
      </c>
      <c r="W56" s="686">
        <f t="shared" si="53"/>
        <v>0</v>
      </c>
      <c r="X56" s="686">
        <f t="shared" si="53"/>
        <v>0</v>
      </c>
      <c r="Y56" s="686">
        <f t="shared" si="53"/>
        <v>0</v>
      </c>
      <c r="Z56" s="686">
        <f t="shared" si="53"/>
        <v>0</v>
      </c>
      <c r="AA56" s="686">
        <f t="shared" si="53"/>
        <v>0</v>
      </c>
      <c r="AB56" s="686">
        <f t="shared" si="53"/>
        <v>0</v>
      </c>
      <c r="AE56" s="357"/>
      <c r="AF56" s="89"/>
      <c r="AV56" s="699" t="str">
        <f t="shared" si="20"/>
        <v/>
      </c>
      <c r="AW56" s="35"/>
      <c r="AX56" s="35"/>
      <c r="AY56" s="35"/>
      <c r="AZ56" s="35"/>
      <c r="BA56" s="35"/>
      <c r="BB56" s="35"/>
      <c r="BC56" s="35"/>
      <c r="BD56" s="35"/>
      <c r="BE56" s="35"/>
      <c r="BF56" s="35"/>
      <c r="BG56" s="35"/>
      <c r="BH56" s="35"/>
      <c r="BI56" s="35"/>
      <c r="BJ56" s="35"/>
      <c r="BK56" s="35"/>
      <c r="BL56" s="35"/>
    </row>
    <row r="57" spans="1:64" s="83" customFormat="1" x14ac:dyDescent="0.3">
      <c r="B57" s="178" t="str">
        <f t="shared" si="33"/>
        <v>TBUSDST100</v>
      </c>
      <c r="C57" s="178"/>
      <c r="D57" s="179"/>
      <c r="E57" s="178"/>
      <c r="F57" s="182"/>
      <c r="G57" s="181"/>
      <c r="H57" s="182"/>
      <c r="I57" s="183">
        <f>AF$7</f>
        <v>2030</v>
      </c>
      <c r="J57" s="184"/>
      <c r="K57" s="184"/>
      <c r="L57" s="203" t="s">
        <v>1064</v>
      </c>
      <c r="M57" s="178" t="s">
        <v>747</v>
      </c>
      <c r="N57" s="686">
        <f t="shared" ref="N57:AB57" si="54">N54*LOOKUP($AD47,$AG$4:$AP$4,$AG$7:$AP$7)</f>
        <v>52.3688</v>
      </c>
      <c r="O57" s="686">
        <f t="shared" si="54"/>
        <v>0</v>
      </c>
      <c r="P57" s="686">
        <f t="shared" si="54"/>
        <v>0</v>
      </c>
      <c r="Q57" s="686">
        <f t="shared" si="54"/>
        <v>0</v>
      </c>
      <c r="R57" s="686">
        <f t="shared" si="54"/>
        <v>0</v>
      </c>
      <c r="S57" s="686">
        <f t="shared" si="54"/>
        <v>0</v>
      </c>
      <c r="T57" s="686">
        <f t="shared" si="54"/>
        <v>0</v>
      </c>
      <c r="U57" s="686">
        <f t="shared" si="54"/>
        <v>0</v>
      </c>
      <c r="V57" s="686">
        <f t="shared" si="54"/>
        <v>0</v>
      </c>
      <c r="W57" s="686">
        <f t="shared" si="54"/>
        <v>0</v>
      </c>
      <c r="X57" s="686">
        <f t="shared" si="54"/>
        <v>0</v>
      </c>
      <c r="Y57" s="686">
        <f t="shared" si="54"/>
        <v>0</v>
      </c>
      <c r="Z57" s="686">
        <f t="shared" si="54"/>
        <v>0</v>
      </c>
      <c r="AA57" s="686">
        <f t="shared" si="54"/>
        <v>0</v>
      </c>
      <c r="AB57" s="686">
        <f t="shared" si="54"/>
        <v>0</v>
      </c>
      <c r="AE57" s="357"/>
      <c r="AF57" s="89"/>
      <c r="AV57" s="699" t="str">
        <f t="shared" si="20"/>
        <v/>
      </c>
      <c r="AW57" s="35"/>
      <c r="AX57" s="35"/>
      <c r="AY57" s="35"/>
      <c r="AZ57" s="35"/>
      <c r="BA57" s="35"/>
      <c r="BB57" s="35"/>
      <c r="BC57" s="35"/>
      <c r="BD57" s="35"/>
      <c r="BE57" s="35"/>
      <c r="BF57" s="35"/>
      <c r="BG57" s="35"/>
      <c r="BH57" s="35"/>
      <c r="BI57" s="35"/>
      <c r="BJ57" s="35"/>
      <c r="BK57" s="35"/>
      <c r="BL57" s="35"/>
    </row>
    <row r="58" spans="1:64" s="83" customFormat="1" x14ac:dyDescent="0.3">
      <c r="B58" s="178" t="str">
        <f t="shared" si="33"/>
        <v>TBUSDST100</v>
      </c>
      <c r="C58" s="178"/>
      <c r="D58" s="179"/>
      <c r="E58" s="178"/>
      <c r="F58" s="182"/>
      <c r="G58" s="181"/>
      <c r="H58" s="182"/>
      <c r="I58" s="183">
        <f>AF$8</f>
        <v>2035</v>
      </c>
      <c r="J58" s="184"/>
      <c r="K58" s="184"/>
      <c r="L58" s="203" t="s">
        <v>1064</v>
      </c>
      <c r="M58" s="178" t="s">
        <v>747</v>
      </c>
      <c r="N58" s="686">
        <f t="shared" ref="N58:AB58" si="55">N54*LOOKUP($AD47,$AG$4:$AP$4,$AG$8:$AP$8)</f>
        <v>5.2368800000000002</v>
      </c>
      <c r="O58" s="686">
        <f t="shared" si="55"/>
        <v>0</v>
      </c>
      <c r="P58" s="686">
        <f t="shared" si="55"/>
        <v>0</v>
      </c>
      <c r="Q58" s="686">
        <f t="shared" si="55"/>
        <v>0</v>
      </c>
      <c r="R58" s="686">
        <f t="shared" si="55"/>
        <v>0</v>
      </c>
      <c r="S58" s="686">
        <f t="shared" si="55"/>
        <v>0</v>
      </c>
      <c r="T58" s="686">
        <f t="shared" si="55"/>
        <v>0</v>
      </c>
      <c r="U58" s="686">
        <f t="shared" si="55"/>
        <v>0</v>
      </c>
      <c r="V58" s="686">
        <f t="shared" si="55"/>
        <v>0</v>
      </c>
      <c r="W58" s="686">
        <f t="shared" si="55"/>
        <v>0</v>
      </c>
      <c r="X58" s="686">
        <f t="shared" si="55"/>
        <v>0</v>
      </c>
      <c r="Y58" s="686">
        <f t="shared" si="55"/>
        <v>0</v>
      </c>
      <c r="Z58" s="686">
        <f t="shared" si="55"/>
        <v>0</v>
      </c>
      <c r="AA58" s="686">
        <f t="shared" si="55"/>
        <v>0</v>
      </c>
      <c r="AB58" s="686">
        <f t="shared" si="55"/>
        <v>0</v>
      </c>
      <c r="AE58" s="357"/>
      <c r="AF58" s="89"/>
      <c r="AV58" s="699" t="str">
        <f t="shared" si="20"/>
        <v/>
      </c>
      <c r="AW58" s="35"/>
      <c r="AX58" s="35"/>
      <c r="AY58" s="35"/>
      <c r="AZ58" s="35"/>
      <c r="BA58" s="35"/>
      <c r="BB58" s="35"/>
      <c r="BC58" s="35"/>
      <c r="BD58" s="35"/>
      <c r="BE58" s="35"/>
      <c r="BF58" s="35"/>
      <c r="BG58" s="35"/>
      <c r="BH58" s="35"/>
      <c r="BI58" s="35"/>
      <c r="BJ58" s="35"/>
      <c r="BK58" s="35"/>
      <c r="BL58" s="35"/>
    </row>
    <row r="59" spans="1:64" s="83" customFormat="1" x14ac:dyDescent="0.3">
      <c r="B59" s="178" t="str">
        <f t="shared" si="33"/>
        <v>TBUSDST100</v>
      </c>
      <c r="C59" s="178"/>
      <c r="D59" s="179"/>
      <c r="E59" s="178"/>
      <c r="F59" s="182"/>
      <c r="G59" s="181"/>
      <c r="H59" s="182"/>
      <c r="I59" s="183">
        <f>AF$9</f>
        <v>2040</v>
      </c>
      <c r="J59" s="184"/>
      <c r="K59" s="184"/>
      <c r="L59" s="203" t="s">
        <v>1064</v>
      </c>
      <c r="M59" s="178" t="s">
        <v>747</v>
      </c>
      <c r="N59" s="686">
        <f t="shared" ref="N59:AB59" si="56">N54*LOOKUP($AD47,$AG$4:$AP$4,$AG$9:$AP$9)</f>
        <v>0</v>
      </c>
      <c r="O59" s="686">
        <f t="shared" si="56"/>
        <v>0</v>
      </c>
      <c r="P59" s="686">
        <f t="shared" si="56"/>
        <v>0</v>
      </c>
      <c r="Q59" s="686">
        <f t="shared" si="56"/>
        <v>0</v>
      </c>
      <c r="R59" s="686">
        <f t="shared" si="56"/>
        <v>0</v>
      </c>
      <c r="S59" s="686">
        <f t="shared" si="56"/>
        <v>0</v>
      </c>
      <c r="T59" s="686">
        <f t="shared" si="56"/>
        <v>0</v>
      </c>
      <c r="U59" s="686">
        <f t="shared" si="56"/>
        <v>0</v>
      </c>
      <c r="V59" s="686">
        <f t="shared" si="56"/>
        <v>0</v>
      </c>
      <c r="W59" s="686">
        <f t="shared" si="56"/>
        <v>0</v>
      </c>
      <c r="X59" s="686">
        <f t="shared" si="56"/>
        <v>0</v>
      </c>
      <c r="Y59" s="686">
        <f t="shared" si="56"/>
        <v>0</v>
      </c>
      <c r="Z59" s="686">
        <f t="shared" si="56"/>
        <v>0</v>
      </c>
      <c r="AA59" s="686">
        <f t="shared" si="56"/>
        <v>0</v>
      </c>
      <c r="AB59" s="686">
        <f t="shared" si="56"/>
        <v>0</v>
      </c>
      <c r="AE59" s="357"/>
      <c r="AF59" s="89"/>
      <c r="AV59" s="699" t="str">
        <f t="shared" si="20"/>
        <v/>
      </c>
      <c r="AW59" s="35"/>
      <c r="AX59" s="35"/>
      <c r="AY59" s="35"/>
      <c r="AZ59" s="35"/>
      <c r="BA59" s="35"/>
      <c r="BB59" s="35"/>
      <c r="BC59" s="35"/>
      <c r="BD59" s="35"/>
      <c r="BE59" s="35"/>
      <c r="BF59" s="35"/>
      <c r="BG59" s="35"/>
      <c r="BH59" s="35"/>
      <c r="BI59" s="35"/>
      <c r="BJ59" s="35"/>
      <c r="BK59" s="35"/>
      <c r="BL59" s="35"/>
    </row>
    <row r="60" spans="1:64" s="83" customFormat="1" x14ac:dyDescent="0.3">
      <c r="B60" s="204" t="str">
        <f t="shared" si="33"/>
        <v>TBUSDST100</v>
      </c>
      <c r="C60" s="204"/>
      <c r="D60" s="205"/>
      <c r="E60" s="204"/>
      <c r="F60" s="206"/>
      <c r="G60" s="207"/>
      <c r="H60" s="206"/>
      <c r="I60" s="208">
        <f>AF$10</f>
        <v>2050</v>
      </c>
      <c r="J60" s="209"/>
      <c r="K60" s="209"/>
      <c r="L60" s="210" t="s">
        <v>1064</v>
      </c>
      <c r="M60" s="204" t="s">
        <v>747</v>
      </c>
      <c r="N60" s="687">
        <f t="shared" ref="N60:AB60" si="57">N54*LOOKUP($AD47,$AG$4:$AP$4,$AG$10:$AP$10)</f>
        <v>0</v>
      </c>
      <c r="O60" s="687">
        <f t="shared" si="57"/>
        <v>0</v>
      </c>
      <c r="P60" s="687">
        <f t="shared" si="57"/>
        <v>0</v>
      </c>
      <c r="Q60" s="687">
        <f t="shared" si="57"/>
        <v>0</v>
      </c>
      <c r="R60" s="687">
        <f t="shared" si="57"/>
        <v>0</v>
      </c>
      <c r="S60" s="687">
        <f t="shared" si="57"/>
        <v>0</v>
      </c>
      <c r="T60" s="687">
        <f t="shared" si="57"/>
        <v>0</v>
      </c>
      <c r="U60" s="687">
        <f t="shared" si="57"/>
        <v>0</v>
      </c>
      <c r="V60" s="687">
        <f t="shared" si="57"/>
        <v>0</v>
      </c>
      <c r="W60" s="687">
        <f t="shared" si="57"/>
        <v>0</v>
      </c>
      <c r="X60" s="687">
        <f t="shared" si="57"/>
        <v>0</v>
      </c>
      <c r="Y60" s="687">
        <f t="shared" si="57"/>
        <v>0</v>
      </c>
      <c r="Z60" s="687">
        <f t="shared" si="57"/>
        <v>0</v>
      </c>
      <c r="AA60" s="687">
        <f t="shared" si="57"/>
        <v>0</v>
      </c>
      <c r="AB60" s="687">
        <f t="shared" si="57"/>
        <v>0</v>
      </c>
      <c r="AD60" s="409"/>
      <c r="AE60" s="357"/>
      <c r="AF60" s="89"/>
      <c r="AV60" s="699" t="str">
        <f t="shared" si="20"/>
        <v/>
      </c>
      <c r="AW60" s="35"/>
      <c r="AX60" s="35"/>
      <c r="AY60" s="35"/>
      <c r="AZ60" s="35"/>
      <c r="BA60" s="35"/>
      <c r="BB60" s="35"/>
      <c r="BC60" s="35"/>
      <c r="BD60" s="35"/>
      <c r="BE60" s="35"/>
      <c r="BF60" s="35"/>
      <c r="BG60" s="35"/>
      <c r="BH60" s="35"/>
      <c r="BI60" s="35"/>
      <c r="BJ60" s="35"/>
      <c r="BK60" s="35"/>
      <c r="BL60" s="35"/>
    </row>
    <row r="61" spans="1:64" s="83" customFormat="1" x14ac:dyDescent="0.3">
      <c r="A61" s="82"/>
      <c r="B61" s="178" t="str">
        <f>C61</f>
        <v>TBUSELC100</v>
      </c>
      <c r="C61" s="178" t="s">
        <v>327</v>
      </c>
      <c r="D61" s="179" t="s">
        <v>764</v>
      </c>
      <c r="E61" s="407" t="s">
        <v>682</v>
      </c>
      <c r="F61" s="182"/>
      <c r="G61" s="181"/>
      <c r="H61" s="182"/>
      <c r="I61" s="183"/>
      <c r="J61" s="184"/>
      <c r="K61" s="184"/>
      <c r="L61" s="203" t="s">
        <v>1106</v>
      </c>
      <c r="M61" s="184" t="s">
        <v>1155</v>
      </c>
      <c r="N61" s="691">
        <f>N$35</f>
        <v>1E-3</v>
      </c>
      <c r="O61" s="691">
        <f t="shared" ref="O61:AB61" si="58">$N61</f>
        <v>1E-3</v>
      </c>
      <c r="P61" s="691">
        <f t="shared" si="58"/>
        <v>1E-3</v>
      </c>
      <c r="Q61" s="691">
        <f t="shared" si="58"/>
        <v>1E-3</v>
      </c>
      <c r="R61" s="691">
        <f t="shared" si="58"/>
        <v>1E-3</v>
      </c>
      <c r="S61" s="691">
        <f t="shared" si="58"/>
        <v>1E-3</v>
      </c>
      <c r="T61" s="691">
        <f t="shared" si="58"/>
        <v>1E-3</v>
      </c>
      <c r="U61" s="691">
        <f t="shared" si="58"/>
        <v>1E-3</v>
      </c>
      <c r="V61" s="691">
        <f t="shared" si="58"/>
        <v>1E-3</v>
      </c>
      <c r="W61" s="691">
        <f t="shared" si="58"/>
        <v>1E-3</v>
      </c>
      <c r="X61" s="691">
        <f t="shared" si="58"/>
        <v>1E-3</v>
      </c>
      <c r="Y61" s="691">
        <f t="shared" si="58"/>
        <v>1E-3</v>
      </c>
      <c r="Z61" s="691">
        <f t="shared" si="58"/>
        <v>1E-3</v>
      </c>
      <c r="AA61" s="691">
        <f t="shared" si="58"/>
        <v>1E-3</v>
      </c>
      <c r="AB61" s="691">
        <f t="shared" si="58"/>
        <v>1E-3</v>
      </c>
      <c r="AD61" s="86" t="str">
        <f>MID(D61,11,3)</f>
        <v>ELC</v>
      </c>
      <c r="AE61" s="357"/>
      <c r="AF61" s="89"/>
      <c r="AV61" s="699" t="str">
        <f t="shared" si="20"/>
        <v>TRAELC</v>
      </c>
      <c r="AW61" s="567">
        <f t="shared" ref="AW61" si="59">SUM(AX61:BL61)</f>
        <v>1.114004919901602</v>
      </c>
      <c r="AX61" s="567">
        <f>N65*N66/N62/1000</f>
        <v>1.114004919901602</v>
      </c>
      <c r="AY61" s="567">
        <f t="shared" ref="AY61:BL61" si="60">O65*O66/O62/1000</f>
        <v>0</v>
      </c>
      <c r="AZ61" s="567">
        <f t="shared" si="60"/>
        <v>0</v>
      </c>
      <c r="BA61" s="567">
        <f t="shared" si="60"/>
        <v>0</v>
      </c>
      <c r="BB61" s="567">
        <f t="shared" si="60"/>
        <v>0</v>
      </c>
      <c r="BC61" s="567">
        <f t="shared" si="60"/>
        <v>0</v>
      </c>
      <c r="BD61" s="567">
        <f t="shared" si="60"/>
        <v>0</v>
      </c>
      <c r="BE61" s="567">
        <f t="shared" si="60"/>
        <v>0</v>
      </c>
      <c r="BF61" s="567">
        <f t="shared" si="60"/>
        <v>0</v>
      </c>
      <c r="BG61" s="567">
        <f t="shared" si="60"/>
        <v>0</v>
      </c>
      <c r="BH61" s="567">
        <f t="shared" si="60"/>
        <v>0</v>
      </c>
      <c r="BI61" s="567">
        <f t="shared" si="60"/>
        <v>0</v>
      </c>
      <c r="BJ61" s="567">
        <f t="shared" si="60"/>
        <v>0</v>
      </c>
      <c r="BK61" s="567">
        <f t="shared" si="60"/>
        <v>0</v>
      </c>
      <c r="BL61" s="567">
        <f t="shared" si="60"/>
        <v>0</v>
      </c>
    </row>
    <row r="62" spans="1:64" s="83" customFormat="1" x14ac:dyDescent="0.3">
      <c r="B62" s="178" t="str">
        <f>B61</f>
        <v>TBUSELC100</v>
      </c>
      <c r="C62" s="178"/>
      <c r="D62" s="179"/>
      <c r="E62" s="178"/>
      <c r="F62" s="182"/>
      <c r="G62" s="180" t="s">
        <v>415</v>
      </c>
      <c r="H62" s="182"/>
      <c r="I62" s="183"/>
      <c r="J62" s="184"/>
      <c r="K62" s="184"/>
      <c r="L62" s="184" t="s">
        <v>1125</v>
      </c>
      <c r="M62" s="178" t="s">
        <v>677</v>
      </c>
      <c r="N62" s="689">
        <f>T_CEFF!H112</f>
        <v>0.16667000000000001</v>
      </c>
      <c r="O62" s="689">
        <f>T_CEFF!I112</f>
        <v>0.16667000000000001</v>
      </c>
      <c r="P62" s="689">
        <f>T_CEFF!J112</f>
        <v>0.16667000000000001</v>
      </c>
      <c r="Q62" s="689">
        <f>T_CEFF!K112</f>
        <v>0.16667000000000001</v>
      </c>
      <c r="R62" s="689">
        <f>T_CEFF!L112</f>
        <v>0.16667000000000001</v>
      </c>
      <c r="S62" s="689">
        <f>T_CEFF!M112</f>
        <v>0.16667000000000001</v>
      </c>
      <c r="T62" s="689">
        <f>T_CEFF!N112</f>
        <v>0.16667000000000001</v>
      </c>
      <c r="U62" s="689">
        <f>T_CEFF!O112</f>
        <v>0.16667000000000001</v>
      </c>
      <c r="V62" s="689">
        <f>T_CEFF!P112</f>
        <v>0.16667000000000001</v>
      </c>
      <c r="W62" s="689">
        <f>T_CEFF!Q112</f>
        <v>0.16667000000000001</v>
      </c>
      <c r="X62" s="689">
        <f>T_CEFF!R112</f>
        <v>0.16667000000000001</v>
      </c>
      <c r="Y62" s="689">
        <f>T_CEFF!S112</f>
        <v>0.16667000000000001</v>
      </c>
      <c r="Z62" s="689">
        <f>T_CEFF!T112</f>
        <v>0.16667000000000001</v>
      </c>
      <c r="AA62" s="689">
        <f>T_CEFF!U112</f>
        <v>0.16667000000000001</v>
      </c>
      <c r="AB62" s="689">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699" t="str">
        <f t="shared" si="20"/>
        <v/>
      </c>
      <c r="AW62" s="567"/>
      <c r="AX62" s="567"/>
      <c r="AY62" s="567"/>
      <c r="AZ62" s="567"/>
      <c r="BA62" s="567"/>
      <c r="BB62" s="567"/>
      <c r="BC62" s="567"/>
      <c r="BD62" s="567"/>
      <c r="BE62" s="567"/>
      <c r="BF62" s="567"/>
      <c r="BG62" s="567"/>
      <c r="BH62" s="567"/>
      <c r="BI62" s="567"/>
      <c r="BJ62" s="567"/>
      <c r="BK62" s="567"/>
      <c r="BL62" s="567"/>
    </row>
    <row r="63" spans="1:64" s="83" customFormat="1" x14ac:dyDescent="0.3">
      <c r="B63" s="178" t="str">
        <f t="shared" ref="B63:B72" si="61">B62</f>
        <v>TBUSELC100</v>
      </c>
      <c r="C63" s="178"/>
      <c r="D63" s="179"/>
      <c r="E63" s="178"/>
      <c r="F63" s="182"/>
      <c r="G63" s="180" t="s">
        <v>592</v>
      </c>
      <c r="H63" s="182"/>
      <c r="I63" s="183"/>
      <c r="J63" s="184"/>
      <c r="K63" s="184"/>
      <c r="L63" s="184" t="s">
        <v>1125</v>
      </c>
      <c r="M63" s="178" t="s">
        <v>677</v>
      </c>
      <c r="N63" s="689">
        <f>T_CEFF!H113</f>
        <v>0.16667000000000001</v>
      </c>
      <c r="O63" s="689">
        <f>T_CEFF!I113</f>
        <v>0.16667000000000001</v>
      </c>
      <c r="P63" s="689">
        <f>T_CEFF!J113</f>
        <v>0.16667000000000001</v>
      </c>
      <c r="Q63" s="689">
        <f>T_CEFF!K113</f>
        <v>0.16667000000000001</v>
      </c>
      <c r="R63" s="689">
        <f>T_CEFF!L113</f>
        <v>0.16667000000000001</v>
      </c>
      <c r="S63" s="689">
        <f>T_CEFF!M113</f>
        <v>0.16667000000000001</v>
      </c>
      <c r="T63" s="689">
        <f>T_CEFF!N113</f>
        <v>0.16667000000000001</v>
      </c>
      <c r="U63" s="689">
        <f>T_CEFF!O113</f>
        <v>0.16667000000000001</v>
      </c>
      <c r="V63" s="689">
        <f>T_CEFF!P113</f>
        <v>0.16667000000000001</v>
      </c>
      <c r="W63" s="689">
        <f>T_CEFF!Q113</f>
        <v>0.16667000000000001</v>
      </c>
      <c r="X63" s="689">
        <f>T_CEFF!R113</f>
        <v>0.16667000000000001</v>
      </c>
      <c r="Y63" s="689">
        <f>T_CEFF!S113</f>
        <v>0.16667000000000001</v>
      </c>
      <c r="Z63" s="689">
        <f>T_CEFF!T113</f>
        <v>0.16667000000000001</v>
      </c>
      <c r="AA63" s="689">
        <f>T_CEFF!U113</f>
        <v>0.16667000000000001</v>
      </c>
      <c r="AB63" s="689">
        <f>T_CEFF!V113</f>
        <v>0.16667000000000001</v>
      </c>
      <c r="AE63" s="357"/>
      <c r="AV63" s="699" t="str">
        <f t="shared" si="20"/>
        <v/>
      </c>
      <c r="AW63" s="35"/>
      <c r="AX63" s="35"/>
      <c r="AY63" s="35"/>
      <c r="AZ63" s="35"/>
      <c r="BA63" s="35"/>
      <c r="BB63" s="35"/>
      <c r="BC63" s="35"/>
      <c r="BD63" s="35"/>
      <c r="BE63" s="35"/>
      <c r="BF63" s="35"/>
      <c r="BG63" s="35"/>
      <c r="BH63" s="35"/>
      <c r="BI63" s="35"/>
      <c r="BJ63" s="35"/>
      <c r="BK63" s="35"/>
      <c r="BL63" s="35"/>
    </row>
    <row r="64" spans="1:64" s="83" customFormat="1" x14ac:dyDescent="0.3">
      <c r="B64" s="178" t="str">
        <f>B63</f>
        <v>TBUSELC100</v>
      </c>
      <c r="C64" s="178"/>
      <c r="D64" s="179"/>
      <c r="E64" s="178"/>
      <c r="F64" s="182"/>
      <c r="G64" s="181"/>
      <c r="H64" s="182"/>
      <c r="I64" s="183"/>
      <c r="J64" s="184"/>
      <c r="K64" s="184" t="s">
        <v>748</v>
      </c>
      <c r="L64" s="184" t="s">
        <v>1127</v>
      </c>
      <c r="M64" s="186" t="s">
        <v>1158</v>
      </c>
      <c r="N64" s="690">
        <f t="shared" ref="N64:AB64" si="62">N$16</f>
        <v>18</v>
      </c>
      <c r="O64" s="690">
        <f t="shared" si="62"/>
        <v>0</v>
      </c>
      <c r="P64" s="690">
        <f t="shared" si="62"/>
        <v>0</v>
      </c>
      <c r="Q64" s="690">
        <f t="shared" si="62"/>
        <v>0</v>
      </c>
      <c r="R64" s="690">
        <f t="shared" si="62"/>
        <v>0</v>
      </c>
      <c r="S64" s="690">
        <f t="shared" si="62"/>
        <v>0</v>
      </c>
      <c r="T64" s="690">
        <f t="shared" si="62"/>
        <v>0</v>
      </c>
      <c r="U64" s="690">
        <f t="shared" si="62"/>
        <v>0</v>
      </c>
      <c r="V64" s="690">
        <f t="shared" si="62"/>
        <v>0</v>
      </c>
      <c r="W64" s="690">
        <f t="shared" si="62"/>
        <v>0</v>
      </c>
      <c r="X64" s="690">
        <f t="shared" si="62"/>
        <v>0</v>
      </c>
      <c r="Y64" s="690">
        <f t="shared" si="62"/>
        <v>0</v>
      </c>
      <c r="Z64" s="690">
        <f t="shared" si="62"/>
        <v>0</v>
      </c>
      <c r="AA64" s="690">
        <f t="shared" si="62"/>
        <v>0</v>
      </c>
      <c r="AB64" s="690">
        <f t="shared" si="62"/>
        <v>0</v>
      </c>
      <c r="AE64" s="357"/>
      <c r="AV64" s="699" t="str">
        <f t="shared" si="20"/>
        <v/>
      </c>
      <c r="AW64" s="35"/>
      <c r="AX64" s="35"/>
      <c r="AY64" s="35"/>
      <c r="AZ64" s="35"/>
      <c r="BA64" s="35"/>
      <c r="BB64" s="35"/>
      <c r="BC64" s="35"/>
      <c r="BD64" s="35"/>
      <c r="BE64" s="35"/>
      <c r="BF64" s="35"/>
      <c r="BG64" s="35"/>
      <c r="BH64" s="35"/>
      <c r="BI64" s="35"/>
      <c r="BJ64" s="35"/>
      <c r="BK64" s="35"/>
      <c r="BL64" s="35"/>
    </row>
    <row r="65" spans="1:64" s="83" customFormat="1" x14ac:dyDescent="0.3">
      <c r="B65" s="178" t="str">
        <f t="shared" si="61"/>
        <v>TBUSELC100</v>
      </c>
      <c r="C65" s="178"/>
      <c r="D65" s="179"/>
      <c r="E65" s="178"/>
      <c r="F65" s="182"/>
      <c r="G65" s="181"/>
      <c r="H65" s="182"/>
      <c r="I65" s="183"/>
      <c r="J65" s="184"/>
      <c r="K65" s="184"/>
      <c r="L65" s="203" t="s">
        <v>1129</v>
      </c>
      <c r="M65" s="178" t="s">
        <v>1130</v>
      </c>
      <c r="N65" s="389">
        <f>LOOKUP($C$61, T_NCAP_AF!$C$95:$C$105, T_NCAP_AF!D$95:D$105)*(1+N29)</f>
        <v>14.3</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1">
        <f>SUM(AF65:AT65)</f>
        <v>3.3420816000000011</v>
      </c>
      <c r="AF65" s="85">
        <f t="shared" ref="AF65:AT65" si="63">N64*N65*N66/1000</f>
        <v>3.3420816000000011</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699" t="str">
        <f t="shared" si="20"/>
        <v/>
      </c>
      <c r="AW65" s="35"/>
      <c r="AX65" s="35"/>
      <c r="AY65" s="35"/>
      <c r="AZ65" s="35"/>
      <c r="BA65" s="35"/>
      <c r="BB65" s="35"/>
      <c r="BC65" s="35"/>
      <c r="BD65" s="35"/>
      <c r="BE65" s="35"/>
      <c r="BF65" s="35"/>
      <c r="BG65" s="35"/>
      <c r="BH65" s="35"/>
      <c r="BI65" s="35"/>
      <c r="BJ65" s="35"/>
      <c r="BK65" s="35"/>
      <c r="BL65" s="35"/>
    </row>
    <row r="66" spans="1:64" s="83" customFormat="1" x14ac:dyDescent="0.3">
      <c r="B66" s="178" t="str">
        <f>B65</f>
        <v>TBUSELC100</v>
      </c>
      <c r="C66" s="178"/>
      <c r="D66" s="179"/>
      <c r="E66" s="178"/>
      <c r="F66" s="182"/>
      <c r="G66" s="181"/>
      <c r="H66" s="182"/>
      <c r="I66" s="183">
        <f>$M$3</f>
        <v>2019</v>
      </c>
      <c r="J66" s="184"/>
      <c r="K66" s="184"/>
      <c r="L66" s="203" t="s">
        <v>1064</v>
      </c>
      <c r="M66" s="178" t="s">
        <v>747</v>
      </c>
      <c r="N66" s="686">
        <f>LOOKUP($C$61, T_Stock_Private!$C$58:$C$68, T_Stock_Private!D$58:D$68)*(1+N30)</f>
        <v>12.984000000000002</v>
      </c>
      <c r="O66" s="686">
        <f>LOOKUP($C$61, T_Stock_Private!$C$58:$C$68, T_Stock_Private!E$58:E$68)*(1+O30)</f>
        <v>0</v>
      </c>
      <c r="P66" s="686">
        <f>LOOKUP($C$61, T_Stock_Private!$C$58:$C$68, T_Stock_Private!F$58:F$68)*(1+P30)</f>
        <v>0</v>
      </c>
      <c r="Q66" s="686">
        <f>LOOKUP($C$61, T_Stock_Private!$C$58:$C$68, T_Stock_Private!G$58:G$68)*(1+Q30)</f>
        <v>0</v>
      </c>
      <c r="R66" s="686">
        <f>LOOKUP($C$61, T_Stock_Private!$C$58:$C$68, T_Stock_Private!H$58:H$68)*(1+R30)</f>
        <v>0</v>
      </c>
      <c r="S66" s="686">
        <f>LOOKUP($C$61, T_Stock_Private!$C$58:$C$68, T_Stock_Private!I$58:I$68)*(1+S30)</f>
        <v>0</v>
      </c>
      <c r="T66" s="686">
        <f>LOOKUP($C$61, T_Stock_Private!$C$58:$C$68, T_Stock_Private!J$58:J$68)*(1+T30)</f>
        <v>0</v>
      </c>
      <c r="U66" s="686">
        <f>LOOKUP($C$61, T_Stock_Private!$C$58:$C$68, T_Stock_Private!K$58:K$68)*(1+U30)</f>
        <v>0</v>
      </c>
      <c r="V66" s="686">
        <f>LOOKUP($C$61, T_Stock_Private!$C$58:$C$68, T_Stock_Private!L$58:L$68)*(1+V30)</f>
        <v>0</v>
      </c>
      <c r="W66" s="686">
        <f>LOOKUP($C$61, T_Stock_Private!$C$58:$C$68, T_Stock_Private!M$58:M$68)*(1+W30)</f>
        <v>0</v>
      </c>
      <c r="X66" s="686">
        <f>LOOKUP($C$61, T_Stock_Private!$C$58:$C$68, T_Stock_Private!N$58:N$68)*(1+X30)</f>
        <v>0</v>
      </c>
      <c r="Y66" s="686">
        <f>LOOKUP($C$61, T_Stock_Private!$C$58:$C$68, T_Stock_Private!O$58:O$68)*(1+Y30)</f>
        <v>0</v>
      </c>
      <c r="Z66" s="686">
        <f>LOOKUP($C$61, T_Stock_Private!$C$58:$C$68, T_Stock_Private!P$58:P$68)*(1+Z30)</f>
        <v>0</v>
      </c>
      <c r="AA66" s="686">
        <f>LOOKUP($C$61, T_Stock_Private!$C$58:$C$68, T_Stock_Private!Q$58:Q$68)*(1+AA30)</f>
        <v>0</v>
      </c>
      <c r="AB66" s="686">
        <f>LOOKUP($C$61, T_Stock_Private!$C$58:$C$68, T_Stock_Private!R$58:R$68)*(1+AB30)</f>
        <v>0</v>
      </c>
      <c r="AC66" s="89"/>
      <c r="AE66" s="357"/>
      <c r="AF66" s="89"/>
      <c r="AV66" s="699" t="str">
        <f t="shared" si="20"/>
        <v/>
      </c>
      <c r="AW66" s="35"/>
      <c r="AX66" s="35"/>
      <c r="AY66" s="35"/>
      <c r="AZ66" s="35"/>
      <c r="BA66" s="35"/>
      <c r="BB66" s="35"/>
      <c r="BC66" s="35"/>
      <c r="BD66" s="35"/>
      <c r="BE66" s="35"/>
      <c r="BF66" s="35"/>
      <c r="BG66" s="35"/>
      <c r="BH66" s="35"/>
      <c r="BI66" s="35"/>
      <c r="BJ66" s="35"/>
      <c r="BK66" s="35"/>
      <c r="BL66" s="35"/>
    </row>
    <row r="67" spans="1:64" s="83" customFormat="1" x14ac:dyDescent="0.3">
      <c r="B67" s="178" t="str">
        <f t="shared" si="61"/>
        <v>TBUSELC100</v>
      </c>
      <c r="C67" s="178"/>
      <c r="D67" s="179"/>
      <c r="E67" s="178"/>
      <c r="F67" s="182"/>
      <c r="G67" s="181"/>
      <c r="H67" s="182"/>
      <c r="I67" s="183">
        <f>AF$5</f>
        <v>2020</v>
      </c>
      <c r="J67" s="184"/>
      <c r="K67" s="184"/>
      <c r="L67" s="203" t="s">
        <v>1064</v>
      </c>
      <c r="M67" s="178" t="s">
        <v>747</v>
      </c>
      <c r="N67" s="686">
        <f t="shared" ref="N67:AB67" si="64">N66*LOOKUP($AD61,$AG$4:$AP$4,$AG$5:$AP$5)</f>
        <v>12.334800000000001</v>
      </c>
      <c r="O67" s="686">
        <f t="shared" si="64"/>
        <v>0</v>
      </c>
      <c r="P67" s="686">
        <f t="shared" si="64"/>
        <v>0</v>
      </c>
      <c r="Q67" s="686">
        <f t="shared" si="64"/>
        <v>0</v>
      </c>
      <c r="R67" s="686">
        <f t="shared" si="64"/>
        <v>0</v>
      </c>
      <c r="S67" s="686">
        <f t="shared" si="64"/>
        <v>0</v>
      </c>
      <c r="T67" s="686">
        <f t="shared" si="64"/>
        <v>0</v>
      </c>
      <c r="U67" s="686">
        <f t="shared" si="64"/>
        <v>0</v>
      </c>
      <c r="V67" s="686">
        <f t="shared" si="64"/>
        <v>0</v>
      </c>
      <c r="W67" s="686">
        <f t="shared" si="64"/>
        <v>0</v>
      </c>
      <c r="X67" s="686">
        <f t="shared" si="64"/>
        <v>0</v>
      </c>
      <c r="Y67" s="686">
        <f t="shared" si="64"/>
        <v>0</v>
      </c>
      <c r="Z67" s="686">
        <f t="shared" si="64"/>
        <v>0</v>
      </c>
      <c r="AA67" s="686">
        <f t="shared" si="64"/>
        <v>0</v>
      </c>
      <c r="AB67" s="686">
        <f t="shared" si="64"/>
        <v>0</v>
      </c>
      <c r="AE67" s="357"/>
      <c r="AF67" s="89"/>
      <c r="AV67" s="699" t="str">
        <f t="shared" si="20"/>
        <v/>
      </c>
      <c r="AW67" s="35"/>
      <c r="AX67" s="35"/>
      <c r="AY67" s="35"/>
      <c r="AZ67" s="35"/>
      <c r="BA67" s="35"/>
      <c r="BB67" s="35"/>
      <c r="BC67" s="35"/>
      <c r="BD67" s="35"/>
      <c r="BE67" s="35"/>
      <c r="BF67" s="35"/>
      <c r="BG67" s="35"/>
      <c r="BH67" s="35"/>
      <c r="BI67" s="35"/>
      <c r="BJ67" s="35"/>
      <c r="BK67" s="35"/>
      <c r="BL67" s="35"/>
    </row>
    <row r="68" spans="1:64" s="83" customFormat="1" x14ac:dyDescent="0.3">
      <c r="B68" s="178" t="str">
        <f t="shared" si="61"/>
        <v>TBUSELC100</v>
      </c>
      <c r="C68" s="178"/>
      <c r="D68" s="179"/>
      <c r="E68" s="178"/>
      <c r="F68" s="182"/>
      <c r="G68" s="181"/>
      <c r="H68" s="182"/>
      <c r="I68" s="183">
        <f>AF$6</f>
        <v>2025</v>
      </c>
      <c r="J68" s="184"/>
      <c r="K68" s="184"/>
      <c r="L68" s="203" t="s">
        <v>1064</v>
      </c>
      <c r="M68" s="178" t="s">
        <v>747</v>
      </c>
      <c r="N68" s="686">
        <f t="shared" ref="N68:AB68" si="65">N66*LOOKUP($AD61,$AG$4:$AP$4,$AG$6:$AP$6)</f>
        <v>7.7904000000000009</v>
      </c>
      <c r="O68" s="686">
        <f t="shared" si="65"/>
        <v>0</v>
      </c>
      <c r="P68" s="686">
        <f t="shared" si="65"/>
        <v>0</v>
      </c>
      <c r="Q68" s="686">
        <f t="shared" si="65"/>
        <v>0</v>
      </c>
      <c r="R68" s="686">
        <f t="shared" si="65"/>
        <v>0</v>
      </c>
      <c r="S68" s="686">
        <f t="shared" si="65"/>
        <v>0</v>
      </c>
      <c r="T68" s="686">
        <f t="shared" si="65"/>
        <v>0</v>
      </c>
      <c r="U68" s="686">
        <f t="shared" si="65"/>
        <v>0</v>
      </c>
      <c r="V68" s="686">
        <f t="shared" si="65"/>
        <v>0</v>
      </c>
      <c r="W68" s="686">
        <f t="shared" si="65"/>
        <v>0</v>
      </c>
      <c r="X68" s="686">
        <f t="shared" si="65"/>
        <v>0</v>
      </c>
      <c r="Y68" s="686">
        <f t="shared" si="65"/>
        <v>0</v>
      </c>
      <c r="Z68" s="686">
        <f t="shared" si="65"/>
        <v>0</v>
      </c>
      <c r="AA68" s="686">
        <f t="shared" si="65"/>
        <v>0</v>
      </c>
      <c r="AB68" s="686">
        <f t="shared" si="65"/>
        <v>0</v>
      </c>
      <c r="AE68" s="357"/>
      <c r="AF68" s="89"/>
      <c r="AV68" s="699" t="str">
        <f t="shared" si="20"/>
        <v/>
      </c>
      <c r="AW68" s="35"/>
      <c r="AX68" s="35"/>
      <c r="AY68" s="35"/>
      <c r="AZ68" s="35"/>
      <c r="BA68" s="35"/>
      <c r="BB68" s="35"/>
      <c r="BC68" s="35"/>
      <c r="BD68" s="35"/>
      <c r="BE68" s="35"/>
      <c r="BF68" s="35"/>
      <c r="BG68" s="35"/>
      <c r="BH68" s="35"/>
      <c r="BI68" s="35"/>
      <c r="BJ68" s="35"/>
      <c r="BK68" s="35"/>
      <c r="BL68" s="35"/>
    </row>
    <row r="69" spans="1:64" s="83" customFormat="1" x14ac:dyDescent="0.3">
      <c r="B69" s="178" t="str">
        <f t="shared" si="61"/>
        <v>TBUSELC100</v>
      </c>
      <c r="C69" s="178"/>
      <c r="D69" s="179"/>
      <c r="E69" s="178"/>
      <c r="F69" s="182"/>
      <c r="G69" s="181"/>
      <c r="H69" s="182"/>
      <c r="I69" s="183">
        <f>AF$7</f>
        <v>2030</v>
      </c>
      <c r="J69" s="184"/>
      <c r="K69" s="184"/>
      <c r="L69" s="203" t="s">
        <v>1064</v>
      </c>
      <c r="M69" s="178" t="s">
        <v>747</v>
      </c>
      <c r="N69" s="686">
        <f t="shared" ref="N69:AB69" si="66">N66*LOOKUP($AD61,$AG$4:$AP$4,$AG$7:$AP$7)</f>
        <v>1.2984000000000002</v>
      </c>
      <c r="O69" s="686">
        <f t="shared" si="66"/>
        <v>0</v>
      </c>
      <c r="P69" s="686">
        <f t="shared" si="66"/>
        <v>0</v>
      </c>
      <c r="Q69" s="686">
        <f t="shared" si="66"/>
        <v>0</v>
      </c>
      <c r="R69" s="686">
        <f t="shared" si="66"/>
        <v>0</v>
      </c>
      <c r="S69" s="686">
        <f t="shared" si="66"/>
        <v>0</v>
      </c>
      <c r="T69" s="686">
        <f t="shared" si="66"/>
        <v>0</v>
      </c>
      <c r="U69" s="686">
        <f t="shared" si="66"/>
        <v>0</v>
      </c>
      <c r="V69" s="686">
        <f t="shared" si="66"/>
        <v>0</v>
      </c>
      <c r="W69" s="686">
        <f t="shared" si="66"/>
        <v>0</v>
      </c>
      <c r="X69" s="686">
        <f t="shared" si="66"/>
        <v>0</v>
      </c>
      <c r="Y69" s="686">
        <f t="shared" si="66"/>
        <v>0</v>
      </c>
      <c r="Z69" s="686">
        <f t="shared" si="66"/>
        <v>0</v>
      </c>
      <c r="AA69" s="686">
        <f t="shared" si="66"/>
        <v>0</v>
      </c>
      <c r="AB69" s="686">
        <f t="shared" si="66"/>
        <v>0</v>
      </c>
      <c r="AE69" s="357"/>
      <c r="AF69" s="89"/>
      <c r="AV69" s="699" t="str">
        <f t="shared" si="20"/>
        <v/>
      </c>
      <c r="AW69" s="35"/>
      <c r="AX69" s="35"/>
      <c r="AY69" s="35"/>
      <c r="AZ69" s="35"/>
      <c r="BA69" s="35"/>
      <c r="BB69" s="35"/>
      <c r="BC69" s="35"/>
      <c r="BD69" s="35"/>
      <c r="BE69" s="35"/>
      <c r="BF69" s="35"/>
      <c r="BG69" s="35"/>
      <c r="BH69" s="35"/>
      <c r="BI69" s="35"/>
      <c r="BJ69" s="35"/>
      <c r="BK69" s="35"/>
      <c r="BL69" s="35"/>
    </row>
    <row r="70" spans="1:64" s="83" customFormat="1" x14ac:dyDescent="0.3">
      <c r="B70" s="178" t="str">
        <f t="shared" si="61"/>
        <v>TBUSELC100</v>
      </c>
      <c r="C70" s="178"/>
      <c r="D70" s="179"/>
      <c r="E70" s="178"/>
      <c r="F70" s="182"/>
      <c r="G70" s="181"/>
      <c r="H70" s="182"/>
      <c r="I70" s="183">
        <f>AF$8</f>
        <v>2035</v>
      </c>
      <c r="J70" s="184"/>
      <c r="K70" s="184"/>
      <c r="L70" s="203" t="s">
        <v>1064</v>
      </c>
      <c r="M70" s="178" t="s">
        <v>747</v>
      </c>
      <c r="N70" s="686">
        <f t="shared" ref="N70:AB70" si="67">N66*LOOKUP($AD61,$AG$4:$AP$4,$AG$8:$AP$8)</f>
        <v>0.12984000000000001</v>
      </c>
      <c r="O70" s="686">
        <f t="shared" si="67"/>
        <v>0</v>
      </c>
      <c r="P70" s="686">
        <f t="shared" si="67"/>
        <v>0</v>
      </c>
      <c r="Q70" s="686">
        <f t="shared" si="67"/>
        <v>0</v>
      </c>
      <c r="R70" s="686">
        <f t="shared" si="67"/>
        <v>0</v>
      </c>
      <c r="S70" s="686">
        <f t="shared" si="67"/>
        <v>0</v>
      </c>
      <c r="T70" s="686">
        <f t="shared" si="67"/>
        <v>0</v>
      </c>
      <c r="U70" s="686">
        <f t="shared" si="67"/>
        <v>0</v>
      </c>
      <c r="V70" s="686">
        <f t="shared" si="67"/>
        <v>0</v>
      </c>
      <c r="W70" s="686">
        <f t="shared" si="67"/>
        <v>0</v>
      </c>
      <c r="X70" s="686">
        <f t="shared" si="67"/>
        <v>0</v>
      </c>
      <c r="Y70" s="686">
        <f t="shared" si="67"/>
        <v>0</v>
      </c>
      <c r="Z70" s="686">
        <f t="shared" si="67"/>
        <v>0</v>
      </c>
      <c r="AA70" s="686">
        <f t="shared" si="67"/>
        <v>0</v>
      </c>
      <c r="AB70" s="686">
        <f t="shared" si="67"/>
        <v>0</v>
      </c>
      <c r="AE70" s="357"/>
      <c r="AF70" s="89"/>
      <c r="AV70" s="699" t="str">
        <f t="shared" si="20"/>
        <v/>
      </c>
      <c r="AW70" s="35"/>
      <c r="AX70" s="35"/>
      <c r="AY70" s="35"/>
      <c r="AZ70" s="35"/>
      <c r="BA70" s="35"/>
      <c r="BB70" s="35"/>
      <c r="BC70" s="35"/>
      <c r="BD70" s="35"/>
      <c r="BE70" s="35"/>
      <c r="BF70" s="35"/>
      <c r="BG70" s="35"/>
      <c r="BH70" s="35"/>
      <c r="BI70" s="35"/>
      <c r="BJ70" s="35"/>
      <c r="BK70" s="35"/>
      <c r="BL70" s="35"/>
    </row>
    <row r="71" spans="1:64" s="83" customFormat="1" x14ac:dyDescent="0.3">
      <c r="B71" s="178" t="str">
        <f t="shared" si="61"/>
        <v>TBUSELC100</v>
      </c>
      <c r="C71" s="178"/>
      <c r="D71" s="179"/>
      <c r="E71" s="178"/>
      <c r="F71" s="182"/>
      <c r="G71" s="181"/>
      <c r="H71" s="182"/>
      <c r="I71" s="183">
        <f>AF$9</f>
        <v>2040</v>
      </c>
      <c r="J71" s="184"/>
      <c r="K71" s="184"/>
      <c r="L71" s="203" t="s">
        <v>1064</v>
      </c>
      <c r="M71" s="178" t="s">
        <v>747</v>
      </c>
      <c r="N71" s="686">
        <f t="shared" ref="N71:AB71" si="68">N66*LOOKUP($AD61,$AG$4:$AP$4,$AG$9:$AP$9)</f>
        <v>0</v>
      </c>
      <c r="O71" s="686">
        <f t="shared" si="68"/>
        <v>0</v>
      </c>
      <c r="P71" s="686">
        <f t="shared" si="68"/>
        <v>0</v>
      </c>
      <c r="Q71" s="686">
        <f t="shared" si="68"/>
        <v>0</v>
      </c>
      <c r="R71" s="686">
        <f t="shared" si="68"/>
        <v>0</v>
      </c>
      <c r="S71" s="686">
        <f t="shared" si="68"/>
        <v>0</v>
      </c>
      <c r="T71" s="686">
        <f t="shared" si="68"/>
        <v>0</v>
      </c>
      <c r="U71" s="686">
        <f t="shared" si="68"/>
        <v>0</v>
      </c>
      <c r="V71" s="686">
        <f t="shared" si="68"/>
        <v>0</v>
      </c>
      <c r="W71" s="686">
        <f t="shared" si="68"/>
        <v>0</v>
      </c>
      <c r="X71" s="686">
        <f t="shared" si="68"/>
        <v>0</v>
      </c>
      <c r="Y71" s="686">
        <f t="shared" si="68"/>
        <v>0</v>
      </c>
      <c r="Z71" s="686">
        <f t="shared" si="68"/>
        <v>0</v>
      </c>
      <c r="AA71" s="686">
        <f t="shared" si="68"/>
        <v>0</v>
      </c>
      <c r="AB71" s="686">
        <f t="shared" si="68"/>
        <v>0</v>
      </c>
      <c r="AE71" s="357"/>
      <c r="AF71" s="89"/>
      <c r="AV71" s="699" t="str">
        <f t="shared" si="20"/>
        <v/>
      </c>
      <c r="AW71" s="35"/>
      <c r="AX71" s="35"/>
      <c r="AY71" s="35"/>
      <c r="AZ71" s="35"/>
      <c r="BA71" s="35"/>
      <c r="BB71" s="35"/>
      <c r="BC71" s="35"/>
      <c r="BD71" s="35"/>
      <c r="BE71" s="35"/>
      <c r="BF71" s="35"/>
      <c r="BG71" s="35"/>
      <c r="BH71" s="35"/>
      <c r="BI71" s="35"/>
      <c r="BJ71" s="35"/>
      <c r="BK71" s="35"/>
      <c r="BL71" s="35"/>
    </row>
    <row r="72" spans="1:64" s="83" customFormat="1" x14ac:dyDescent="0.3">
      <c r="B72" s="204" t="str">
        <f t="shared" si="61"/>
        <v>TBUSELC100</v>
      </c>
      <c r="C72" s="204"/>
      <c r="D72" s="205"/>
      <c r="E72" s="204"/>
      <c r="F72" s="206"/>
      <c r="G72" s="207"/>
      <c r="H72" s="206"/>
      <c r="I72" s="208">
        <f>AF$10</f>
        <v>2050</v>
      </c>
      <c r="J72" s="209"/>
      <c r="K72" s="209"/>
      <c r="L72" s="210" t="s">
        <v>1064</v>
      </c>
      <c r="M72" s="204" t="s">
        <v>747</v>
      </c>
      <c r="N72" s="687">
        <f t="shared" ref="N72:AB72" si="69">N66*LOOKUP($AD61,$AG$4:$AP$4,$AG$10:$AP$10)</f>
        <v>0</v>
      </c>
      <c r="O72" s="687">
        <f t="shared" si="69"/>
        <v>0</v>
      </c>
      <c r="P72" s="687">
        <f t="shared" si="69"/>
        <v>0</v>
      </c>
      <c r="Q72" s="687">
        <f t="shared" si="69"/>
        <v>0</v>
      </c>
      <c r="R72" s="687">
        <f t="shared" si="69"/>
        <v>0</v>
      </c>
      <c r="S72" s="687">
        <f t="shared" si="69"/>
        <v>0</v>
      </c>
      <c r="T72" s="687">
        <f t="shared" si="69"/>
        <v>0</v>
      </c>
      <c r="U72" s="687">
        <f t="shared" si="69"/>
        <v>0</v>
      </c>
      <c r="V72" s="687">
        <f t="shared" si="69"/>
        <v>0</v>
      </c>
      <c r="W72" s="687">
        <f t="shared" si="69"/>
        <v>0</v>
      </c>
      <c r="X72" s="687">
        <f t="shared" si="69"/>
        <v>0</v>
      </c>
      <c r="Y72" s="687">
        <f t="shared" si="69"/>
        <v>0</v>
      </c>
      <c r="Z72" s="687">
        <f t="shared" si="69"/>
        <v>0</v>
      </c>
      <c r="AA72" s="687">
        <f t="shared" si="69"/>
        <v>0</v>
      </c>
      <c r="AB72" s="687">
        <f t="shared" si="69"/>
        <v>0</v>
      </c>
      <c r="AE72" s="357"/>
      <c r="AF72" s="89"/>
      <c r="AV72" s="699" t="str">
        <f t="shared" si="20"/>
        <v/>
      </c>
      <c r="AW72" s="35"/>
      <c r="AX72" s="35"/>
      <c r="AY72" s="35"/>
      <c r="AZ72" s="35"/>
      <c r="BA72" s="35"/>
      <c r="BB72" s="35"/>
      <c r="BC72" s="35"/>
      <c r="BD72" s="35"/>
      <c r="BE72" s="35"/>
      <c r="BF72" s="35"/>
      <c r="BG72" s="35"/>
      <c r="BH72" s="35"/>
      <c r="BI72" s="35"/>
      <c r="BJ72" s="35"/>
      <c r="BK72" s="35"/>
      <c r="BL72" s="35"/>
    </row>
    <row r="73" spans="1:64" s="83" customFormat="1" x14ac:dyDescent="0.3">
      <c r="A73" s="82"/>
      <c r="B73" s="178" t="str">
        <f>C73</f>
        <v>TBUSETH100</v>
      </c>
      <c r="C73" s="178" t="s">
        <v>328</v>
      </c>
      <c r="D73" s="179" t="s">
        <v>765</v>
      </c>
      <c r="E73" s="180" t="s">
        <v>1009</v>
      </c>
      <c r="F73" s="182"/>
      <c r="G73" s="181"/>
      <c r="H73" s="182"/>
      <c r="I73" s="183"/>
      <c r="J73" s="184"/>
      <c r="K73" s="184"/>
      <c r="L73" s="203" t="s">
        <v>1106</v>
      </c>
      <c r="M73" s="184" t="s">
        <v>1155</v>
      </c>
      <c r="N73" s="691">
        <f>N$47</f>
        <v>1E-3</v>
      </c>
      <c r="O73" s="691">
        <f t="shared" ref="O73:AB73" si="70">$N73</f>
        <v>1E-3</v>
      </c>
      <c r="P73" s="691">
        <f t="shared" si="70"/>
        <v>1E-3</v>
      </c>
      <c r="Q73" s="691">
        <f t="shared" si="70"/>
        <v>1E-3</v>
      </c>
      <c r="R73" s="691">
        <f t="shared" si="70"/>
        <v>1E-3</v>
      </c>
      <c r="S73" s="691">
        <f t="shared" si="70"/>
        <v>1E-3</v>
      </c>
      <c r="T73" s="691">
        <f t="shared" si="70"/>
        <v>1E-3</v>
      </c>
      <c r="U73" s="691">
        <f t="shared" si="70"/>
        <v>1E-3</v>
      </c>
      <c r="V73" s="691">
        <f t="shared" si="70"/>
        <v>1E-3</v>
      </c>
      <c r="W73" s="691">
        <f t="shared" si="70"/>
        <v>1E-3</v>
      </c>
      <c r="X73" s="691">
        <f t="shared" si="70"/>
        <v>1E-3</v>
      </c>
      <c r="Y73" s="691">
        <f t="shared" si="70"/>
        <v>1E-3</v>
      </c>
      <c r="Z73" s="691">
        <f t="shared" si="70"/>
        <v>1E-3</v>
      </c>
      <c r="AA73" s="691">
        <f t="shared" si="70"/>
        <v>1E-3</v>
      </c>
      <c r="AB73" s="691">
        <f t="shared" si="70"/>
        <v>1E-3</v>
      </c>
      <c r="AD73" s="410" t="str">
        <f>MID(D73,11,3)</f>
        <v>ETH</v>
      </c>
      <c r="AE73" s="357"/>
      <c r="AF73" s="89"/>
      <c r="AV73" s="699" t="str">
        <f t="shared" si="20"/>
        <v>TRAETH</v>
      </c>
      <c r="AW73" s="567">
        <f t="shared" ref="AW73" si="71">SUM(AX73:BL73)</f>
        <v>15.52190266183651</v>
      </c>
      <c r="AX73" s="567">
        <f>N77*N78/N74/1000</f>
        <v>15.52190266183651</v>
      </c>
      <c r="AY73" s="567">
        <f t="shared" ref="AY73:BL73" si="72">O77*O78/O74/1000</f>
        <v>0</v>
      </c>
      <c r="AZ73" s="567">
        <f t="shared" si="72"/>
        <v>0</v>
      </c>
      <c r="BA73" s="567">
        <f t="shared" si="72"/>
        <v>0</v>
      </c>
      <c r="BB73" s="567">
        <f t="shared" si="72"/>
        <v>0</v>
      </c>
      <c r="BC73" s="567">
        <f t="shared" si="72"/>
        <v>0</v>
      </c>
      <c r="BD73" s="567">
        <f t="shared" si="72"/>
        <v>0</v>
      </c>
      <c r="BE73" s="567">
        <f t="shared" si="72"/>
        <v>0</v>
      </c>
      <c r="BF73" s="567">
        <f t="shared" si="72"/>
        <v>0</v>
      </c>
      <c r="BG73" s="567">
        <f t="shared" si="72"/>
        <v>0</v>
      </c>
      <c r="BH73" s="567">
        <f t="shared" si="72"/>
        <v>0</v>
      </c>
      <c r="BI73" s="567">
        <f t="shared" si="72"/>
        <v>0</v>
      </c>
      <c r="BJ73" s="567">
        <f t="shared" si="72"/>
        <v>0</v>
      </c>
      <c r="BK73" s="567">
        <f t="shared" si="72"/>
        <v>0</v>
      </c>
      <c r="BL73" s="567">
        <f t="shared" si="72"/>
        <v>0</v>
      </c>
    </row>
    <row r="74" spans="1:64" s="83" customFormat="1" x14ac:dyDescent="0.3">
      <c r="A74" s="82"/>
      <c r="B74" s="178" t="str">
        <f>B73</f>
        <v>TBUSETH100</v>
      </c>
      <c r="C74" s="178"/>
      <c r="D74" s="179"/>
      <c r="E74" s="178"/>
      <c r="F74" s="182"/>
      <c r="G74" s="180" t="s">
        <v>415</v>
      </c>
      <c r="H74" s="182"/>
      <c r="I74" s="183"/>
      <c r="J74" s="184"/>
      <c r="K74" s="184"/>
      <c r="L74" s="184" t="s">
        <v>1125</v>
      </c>
      <c r="M74" s="178" t="s">
        <v>677</v>
      </c>
      <c r="N74" s="689">
        <f>T_CEFF!H114</f>
        <v>6.3490000000000005E-2</v>
      </c>
      <c r="O74" s="689">
        <f>T_CEFF!I114</f>
        <v>6.3490000000000005E-2</v>
      </c>
      <c r="P74" s="689">
        <f>T_CEFF!J114</f>
        <v>6.3490000000000005E-2</v>
      </c>
      <c r="Q74" s="689">
        <f>T_CEFF!K114</f>
        <v>6.3490000000000005E-2</v>
      </c>
      <c r="R74" s="689">
        <f>T_CEFF!L114</f>
        <v>6.3490000000000005E-2</v>
      </c>
      <c r="S74" s="689">
        <f>T_CEFF!M114</f>
        <v>6.3490000000000005E-2</v>
      </c>
      <c r="T74" s="689">
        <f>T_CEFF!N114</f>
        <v>6.3490000000000005E-2</v>
      </c>
      <c r="U74" s="689">
        <f>T_CEFF!O114</f>
        <v>6.3490000000000005E-2</v>
      </c>
      <c r="V74" s="689">
        <f>T_CEFF!P114</f>
        <v>6.3490000000000005E-2</v>
      </c>
      <c r="W74" s="689">
        <f>T_CEFF!Q114</f>
        <v>6.3490000000000005E-2</v>
      </c>
      <c r="X74" s="689">
        <f>T_CEFF!R114</f>
        <v>6.3490000000000005E-2</v>
      </c>
      <c r="Y74" s="689">
        <f>T_CEFF!S114</f>
        <v>6.3490000000000005E-2</v>
      </c>
      <c r="Z74" s="689">
        <f>T_CEFF!T114</f>
        <v>6.3490000000000005E-2</v>
      </c>
      <c r="AA74" s="689">
        <f>T_CEFF!U114</f>
        <v>6.3490000000000005E-2</v>
      </c>
      <c r="AB74" s="689">
        <f>T_CEFF!V114</f>
        <v>6.3490000000000005E-2</v>
      </c>
      <c r="AD74" s="408" t="str">
        <f>IF(COUNTIF($AG$4:$AP$4,AD73)=1,"ok","MISSING")</f>
        <v>ok</v>
      </c>
      <c r="AE74" s="357"/>
      <c r="AF74" s="89"/>
      <c r="AV74" s="699" t="str">
        <f t="shared" si="20"/>
        <v/>
      </c>
      <c r="AW74" s="567"/>
      <c r="AX74" s="567"/>
      <c r="AY74" s="567"/>
      <c r="AZ74" s="567"/>
      <c r="BA74" s="567"/>
      <c r="BB74" s="567"/>
      <c r="BC74" s="567"/>
      <c r="BD74" s="567"/>
      <c r="BE74" s="567"/>
      <c r="BF74" s="567"/>
      <c r="BG74" s="567"/>
      <c r="BH74" s="567"/>
      <c r="BI74" s="567"/>
      <c r="BJ74" s="567"/>
      <c r="BK74" s="567"/>
      <c r="BL74" s="567"/>
    </row>
    <row r="75" spans="1:64" s="83" customFormat="1" x14ac:dyDescent="0.3">
      <c r="A75" s="82"/>
      <c r="B75" s="178" t="str">
        <f t="shared" ref="B75:B84" si="73">B74</f>
        <v>TBUSETH100</v>
      </c>
      <c r="C75" s="178"/>
      <c r="D75" s="179"/>
      <c r="E75" s="178"/>
      <c r="F75" s="182"/>
      <c r="G75" s="180" t="s">
        <v>592</v>
      </c>
      <c r="H75" s="182"/>
      <c r="I75" s="183"/>
      <c r="J75" s="184"/>
      <c r="K75" s="184"/>
      <c r="L75" s="184" t="s">
        <v>1125</v>
      </c>
      <c r="M75" s="178" t="s">
        <v>677</v>
      </c>
      <c r="N75" s="689">
        <f>T_CEFF!H115</f>
        <v>6.3490000000000005E-2</v>
      </c>
      <c r="O75" s="689">
        <f>T_CEFF!I115</f>
        <v>6.3490000000000005E-2</v>
      </c>
      <c r="P75" s="689">
        <f>T_CEFF!J115</f>
        <v>6.3490000000000005E-2</v>
      </c>
      <c r="Q75" s="689">
        <f>T_CEFF!K115</f>
        <v>6.3490000000000005E-2</v>
      </c>
      <c r="R75" s="689">
        <f>T_CEFF!L115</f>
        <v>6.3490000000000005E-2</v>
      </c>
      <c r="S75" s="689">
        <f>T_CEFF!M115</f>
        <v>6.3490000000000005E-2</v>
      </c>
      <c r="T75" s="689">
        <f>T_CEFF!N115</f>
        <v>6.3490000000000005E-2</v>
      </c>
      <c r="U75" s="689">
        <f>T_CEFF!O115</f>
        <v>6.3490000000000005E-2</v>
      </c>
      <c r="V75" s="689">
        <f>T_CEFF!P115</f>
        <v>6.3490000000000005E-2</v>
      </c>
      <c r="W75" s="689">
        <f>T_CEFF!Q115</f>
        <v>6.3490000000000005E-2</v>
      </c>
      <c r="X75" s="689">
        <f>T_CEFF!R115</f>
        <v>6.3490000000000005E-2</v>
      </c>
      <c r="Y75" s="689">
        <f>T_CEFF!S115</f>
        <v>6.3490000000000005E-2</v>
      </c>
      <c r="Z75" s="689">
        <f>T_CEFF!T115</f>
        <v>6.3490000000000005E-2</v>
      </c>
      <c r="AA75" s="689">
        <f>T_CEFF!U115</f>
        <v>6.3490000000000005E-2</v>
      </c>
      <c r="AB75" s="689">
        <f>T_CEFF!V115</f>
        <v>6.3490000000000005E-2</v>
      </c>
      <c r="AE75" s="357"/>
      <c r="AF75" s="89"/>
      <c r="AV75" s="699" t="str">
        <f t="shared" si="20"/>
        <v/>
      </c>
      <c r="AW75" s="567"/>
      <c r="AX75" s="567"/>
      <c r="AY75" s="567"/>
      <c r="AZ75" s="567"/>
      <c r="BA75" s="567"/>
      <c r="BB75" s="567"/>
      <c r="BC75" s="567"/>
      <c r="BD75" s="567"/>
      <c r="BE75" s="567"/>
      <c r="BF75" s="567"/>
      <c r="BG75" s="567"/>
      <c r="BH75" s="567"/>
      <c r="BI75" s="567"/>
      <c r="BJ75" s="567"/>
      <c r="BK75" s="567"/>
      <c r="BL75" s="567"/>
    </row>
    <row r="76" spans="1:64" s="83" customFormat="1" x14ac:dyDescent="0.3">
      <c r="A76" s="82"/>
      <c r="B76" s="178" t="str">
        <f>B75</f>
        <v>TBUSETH100</v>
      </c>
      <c r="C76" s="178"/>
      <c r="D76" s="179"/>
      <c r="E76" s="178"/>
      <c r="F76" s="182"/>
      <c r="G76" s="181"/>
      <c r="H76" s="182"/>
      <c r="I76" s="183"/>
      <c r="J76" s="184"/>
      <c r="K76" s="184" t="s">
        <v>748</v>
      </c>
      <c r="L76" s="184" t="s">
        <v>1127</v>
      </c>
      <c r="M76" s="186" t="s">
        <v>1158</v>
      </c>
      <c r="N76" s="690">
        <f>N$16</f>
        <v>18</v>
      </c>
      <c r="O76" s="690">
        <f t="shared" ref="O76:AB76" si="74">O$16</f>
        <v>0</v>
      </c>
      <c r="P76" s="690">
        <f t="shared" si="74"/>
        <v>0</v>
      </c>
      <c r="Q76" s="690">
        <f t="shared" si="74"/>
        <v>0</v>
      </c>
      <c r="R76" s="690">
        <f t="shared" si="74"/>
        <v>0</v>
      </c>
      <c r="S76" s="690">
        <f t="shared" si="74"/>
        <v>0</v>
      </c>
      <c r="T76" s="690">
        <f t="shared" si="74"/>
        <v>0</v>
      </c>
      <c r="U76" s="690">
        <f t="shared" si="74"/>
        <v>0</v>
      </c>
      <c r="V76" s="690">
        <f t="shared" si="74"/>
        <v>0</v>
      </c>
      <c r="W76" s="690">
        <f t="shared" si="74"/>
        <v>0</v>
      </c>
      <c r="X76" s="690">
        <f t="shared" si="74"/>
        <v>0</v>
      </c>
      <c r="Y76" s="690">
        <f t="shared" si="74"/>
        <v>0</v>
      </c>
      <c r="Z76" s="690">
        <f t="shared" si="74"/>
        <v>0</v>
      </c>
      <c r="AA76" s="690">
        <f t="shared" si="74"/>
        <v>0</v>
      </c>
      <c r="AB76" s="690">
        <f t="shared" si="74"/>
        <v>0</v>
      </c>
      <c r="AE76" s="357"/>
      <c r="AF76" s="89"/>
      <c r="AV76" s="699" t="str">
        <f t="shared" si="20"/>
        <v/>
      </c>
      <c r="AW76" s="567"/>
      <c r="AX76" s="567"/>
      <c r="AY76" s="567"/>
      <c r="AZ76" s="567"/>
      <c r="BA76" s="567"/>
      <c r="BB76" s="567"/>
      <c r="BC76" s="567"/>
      <c r="BD76" s="567"/>
      <c r="BE76" s="567"/>
      <c r="BF76" s="567"/>
      <c r="BG76" s="567"/>
      <c r="BH76" s="567"/>
      <c r="BI76" s="567"/>
      <c r="BJ76" s="567"/>
      <c r="BK76" s="567"/>
      <c r="BL76" s="567"/>
    </row>
    <row r="77" spans="1:64" s="83" customFormat="1" x14ac:dyDescent="0.3">
      <c r="A77" s="82"/>
      <c r="B77" s="178" t="str">
        <f t="shared" si="73"/>
        <v>TBUSETH100</v>
      </c>
      <c r="C77" s="178"/>
      <c r="D77" s="179"/>
      <c r="E77" s="178"/>
      <c r="F77" s="182"/>
      <c r="G77" s="181"/>
      <c r="H77" s="182"/>
      <c r="I77" s="183"/>
      <c r="J77" s="184"/>
      <c r="K77" s="184"/>
      <c r="L77" s="203" t="s">
        <v>1129</v>
      </c>
      <c r="M77" s="178" t="s">
        <v>1130</v>
      </c>
      <c r="N77" s="389">
        <f>LOOKUP($C$73, T_NCAP_AF!$C$95:$C$105, T_NCAP_AF!D$95:D$105)*(1+N29)</f>
        <v>19.8</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1">
        <f>SUM(AF77:AT77)</f>
        <v>17.738740800000002</v>
      </c>
      <c r="AF77" s="85">
        <f t="shared" ref="AF77:AT77" si="75">N76*N77*N78/1000</f>
        <v>17.738740800000002</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699" t="str">
        <f t="shared" si="20"/>
        <v/>
      </c>
      <c r="AW77" s="35"/>
      <c r="AX77" s="35"/>
      <c r="AY77" s="35"/>
      <c r="AZ77" s="35"/>
      <c r="BA77" s="35"/>
      <c r="BB77" s="35"/>
      <c r="BC77" s="35"/>
      <c r="BD77" s="35"/>
      <c r="BE77" s="35"/>
      <c r="BF77" s="35"/>
      <c r="BG77" s="35"/>
      <c r="BH77" s="35"/>
      <c r="BI77" s="35"/>
      <c r="BJ77" s="35"/>
      <c r="BK77" s="35"/>
      <c r="BL77" s="35"/>
    </row>
    <row r="78" spans="1:64" s="83" customFormat="1" x14ac:dyDescent="0.3">
      <c r="A78" s="82"/>
      <c r="B78" s="178" t="str">
        <f>B77</f>
        <v>TBUSETH100</v>
      </c>
      <c r="C78" s="178"/>
      <c r="D78" s="179"/>
      <c r="E78" s="178"/>
      <c r="F78" s="182"/>
      <c r="G78" s="181"/>
      <c r="H78" s="182"/>
      <c r="I78" s="183">
        <f>$M$3</f>
        <v>2019</v>
      </c>
      <c r="J78" s="184"/>
      <c r="K78" s="184"/>
      <c r="L78" s="203" t="s">
        <v>1064</v>
      </c>
      <c r="M78" s="178" t="s">
        <v>747</v>
      </c>
      <c r="N78" s="686">
        <f>LOOKUP($C$73, T_Stock_Private!$C$58:$C$68, T_Stock_Private!D$58:D$68)*(1+N30)</f>
        <v>49.772000000000006</v>
      </c>
      <c r="O78" s="686">
        <f>LOOKUP($C$73, T_Stock_Private!$C$58:$C$68, T_Stock_Private!E$58:E$68)*(1+O30)</f>
        <v>0</v>
      </c>
      <c r="P78" s="686">
        <f>LOOKUP($C$73, T_Stock_Private!$C$58:$C$68, T_Stock_Private!F$58:F$68)*(1+P30)</f>
        <v>0</v>
      </c>
      <c r="Q78" s="686">
        <f>LOOKUP($C$73, T_Stock_Private!$C$58:$C$68, T_Stock_Private!G$58:G$68)*(1+Q30)</f>
        <v>0</v>
      </c>
      <c r="R78" s="686">
        <f>LOOKUP($C$73, T_Stock_Private!$C$58:$C$68, T_Stock_Private!H$58:H$68)*(1+R30)</f>
        <v>0</v>
      </c>
      <c r="S78" s="686">
        <f>LOOKUP($C$73, T_Stock_Private!$C$58:$C$68, T_Stock_Private!I$58:I$68)*(1+S30)</f>
        <v>0</v>
      </c>
      <c r="T78" s="686">
        <f>LOOKUP($C$73, T_Stock_Private!$C$58:$C$68, T_Stock_Private!J$58:J$68)*(1+T30)</f>
        <v>0</v>
      </c>
      <c r="U78" s="686">
        <f>LOOKUP($C$73, T_Stock_Private!$C$58:$C$68, T_Stock_Private!K$58:K$68)*(1+U30)</f>
        <v>0</v>
      </c>
      <c r="V78" s="686">
        <f>LOOKUP($C$73, T_Stock_Private!$C$58:$C$68, T_Stock_Private!L$58:L$68)*(1+V30)</f>
        <v>0</v>
      </c>
      <c r="W78" s="686">
        <f>LOOKUP($C$73, T_Stock_Private!$C$58:$C$68, T_Stock_Private!M$58:M$68)*(1+W30)</f>
        <v>0</v>
      </c>
      <c r="X78" s="686">
        <f>LOOKUP($C$73, T_Stock_Private!$C$58:$C$68, T_Stock_Private!N$58:N$68)*(1+X30)</f>
        <v>0</v>
      </c>
      <c r="Y78" s="686">
        <f>LOOKUP($C$73, T_Stock_Private!$C$58:$C$68, T_Stock_Private!O$58:O$68)*(1+Y30)</f>
        <v>0</v>
      </c>
      <c r="Z78" s="686">
        <f>LOOKUP($C$73, T_Stock_Private!$C$58:$C$68, T_Stock_Private!P$58:P$68)*(1+Z30)</f>
        <v>0</v>
      </c>
      <c r="AA78" s="686">
        <f>LOOKUP($C$73, T_Stock_Private!$C$58:$C$68, T_Stock_Private!Q$58:Q$68)*(1+AA30)</f>
        <v>0</v>
      </c>
      <c r="AB78" s="686">
        <f>LOOKUP($C$73, T_Stock_Private!$C$58:$C$68, T_Stock_Private!R$58:R$68)*(1+AB30)</f>
        <v>0</v>
      </c>
      <c r="AC78" s="89"/>
      <c r="AE78" s="357"/>
      <c r="AF78" s="89"/>
      <c r="AV78" s="699" t="str">
        <f t="shared" si="20"/>
        <v/>
      </c>
      <c r="AW78" s="35"/>
      <c r="AX78" s="35"/>
      <c r="AY78" s="35"/>
      <c r="AZ78" s="35"/>
      <c r="BA78" s="35"/>
      <c r="BB78" s="35"/>
      <c r="BC78" s="35"/>
      <c r="BD78" s="35"/>
      <c r="BE78" s="35"/>
      <c r="BF78" s="35"/>
      <c r="BG78" s="35"/>
      <c r="BH78" s="35"/>
      <c r="BI78" s="35"/>
      <c r="BJ78" s="35"/>
      <c r="BK78" s="35"/>
      <c r="BL78" s="35"/>
    </row>
    <row r="79" spans="1:64" s="83" customFormat="1" x14ac:dyDescent="0.3">
      <c r="A79" s="82"/>
      <c r="B79" s="178" t="str">
        <f t="shared" si="73"/>
        <v>TBUSETH100</v>
      </c>
      <c r="C79" s="178"/>
      <c r="D79" s="179"/>
      <c r="E79" s="178"/>
      <c r="F79" s="182"/>
      <c r="G79" s="181"/>
      <c r="H79" s="182"/>
      <c r="I79" s="183">
        <f>AF$5</f>
        <v>2020</v>
      </c>
      <c r="J79" s="184"/>
      <c r="K79" s="184"/>
      <c r="L79" s="203" t="s">
        <v>1064</v>
      </c>
      <c r="M79" s="178" t="s">
        <v>747</v>
      </c>
      <c r="N79" s="686">
        <f t="shared" ref="N79:AB79" si="76">N78*LOOKUP($AD73,$AG$4:$AP$4,$AG$5:$AP$5)</f>
        <v>47.2834</v>
      </c>
      <c r="O79" s="686">
        <f t="shared" si="76"/>
        <v>0</v>
      </c>
      <c r="P79" s="686">
        <f t="shared" si="76"/>
        <v>0</v>
      </c>
      <c r="Q79" s="686">
        <f t="shared" si="76"/>
        <v>0</v>
      </c>
      <c r="R79" s="686">
        <f t="shared" si="76"/>
        <v>0</v>
      </c>
      <c r="S79" s="686">
        <f t="shared" si="76"/>
        <v>0</v>
      </c>
      <c r="T79" s="686">
        <f t="shared" si="76"/>
        <v>0</v>
      </c>
      <c r="U79" s="686">
        <f t="shared" si="76"/>
        <v>0</v>
      </c>
      <c r="V79" s="686">
        <f t="shared" si="76"/>
        <v>0</v>
      </c>
      <c r="W79" s="686">
        <f t="shared" si="76"/>
        <v>0</v>
      </c>
      <c r="X79" s="686">
        <f t="shared" si="76"/>
        <v>0</v>
      </c>
      <c r="Y79" s="686">
        <f t="shared" si="76"/>
        <v>0</v>
      </c>
      <c r="Z79" s="686">
        <f t="shared" si="76"/>
        <v>0</v>
      </c>
      <c r="AA79" s="686">
        <f t="shared" si="76"/>
        <v>0</v>
      </c>
      <c r="AB79" s="686">
        <f t="shared" si="76"/>
        <v>0</v>
      </c>
      <c r="AE79" s="357"/>
      <c r="AF79" s="89"/>
      <c r="AV79" s="699" t="str">
        <f t="shared" si="20"/>
        <v/>
      </c>
      <c r="AW79" s="35"/>
      <c r="AX79" s="35"/>
      <c r="AY79" s="35"/>
      <c r="AZ79" s="35"/>
      <c r="BA79" s="35"/>
      <c r="BB79" s="35"/>
      <c r="BC79" s="35"/>
      <c r="BD79" s="35"/>
      <c r="BE79" s="35"/>
      <c r="BF79" s="35"/>
      <c r="BG79" s="35"/>
      <c r="BH79" s="35"/>
      <c r="BI79" s="35"/>
      <c r="BJ79" s="35"/>
      <c r="BK79" s="35"/>
      <c r="BL79" s="35"/>
    </row>
    <row r="80" spans="1:64" s="83" customFormat="1" x14ac:dyDescent="0.3">
      <c r="A80" s="82"/>
      <c r="B80" s="178" t="str">
        <f t="shared" si="73"/>
        <v>TBUSETH100</v>
      </c>
      <c r="C80" s="178"/>
      <c r="D80" s="179"/>
      <c r="E80" s="178"/>
      <c r="F80" s="182"/>
      <c r="G80" s="181"/>
      <c r="H80" s="182"/>
      <c r="I80" s="183">
        <f>AF$6</f>
        <v>2025</v>
      </c>
      <c r="J80" s="184"/>
      <c r="K80" s="184"/>
      <c r="L80" s="203" t="s">
        <v>1064</v>
      </c>
      <c r="M80" s="178" t="s">
        <v>747</v>
      </c>
      <c r="N80" s="686">
        <f t="shared" ref="N80:AB80" si="77">N78*LOOKUP($AD73,$AG$4:$AP$4,$AG$6:$AP$6)</f>
        <v>29.863200000000003</v>
      </c>
      <c r="O80" s="686">
        <f t="shared" si="77"/>
        <v>0</v>
      </c>
      <c r="P80" s="686">
        <f t="shared" si="77"/>
        <v>0</v>
      </c>
      <c r="Q80" s="686">
        <f t="shared" si="77"/>
        <v>0</v>
      </c>
      <c r="R80" s="686">
        <f t="shared" si="77"/>
        <v>0</v>
      </c>
      <c r="S80" s="686">
        <f t="shared" si="77"/>
        <v>0</v>
      </c>
      <c r="T80" s="686">
        <f t="shared" si="77"/>
        <v>0</v>
      </c>
      <c r="U80" s="686">
        <f t="shared" si="77"/>
        <v>0</v>
      </c>
      <c r="V80" s="686">
        <f t="shared" si="77"/>
        <v>0</v>
      </c>
      <c r="W80" s="686">
        <f t="shared" si="77"/>
        <v>0</v>
      </c>
      <c r="X80" s="686">
        <f t="shared" si="77"/>
        <v>0</v>
      </c>
      <c r="Y80" s="686">
        <f t="shared" si="77"/>
        <v>0</v>
      </c>
      <c r="Z80" s="686">
        <f t="shared" si="77"/>
        <v>0</v>
      </c>
      <c r="AA80" s="686">
        <f t="shared" si="77"/>
        <v>0</v>
      </c>
      <c r="AB80" s="686">
        <f t="shared" si="77"/>
        <v>0</v>
      </c>
      <c r="AE80" s="357"/>
      <c r="AF80" s="89"/>
      <c r="AV80" s="699" t="str">
        <f t="shared" si="20"/>
        <v/>
      </c>
      <c r="AW80" s="35"/>
      <c r="AX80" s="35"/>
      <c r="AY80" s="35"/>
      <c r="AZ80" s="35"/>
      <c r="BA80" s="35"/>
      <c r="BB80" s="35"/>
      <c r="BC80" s="35"/>
      <c r="BD80" s="35"/>
      <c r="BE80" s="35"/>
      <c r="BF80" s="35"/>
      <c r="BG80" s="35"/>
      <c r="BH80" s="35"/>
      <c r="BI80" s="35"/>
      <c r="BJ80" s="35"/>
      <c r="BK80" s="35"/>
      <c r="BL80" s="35"/>
    </row>
    <row r="81" spans="1:64" s="83" customFormat="1" x14ac:dyDescent="0.3">
      <c r="A81" s="82"/>
      <c r="B81" s="178" t="str">
        <f t="shared" si="73"/>
        <v>TBUSETH100</v>
      </c>
      <c r="C81" s="178"/>
      <c r="D81" s="179"/>
      <c r="E81" s="178"/>
      <c r="F81" s="182"/>
      <c r="G81" s="181"/>
      <c r="H81" s="182"/>
      <c r="I81" s="183">
        <f>AF$7</f>
        <v>2030</v>
      </c>
      <c r="J81" s="184"/>
      <c r="K81" s="184"/>
      <c r="L81" s="203" t="s">
        <v>1064</v>
      </c>
      <c r="M81" s="178" t="s">
        <v>747</v>
      </c>
      <c r="N81" s="686">
        <f t="shared" ref="N81:AB81" si="78">N78*LOOKUP($AD73,$AG$4:$AP$4,$AG$7:$AP$7)</f>
        <v>4.9772000000000007</v>
      </c>
      <c r="O81" s="686">
        <f t="shared" si="78"/>
        <v>0</v>
      </c>
      <c r="P81" s="686">
        <f t="shared" si="78"/>
        <v>0</v>
      </c>
      <c r="Q81" s="686">
        <f t="shared" si="78"/>
        <v>0</v>
      </c>
      <c r="R81" s="686">
        <f t="shared" si="78"/>
        <v>0</v>
      </c>
      <c r="S81" s="686">
        <f t="shared" si="78"/>
        <v>0</v>
      </c>
      <c r="T81" s="686">
        <f t="shared" si="78"/>
        <v>0</v>
      </c>
      <c r="U81" s="686">
        <f t="shared" si="78"/>
        <v>0</v>
      </c>
      <c r="V81" s="686">
        <f t="shared" si="78"/>
        <v>0</v>
      </c>
      <c r="W81" s="686">
        <f t="shared" si="78"/>
        <v>0</v>
      </c>
      <c r="X81" s="686">
        <f t="shared" si="78"/>
        <v>0</v>
      </c>
      <c r="Y81" s="686">
        <f t="shared" si="78"/>
        <v>0</v>
      </c>
      <c r="Z81" s="686">
        <f t="shared" si="78"/>
        <v>0</v>
      </c>
      <c r="AA81" s="686">
        <f t="shared" si="78"/>
        <v>0</v>
      </c>
      <c r="AB81" s="686">
        <f t="shared" si="78"/>
        <v>0</v>
      </c>
      <c r="AE81" s="357"/>
      <c r="AF81" s="89"/>
      <c r="AV81" s="699" t="str">
        <f t="shared" si="20"/>
        <v/>
      </c>
      <c r="AW81" s="35"/>
      <c r="AX81" s="35"/>
      <c r="AY81" s="35"/>
      <c r="AZ81" s="35"/>
      <c r="BA81" s="35"/>
      <c r="BB81" s="35"/>
      <c r="BC81" s="35"/>
      <c r="BD81" s="35"/>
      <c r="BE81" s="35"/>
      <c r="BF81" s="35"/>
      <c r="BG81" s="35"/>
      <c r="BH81" s="35"/>
      <c r="BI81" s="35"/>
      <c r="BJ81" s="35"/>
      <c r="BK81" s="35"/>
      <c r="BL81" s="35"/>
    </row>
    <row r="82" spans="1:64" s="83" customFormat="1" x14ac:dyDescent="0.3">
      <c r="A82" s="82"/>
      <c r="B82" s="178" t="str">
        <f t="shared" si="73"/>
        <v>TBUSETH100</v>
      </c>
      <c r="C82" s="178"/>
      <c r="D82" s="179"/>
      <c r="E82" s="178"/>
      <c r="F82" s="182"/>
      <c r="G82" s="181"/>
      <c r="H82" s="182"/>
      <c r="I82" s="183">
        <f>AF$8</f>
        <v>2035</v>
      </c>
      <c r="J82" s="184"/>
      <c r="K82" s="184"/>
      <c r="L82" s="203" t="s">
        <v>1064</v>
      </c>
      <c r="M82" s="178" t="s">
        <v>747</v>
      </c>
      <c r="N82" s="686">
        <f t="shared" ref="N82:AB82" si="79">N78*LOOKUP($AD73,$AG$4:$AP$4,$AG$8:$AP$8)</f>
        <v>0.49772000000000005</v>
      </c>
      <c r="O82" s="686">
        <f t="shared" si="79"/>
        <v>0</v>
      </c>
      <c r="P82" s="686">
        <f t="shared" si="79"/>
        <v>0</v>
      </c>
      <c r="Q82" s="686">
        <f t="shared" si="79"/>
        <v>0</v>
      </c>
      <c r="R82" s="686">
        <f t="shared" si="79"/>
        <v>0</v>
      </c>
      <c r="S82" s="686">
        <f t="shared" si="79"/>
        <v>0</v>
      </c>
      <c r="T82" s="686">
        <f t="shared" si="79"/>
        <v>0</v>
      </c>
      <c r="U82" s="686">
        <f t="shared" si="79"/>
        <v>0</v>
      </c>
      <c r="V82" s="686">
        <f t="shared" si="79"/>
        <v>0</v>
      </c>
      <c r="W82" s="686">
        <f t="shared" si="79"/>
        <v>0</v>
      </c>
      <c r="X82" s="686">
        <f t="shared" si="79"/>
        <v>0</v>
      </c>
      <c r="Y82" s="686">
        <f t="shared" si="79"/>
        <v>0</v>
      </c>
      <c r="Z82" s="686">
        <f t="shared" si="79"/>
        <v>0</v>
      </c>
      <c r="AA82" s="686">
        <f t="shared" si="79"/>
        <v>0</v>
      </c>
      <c r="AB82" s="686">
        <f t="shared" si="79"/>
        <v>0</v>
      </c>
      <c r="AE82" s="357"/>
      <c r="AF82" s="89"/>
      <c r="AV82" s="699" t="str">
        <f t="shared" si="20"/>
        <v/>
      </c>
      <c r="AW82" s="35"/>
      <c r="AX82" s="35"/>
      <c r="AY82" s="35"/>
      <c r="AZ82" s="35"/>
      <c r="BA82" s="35"/>
      <c r="BB82" s="35"/>
      <c r="BC82" s="35"/>
      <c r="BD82" s="35"/>
      <c r="BE82" s="35"/>
      <c r="BF82" s="35"/>
      <c r="BG82" s="35"/>
      <c r="BH82" s="35"/>
      <c r="BI82" s="35"/>
      <c r="BJ82" s="35"/>
      <c r="BK82" s="35"/>
      <c r="BL82" s="35"/>
    </row>
    <row r="83" spans="1:64" s="83" customFormat="1" x14ac:dyDescent="0.3">
      <c r="A83" s="82"/>
      <c r="B83" s="178" t="str">
        <f t="shared" si="73"/>
        <v>TBUSETH100</v>
      </c>
      <c r="C83" s="178"/>
      <c r="D83" s="179"/>
      <c r="E83" s="178"/>
      <c r="F83" s="182"/>
      <c r="G83" s="181"/>
      <c r="H83" s="182"/>
      <c r="I83" s="183">
        <f>AF$9</f>
        <v>2040</v>
      </c>
      <c r="J83" s="184"/>
      <c r="K83" s="184"/>
      <c r="L83" s="203" t="s">
        <v>1064</v>
      </c>
      <c r="M83" s="178" t="s">
        <v>747</v>
      </c>
      <c r="N83" s="686">
        <f t="shared" ref="N83:AB83" si="80">N78*LOOKUP($AD73,$AG$4:$AP$4,$AG$9:$AP$9)</f>
        <v>0</v>
      </c>
      <c r="O83" s="686">
        <f t="shared" si="80"/>
        <v>0</v>
      </c>
      <c r="P83" s="686">
        <f t="shared" si="80"/>
        <v>0</v>
      </c>
      <c r="Q83" s="686">
        <f t="shared" si="80"/>
        <v>0</v>
      </c>
      <c r="R83" s="686">
        <f t="shared" si="80"/>
        <v>0</v>
      </c>
      <c r="S83" s="686">
        <f t="shared" si="80"/>
        <v>0</v>
      </c>
      <c r="T83" s="686">
        <f t="shared" si="80"/>
        <v>0</v>
      </c>
      <c r="U83" s="686">
        <f t="shared" si="80"/>
        <v>0</v>
      </c>
      <c r="V83" s="686">
        <f t="shared" si="80"/>
        <v>0</v>
      </c>
      <c r="W83" s="686">
        <f t="shared" si="80"/>
        <v>0</v>
      </c>
      <c r="X83" s="686">
        <f t="shared" si="80"/>
        <v>0</v>
      </c>
      <c r="Y83" s="686">
        <f t="shared" si="80"/>
        <v>0</v>
      </c>
      <c r="Z83" s="686">
        <f t="shared" si="80"/>
        <v>0</v>
      </c>
      <c r="AA83" s="686">
        <f t="shared" si="80"/>
        <v>0</v>
      </c>
      <c r="AB83" s="686">
        <f t="shared" si="80"/>
        <v>0</v>
      </c>
      <c r="AE83" s="357"/>
      <c r="AF83" s="89"/>
      <c r="AV83" s="699" t="str">
        <f t="shared" si="20"/>
        <v/>
      </c>
      <c r="AW83" s="35"/>
      <c r="AX83" s="35"/>
      <c r="AY83" s="35"/>
      <c r="AZ83" s="35"/>
      <c r="BA83" s="35"/>
      <c r="BB83" s="35"/>
      <c r="BC83" s="35"/>
      <c r="BD83" s="35"/>
      <c r="BE83" s="35"/>
      <c r="BF83" s="35"/>
      <c r="BG83" s="35"/>
      <c r="BH83" s="35"/>
      <c r="BI83" s="35"/>
      <c r="BJ83" s="35"/>
      <c r="BK83" s="35"/>
      <c r="BL83" s="35"/>
    </row>
    <row r="84" spans="1:64" s="83" customFormat="1" x14ac:dyDescent="0.3">
      <c r="A84" s="82"/>
      <c r="B84" s="204" t="str">
        <f t="shared" si="73"/>
        <v>TBUSETH100</v>
      </c>
      <c r="C84" s="204"/>
      <c r="D84" s="205"/>
      <c r="E84" s="204"/>
      <c r="F84" s="206"/>
      <c r="G84" s="207"/>
      <c r="H84" s="206"/>
      <c r="I84" s="208">
        <f>AF$10</f>
        <v>2050</v>
      </c>
      <c r="J84" s="209"/>
      <c r="K84" s="209"/>
      <c r="L84" s="210" t="s">
        <v>1064</v>
      </c>
      <c r="M84" s="204" t="s">
        <v>747</v>
      </c>
      <c r="N84" s="687">
        <f t="shared" ref="N84:AB84" si="81">N78*LOOKUP($AD73,$AG$4:$AP$4,$AG$10:$AP$10)</f>
        <v>0</v>
      </c>
      <c r="O84" s="687">
        <f t="shared" si="81"/>
        <v>0</v>
      </c>
      <c r="P84" s="687">
        <f t="shared" si="81"/>
        <v>0</v>
      </c>
      <c r="Q84" s="687">
        <f t="shared" si="81"/>
        <v>0</v>
      </c>
      <c r="R84" s="687">
        <f t="shared" si="81"/>
        <v>0</v>
      </c>
      <c r="S84" s="687">
        <f t="shared" si="81"/>
        <v>0</v>
      </c>
      <c r="T84" s="687">
        <f t="shared" si="81"/>
        <v>0</v>
      </c>
      <c r="U84" s="687">
        <f t="shared" si="81"/>
        <v>0</v>
      </c>
      <c r="V84" s="687">
        <f t="shared" si="81"/>
        <v>0</v>
      </c>
      <c r="W84" s="687">
        <f t="shared" si="81"/>
        <v>0</v>
      </c>
      <c r="X84" s="687">
        <f t="shared" si="81"/>
        <v>0</v>
      </c>
      <c r="Y84" s="687">
        <f t="shared" si="81"/>
        <v>0</v>
      </c>
      <c r="Z84" s="687">
        <f t="shared" si="81"/>
        <v>0</v>
      </c>
      <c r="AA84" s="687">
        <f t="shared" si="81"/>
        <v>0</v>
      </c>
      <c r="AB84" s="687">
        <f t="shared" si="81"/>
        <v>0</v>
      </c>
      <c r="AE84" s="357"/>
      <c r="AF84" s="89"/>
      <c r="AV84" s="699" t="str">
        <f t="shared" si="20"/>
        <v/>
      </c>
      <c r="AW84" s="35"/>
      <c r="AX84" s="35"/>
      <c r="AY84" s="35"/>
      <c r="AZ84" s="35"/>
      <c r="BA84" s="35"/>
      <c r="BB84" s="35"/>
      <c r="BC84" s="35"/>
      <c r="BD84" s="35"/>
      <c r="BE84" s="35"/>
      <c r="BF84" s="35"/>
      <c r="BG84" s="35"/>
      <c r="BH84" s="35"/>
      <c r="BI84" s="35"/>
      <c r="BJ84" s="35"/>
      <c r="BK84" s="35"/>
      <c r="BL84" s="35"/>
    </row>
    <row r="85" spans="1:64" s="83" customFormat="1" x14ac:dyDescent="0.3">
      <c r="A85" s="82"/>
      <c r="B85" s="178" t="str">
        <f>C85</f>
        <v>TBUSGAS100</v>
      </c>
      <c r="C85" s="178" t="s">
        <v>329</v>
      </c>
      <c r="D85" s="179" t="s">
        <v>766</v>
      </c>
      <c r="E85" s="180" t="s">
        <v>993</v>
      </c>
      <c r="F85" s="182"/>
      <c r="G85" s="181"/>
      <c r="H85" s="182"/>
      <c r="I85" s="183"/>
      <c r="J85" s="184"/>
      <c r="K85" s="184"/>
      <c r="L85" s="203" t="s">
        <v>1106</v>
      </c>
      <c r="M85" s="184" t="s">
        <v>1155</v>
      </c>
      <c r="N85" s="691">
        <f>N$47</f>
        <v>1E-3</v>
      </c>
      <c r="O85" s="691">
        <f t="shared" ref="O85:AB85" si="82">$N85</f>
        <v>1E-3</v>
      </c>
      <c r="P85" s="691">
        <f t="shared" si="82"/>
        <v>1E-3</v>
      </c>
      <c r="Q85" s="691">
        <f t="shared" si="82"/>
        <v>1E-3</v>
      </c>
      <c r="R85" s="691">
        <f t="shared" si="82"/>
        <v>1E-3</v>
      </c>
      <c r="S85" s="691">
        <f t="shared" si="82"/>
        <v>1E-3</v>
      </c>
      <c r="T85" s="691">
        <f t="shared" si="82"/>
        <v>1E-3</v>
      </c>
      <c r="U85" s="691">
        <f t="shared" si="82"/>
        <v>1E-3</v>
      </c>
      <c r="V85" s="691">
        <f t="shared" si="82"/>
        <v>1E-3</v>
      </c>
      <c r="W85" s="691">
        <f t="shared" si="82"/>
        <v>1E-3</v>
      </c>
      <c r="X85" s="691">
        <f t="shared" si="82"/>
        <v>1E-3</v>
      </c>
      <c r="Y85" s="691">
        <f t="shared" si="82"/>
        <v>1E-3</v>
      </c>
      <c r="Z85" s="691">
        <f t="shared" si="82"/>
        <v>1E-3</v>
      </c>
      <c r="AA85" s="691">
        <f t="shared" si="82"/>
        <v>1E-3</v>
      </c>
      <c r="AB85" s="691">
        <f t="shared" si="82"/>
        <v>1E-3</v>
      </c>
      <c r="AD85" s="410" t="str">
        <f>MID(D85,11,3)</f>
        <v>GAS</v>
      </c>
      <c r="AE85" s="357"/>
      <c r="AF85" s="89"/>
      <c r="AV85" s="699" t="str">
        <f t="shared" si="20"/>
        <v>TRABGS</v>
      </c>
      <c r="AW85" s="567">
        <f t="shared" ref="AW85:AW86" si="83">SUM(AX85:BL85)</f>
        <v>113.92055740432615</v>
      </c>
      <c r="AX85" s="707">
        <f>N$90*N$91*(1-N86)/N$87/1000</f>
        <v>113.92055740432615</v>
      </c>
      <c r="AY85" s="707">
        <f t="shared" ref="AY85:BL85" si="84">O$90*O$91*(1-O86)/O$87/1000</f>
        <v>0</v>
      </c>
      <c r="AZ85" s="707">
        <f t="shared" si="84"/>
        <v>0</v>
      </c>
      <c r="BA85" s="707">
        <f t="shared" si="84"/>
        <v>0</v>
      </c>
      <c r="BB85" s="707">
        <f t="shared" si="84"/>
        <v>0</v>
      </c>
      <c r="BC85" s="707">
        <f t="shared" si="84"/>
        <v>0</v>
      </c>
      <c r="BD85" s="707">
        <f t="shared" si="84"/>
        <v>0</v>
      </c>
      <c r="BE85" s="707">
        <f t="shared" si="84"/>
        <v>0</v>
      </c>
      <c r="BF85" s="707">
        <f t="shared" si="84"/>
        <v>0</v>
      </c>
      <c r="BG85" s="707">
        <f t="shared" si="84"/>
        <v>0</v>
      </c>
      <c r="BH85" s="707">
        <f t="shared" si="84"/>
        <v>0</v>
      </c>
      <c r="BI85" s="707">
        <f t="shared" si="84"/>
        <v>0</v>
      </c>
      <c r="BJ85" s="707">
        <f t="shared" si="84"/>
        <v>0</v>
      </c>
      <c r="BK85" s="707">
        <f t="shared" si="84"/>
        <v>0</v>
      </c>
      <c r="BL85" s="707">
        <f t="shared" si="84"/>
        <v>0</v>
      </c>
    </row>
    <row r="86" spans="1:64" s="83" customFormat="1" x14ac:dyDescent="0.3">
      <c r="A86" s="82"/>
      <c r="B86" s="178" t="str">
        <f>B85</f>
        <v>TBUSGAS100</v>
      </c>
      <c r="C86" s="178"/>
      <c r="D86" s="179"/>
      <c r="E86" s="180" t="s">
        <v>1038</v>
      </c>
      <c r="F86" s="182"/>
      <c r="G86" s="181"/>
      <c r="H86" s="182"/>
      <c r="I86" s="183"/>
      <c r="J86" s="184" t="s">
        <v>1156</v>
      </c>
      <c r="K86" s="184"/>
      <c r="L86" s="203" t="s">
        <v>101</v>
      </c>
      <c r="M86" s="178"/>
      <c r="N86" s="689">
        <f>(1-N19)</f>
        <v>0</v>
      </c>
      <c r="O86" s="689">
        <f t="shared" ref="O86:AB86" si="85">(1-O19)</f>
        <v>0</v>
      </c>
      <c r="P86" s="689">
        <f t="shared" si="85"/>
        <v>0</v>
      </c>
      <c r="Q86" s="689">
        <f t="shared" si="85"/>
        <v>0</v>
      </c>
      <c r="R86" s="689">
        <f t="shared" si="85"/>
        <v>0</v>
      </c>
      <c r="S86" s="689">
        <f t="shared" si="85"/>
        <v>0</v>
      </c>
      <c r="T86" s="689">
        <f t="shared" si="85"/>
        <v>0</v>
      </c>
      <c r="U86" s="689">
        <f t="shared" si="85"/>
        <v>0</v>
      </c>
      <c r="V86" s="689">
        <f t="shared" si="85"/>
        <v>0</v>
      </c>
      <c r="W86" s="689">
        <f t="shared" si="85"/>
        <v>0</v>
      </c>
      <c r="X86" s="689">
        <f t="shared" si="85"/>
        <v>0</v>
      </c>
      <c r="Y86" s="689">
        <f t="shared" si="85"/>
        <v>0</v>
      </c>
      <c r="Z86" s="689">
        <f t="shared" si="85"/>
        <v>0</v>
      </c>
      <c r="AA86" s="689">
        <f t="shared" si="85"/>
        <v>0</v>
      </c>
      <c r="AB86" s="689">
        <f t="shared" si="85"/>
        <v>0</v>
      </c>
      <c r="AD86" s="66" t="str">
        <f>IF(COUNTIF($AG$4:$AP$4,AD85)=1,"ok","MISSING")</f>
        <v>ok</v>
      </c>
      <c r="AE86" s="357"/>
      <c r="AF86" s="89"/>
      <c r="AV86" s="699" t="str">
        <f t="shared" si="20"/>
        <v>TRANGS</v>
      </c>
      <c r="AW86" s="567">
        <f t="shared" si="83"/>
        <v>0</v>
      </c>
      <c r="AX86" s="707">
        <f>N$90*N$91*N86/N$87/1000</f>
        <v>0</v>
      </c>
      <c r="AY86" s="707">
        <f t="shared" ref="AY86:BL86" si="86">O$90*O$91*O86/O$87/1000</f>
        <v>0</v>
      </c>
      <c r="AZ86" s="707">
        <f t="shared" si="86"/>
        <v>0</v>
      </c>
      <c r="BA86" s="707">
        <f t="shared" si="86"/>
        <v>0</v>
      </c>
      <c r="BB86" s="707">
        <f t="shared" si="86"/>
        <v>0</v>
      </c>
      <c r="BC86" s="707">
        <f t="shared" si="86"/>
        <v>0</v>
      </c>
      <c r="BD86" s="707">
        <f t="shared" si="86"/>
        <v>0</v>
      </c>
      <c r="BE86" s="707">
        <f t="shared" si="86"/>
        <v>0</v>
      </c>
      <c r="BF86" s="707">
        <f t="shared" si="86"/>
        <v>0</v>
      </c>
      <c r="BG86" s="707">
        <f t="shared" si="86"/>
        <v>0</v>
      </c>
      <c r="BH86" s="707">
        <f t="shared" si="86"/>
        <v>0</v>
      </c>
      <c r="BI86" s="707">
        <f t="shared" si="86"/>
        <v>0</v>
      </c>
      <c r="BJ86" s="707">
        <f t="shared" si="86"/>
        <v>0</v>
      </c>
      <c r="BK86" s="707">
        <f t="shared" si="86"/>
        <v>0</v>
      </c>
      <c r="BL86" s="707">
        <f t="shared" si="86"/>
        <v>0</v>
      </c>
    </row>
    <row r="87" spans="1:64" s="83" customFormat="1" x14ac:dyDescent="0.3">
      <c r="A87" s="82"/>
      <c r="B87" s="178" t="str">
        <f>B86</f>
        <v>TBUSGAS100</v>
      </c>
      <c r="C87" s="178"/>
      <c r="D87" s="179"/>
      <c r="E87" s="178"/>
      <c r="F87" s="182"/>
      <c r="G87" s="180" t="s">
        <v>415</v>
      </c>
      <c r="H87" s="182"/>
      <c r="I87" s="183"/>
      <c r="J87" s="184"/>
      <c r="K87" s="184"/>
      <c r="L87" s="184" t="s">
        <v>1125</v>
      </c>
      <c r="M87" s="178" t="s">
        <v>677</v>
      </c>
      <c r="N87" s="689">
        <f>T_CEFF!H116</f>
        <v>4.8079999999999998E-2</v>
      </c>
      <c r="O87" s="689">
        <f>T_CEFF!I116</f>
        <v>4.8079999999999998E-2</v>
      </c>
      <c r="P87" s="689">
        <f>T_CEFF!J116</f>
        <v>4.8079999999999998E-2</v>
      </c>
      <c r="Q87" s="689">
        <f>T_CEFF!K116</f>
        <v>4.8079999999999998E-2</v>
      </c>
      <c r="R87" s="689">
        <f>T_CEFF!L116</f>
        <v>4.8079999999999998E-2</v>
      </c>
      <c r="S87" s="689">
        <f>T_CEFF!M116</f>
        <v>4.8079999999999998E-2</v>
      </c>
      <c r="T87" s="689">
        <f>T_CEFF!N116</f>
        <v>4.8079999999999998E-2</v>
      </c>
      <c r="U87" s="689">
        <f>T_CEFF!O116</f>
        <v>4.8079999999999998E-2</v>
      </c>
      <c r="V87" s="689">
        <f>T_CEFF!P116</f>
        <v>4.8079999999999998E-2</v>
      </c>
      <c r="W87" s="689">
        <f>T_CEFF!Q116</f>
        <v>4.8079999999999998E-2</v>
      </c>
      <c r="X87" s="689">
        <f>T_CEFF!R116</f>
        <v>4.8079999999999998E-2</v>
      </c>
      <c r="Y87" s="689">
        <f>T_CEFF!S116</f>
        <v>4.8079999999999998E-2</v>
      </c>
      <c r="Z87" s="689">
        <f>T_CEFF!T116</f>
        <v>4.8079999999999998E-2</v>
      </c>
      <c r="AA87" s="689">
        <f>T_CEFF!U116</f>
        <v>4.8079999999999998E-2</v>
      </c>
      <c r="AB87" s="689">
        <f>T_CEFF!V116</f>
        <v>4.8079999999999998E-2</v>
      </c>
      <c r="AE87" s="357"/>
      <c r="AF87" s="89"/>
      <c r="AV87" s="699" t="str">
        <f t="shared" si="20"/>
        <v/>
      </c>
      <c r="AW87" s="35"/>
      <c r="AX87" s="35"/>
      <c r="AY87" s="35"/>
      <c r="AZ87" s="35"/>
      <c r="BA87" s="35"/>
      <c r="BB87" s="35"/>
      <c r="BC87" s="35"/>
      <c r="BD87" s="35"/>
      <c r="BE87" s="35"/>
      <c r="BF87" s="35"/>
      <c r="BG87" s="35"/>
      <c r="BH87" s="35"/>
      <c r="BI87" s="35"/>
      <c r="BJ87" s="35"/>
      <c r="BK87" s="35"/>
      <c r="BL87" s="35"/>
    </row>
    <row r="88" spans="1:64" s="83" customFormat="1" x14ac:dyDescent="0.3">
      <c r="A88" s="82"/>
      <c r="B88" s="178" t="str">
        <f t="shared" ref="B88:B97" si="87">B87</f>
        <v>TBUSGAS100</v>
      </c>
      <c r="C88" s="178"/>
      <c r="D88" s="179"/>
      <c r="E88" s="178"/>
      <c r="F88" s="182"/>
      <c r="G88" s="180" t="s">
        <v>592</v>
      </c>
      <c r="H88" s="182"/>
      <c r="I88" s="183"/>
      <c r="J88" s="184"/>
      <c r="K88" s="184"/>
      <c r="L88" s="184" t="s">
        <v>1125</v>
      </c>
      <c r="M88" s="178" t="s">
        <v>677</v>
      </c>
      <c r="N88" s="689">
        <f>T_CEFF!H117</f>
        <v>4.8079999999999998E-2</v>
      </c>
      <c r="O88" s="689">
        <f>T_CEFF!I117</f>
        <v>4.8079999999999998E-2</v>
      </c>
      <c r="P88" s="689">
        <f>T_CEFF!J117</f>
        <v>4.8079999999999998E-2</v>
      </c>
      <c r="Q88" s="689">
        <f>T_CEFF!K117</f>
        <v>4.8079999999999998E-2</v>
      </c>
      <c r="R88" s="689">
        <f>T_CEFF!L117</f>
        <v>4.8079999999999998E-2</v>
      </c>
      <c r="S88" s="689">
        <f>T_CEFF!M117</f>
        <v>4.8079999999999998E-2</v>
      </c>
      <c r="T88" s="689">
        <f>T_CEFF!N117</f>
        <v>4.8079999999999998E-2</v>
      </c>
      <c r="U88" s="689">
        <f>T_CEFF!O117</f>
        <v>4.8079999999999998E-2</v>
      </c>
      <c r="V88" s="689">
        <f>T_CEFF!P117</f>
        <v>4.8079999999999998E-2</v>
      </c>
      <c r="W88" s="689">
        <f>T_CEFF!Q117</f>
        <v>4.8079999999999998E-2</v>
      </c>
      <c r="X88" s="689">
        <f>T_CEFF!R117</f>
        <v>4.8079999999999998E-2</v>
      </c>
      <c r="Y88" s="689">
        <f>T_CEFF!S117</f>
        <v>4.8079999999999998E-2</v>
      </c>
      <c r="Z88" s="689">
        <f>T_CEFF!T117</f>
        <v>4.8079999999999998E-2</v>
      </c>
      <c r="AA88" s="689">
        <f>T_CEFF!U117</f>
        <v>4.8079999999999998E-2</v>
      </c>
      <c r="AB88" s="689">
        <f>T_CEFF!V117</f>
        <v>4.8079999999999998E-2</v>
      </c>
      <c r="AE88" s="357"/>
      <c r="AF88" s="89"/>
      <c r="AV88" s="699" t="str">
        <f t="shared" si="20"/>
        <v/>
      </c>
      <c r="AW88" s="567"/>
      <c r="AX88" s="567"/>
      <c r="AY88" s="567"/>
      <c r="AZ88" s="567"/>
      <c r="BA88" s="567"/>
      <c r="BB88" s="567"/>
      <c r="BC88" s="567"/>
      <c r="BD88" s="567"/>
      <c r="BE88" s="567"/>
      <c r="BF88" s="567"/>
      <c r="BG88" s="567"/>
      <c r="BH88" s="567"/>
      <c r="BI88" s="567"/>
      <c r="BJ88" s="567"/>
      <c r="BK88" s="567"/>
      <c r="BL88" s="567"/>
    </row>
    <row r="89" spans="1:64" s="83" customFormat="1" x14ac:dyDescent="0.3">
      <c r="A89" s="82"/>
      <c r="B89" s="178" t="str">
        <f t="shared" si="87"/>
        <v>TBUSGAS100</v>
      </c>
      <c r="C89" s="178"/>
      <c r="D89" s="179"/>
      <c r="E89" s="178"/>
      <c r="F89" s="182"/>
      <c r="G89" s="181"/>
      <c r="H89" s="182"/>
      <c r="I89" s="183"/>
      <c r="J89" s="184"/>
      <c r="K89" s="184" t="s">
        <v>748</v>
      </c>
      <c r="L89" s="184" t="s">
        <v>1127</v>
      </c>
      <c r="M89" s="186" t="s">
        <v>1158</v>
      </c>
      <c r="N89" s="690">
        <f t="shared" ref="N89:AB89" si="88">N$16</f>
        <v>18</v>
      </c>
      <c r="O89" s="690">
        <f t="shared" si="88"/>
        <v>0</v>
      </c>
      <c r="P89" s="690">
        <f t="shared" si="88"/>
        <v>0</v>
      </c>
      <c r="Q89" s="690">
        <f t="shared" si="88"/>
        <v>0</v>
      </c>
      <c r="R89" s="690">
        <f t="shared" si="88"/>
        <v>0</v>
      </c>
      <c r="S89" s="690">
        <f t="shared" si="88"/>
        <v>0</v>
      </c>
      <c r="T89" s="690">
        <f t="shared" si="88"/>
        <v>0</v>
      </c>
      <c r="U89" s="690">
        <f t="shared" si="88"/>
        <v>0</v>
      </c>
      <c r="V89" s="690">
        <f t="shared" si="88"/>
        <v>0</v>
      </c>
      <c r="W89" s="690">
        <f t="shared" si="88"/>
        <v>0</v>
      </c>
      <c r="X89" s="690">
        <f t="shared" si="88"/>
        <v>0</v>
      </c>
      <c r="Y89" s="690">
        <f t="shared" si="88"/>
        <v>0</v>
      </c>
      <c r="Z89" s="690">
        <f t="shared" si="88"/>
        <v>0</v>
      </c>
      <c r="AA89" s="690">
        <f t="shared" si="88"/>
        <v>0</v>
      </c>
      <c r="AB89" s="690">
        <f t="shared" si="88"/>
        <v>0</v>
      </c>
      <c r="AE89" s="357"/>
      <c r="AF89" s="89"/>
      <c r="AV89" s="699" t="str">
        <f t="shared" si="20"/>
        <v/>
      </c>
      <c r="AW89" s="567"/>
      <c r="AX89" s="567"/>
      <c r="AY89" s="567"/>
      <c r="AZ89" s="567"/>
      <c r="BA89" s="567"/>
      <c r="BB89" s="567"/>
      <c r="BC89" s="567"/>
      <c r="BD89" s="567"/>
      <c r="BE89" s="567"/>
      <c r="BF89" s="567"/>
      <c r="BG89" s="567"/>
      <c r="BH89" s="567"/>
      <c r="BI89" s="567"/>
      <c r="BJ89" s="567"/>
      <c r="BK89" s="567"/>
      <c r="BL89" s="567"/>
    </row>
    <row r="90" spans="1:64" s="83" customFormat="1" x14ac:dyDescent="0.3">
      <c r="A90" s="82"/>
      <c r="B90" s="178" t="str">
        <f t="shared" si="87"/>
        <v>TBUSGAS100</v>
      </c>
      <c r="C90" s="178"/>
      <c r="D90" s="179"/>
      <c r="E90" s="178"/>
      <c r="F90" s="182"/>
      <c r="G90" s="181"/>
      <c r="H90" s="182"/>
      <c r="I90" s="183"/>
      <c r="J90" s="184"/>
      <c r="K90" s="184"/>
      <c r="L90" s="203" t="s">
        <v>1129</v>
      </c>
      <c r="M90" s="178" t="s">
        <v>1130</v>
      </c>
      <c r="N90" s="389">
        <f>LOOKUP($C$85, T_NCAP_AF!$C$95:$C$105, T_NCAP_AF!D$95:D$105)*(1+N29)</f>
        <v>28.6</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1">
        <f>SUM(AF90:AT90)</f>
        <v>98.59140720000002</v>
      </c>
      <c r="AF90" s="85">
        <f t="shared" ref="AF90:AT90" si="89">N89*N90*N91/1000</f>
        <v>98.59140720000002</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699" t="str">
        <f t="shared" si="20"/>
        <v/>
      </c>
      <c r="AW90" s="35"/>
      <c r="AX90" s="35"/>
      <c r="AY90" s="35"/>
      <c r="AZ90" s="35"/>
      <c r="BA90" s="35"/>
      <c r="BB90" s="35"/>
      <c r="BC90" s="35"/>
      <c r="BD90" s="35"/>
      <c r="BE90" s="35"/>
      <c r="BF90" s="35"/>
      <c r="BG90" s="35"/>
      <c r="BH90" s="35"/>
      <c r="BI90" s="35"/>
      <c r="BJ90" s="35"/>
      <c r="BK90" s="35"/>
      <c r="BL90" s="35"/>
    </row>
    <row r="91" spans="1:64" s="83" customFormat="1" x14ac:dyDescent="0.3">
      <c r="A91" s="82"/>
      <c r="B91" s="178" t="str">
        <f t="shared" si="87"/>
        <v>TBUSGAS100</v>
      </c>
      <c r="C91" s="178"/>
      <c r="D91" s="179"/>
      <c r="E91" s="178"/>
      <c r="F91" s="182"/>
      <c r="G91" s="181"/>
      <c r="H91" s="182"/>
      <c r="I91" s="183">
        <f>$M$3</f>
        <v>2019</v>
      </c>
      <c r="J91" s="184"/>
      <c r="K91" s="184"/>
      <c r="L91" s="203" t="s">
        <v>1064</v>
      </c>
      <c r="M91" s="178" t="s">
        <v>747</v>
      </c>
      <c r="N91" s="686">
        <f>LOOKUP($C$85, T_Stock_Private!$C$58:$C$68, T_Stock_Private!D$58:D$68)*(1+N30)</f>
        <v>191.51400000000001</v>
      </c>
      <c r="O91" s="686">
        <f>LOOKUP($C$85, T_Stock_Private!$C$58:$C$68, T_Stock_Private!E$58:E$68)*(1+O30)</f>
        <v>0</v>
      </c>
      <c r="P91" s="686">
        <f>LOOKUP($C$85, T_Stock_Private!$C$58:$C$68, T_Stock_Private!F$58:F$68)*(1+P30)</f>
        <v>0</v>
      </c>
      <c r="Q91" s="686">
        <f>LOOKUP($C$85, T_Stock_Private!$C$58:$C$68, T_Stock_Private!G$58:G$68)*(1+Q30)</f>
        <v>0</v>
      </c>
      <c r="R91" s="686">
        <f>LOOKUP($C$85, T_Stock_Private!$C$58:$C$68, T_Stock_Private!H$58:H$68)*(1+R30)</f>
        <v>0</v>
      </c>
      <c r="S91" s="686">
        <f>LOOKUP($C$85, T_Stock_Private!$C$58:$C$68, T_Stock_Private!I$58:I$68)*(1+S30)</f>
        <v>0</v>
      </c>
      <c r="T91" s="686">
        <f>LOOKUP($C$85, T_Stock_Private!$C$58:$C$68, T_Stock_Private!J$58:J$68)*(1+T30)</f>
        <v>0</v>
      </c>
      <c r="U91" s="686">
        <f>LOOKUP($C$85, T_Stock_Private!$C$58:$C$68, T_Stock_Private!K$58:K$68)*(1+U30)</f>
        <v>0</v>
      </c>
      <c r="V91" s="686">
        <f>LOOKUP($C$85, T_Stock_Private!$C$58:$C$68, T_Stock_Private!L$58:L$68)*(1+V30)</f>
        <v>0</v>
      </c>
      <c r="W91" s="686">
        <f>LOOKUP($C$85, T_Stock_Private!$C$58:$C$68, T_Stock_Private!M$58:M$68)*(1+W30)</f>
        <v>0</v>
      </c>
      <c r="X91" s="686">
        <f>LOOKUP($C$85, T_Stock_Private!$C$58:$C$68, T_Stock_Private!N$58:N$68)*(1+X30)</f>
        <v>0</v>
      </c>
      <c r="Y91" s="686">
        <f>LOOKUP($C$85, T_Stock_Private!$C$58:$C$68, T_Stock_Private!O$58:O$68)*(1+Y30)</f>
        <v>0</v>
      </c>
      <c r="Z91" s="686">
        <f>LOOKUP($C$85, T_Stock_Private!$C$58:$C$68, T_Stock_Private!P$58:P$68)*(1+Z30)</f>
        <v>0</v>
      </c>
      <c r="AA91" s="686">
        <f>LOOKUP($C$85, T_Stock_Private!$C$58:$C$68, T_Stock_Private!Q$58:Q$68)*(1+AA30)</f>
        <v>0</v>
      </c>
      <c r="AB91" s="686">
        <f>LOOKUP($C$85, T_Stock_Private!$C$58:$C$68, T_Stock_Private!R$58:R$68)*(1+AB30)</f>
        <v>0</v>
      </c>
      <c r="AC91" s="89"/>
      <c r="AD91" s="35"/>
      <c r="AE91" s="357"/>
      <c r="AF91" s="89"/>
      <c r="AV91" s="699" t="str">
        <f t="shared" si="20"/>
        <v/>
      </c>
      <c r="AW91" s="35"/>
      <c r="AX91" s="35"/>
      <c r="AY91" s="35"/>
      <c r="AZ91" s="35"/>
      <c r="BA91" s="35"/>
      <c r="BB91" s="35"/>
      <c r="BC91" s="35"/>
      <c r="BD91" s="35"/>
      <c r="BE91" s="35"/>
      <c r="BF91" s="35"/>
      <c r="BG91" s="35"/>
      <c r="BH91" s="35"/>
      <c r="BI91" s="35"/>
      <c r="BJ91" s="35"/>
      <c r="BK91" s="35"/>
      <c r="BL91" s="35"/>
    </row>
    <row r="92" spans="1:64" s="83" customFormat="1" x14ac:dyDescent="0.3">
      <c r="A92" s="82"/>
      <c r="B92" s="178" t="str">
        <f t="shared" si="87"/>
        <v>TBUSGAS100</v>
      </c>
      <c r="C92" s="178"/>
      <c r="D92" s="179"/>
      <c r="E92" s="178"/>
      <c r="F92" s="182"/>
      <c r="G92" s="181"/>
      <c r="H92" s="182"/>
      <c r="I92" s="183">
        <f>AF$5</f>
        <v>2020</v>
      </c>
      <c r="J92" s="184"/>
      <c r="K92" s="184"/>
      <c r="L92" s="203" t="s">
        <v>1064</v>
      </c>
      <c r="M92" s="178" t="s">
        <v>747</v>
      </c>
      <c r="N92" s="686">
        <f t="shared" ref="N92:AB92" si="90">N91*LOOKUP($AD85,$AG$4:$AP$4,$AG$5:$AP$5)</f>
        <v>191.51400000000001</v>
      </c>
      <c r="O92" s="686">
        <f t="shared" si="90"/>
        <v>0</v>
      </c>
      <c r="P92" s="686">
        <f t="shared" si="90"/>
        <v>0</v>
      </c>
      <c r="Q92" s="686">
        <f t="shared" si="90"/>
        <v>0</v>
      </c>
      <c r="R92" s="686">
        <f t="shared" si="90"/>
        <v>0</v>
      </c>
      <c r="S92" s="686">
        <f t="shared" si="90"/>
        <v>0</v>
      </c>
      <c r="T92" s="686">
        <f t="shared" si="90"/>
        <v>0</v>
      </c>
      <c r="U92" s="686">
        <f t="shared" si="90"/>
        <v>0</v>
      </c>
      <c r="V92" s="686">
        <f t="shared" si="90"/>
        <v>0</v>
      </c>
      <c r="W92" s="686">
        <f t="shared" si="90"/>
        <v>0</v>
      </c>
      <c r="X92" s="686">
        <f t="shared" si="90"/>
        <v>0</v>
      </c>
      <c r="Y92" s="686">
        <f t="shared" si="90"/>
        <v>0</v>
      </c>
      <c r="Z92" s="686">
        <f t="shared" si="90"/>
        <v>0</v>
      </c>
      <c r="AA92" s="686">
        <f t="shared" si="90"/>
        <v>0</v>
      </c>
      <c r="AB92" s="686">
        <f t="shared" si="90"/>
        <v>0</v>
      </c>
      <c r="AD92" s="35"/>
      <c r="AE92" s="357"/>
      <c r="AF92" s="89"/>
      <c r="AV92" s="699" t="str">
        <f t="shared" si="20"/>
        <v/>
      </c>
      <c r="AW92" s="35"/>
      <c r="AX92" s="35"/>
      <c r="AY92" s="35"/>
      <c r="AZ92" s="35"/>
      <c r="BA92" s="35"/>
      <c r="BB92" s="35"/>
      <c r="BC92" s="35"/>
      <c r="BD92" s="35"/>
      <c r="BE92" s="35"/>
      <c r="BF92" s="35"/>
      <c r="BG92" s="35"/>
      <c r="BH92" s="35"/>
      <c r="BI92" s="35"/>
      <c r="BJ92" s="35"/>
      <c r="BK92" s="35"/>
      <c r="BL92" s="35"/>
    </row>
    <row r="93" spans="1:64" s="83" customFormat="1" x14ac:dyDescent="0.3">
      <c r="A93" s="82"/>
      <c r="B93" s="178" t="str">
        <f t="shared" si="87"/>
        <v>TBUSGAS100</v>
      </c>
      <c r="C93" s="178"/>
      <c r="D93" s="179"/>
      <c r="E93" s="178"/>
      <c r="F93" s="182"/>
      <c r="G93" s="181"/>
      <c r="H93" s="182"/>
      <c r="I93" s="183">
        <f>AF$6</f>
        <v>2025</v>
      </c>
      <c r="J93" s="184"/>
      <c r="K93" s="184"/>
      <c r="L93" s="203" t="s">
        <v>1064</v>
      </c>
      <c r="M93" s="178" t="s">
        <v>747</v>
      </c>
      <c r="N93" s="686">
        <f t="shared" ref="N93:AB93" si="91">N91*LOOKUP($AD85,$AG$4:$AP$4,$AG$6:$AP$6)</f>
        <v>114.9084</v>
      </c>
      <c r="O93" s="686">
        <f t="shared" si="91"/>
        <v>0</v>
      </c>
      <c r="P93" s="686">
        <f t="shared" si="91"/>
        <v>0</v>
      </c>
      <c r="Q93" s="686">
        <f t="shared" si="91"/>
        <v>0</v>
      </c>
      <c r="R93" s="686">
        <f t="shared" si="91"/>
        <v>0</v>
      </c>
      <c r="S93" s="686">
        <f t="shared" si="91"/>
        <v>0</v>
      </c>
      <c r="T93" s="686">
        <f t="shared" si="91"/>
        <v>0</v>
      </c>
      <c r="U93" s="686">
        <f t="shared" si="91"/>
        <v>0</v>
      </c>
      <c r="V93" s="686">
        <f t="shared" si="91"/>
        <v>0</v>
      </c>
      <c r="W93" s="686">
        <f t="shared" si="91"/>
        <v>0</v>
      </c>
      <c r="X93" s="686">
        <f t="shared" si="91"/>
        <v>0</v>
      </c>
      <c r="Y93" s="686">
        <f t="shared" si="91"/>
        <v>0</v>
      </c>
      <c r="Z93" s="686">
        <f t="shared" si="91"/>
        <v>0</v>
      </c>
      <c r="AA93" s="686">
        <f t="shared" si="91"/>
        <v>0</v>
      </c>
      <c r="AB93" s="686">
        <f t="shared" si="91"/>
        <v>0</v>
      </c>
      <c r="AD93" s="35"/>
      <c r="AE93" s="357"/>
      <c r="AF93" s="89"/>
      <c r="AV93" s="699" t="str">
        <f t="shared" si="20"/>
        <v/>
      </c>
      <c r="AW93" s="35"/>
      <c r="AX93" s="35"/>
      <c r="AY93" s="35"/>
      <c r="AZ93" s="35"/>
      <c r="BA93" s="35"/>
      <c r="BB93" s="35"/>
      <c r="BC93" s="35"/>
      <c r="BD93" s="35"/>
      <c r="BE93" s="35"/>
      <c r="BF93" s="35"/>
      <c r="BG93" s="35"/>
      <c r="BH93" s="35"/>
      <c r="BI93" s="35"/>
      <c r="BJ93" s="35"/>
      <c r="BK93" s="35"/>
      <c r="BL93" s="35"/>
    </row>
    <row r="94" spans="1:64" s="83" customFormat="1" x14ac:dyDescent="0.3">
      <c r="A94" s="82"/>
      <c r="B94" s="178" t="str">
        <f t="shared" si="87"/>
        <v>TBUSGAS100</v>
      </c>
      <c r="C94" s="178"/>
      <c r="D94" s="179"/>
      <c r="E94" s="178"/>
      <c r="F94" s="182"/>
      <c r="G94" s="181"/>
      <c r="H94" s="182"/>
      <c r="I94" s="183">
        <f>AF$7</f>
        <v>2030</v>
      </c>
      <c r="J94" s="184"/>
      <c r="K94" s="184"/>
      <c r="L94" s="203" t="s">
        <v>1064</v>
      </c>
      <c r="M94" s="178" t="s">
        <v>747</v>
      </c>
      <c r="N94" s="686">
        <f t="shared" ref="N94:AB94" si="92">N91*LOOKUP($AD85,$AG$4:$AP$4,$AG$7:$AP$7)</f>
        <v>19.151400000000002</v>
      </c>
      <c r="O94" s="686">
        <f t="shared" si="92"/>
        <v>0</v>
      </c>
      <c r="P94" s="686">
        <f t="shared" si="92"/>
        <v>0</v>
      </c>
      <c r="Q94" s="686">
        <f t="shared" si="92"/>
        <v>0</v>
      </c>
      <c r="R94" s="686">
        <f t="shared" si="92"/>
        <v>0</v>
      </c>
      <c r="S94" s="686">
        <f t="shared" si="92"/>
        <v>0</v>
      </c>
      <c r="T94" s="686">
        <f t="shared" si="92"/>
        <v>0</v>
      </c>
      <c r="U94" s="686">
        <f t="shared" si="92"/>
        <v>0</v>
      </c>
      <c r="V94" s="686">
        <f t="shared" si="92"/>
        <v>0</v>
      </c>
      <c r="W94" s="686">
        <f t="shared" si="92"/>
        <v>0</v>
      </c>
      <c r="X94" s="686">
        <f t="shared" si="92"/>
        <v>0</v>
      </c>
      <c r="Y94" s="686">
        <f t="shared" si="92"/>
        <v>0</v>
      </c>
      <c r="Z94" s="686">
        <f t="shared" si="92"/>
        <v>0</v>
      </c>
      <c r="AA94" s="686">
        <f t="shared" si="92"/>
        <v>0</v>
      </c>
      <c r="AB94" s="686">
        <f t="shared" si="92"/>
        <v>0</v>
      </c>
      <c r="AD94" s="35"/>
      <c r="AE94" s="357"/>
      <c r="AF94" s="89"/>
      <c r="AV94" s="699" t="str">
        <f t="shared" si="20"/>
        <v/>
      </c>
      <c r="AW94" s="35"/>
      <c r="AX94" s="35"/>
      <c r="AY94" s="35"/>
      <c r="AZ94" s="35"/>
      <c r="BA94" s="35"/>
      <c r="BB94" s="35"/>
      <c r="BC94" s="35"/>
      <c r="BD94" s="35"/>
      <c r="BE94" s="35"/>
      <c r="BF94" s="35"/>
      <c r="BG94" s="35"/>
      <c r="BH94" s="35"/>
      <c r="BI94" s="35"/>
      <c r="BJ94" s="35"/>
      <c r="BK94" s="35"/>
      <c r="BL94" s="35"/>
    </row>
    <row r="95" spans="1:64" s="83" customFormat="1" x14ac:dyDescent="0.3">
      <c r="A95" s="82"/>
      <c r="B95" s="178" t="str">
        <f t="shared" si="87"/>
        <v>TBUSGAS100</v>
      </c>
      <c r="C95" s="178"/>
      <c r="D95" s="179"/>
      <c r="E95" s="178"/>
      <c r="F95" s="182"/>
      <c r="G95" s="181"/>
      <c r="H95" s="182"/>
      <c r="I95" s="183">
        <f>AF$8</f>
        <v>2035</v>
      </c>
      <c r="J95" s="184"/>
      <c r="K95" s="184"/>
      <c r="L95" s="203" t="s">
        <v>1064</v>
      </c>
      <c r="M95" s="178" t="s">
        <v>747</v>
      </c>
      <c r="N95" s="686">
        <f t="shared" ref="N95:AB95" si="93">N91*LOOKUP($AD85,$AG$4:$AP$4,$AG$8:$AP$8)</f>
        <v>1.9151400000000001</v>
      </c>
      <c r="O95" s="686">
        <f t="shared" si="93"/>
        <v>0</v>
      </c>
      <c r="P95" s="686">
        <f t="shared" si="93"/>
        <v>0</v>
      </c>
      <c r="Q95" s="686">
        <f t="shared" si="93"/>
        <v>0</v>
      </c>
      <c r="R95" s="686">
        <f t="shared" si="93"/>
        <v>0</v>
      </c>
      <c r="S95" s="686">
        <f t="shared" si="93"/>
        <v>0</v>
      </c>
      <c r="T95" s="686">
        <f t="shared" si="93"/>
        <v>0</v>
      </c>
      <c r="U95" s="686">
        <f t="shared" si="93"/>
        <v>0</v>
      </c>
      <c r="V95" s="686">
        <f t="shared" si="93"/>
        <v>0</v>
      </c>
      <c r="W95" s="686">
        <f t="shared" si="93"/>
        <v>0</v>
      </c>
      <c r="X95" s="686">
        <f t="shared" si="93"/>
        <v>0</v>
      </c>
      <c r="Y95" s="686">
        <f t="shared" si="93"/>
        <v>0</v>
      </c>
      <c r="Z95" s="686">
        <f t="shared" si="93"/>
        <v>0</v>
      </c>
      <c r="AA95" s="686">
        <f t="shared" si="93"/>
        <v>0</v>
      </c>
      <c r="AB95" s="686">
        <f t="shared" si="93"/>
        <v>0</v>
      </c>
      <c r="AD95" s="35"/>
      <c r="AE95" s="357"/>
      <c r="AF95" s="89"/>
      <c r="AV95" s="699" t="str">
        <f t="shared" si="20"/>
        <v/>
      </c>
      <c r="AW95" s="35"/>
      <c r="AX95" s="35"/>
      <c r="AY95" s="35"/>
      <c r="AZ95" s="35"/>
      <c r="BA95" s="35"/>
      <c r="BB95" s="35"/>
      <c r="BC95" s="35"/>
      <c r="BD95" s="35"/>
      <c r="BE95" s="35"/>
      <c r="BF95" s="35"/>
      <c r="BG95" s="35"/>
      <c r="BH95" s="35"/>
      <c r="BI95" s="35"/>
      <c r="BJ95" s="35"/>
      <c r="BK95" s="35"/>
      <c r="BL95" s="35"/>
    </row>
    <row r="96" spans="1:64" s="83" customFormat="1" x14ac:dyDescent="0.3">
      <c r="A96" s="82"/>
      <c r="B96" s="178" t="str">
        <f t="shared" si="87"/>
        <v>TBUSGAS100</v>
      </c>
      <c r="C96" s="178"/>
      <c r="D96" s="179"/>
      <c r="E96" s="178"/>
      <c r="F96" s="182"/>
      <c r="G96" s="181"/>
      <c r="H96" s="182"/>
      <c r="I96" s="183">
        <f>AF$9</f>
        <v>2040</v>
      </c>
      <c r="J96" s="184"/>
      <c r="K96" s="184"/>
      <c r="L96" s="203" t="s">
        <v>1064</v>
      </c>
      <c r="M96" s="178" t="s">
        <v>747</v>
      </c>
      <c r="N96" s="686">
        <f t="shared" ref="N96:AB96" si="94">N91*LOOKUP($AD85,$AG$4:$AP$4,$AG$9:$AP$9)</f>
        <v>0</v>
      </c>
      <c r="O96" s="686">
        <f t="shared" si="94"/>
        <v>0</v>
      </c>
      <c r="P96" s="686">
        <f t="shared" si="94"/>
        <v>0</v>
      </c>
      <c r="Q96" s="686">
        <f t="shared" si="94"/>
        <v>0</v>
      </c>
      <c r="R96" s="686">
        <f t="shared" si="94"/>
        <v>0</v>
      </c>
      <c r="S96" s="686">
        <f t="shared" si="94"/>
        <v>0</v>
      </c>
      <c r="T96" s="686">
        <f t="shared" si="94"/>
        <v>0</v>
      </c>
      <c r="U96" s="686">
        <f t="shared" si="94"/>
        <v>0</v>
      </c>
      <c r="V96" s="686">
        <f t="shared" si="94"/>
        <v>0</v>
      </c>
      <c r="W96" s="686">
        <f t="shared" si="94"/>
        <v>0</v>
      </c>
      <c r="X96" s="686">
        <f t="shared" si="94"/>
        <v>0</v>
      </c>
      <c r="Y96" s="686">
        <f t="shared" si="94"/>
        <v>0</v>
      </c>
      <c r="Z96" s="686">
        <f t="shared" si="94"/>
        <v>0</v>
      </c>
      <c r="AA96" s="686">
        <f t="shared" si="94"/>
        <v>0</v>
      </c>
      <c r="AB96" s="686">
        <f t="shared" si="94"/>
        <v>0</v>
      </c>
      <c r="AD96" s="35"/>
      <c r="AE96" s="357"/>
      <c r="AF96" s="89"/>
      <c r="AV96" s="699" t="str">
        <f t="shared" si="20"/>
        <v/>
      </c>
      <c r="AW96" s="35"/>
      <c r="AX96" s="35"/>
      <c r="AY96" s="35"/>
      <c r="AZ96" s="35"/>
      <c r="BA96" s="35"/>
      <c r="BB96" s="35"/>
      <c r="BC96" s="35"/>
      <c r="BD96" s="35"/>
      <c r="BE96" s="35"/>
      <c r="BF96" s="35"/>
      <c r="BG96" s="35"/>
      <c r="BH96" s="35"/>
      <c r="BI96" s="35"/>
      <c r="BJ96" s="35"/>
      <c r="BK96" s="35"/>
      <c r="BL96" s="35"/>
    </row>
    <row r="97" spans="1:64" s="83" customFormat="1" x14ac:dyDescent="0.3">
      <c r="A97" s="82"/>
      <c r="B97" s="204" t="str">
        <f t="shared" si="87"/>
        <v>TBUSGAS100</v>
      </c>
      <c r="C97" s="204"/>
      <c r="D97" s="205"/>
      <c r="E97" s="204"/>
      <c r="F97" s="206"/>
      <c r="G97" s="207"/>
      <c r="H97" s="206"/>
      <c r="I97" s="208">
        <f>AF$10</f>
        <v>2050</v>
      </c>
      <c r="J97" s="209"/>
      <c r="K97" s="209"/>
      <c r="L97" s="210" t="s">
        <v>1064</v>
      </c>
      <c r="M97" s="204" t="s">
        <v>747</v>
      </c>
      <c r="N97" s="687">
        <f t="shared" ref="N97:AB97" si="95">N91*LOOKUP($AD85,$AG$4:$AP$4,$AG$10:$AP$10)</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D97" s="35"/>
      <c r="AE97" s="357"/>
      <c r="AF97" s="89"/>
      <c r="AV97" s="699" t="str">
        <f t="shared" si="20"/>
        <v/>
      </c>
      <c r="AW97" s="35"/>
      <c r="AX97" s="35"/>
      <c r="AY97" s="35"/>
      <c r="AZ97" s="35"/>
      <c r="BA97" s="35"/>
      <c r="BB97" s="35"/>
      <c r="BC97" s="35"/>
      <c r="BD97" s="35"/>
      <c r="BE97" s="35"/>
      <c r="BF97" s="35"/>
      <c r="BG97" s="35"/>
      <c r="BH97" s="35"/>
      <c r="BI97" s="35"/>
      <c r="BJ97" s="35"/>
      <c r="BK97" s="35"/>
      <c r="BL97" s="35"/>
    </row>
    <row r="98" spans="1:64" s="83" customFormat="1" x14ac:dyDescent="0.3">
      <c r="A98" s="82"/>
      <c r="B98" s="178" t="str">
        <f>C98</f>
        <v>TBUSGSL100</v>
      </c>
      <c r="C98" s="178" t="s">
        <v>330</v>
      </c>
      <c r="D98" s="179" t="s">
        <v>767</v>
      </c>
      <c r="E98" s="180" t="s">
        <v>1011</v>
      </c>
      <c r="F98" s="182"/>
      <c r="G98" s="181"/>
      <c r="H98" s="182"/>
      <c r="I98" s="183"/>
      <c r="J98" s="184"/>
      <c r="K98" s="184"/>
      <c r="L98" s="203" t="s">
        <v>1106</v>
      </c>
      <c r="M98" s="184" t="s">
        <v>1155</v>
      </c>
      <c r="N98" s="691">
        <f>N$47</f>
        <v>1E-3</v>
      </c>
      <c r="O98" s="691">
        <f t="shared" ref="O98:AB98" si="96">$N98</f>
        <v>1E-3</v>
      </c>
      <c r="P98" s="691">
        <f t="shared" si="96"/>
        <v>1E-3</v>
      </c>
      <c r="Q98" s="691">
        <f t="shared" si="96"/>
        <v>1E-3</v>
      </c>
      <c r="R98" s="691">
        <f t="shared" si="96"/>
        <v>1E-3</v>
      </c>
      <c r="S98" s="691">
        <f t="shared" si="96"/>
        <v>1E-3</v>
      </c>
      <c r="T98" s="691">
        <f t="shared" si="96"/>
        <v>1E-3</v>
      </c>
      <c r="U98" s="691">
        <f t="shared" si="96"/>
        <v>1E-3</v>
      </c>
      <c r="V98" s="691">
        <f t="shared" si="96"/>
        <v>1E-3</v>
      </c>
      <c r="W98" s="691">
        <f t="shared" si="96"/>
        <v>1E-3</v>
      </c>
      <c r="X98" s="691">
        <f t="shared" si="96"/>
        <v>1E-3</v>
      </c>
      <c r="Y98" s="691">
        <f t="shared" si="96"/>
        <v>1E-3</v>
      </c>
      <c r="Z98" s="691">
        <f t="shared" si="96"/>
        <v>1E-3</v>
      </c>
      <c r="AA98" s="691">
        <f t="shared" si="96"/>
        <v>1E-3</v>
      </c>
      <c r="AB98" s="691">
        <f t="shared" si="96"/>
        <v>1E-3</v>
      </c>
      <c r="AD98" s="402" t="str">
        <f>MID(D98,11,3)</f>
        <v>GSL</v>
      </c>
      <c r="AE98" s="357"/>
      <c r="AF98" s="89"/>
      <c r="AV98" s="699" t="str">
        <f t="shared" si="20"/>
        <v>TRAETHM</v>
      </c>
      <c r="AW98" s="567">
        <f t="shared" ref="AW98:AW99" si="97">SUM(AX98:BL98)</f>
        <v>1.8937250415973394E-2</v>
      </c>
      <c r="AX98" s="707">
        <f>N$103*N$104*(1-N99)/N$100/1000</f>
        <v>1.8937250415973394E-2</v>
      </c>
      <c r="AY98" s="707">
        <f t="shared" ref="AY98:BL98" si="98">O$103*O$104*(1-O99)/O$100/1000</f>
        <v>0</v>
      </c>
      <c r="AZ98" s="707">
        <f t="shared" si="98"/>
        <v>0</v>
      </c>
      <c r="BA98" s="707">
        <f t="shared" si="98"/>
        <v>0</v>
      </c>
      <c r="BB98" s="707">
        <f t="shared" si="98"/>
        <v>0</v>
      </c>
      <c r="BC98" s="707">
        <f t="shared" si="98"/>
        <v>0</v>
      </c>
      <c r="BD98" s="707">
        <f t="shared" si="98"/>
        <v>0</v>
      </c>
      <c r="BE98" s="707">
        <f t="shared" si="98"/>
        <v>0</v>
      </c>
      <c r="BF98" s="707">
        <f t="shared" si="98"/>
        <v>0</v>
      </c>
      <c r="BG98" s="707">
        <f t="shared" si="98"/>
        <v>0</v>
      </c>
      <c r="BH98" s="707">
        <f t="shared" si="98"/>
        <v>0</v>
      </c>
      <c r="BI98" s="707">
        <f t="shared" si="98"/>
        <v>0</v>
      </c>
      <c r="BJ98" s="707">
        <f t="shared" si="98"/>
        <v>0</v>
      </c>
      <c r="BK98" s="707">
        <f t="shared" si="98"/>
        <v>0</v>
      </c>
      <c r="BL98" s="707">
        <f t="shared" si="98"/>
        <v>0</v>
      </c>
    </row>
    <row r="99" spans="1:64" x14ac:dyDescent="0.3">
      <c r="A99" s="22"/>
      <c r="B99" s="186" t="str">
        <f>B98</f>
        <v>TBUSGSL100</v>
      </c>
      <c r="C99" s="186"/>
      <c r="D99" s="187"/>
      <c r="E99" s="188" t="s">
        <v>1013</v>
      </c>
      <c r="F99" s="170"/>
      <c r="G99" s="189"/>
      <c r="H99" s="170"/>
      <c r="I99" s="190"/>
      <c r="J99" s="191" t="s">
        <v>1126</v>
      </c>
      <c r="K99" s="191"/>
      <c r="L99" s="211" t="s">
        <v>101</v>
      </c>
      <c r="M99" s="186"/>
      <c r="N99" s="674">
        <f>1-N$22</f>
        <v>0.94899999999999995</v>
      </c>
      <c r="O99" s="674">
        <f t="shared" ref="O99:AB99" si="99">1-O$22</f>
        <v>0.94899999999999995</v>
      </c>
      <c r="P99" s="674">
        <f t="shared" si="99"/>
        <v>0.94899999999999995</v>
      </c>
      <c r="Q99" s="674">
        <f t="shared" si="99"/>
        <v>0.94899999999999995</v>
      </c>
      <c r="R99" s="674">
        <f t="shared" si="99"/>
        <v>0.94899999999999995</v>
      </c>
      <c r="S99" s="674">
        <f t="shared" si="99"/>
        <v>0.94899999999999995</v>
      </c>
      <c r="T99" s="674">
        <f t="shared" si="99"/>
        <v>0.94899999999999995</v>
      </c>
      <c r="U99" s="674">
        <f t="shared" si="99"/>
        <v>0.94899999999999995</v>
      </c>
      <c r="V99" s="674">
        <f t="shared" si="99"/>
        <v>0.94899999999999995</v>
      </c>
      <c r="W99" s="674">
        <f t="shared" si="99"/>
        <v>0.94899999999999995</v>
      </c>
      <c r="X99" s="674">
        <f t="shared" si="99"/>
        <v>0.94899999999999995</v>
      </c>
      <c r="Y99" s="674">
        <f t="shared" si="99"/>
        <v>0.94899999999999995</v>
      </c>
      <c r="Z99" s="674">
        <f t="shared" si="99"/>
        <v>0.94899999999999995</v>
      </c>
      <c r="AA99" s="674">
        <f t="shared" si="99"/>
        <v>0.94899999999999995</v>
      </c>
      <c r="AB99" s="674">
        <f t="shared" si="99"/>
        <v>0.94899999999999995</v>
      </c>
      <c r="AD99" s="66" t="str">
        <f>IF(COUNTIF($AG$4:$AP$4,AD98)=1,"ok","MISSING")</f>
        <v>ok</v>
      </c>
      <c r="AE99" s="357"/>
      <c r="AF99" s="89"/>
      <c r="AG99" s="83"/>
      <c r="AH99" s="83"/>
      <c r="AI99" s="83"/>
      <c r="AJ99" s="83"/>
      <c r="AK99" s="83"/>
      <c r="AL99" s="83"/>
      <c r="AM99" s="83"/>
      <c r="AN99" s="83"/>
      <c r="AO99" s="83"/>
      <c r="AP99" s="83"/>
      <c r="AQ99" s="83"/>
      <c r="AR99" s="83"/>
      <c r="AS99" s="83"/>
      <c r="AT99" s="83"/>
      <c r="AV99" s="699" t="str">
        <f t="shared" si="20"/>
        <v>TRAGSL</v>
      </c>
      <c r="AW99" s="567">
        <f t="shared" si="97"/>
        <v>0.35238138519134776</v>
      </c>
      <c r="AX99" s="707">
        <f t="shared" ref="AX99:BL99" si="100">N$103*N$104*N99/N$100/1000</f>
        <v>0.35238138519134776</v>
      </c>
      <c r="AY99" s="707">
        <f t="shared" si="100"/>
        <v>0</v>
      </c>
      <c r="AZ99" s="707">
        <f t="shared" si="100"/>
        <v>0</v>
      </c>
      <c r="BA99" s="707">
        <f t="shared" si="100"/>
        <v>0</v>
      </c>
      <c r="BB99" s="707">
        <f t="shared" si="100"/>
        <v>0</v>
      </c>
      <c r="BC99" s="707">
        <f t="shared" si="100"/>
        <v>0</v>
      </c>
      <c r="BD99" s="707">
        <f t="shared" si="100"/>
        <v>0</v>
      </c>
      <c r="BE99" s="707">
        <f t="shared" si="100"/>
        <v>0</v>
      </c>
      <c r="BF99" s="707">
        <f t="shared" si="100"/>
        <v>0</v>
      </c>
      <c r="BG99" s="707">
        <f t="shared" si="100"/>
        <v>0</v>
      </c>
      <c r="BH99" s="707">
        <f t="shared" si="100"/>
        <v>0</v>
      </c>
      <c r="BI99" s="707">
        <f t="shared" si="100"/>
        <v>0</v>
      </c>
      <c r="BJ99" s="707">
        <f t="shared" si="100"/>
        <v>0</v>
      </c>
      <c r="BK99" s="707">
        <f t="shared" si="100"/>
        <v>0</v>
      </c>
      <c r="BL99" s="707">
        <f t="shared" si="100"/>
        <v>0</v>
      </c>
    </row>
    <row r="100" spans="1:64" x14ac:dyDescent="0.3">
      <c r="A100" s="22"/>
      <c r="B100" s="186" t="str">
        <f>B99</f>
        <v>TBUSGSL100</v>
      </c>
      <c r="C100" s="186"/>
      <c r="D100" s="187"/>
      <c r="E100" s="186"/>
      <c r="F100" s="170"/>
      <c r="G100" s="188" t="s">
        <v>415</v>
      </c>
      <c r="H100" s="170"/>
      <c r="I100" s="190"/>
      <c r="J100" s="191"/>
      <c r="K100" s="191"/>
      <c r="L100" s="191" t="s">
        <v>1125</v>
      </c>
      <c r="M100" s="186" t="s">
        <v>677</v>
      </c>
      <c r="N100" s="689">
        <f>T_CEFF!H118</f>
        <v>4.8079999999999998E-2</v>
      </c>
      <c r="O100" s="689">
        <f>T_CEFF!I118</f>
        <v>4.8079999999999998E-2</v>
      </c>
      <c r="P100" s="689">
        <f>T_CEFF!J118</f>
        <v>4.8079999999999998E-2</v>
      </c>
      <c r="Q100" s="689">
        <f>T_CEFF!K118</f>
        <v>4.8079999999999998E-2</v>
      </c>
      <c r="R100" s="689">
        <f>T_CEFF!L118</f>
        <v>4.8079999999999998E-2</v>
      </c>
      <c r="S100" s="689">
        <f>T_CEFF!M118</f>
        <v>4.8079999999999998E-2</v>
      </c>
      <c r="T100" s="689">
        <f>T_CEFF!N118</f>
        <v>4.8079999999999998E-2</v>
      </c>
      <c r="U100" s="689">
        <f>T_CEFF!O118</f>
        <v>4.8079999999999998E-2</v>
      </c>
      <c r="V100" s="689">
        <f>T_CEFF!P118</f>
        <v>4.8079999999999998E-2</v>
      </c>
      <c r="W100" s="689">
        <f>T_CEFF!Q118</f>
        <v>4.8079999999999998E-2</v>
      </c>
      <c r="X100" s="689">
        <f>T_CEFF!R118</f>
        <v>4.8079999999999998E-2</v>
      </c>
      <c r="Y100" s="689">
        <f>T_CEFF!S118</f>
        <v>4.8079999999999998E-2</v>
      </c>
      <c r="Z100" s="689">
        <f>T_CEFF!T118</f>
        <v>4.8079999999999998E-2</v>
      </c>
      <c r="AA100" s="689">
        <f>T_CEFF!U118</f>
        <v>4.8079999999999998E-2</v>
      </c>
      <c r="AB100" s="689">
        <f>T_CEFF!V118</f>
        <v>4.8079999999999998E-2</v>
      </c>
      <c r="AE100" s="36"/>
      <c r="AF100" s="68"/>
      <c r="AV100" s="699" t="str">
        <f t="shared" si="20"/>
        <v/>
      </c>
    </row>
    <row r="101" spans="1:64" x14ac:dyDescent="0.3">
      <c r="A101" s="22"/>
      <c r="B101" s="186" t="str">
        <f>B100</f>
        <v>TBUSGSL100</v>
      </c>
      <c r="C101" s="186"/>
      <c r="D101" s="187"/>
      <c r="E101" s="186"/>
      <c r="F101" s="170"/>
      <c r="G101" s="188" t="s">
        <v>592</v>
      </c>
      <c r="H101" s="170"/>
      <c r="I101" s="190"/>
      <c r="J101" s="191"/>
      <c r="K101" s="191"/>
      <c r="L101" s="191" t="s">
        <v>1125</v>
      </c>
      <c r="M101" s="186" t="s">
        <v>677</v>
      </c>
      <c r="N101" s="689">
        <f>T_CEFF!H119</f>
        <v>4.8079999999999998E-2</v>
      </c>
      <c r="O101" s="689">
        <f>T_CEFF!I119</f>
        <v>4.8079999999999998E-2</v>
      </c>
      <c r="P101" s="689">
        <f>T_CEFF!J119</f>
        <v>4.8079999999999998E-2</v>
      </c>
      <c r="Q101" s="689">
        <f>T_CEFF!K119</f>
        <v>4.8079999999999998E-2</v>
      </c>
      <c r="R101" s="689">
        <f>T_CEFF!L119</f>
        <v>4.8079999999999998E-2</v>
      </c>
      <c r="S101" s="689">
        <f>T_CEFF!M119</f>
        <v>4.8079999999999998E-2</v>
      </c>
      <c r="T101" s="689">
        <f>T_CEFF!N119</f>
        <v>4.8079999999999998E-2</v>
      </c>
      <c r="U101" s="689">
        <f>T_CEFF!O119</f>
        <v>4.8079999999999998E-2</v>
      </c>
      <c r="V101" s="689">
        <f>T_CEFF!P119</f>
        <v>4.8079999999999998E-2</v>
      </c>
      <c r="W101" s="689">
        <f>T_CEFF!Q119</f>
        <v>4.8079999999999998E-2</v>
      </c>
      <c r="X101" s="689">
        <f>T_CEFF!R119</f>
        <v>4.8079999999999998E-2</v>
      </c>
      <c r="Y101" s="689">
        <f>T_CEFF!S119</f>
        <v>4.8079999999999998E-2</v>
      </c>
      <c r="Z101" s="689">
        <f>T_CEFF!T119</f>
        <v>4.8079999999999998E-2</v>
      </c>
      <c r="AA101" s="689">
        <f>T_CEFF!U119</f>
        <v>4.8079999999999998E-2</v>
      </c>
      <c r="AB101" s="689">
        <f>T_CEFF!V119</f>
        <v>4.8079999999999998E-2</v>
      </c>
      <c r="AE101" s="36"/>
      <c r="AF101" s="68"/>
      <c r="AV101" s="699" t="str">
        <f t="shared" si="20"/>
        <v/>
      </c>
      <c r="AW101" s="567"/>
      <c r="AX101" s="567"/>
      <c r="AY101" s="567"/>
      <c r="AZ101" s="567"/>
      <c r="BA101" s="567"/>
      <c r="BB101" s="567"/>
      <c r="BC101" s="567"/>
      <c r="BD101" s="567"/>
      <c r="BE101" s="567"/>
      <c r="BF101" s="567"/>
      <c r="BG101" s="567"/>
      <c r="BH101" s="567"/>
      <c r="BI101" s="567"/>
      <c r="BJ101" s="567"/>
      <c r="BK101" s="567"/>
      <c r="BL101" s="567"/>
    </row>
    <row r="102" spans="1:64" x14ac:dyDescent="0.3">
      <c r="A102" s="22"/>
      <c r="B102" s="186" t="str">
        <f t="shared" ref="B102:B110" si="101">B101</f>
        <v>TBUSGSL100</v>
      </c>
      <c r="C102" s="186"/>
      <c r="D102" s="187"/>
      <c r="E102" s="186"/>
      <c r="F102" s="170"/>
      <c r="G102" s="189"/>
      <c r="H102" s="170"/>
      <c r="I102" s="190"/>
      <c r="J102" s="191"/>
      <c r="K102" s="191" t="s">
        <v>748</v>
      </c>
      <c r="L102" s="191" t="s">
        <v>1127</v>
      </c>
      <c r="M102" s="186" t="s">
        <v>1158</v>
      </c>
      <c r="N102" s="602">
        <f t="shared" ref="N102:AB102" si="102">N$16</f>
        <v>18</v>
      </c>
      <c r="O102" s="602">
        <f t="shared" si="102"/>
        <v>0</v>
      </c>
      <c r="P102" s="602">
        <f t="shared" si="102"/>
        <v>0</v>
      </c>
      <c r="Q102" s="602">
        <f t="shared" si="102"/>
        <v>0</v>
      </c>
      <c r="R102" s="602">
        <f t="shared" si="102"/>
        <v>0</v>
      </c>
      <c r="S102" s="602">
        <f t="shared" si="102"/>
        <v>0</v>
      </c>
      <c r="T102" s="602">
        <f t="shared" si="102"/>
        <v>0</v>
      </c>
      <c r="U102" s="602">
        <f t="shared" si="102"/>
        <v>0</v>
      </c>
      <c r="V102" s="602">
        <f t="shared" si="102"/>
        <v>0</v>
      </c>
      <c r="W102" s="602">
        <f t="shared" si="102"/>
        <v>0</v>
      </c>
      <c r="X102" s="602">
        <f t="shared" si="102"/>
        <v>0</v>
      </c>
      <c r="Y102" s="602">
        <f t="shared" si="102"/>
        <v>0</v>
      </c>
      <c r="Z102" s="602">
        <f t="shared" si="102"/>
        <v>0</v>
      </c>
      <c r="AA102" s="602">
        <f t="shared" si="102"/>
        <v>0</v>
      </c>
      <c r="AB102" s="602">
        <f t="shared" si="102"/>
        <v>0</v>
      </c>
      <c r="AE102" s="36"/>
      <c r="AF102" s="68"/>
      <c r="AV102" s="699" t="str">
        <f t="shared" ref="AV102:AV166" si="103">MID(E102,1,7)</f>
        <v/>
      </c>
      <c r="AW102" s="567"/>
      <c r="AX102" s="567"/>
      <c r="AY102" s="567"/>
      <c r="AZ102" s="567"/>
      <c r="BA102" s="567"/>
      <c r="BB102" s="567"/>
      <c r="BC102" s="567"/>
      <c r="BD102" s="567"/>
      <c r="BE102" s="567"/>
      <c r="BF102" s="567"/>
      <c r="BG102" s="567"/>
      <c r="BH102" s="567"/>
      <c r="BI102" s="567"/>
      <c r="BJ102" s="567"/>
      <c r="BK102" s="567"/>
      <c r="BL102" s="567"/>
    </row>
    <row r="103" spans="1:64" x14ac:dyDescent="0.3">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5.5</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1">
        <f>SUM(AF103:AT103)</f>
        <v>0.32135400000000003</v>
      </c>
      <c r="AF103" s="85">
        <f t="shared" ref="AF103:AT103" si="104">N102*N103*N104/1000</f>
        <v>0.32135400000000003</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699" t="str">
        <f t="shared" si="103"/>
        <v/>
      </c>
    </row>
    <row r="104" spans="1:64" x14ac:dyDescent="0.3">
      <c r="A104" s="22"/>
      <c r="B104" s="186" t="str">
        <f t="shared" si="101"/>
        <v>TBUSGSL100</v>
      </c>
      <c r="C104" s="186"/>
      <c r="D104" s="187"/>
      <c r="E104" s="186"/>
      <c r="F104" s="170"/>
      <c r="G104" s="189"/>
      <c r="H104" s="170"/>
      <c r="I104" s="190">
        <f>$M$3</f>
        <v>2019</v>
      </c>
      <c r="J104" s="191"/>
      <c r="K104" s="191"/>
      <c r="L104" s="211" t="s">
        <v>1064</v>
      </c>
      <c r="M104" s="186" t="s">
        <v>747</v>
      </c>
      <c r="N104" s="686">
        <f>LOOKUP($C$98, T_Stock_Private!$C$58:$C$68, T_Stock_Private!D$58:D$68)*(1+N30)</f>
        <v>3.2460000000000004</v>
      </c>
      <c r="O104" s="686">
        <f>LOOKUP($C$98, T_Stock_Private!$C$58:$C$68, T_Stock_Private!E$58:E$68)*(1+O30)</f>
        <v>0</v>
      </c>
      <c r="P104" s="686">
        <f>LOOKUP($C$98, T_Stock_Private!$C$58:$C$68, T_Stock_Private!F$58:F$68)*(1+P30)</f>
        <v>0</v>
      </c>
      <c r="Q104" s="686">
        <f>LOOKUP($C$98, T_Stock_Private!$C$58:$C$68, T_Stock_Private!G$58:G$68)*(1+Q30)</f>
        <v>0</v>
      </c>
      <c r="R104" s="686">
        <f>LOOKUP($C$98, T_Stock_Private!$C$58:$C$68, T_Stock_Private!H$58:H$68)*(1+R30)</f>
        <v>0</v>
      </c>
      <c r="S104" s="686">
        <f>LOOKUP($C$98, T_Stock_Private!$C$58:$C$68, T_Stock_Private!I$58:I$68)*(1+S30)</f>
        <v>0</v>
      </c>
      <c r="T104" s="686">
        <f>LOOKUP($C$98, T_Stock_Private!$C$58:$C$68, T_Stock_Private!J$58:J$68)*(1+T30)</f>
        <v>0</v>
      </c>
      <c r="U104" s="686">
        <f>LOOKUP($C$98, T_Stock_Private!$C$58:$C$68, T_Stock_Private!K$58:K$68)*(1+U30)</f>
        <v>0</v>
      </c>
      <c r="V104" s="686">
        <f>LOOKUP($C$98, T_Stock_Private!$C$58:$C$68, T_Stock_Private!L$58:L$68)*(1+V30)</f>
        <v>0</v>
      </c>
      <c r="W104" s="686">
        <f>LOOKUP($C$98, T_Stock_Private!$C$58:$C$68, T_Stock_Private!M$58:M$68)*(1+W30)</f>
        <v>0</v>
      </c>
      <c r="X104" s="686">
        <f>LOOKUP($C$98, T_Stock_Private!$C$58:$C$68, T_Stock_Private!N$58:N$68)*(1+X30)</f>
        <v>0</v>
      </c>
      <c r="Y104" s="686">
        <f>LOOKUP($C$98, T_Stock_Private!$C$58:$C$68, T_Stock_Private!O$58:O$68)*(1+Y30)</f>
        <v>0</v>
      </c>
      <c r="Z104" s="686">
        <f>LOOKUP($C$98, T_Stock_Private!$C$58:$C$68, T_Stock_Private!P$58:P$68)*(1+Z30)</f>
        <v>0</v>
      </c>
      <c r="AA104" s="686">
        <f>LOOKUP($C$98, T_Stock_Private!$C$58:$C$68, T_Stock_Private!Q$58:Q$68)*(1+AA30)</f>
        <v>0</v>
      </c>
      <c r="AB104" s="686">
        <f>LOOKUP($C$98, T_Stock_Private!$C$58:$C$68, T_Stock_Private!R$58:R$68)*(1+AB30)</f>
        <v>0</v>
      </c>
      <c r="AC104" s="89"/>
      <c r="AV104" s="699" t="str">
        <f t="shared" si="103"/>
        <v/>
      </c>
    </row>
    <row r="105" spans="1:64" x14ac:dyDescent="0.3">
      <c r="A105" s="22"/>
      <c r="B105" s="186" t="str">
        <f t="shared" si="101"/>
        <v>TBUSGSL100</v>
      </c>
      <c r="C105" s="186"/>
      <c r="D105" s="187"/>
      <c r="E105" s="186"/>
      <c r="F105" s="170"/>
      <c r="G105" s="189"/>
      <c r="H105" s="170"/>
      <c r="I105" s="190">
        <f>AF$5</f>
        <v>2020</v>
      </c>
      <c r="J105" s="191"/>
      <c r="K105" s="191"/>
      <c r="L105" s="211" t="s">
        <v>1064</v>
      </c>
      <c r="M105" s="186" t="s">
        <v>747</v>
      </c>
      <c r="N105" s="686">
        <f t="shared" ref="N105:AB105" si="105">N104*LOOKUP($AD98,$AG$4:$AP$4,$AG$5:$AP$5)</f>
        <v>3.0837000000000003</v>
      </c>
      <c r="O105" s="686">
        <f t="shared" si="105"/>
        <v>0</v>
      </c>
      <c r="P105" s="686">
        <f t="shared" si="105"/>
        <v>0</v>
      </c>
      <c r="Q105" s="686">
        <f t="shared" si="105"/>
        <v>0</v>
      </c>
      <c r="R105" s="686">
        <f t="shared" si="105"/>
        <v>0</v>
      </c>
      <c r="S105" s="686">
        <f t="shared" si="105"/>
        <v>0</v>
      </c>
      <c r="T105" s="686">
        <f t="shared" si="105"/>
        <v>0</v>
      </c>
      <c r="U105" s="686">
        <f t="shared" si="105"/>
        <v>0</v>
      </c>
      <c r="V105" s="686">
        <f t="shared" si="105"/>
        <v>0</v>
      </c>
      <c r="W105" s="686">
        <f t="shared" si="105"/>
        <v>0</v>
      </c>
      <c r="X105" s="686">
        <f t="shared" si="105"/>
        <v>0</v>
      </c>
      <c r="Y105" s="686">
        <f t="shared" si="105"/>
        <v>0</v>
      </c>
      <c r="Z105" s="686">
        <f t="shared" si="105"/>
        <v>0</v>
      </c>
      <c r="AA105" s="686">
        <f t="shared" si="105"/>
        <v>0</v>
      </c>
      <c r="AB105" s="686">
        <f t="shared" si="105"/>
        <v>0</v>
      </c>
      <c r="AV105" s="699" t="str">
        <f t="shared" si="103"/>
        <v/>
      </c>
    </row>
    <row r="106" spans="1:64" x14ac:dyDescent="0.3">
      <c r="A106" s="22"/>
      <c r="B106" s="186" t="str">
        <f t="shared" si="101"/>
        <v>TBUSGSL100</v>
      </c>
      <c r="C106" s="186"/>
      <c r="D106" s="187"/>
      <c r="E106" s="186"/>
      <c r="F106" s="170"/>
      <c r="G106" s="189"/>
      <c r="H106" s="170"/>
      <c r="I106" s="190">
        <f>AF$6</f>
        <v>2025</v>
      </c>
      <c r="J106" s="191"/>
      <c r="K106" s="191"/>
      <c r="L106" s="211" t="s">
        <v>1064</v>
      </c>
      <c r="M106" s="186" t="s">
        <v>747</v>
      </c>
      <c r="N106" s="686">
        <f t="shared" ref="N106:AB106" si="106">N104*LOOKUP($AD98,$AG$4:$AP$4,$AG$6:$AP$6)</f>
        <v>1.6230000000000002</v>
      </c>
      <c r="O106" s="686">
        <f t="shared" si="106"/>
        <v>0</v>
      </c>
      <c r="P106" s="686">
        <f t="shared" si="106"/>
        <v>0</v>
      </c>
      <c r="Q106" s="686">
        <f t="shared" si="106"/>
        <v>0</v>
      </c>
      <c r="R106" s="686">
        <f t="shared" si="106"/>
        <v>0</v>
      </c>
      <c r="S106" s="686">
        <f t="shared" si="106"/>
        <v>0</v>
      </c>
      <c r="T106" s="686">
        <f t="shared" si="106"/>
        <v>0</v>
      </c>
      <c r="U106" s="686">
        <f t="shared" si="106"/>
        <v>0</v>
      </c>
      <c r="V106" s="686">
        <f t="shared" si="106"/>
        <v>0</v>
      </c>
      <c r="W106" s="686">
        <f t="shared" si="106"/>
        <v>0</v>
      </c>
      <c r="X106" s="686">
        <f t="shared" si="106"/>
        <v>0</v>
      </c>
      <c r="Y106" s="686">
        <f t="shared" si="106"/>
        <v>0</v>
      </c>
      <c r="Z106" s="686">
        <f t="shared" si="106"/>
        <v>0</v>
      </c>
      <c r="AA106" s="686">
        <f t="shared" si="106"/>
        <v>0</v>
      </c>
      <c r="AB106" s="686">
        <f t="shared" si="106"/>
        <v>0</v>
      </c>
      <c r="AV106" s="699" t="str">
        <f t="shared" si="103"/>
        <v/>
      </c>
    </row>
    <row r="107" spans="1:64" x14ac:dyDescent="0.3">
      <c r="A107" s="22"/>
      <c r="B107" s="186" t="str">
        <f t="shared" si="101"/>
        <v>TBUSGSL100</v>
      </c>
      <c r="C107" s="186"/>
      <c r="D107" s="187"/>
      <c r="E107" s="186"/>
      <c r="F107" s="170"/>
      <c r="G107" s="189"/>
      <c r="H107" s="170"/>
      <c r="I107" s="190">
        <f>AF$7</f>
        <v>2030</v>
      </c>
      <c r="J107" s="191"/>
      <c r="K107" s="191"/>
      <c r="L107" s="211" t="s">
        <v>1064</v>
      </c>
      <c r="M107" s="186" t="s">
        <v>747</v>
      </c>
      <c r="N107" s="686">
        <f t="shared" ref="N107:AB107" si="107">N104*LOOKUP($AD98,$AG$4:$AP$4,$AG$7:$AP$7)</f>
        <v>0</v>
      </c>
      <c r="O107" s="686">
        <f t="shared" si="107"/>
        <v>0</v>
      </c>
      <c r="P107" s="686">
        <f t="shared" si="107"/>
        <v>0</v>
      </c>
      <c r="Q107" s="686">
        <f t="shared" si="107"/>
        <v>0</v>
      </c>
      <c r="R107" s="686">
        <f t="shared" si="107"/>
        <v>0</v>
      </c>
      <c r="S107" s="686">
        <f t="shared" si="107"/>
        <v>0</v>
      </c>
      <c r="T107" s="686">
        <f t="shared" si="107"/>
        <v>0</v>
      </c>
      <c r="U107" s="686">
        <f t="shared" si="107"/>
        <v>0</v>
      </c>
      <c r="V107" s="686">
        <f t="shared" si="107"/>
        <v>0</v>
      </c>
      <c r="W107" s="686">
        <f t="shared" si="107"/>
        <v>0</v>
      </c>
      <c r="X107" s="686">
        <f t="shared" si="107"/>
        <v>0</v>
      </c>
      <c r="Y107" s="686">
        <f t="shared" si="107"/>
        <v>0</v>
      </c>
      <c r="Z107" s="686">
        <f t="shared" si="107"/>
        <v>0</v>
      </c>
      <c r="AA107" s="686">
        <f t="shared" si="107"/>
        <v>0</v>
      </c>
      <c r="AB107" s="686">
        <f t="shared" si="107"/>
        <v>0</v>
      </c>
      <c r="AV107" s="699" t="str">
        <f t="shared" si="103"/>
        <v/>
      </c>
    </row>
    <row r="108" spans="1:64" x14ac:dyDescent="0.3">
      <c r="A108" s="22"/>
      <c r="B108" s="186" t="str">
        <f t="shared" si="101"/>
        <v>TBUSGSL100</v>
      </c>
      <c r="C108" s="186"/>
      <c r="D108" s="187"/>
      <c r="E108" s="186"/>
      <c r="F108" s="170"/>
      <c r="G108" s="189"/>
      <c r="H108" s="170"/>
      <c r="I108" s="190">
        <f>AF$8</f>
        <v>2035</v>
      </c>
      <c r="J108" s="191"/>
      <c r="K108" s="191"/>
      <c r="L108" s="211" t="s">
        <v>1064</v>
      </c>
      <c r="M108" s="186" t="s">
        <v>747</v>
      </c>
      <c r="N108" s="686">
        <f t="shared" ref="N108:AB108" si="108">N104*LOOKUP($AD98,$AG$4:$AP$4,$AG$8:$AP$8)</f>
        <v>0</v>
      </c>
      <c r="O108" s="686">
        <f t="shared" si="108"/>
        <v>0</v>
      </c>
      <c r="P108" s="686">
        <f t="shared" si="108"/>
        <v>0</v>
      </c>
      <c r="Q108" s="686">
        <f t="shared" si="108"/>
        <v>0</v>
      </c>
      <c r="R108" s="686">
        <f t="shared" si="108"/>
        <v>0</v>
      </c>
      <c r="S108" s="686">
        <f t="shared" si="108"/>
        <v>0</v>
      </c>
      <c r="T108" s="686">
        <f t="shared" si="108"/>
        <v>0</v>
      </c>
      <c r="U108" s="686">
        <f t="shared" si="108"/>
        <v>0</v>
      </c>
      <c r="V108" s="686">
        <f t="shared" si="108"/>
        <v>0</v>
      </c>
      <c r="W108" s="686">
        <f t="shared" si="108"/>
        <v>0</v>
      </c>
      <c r="X108" s="686">
        <f t="shared" si="108"/>
        <v>0</v>
      </c>
      <c r="Y108" s="686">
        <f t="shared" si="108"/>
        <v>0</v>
      </c>
      <c r="Z108" s="686">
        <f t="shared" si="108"/>
        <v>0</v>
      </c>
      <c r="AA108" s="686">
        <f t="shared" si="108"/>
        <v>0</v>
      </c>
      <c r="AB108" s="686">
        <f t="shared" si="108"/>
        <v>0</v>
      </c>
      <c r="AV108" s="699" t="str">
        <f t="shared" si="103"/>
        <v/>
      </c>
    </row>
    <row r="109" spans="1:64" x14ac:dyDescent="0.3">
      <c r="A109" s="22"/>
      <c r="B109" s="186" t="str">
        <f t="shared" si="101"/>
        <v>TBUSGSL100</v>
      </c>
      <c r="C109" s="186"/>
      <c r="D109" s="187"/>
      <c r="E109" s="186"/>
      <c r="F109" s="170"/>
      <c r="G109" s="189"/>
      <c r="H109" s="170"/>
      <c r="I109" s="190">
        <f>AF$9</f>
        <v>2040</v>
      </c>
      <c r="J109" s="191"/>
      <c r="K109" s="191"/>
      <c r="L109" s="211" t="s">
        <v>1064</v>
      </c>
      <c r="M109" s="186" t="s">
        <v>747</v>
      </c>
      <c r="N109" s="686">
        <f t="shared" ref="N109:AB109" si="109">N104*LOOKUP($AD98,$AG$4:$AP$4,$AG$9:$AP$9)</f>
        <v>0</v>
      </c>
      <c r="O109" s="686">
        <f t="shared" si="109"/>
        <v>0</v>
      </c>
      <c r="P109" s="686">
        <f t="shared" si="109"/>
        <v>0</v>
      </c>
      <c r="Q109" s="686">
        <f t="shared" si="109"/>
        <v>0</v>
      </c>
      <c r="R109" s="686">
        <f t="shared" si="109"/>
        <v>0</v>
      </c>
      <c r="S109" s="686">
        <f t="shared" si="109"/>
        <v>0</v>
      </c>
      <c r="T109" s="686">
        <f t="shared" si="109"/>
        <v>0</v>
      </c>
      <c r="U109" s="686">
        <f t="shared" si="109"/>
        <v>0</v>
      </c>
      <c r="V109" s="686">
        <f t="shared" si="109"/>
        <v>0</v>
      </c>
      <c r="W109" s="686">
        <f t="shared" si="109"/>
        <v>0</v>
      </c>
      <c r="X109" s="686">
        <f t="shared" si="109"/>
        <v>0</v>
      </c>
      <c r="Y109" s="686">
        <f t="shared" si="109"/>
        <v>0</v>
      </c>
      <c r="Z109" s="686">
        <f t="shared" si="109"/>
        <v>0</v>
      </c>
      <c r="AA109" s="686">
        <f t="shared" si="109"/>
        <v>0</v>
      </c>
      <c r="AB109" s="686">
        <f t="shared" si="109"/>
        <v>0</v>
      </c>
      <c r="AV109" s="699" t="str">
        <f t="shared" si="103"/>
        <v/>
      </c>
    </row>
    <row r="110" spans="1:64" x14ac:dyDescent="0.3">
      <c r="A110" s="22"/>
      <c r="B110" s="193" t="str">
        <f t="shared" si="101"/>
        <v>TBUSGSL100</v>
      </c>
      <c r="C110" s="193"/>
      <c r="D110" s="194"/>
      <c r="E110" s="193"/>
      <c r="F110" s="196"/>
      <c r="G110" s="195"/>
      <c r="H110" s="196"/>
      <c r="I110" s="197">
        <f>AF$10</f>
        <v>2050</v>
      </c>
      <c r="J110" s="198"/>
      <c r="K110" s="198"/>
      <c r="L110" s="199" t="s">
        <v>1064</v>
      </c>
      <c r="M110" s="193" t="s">
        <v>747</v>
      </c>
      <c r="N110" s="687">
        <f t="shared" ref="N110:AB110" si="110">N104*LOOKUP($AD98,$AG$4:$AP$4,$AG$10:$AP$10)</f>
        <v>0</v>
      </c>
      <c r="O110" s="687">
        <f t="shared" si="110"/>
        <v>0</v>
      </c>
      <c r="P110" s="687">
        <f t="shared" si="110"/>
        <v>0</v>
      </c>
      <c r="Q110" s="687">
        <f t="shared" si="110"/>
        <v>0</v>
      </c>
      <c r="R110" s="687">
        <f t="shared" si="110"/>
        <v>0</v>
      </c>
      <c r="S110" s="687">
        <f t="shared" si="110"/>
        <v>0</v>
      </c>
      <c r="T110" s="687">
        <f t="shared" si="110"/>
        <v>0</v>
      </c>
      <c r="U110" s="687">
        <f t="shared" si="110"/>
        <v>0</v>
      </c>
      <c r="V110" s="687">
        <f t="shared" si="110"/>
        <v>0</v>
      </c>
      <c r="W110" s="687">
        <f t="shared" si="110"/>
        <v>0</v>
      </c>
      <c r="X110" s="687">
        <f t="shared" si="110"/>
        <v>0</v>
      </c>
      <c r="Y110" s="687">
        <f t="shared" si="110"/>
        <v>0</v>
      </c>
      <c r="Z110" s="687">
        <f t="shared" si="110"/>
        <v>0</v>
      </c>
      <c r="AA110" s="687">
        <f t="shared" si="110"/>
        <v>0</v>
      </c>
      <c r="AB110" s="687">
        <f t="shared" si="110"/>
        <v>0</v>
      </c>
      <c r="AV110" s="699" t="str">
        <f t="shared" si="103"/>
        <v/>
      </c>
    </row>
    <row r="111" spans="1:64" s="83" customFormat="1" x14ac:dyDescent="0.3">
      <c r="A111" s="82"/>
      <c r="B111" s="178" t="str">
        <f>C111</f>
        <v>TBUSHYD100</v>
      </c>
      <c r="C111" s="178" t="s">
        <v>331</v>
      </c>
      <c r="D111" s="179" t="s">
        <v>768</v>
      </c>
      <c r="E111" s="258" t="s">
        <v>987</v>
      </c>
      <c r="F111" s="182"/>
      <c r="G111" s="181"/>
      <c r="H111" s="182"/>
      <c r="I111" s="183"/>
      <c r="J111" s="184"/>
      <c r="K111" s="184"/>
      <c r="L111" s="203" t="s">
        <v>1106</v>
      </c>
      <c r="M111" s="184" t="s">
        <v>1155</v>
      </c>
      <c r="N111" s="691">
        <f>N$47</f>
        <v>1E-3</v>
      </c>
      <c r="O111" s="691">
        <f t="shared" ref="O111:AB111" si="111">$N111</f>
        <v>1E-3</v>
      </c>
      <c r="P111" s="691">
        <f t="shared" si="111"/>
        <v>1E-3</v>
      </c>
      <c r="Q111" s="691">
        <f t="shared" si="111"/>
        <v>1E-3</v>
      </c>
      <c r="R111" s="691">
        <f t="shared" si="111"/>
        <v>1E-3</v>
      </c>
      <c r="S111" s="691">
        <f t="shared" si="111"/>
        <v>1E-3</v>
      </c>
      <c r="T111" s="691">
        <f t="shared" si="111"/>
        <v>1E-3</v>
      </c>
      <c r="U111" s="691">
        <f t="shared" si="111"/>
        <v>1E-3</v>
      </c>
      <c r="V111" s="691">
        <f t="shared" si="111"/>
        <v>1E-3</v>
      </c>
      <c r="W111" s="691">
        <f t="shared" si="111"/>
        <v>1E-3</v>
      </c>
      <c r="X111" s="691">
        <f t="shared" si="111"/>
        <v>1E-3</v>
      </c>
      <c r="Y111" s="691">
        <f t="shared" si="111"/>
        <v>1E-3</v>
      </c>
      <c r="Z111" s="691">
        <f t="shared" si="111"/>
        <v>1E-3</v>
      </c>
      <c r="AA111" s="691">
        <f t="shared" si="111"/>
        <v>1E-3</v>
      </c>
      <c r="AB111" s="691">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699" t="str">
        <f t="shared" si="103"/>
        <v>TRABDL</v>
      </c>
      <c r="AW111" s="567">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3">
      <c r="A112" s="22"/>
      <c r="B112" s="186" t="str">
        <f>B111</f>
        <v>TBUSHYD100</v>
      </c>
      <c r="C112" s="186"/>
      <c r="D112" s="187"/>
      <c r="E112" s="258" t="s">
        <v>185</v>
      </c>
      <c r="F112" s="170"/>
      <c r="G112" s="189"/>
      <c r="H112" s="170"/>
      <c r="I112" s="190"/>
      <c r="J112" s="184" t="str">
        <f>$J$48</f>
        <v>UP</v>
      </c>
      <c r="K112" s="191"/>
      <c r="L112" s="211" t="s">
        <v>101</v>
      </c>
      <c r="M112" s="186"/>
      <c r="N112" s="689">
        <f>1-N$21</f>
        <v>0.94496029288387329</v>
      </c>
      <c r="O112" s="689">
        <f t="shared" ref="O112:AB112" si="113">1-O$21</f>
        <v>0.94496029288387329</v>
      </c>
      <c r="P112" s="689">
        <f t="shared" si="113"/>
        <v>0.94496029288387329</v>
      </c>
      <c r="Q112" s="689">
        <f t="shared" si="113"/>
        <v>0.94496029288387329</v>
      </c>
      <c r="R112" s="689">
        <f t="shared" si="113"/>
        <v>0.94496029288387329</v>
      </c>
      <c r="S112" s="689">
        <f t="shared" si="113"/>
        <v>0.94496029288387329</v>
      </c>
      <c r="T112" s="689">
        <f t="shared" si="113"/>
        <v>0.94496029288387329</v>
      </c>
      <c r="U112" s="689">
        <f t="shared" si="113"/>
        <v>0.94496029288387329</v>
      </c>
      <c r="V112" s="689">
        <f t="shared" si="113"/>
        <v>0.94496029288387329</v>
      </c>
      <c r="W112" s="689">
        <f t="shared" si="113"/>
        <v>0.94496029288387329</v>
      </c>
      <c r="X112" s="689">
        <f t="shared" si="113"/>
        <v>0.94496029288387329</v>
      </c>
      <c r="Y112" s="689">
        <f t="shared" si="113"/>
        <v>0.94496029288387329</v>
      </c>
      <c r="Z112" s="689">
        <f t="shared" si="113"/>
        <v>0.94496029288387329</v>
      </c>
      <c r="AA112" s="689">
        <f t="shared" si="113"/>
        <v>0.94496029288387329</v>
      </c>
      <c r="AB112" s="689">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699" t="str">
        <f t="shared" si="103"/>
        <v>TRADST</v>
      </c>
      <c r="AW112" s="567">
        <f t="shared" si="112"/>
        <v>0</v>
      </c>
    </row>
    <row r="113" spans="1:64" s="83" customFormat="1" x14ac:dyDescent="0.3">
      <c r="A113" s="82"/>
      <c r="B113" s="178" t="str">
        <f t="shared" ref="B113" si="114">B112</f>
        <v>TBUSHYD100</v>
      </c>
      <c r="C113" s="178"/>
      <c r="D113" s="179"/>
      <c r="E113" s="407" t="s">
        <v>989</v>
      </c>
      <c r="F113" s="182"/>
      <c r="G113" s="181"/>
      <c r="H113" s="182"/>
      <c r="I113" s="183"/>
      <c r="J113" s="184" t="s">
        <v>1156</v>
      </c>
      <c r="K113" s="184"/>
      <c r="L113" s="203" t="s">
        <v>101</v>
      </c>
      <c r="M113" s="184"/>
      <c r="N113" s="689">
        <f>N$20</f>
        <v>7.0000000000000007E-2</v>
      </c>
      <c r="O113" s="689">
        <f t="shared" ref="O113:AB113" si="115">O$20</f>
        <v>7.0000000000000007E-2</v>
      </c>
      <c r="P113" s="689">
        <f t="shared" si="115"/>
        <v>7.0000000000000007E-2</v>
      </c>
      <c r="Q113" s="689">
        <f t="shared" si="115"/>
        <v>7.0000000000000007E-2</v>
      </c>
      <c r="R113" s="689">
        <f t="shared" si="115"/>
        <v>7.0000000000000007E-2</v>
      </c>
      <c r="S113" s="689">
        <f t="shared" si="115"/>
        <v>7.0000000000000007E-2</v>
      </c>
      <c r="T113" s="689">
        <f t="shared" si="115"/>
        <v>7.0000000000000007E-2</v>
      </c>
      <c r="U113" s="689">
        <f t="shared" si="115"/>
        <v>7.0000000000000007E-2</v>
      </c>
      <c r="V113" s="689">
        <f t="shared" si="115"/>
        <v>7.0000000000000007E-2</v>
      </c>
      <c r="W113" s="689">
        <f t="shared" si="115"/>
        <v>7.0000000000000007E-2</v>
      </c>
      <c r="X113" s="689">
        <f t="shared" si="115"/>
        <v>7.0000000000000007E-2</v>
      </c>
      <c r="Y113" s="689">
        <f t="shared" si="115"/>
        <v>7.0000000000000007E-2</v>
      </c>
      <c r="Z113" s="689">
        <f t="shared" si="115"/>
        <v>7.0000000000000007E-2</v>
      </c>
      <c r="AA113" s="689">
        <f t="shared" si="115"/>
        <v>7.0000000000000007E-2</v>
      </c>
      <c r="AB113" s="689">
        <f t="shared" si="115"/>
        <v>7.0000000000000007E-2</v>
      </c>
      <c r="AD113" s="408"/>
      <c r="AE113" s="357"/>
      <c r="AF113" s="84"/>
      <c r="AG113" s="84"/>
      <c r="AH113" s="84"/>
      <c r="AI113" s="84"/>
      <c r="AJ113" s="84"/>
      <c r="AK113" s="84"/>
      <c r="AL113" s="84"/>
      <c r="AM113" s="84"/>
      <c r="AN113" s="84"/>
      <c r="AO113" s="84"/>
      <c r="AP113" s="84"/>
      <c r="AQ113" s="84"/>
      <c r="AR113" s="84"/>
      <c r="AS113" s="84"/>
      <c r="AT113" s="84"/>
      <c r="AV113" s="699"/>
      <c r="AW113" s="567"/>
      <c r="AX113" s="707"/>
      <c r="AY113" s="35"/>
      <c r="AZ113" s="35"/>
      <c r="BA113" s="35"/>
      <c r="BB113" s="35"/>
      <c r="BC113" s="35"/>
      <c r="BD113" s="35"/>
      <c r="BE113" s="35"/>
      <c r="BF113" s="35"/>
      <c r="BG113" s="35"/>
      <c r="BH113" s="35"/>
      <c r="BI113" s="35"/>
      <c r="BJ113" s="35"/>
      <c r="BK113" s="35"/>
      <c r="BL113" s="35"/>
    </row>
    <row r="114" spans="1:64" x14ac:dyDescent="0.3">
      <c r="A114" s="22"/>
      <c r="B114" s="186" t="str">
        <f>B112</f>
        <v>TBUSHYD100</v>
      </c>
      <c r="C114" s="186"/>
      <c r="D114" s="187"/>
      <c r="E114" s="186"/>
      <c r="F114" s="170"/>
      <c r="G114" s="188" t="s">
        <v>415</v>
      </c>
      <c r="H114" s="170"/>
      <c r="I114" s="190"/>
      <c r="J114" s="191"/>
      <c r="K114" s="191"/>
      <c r="L114" s="191" t="s">
        <v>1125</v>
      </c>
      <c r="M114" s="186" t="s">
        <v>677</v>
      </c>
      <c r="N114" s="689">
        <f>T_CEFF!H120</f>
        <v>7.4069999999999997E-2</v>
      </c>
      <c r="O114" s="689">
        <f>T_CEFF!I120</f>
        <v>7.4069999999999997E-2</v>
      </c>
      <c r="P114" s="689">
        <f>T_CEFF!J120</f>
        <v>7.4069999999999997E-2</v>
      </c>
      <c r="Q114" s="689">
        <f>T_CEFF!K120</f>
        <v>7.4069999999999997E-2</v>
      </c>
      <c r="R114" s="689">
        <f>T_CEFF!L120</f>
        <v>7.4069999999999997E-2</v>
      </c>
      <c r="S114" s="689">
        <f>T_CEFF!M120</f>
        <v>7.4069999999999997E-2</v>
      </c>
      <c r="T114" s="689">
        <f>T_CEFF!N120</f>
        <v>7.4069999999999997E-2</v>
      </c>
      <c r="U114" s="689">
        <f>T_CEFF!O120</f>
        <v>7.4069999999999997E-2</v>
      </c>
      <c r="V114" s="689">
        <f>T_CEFF!P120</f>
        <v>7.4069999999999997E-2</v>
      </c>
      <c r="W114" s="689">
        <f>T_CEFF!Q120</f>
        <v>7.4069999999999997E-2</v>
      </c>
      <c r="X114" s="689">
        <f>T_CEFF!R120</f>
        <v>7.4069999999999997E-2</v>
      </c>
      <c r="Y114" s="689">
        <f>T_CEFF!S120</f>
        <v>7.4069999999999997E-2</v>
      </c>
      <c r="Z114" s="689">
        <f>T_CEFF!T120</f>
        <v>7.4069999999999997E-2</v>
      </c>
      <c r="AA114" s="689">
        <f>T_CEFF!U120</f>
        <v>7.4069999999999997E-2</v>
      </c>
      <c r="AB114" s="689">
        <f>T_CEFF!V120</f>
        <v>7.4069999999999997E-2</v>
      </c>
      <c r="AE114" s="36"/>
      <c r="AF114" s="68"/>
      <c r="AV114" s="699" t="str">
        <f t="shared" si="103"/>
        <v/>
      </c>
    </row>
    <row r="115" spans="1:64" x14ac:dyDescent="0.3">
      <c r="A115" s="22"/>
      <c r="B115" s="186" t="str">
        <f>B114</f>
        <v>TBUSHYD100</v>
      </c>
      <c r="C115" s="186"/>
      <c r="D115" s="187"/>
      <c r="E115" s="186"/>
      <c r="F115" s="170"/>
      <c r="G115" s="188" t="s">
        <v>592</v>
      </c>
      <c r="H115" s="170"/>
      <c r="I115" s="190"/>
      <c r="J115" s="191"/>
      <c r="K115" s="191"/>
      <c r="L115" s="191" t="s">
        <v>1125</v>
      </c>
      <c r="M115" s="186" t="s">
        <v>677</v>
      </c>
      <c r="N115" s="689">
        <f>T_CEFF!H121</f>
        <v>7.4069999999999997E-2</v>
      </c>
      <c r="O115" s="689">
        <f>T_CEFF!I121</f>
        <v>7.4069999999999997E-2</v>
      </c>
      <c r="P115" s="689">
        <f>T_CEFF!J121</f>
        <v>7.4069999999999997E-2</v>
      </c>
      <c r="Q115" s="689">
        <f>T_CEFF!K121</f>
        <v>7.4069999999999997E-2</v>
      </c>
      <c r="R115" s="689">
        <f>T_CEFF!L121</f>
        <v>7.4069999999999997E-2</v>
      </c>
      <c r="S115" s="689">
        <f>T_CEFF!M121</f>
        <v>7.4069999999999997E-2</v>
      </c>
      <c r="T115" s="689">
        <f>T_CEFF!N121</f>
        <v>7.4069999999999997E-2</v>
      </c>
      <c r="U115" s="689">
        <f>T_CEFF!O121</f>
        <v>7.4069999999999997E-2</v>
      </c>
      <c r="V115" s="689">
        <f>T_CEFF!P121</f>
        <v>7.4069999999999997E-2</v>
      </c>
      <c r="W115" s="689">
        <f>T_CEFF!Q121</f>
        <v>7.4069999999999997E-2</v>
      </c>
      <c r="X115" s="689">
        <f>T_CEFF!R121</f>
        <v>7.4069999999999997E-2</v>
      </c>
      <c r="Y115" s="689">
        <f>T_CEFF!S121</f>
        <v>7.4069999999999997E-2</v>
      </c>
      <c r="Z115" s="689">
        <f>T_CEFF!T121</f>
        <v>7.4069999999999997E-2</v>
      </c>
      <c r="AA115" s="689">
        <f>T_CEFF!U121</f>
        <v>7.4069999999999997E-2</v>
      </c>
      <c r="AB115" s="689">
        <f>T_CEFF!V121</f>
        <v>7.4069999999999997E-2</v>
      </c>
      <c r="AE115" s="36"/>
      <c r="AF115" s="68"/>
      <c r="AV115" s="699" t="str">
        <f t="shared" si="103"/>
        <v/>
      </c>
      <c r="AW115" s="567"/>
      <c r="AX115" s="567"/>
      <c r="AY115" s="567"/>
      <c r="AZ115" s="567"/>
      <c r="BA115" s="567"/>
      <c r="BB115" s="567"/>
      <c r="BC115" s="567"/>
      <c r="BD115" s="567"/>
      <c r="BE115" s="567"/>
      <c r="BF115" s="567"/>
      <c r="BG115" s="567"/>
      <c r="BH115" s="567"/>
      <c r="BI115" s="567"/>
      <c r="BJ115" s="567"/>
      <c r="BK115" s="567"/>
      <c r="BL115" s="567"/>
    </row>
    <row r="116" spans="1:64" x14ac:dyDescent="0.3">
      <c r="A116" s="22"/>
      <c r="B116" s="186" t="str">
        <f t="shared" ref="B116:B124" si="116">B115</f>
        <v>TBUSHYD100</v>
      </c>
      <c r="C116" s="186"/>
      <c r="D116" s="187"/>
      <c r="E116" s="186"/>
      <c r="F116" s="170"/>
      <c r="G116" s="189"/>
      <c r="H116" s="170"/>
      <c r="I116" s="190"/>
      <c r="J116" s="191"/>
      <c r="K116" s="191" t="s">
        <v>748</v>
      </c>
      <c r="L116" s="191" t="s">
        <v>1127</v>
      </c>
      <c r="M116" s="186" t="s">
        <v>1158</v>
      </c>
      <c r="N116" s="602">
        <f t="shared" ref="N116:AB116" si="117">N$16</f>
        <v>18</v>
      </c>
      <c r="O116" s="602">
        <f t="shared" si="117"/>
        <v>0</v>
      </c>
      <c r="P116" s="602">
        <f t="shared" si="117"/>
        <v>0</v>
      </c>
      <c r="Q116" s="602">
        <f t="shared" si="117"/>
        <v>0</v>
      </c>
      <c r="R116" s="602">
        <f t="shared" si="117"/>
        <v>0</v>
      </c>
      <c r="S116" s="602">
        <f t="shared" si="117"/>
        <v>0</v>
      </c>
      <c r="T116" s="602">
        <f t="shared" si="117"/>
        <v>0</v>
      </c>
      <c r="U116" s="602">
        <f t="shared" si="117"/>
        <v>0</v>
      </c>
      <c r="V116" s="602">
        <f t="shared" si="117"/>
        <v>0</v>
      </c>
      <c r="W116" s="602">
        <f t="shared" si="117"/>
        <v>0</v>
      </c>
      <c r="X116" s="602">
        <f t="shared" si="117"/>
        <v>0</v>
      </c>
      <c r="Y116" s="602">
        <f t="shared" si="117"/>
        <v>0</v>
      </c>
      <c r="Z116" s="602">
        <f t="shared" si="117"/>
        <v>0</v>
      </c>
      <c r="AA116" s="602">
        <f t="shared" si="117"/>
        <v>0</v>
      </c>
      <c r="AB116" s="602">
        <f t="shared" si="117"/>
        <v>0</v>
      </c>
      <c r="AE116" s="36"/>
      <c r="AF116" s="68"/>
      <c r="AV116" s="699" t="str">
        <f t="shared" si="103"/>
        <v/>
      </c>
      <c r="AW116" s="567"/>
      <c r="AX116" s="567"/>
      <c r="AY116" s="567"/>
      <c r="AZ116" s="567"/>
      <c r="BA116" s="567"/>
      <c r="BB116" s="567"/>
      <c r="BC116" s="567"/>
      <c r="BD116" s="567"/>
      <c r="BE116" s="567"/>
      <c r="BF116" s="567"/>
      <c r="BG116" s="567"/>
      <c r="BH116" s="567"/>
      <c r="BI116" s="567"/>
      <c r="BJ116" s="567"/>
      <c r="BK116" s="567"/>
      <c r="BL116" s="567"/>
    </row>
    <row r="117" spans="1:64" x14ac:dyDescent="0.3">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5.5</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1">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699" t="str">
        <f t="shared" si="103"/>
        <v/>
      </c>
    </row>
    <row r="118" spans="1:64" x14ac:dyDescent="0.3">
      <c r="A118" s="22"/>
      <c r="B118" s="186" t="str">
        <f t="shared" si="116"/>
        <v>TBUSHYD100</v>
      </c>
      <c r="C118" s="186"/>
      <c r="D118" s="187"/>
      <c r="E118" s="186"/>
      <c r="F118" s="170"/>
      <c r="G118" s="189"/>
      <c r="H118" s="170"/>
      <c r="I118" s="190">
        <f>$M$3</f>
        <v>2019</v>
      </c>
      <c r="J118" s="191"/>
      <c r="K118" s="191"/>
      <c r="L118" s="211" t="s">
        <v>1064</v>
      </c>
      <c r="M118" s="186" t="s">
        <v>747</v>
      </c>
      <c r="N118" s="686">
        <f>LOOKUP($C$111, T_Stock_Private!$C$58:$C$68, T_Stock_Private!D$58:D$68)*(1+N30)</f>
        <v>0</v>
      </c>
      <c r="O118" s="686">
        <f>LOOKUP($C$111, T_Stock_Private!$C$58:$C$68, T_Stock_Private!E$58:E$68)*(1+O30)</f>
        <v>0</v>
      </c>
      <c r="P118" s="686">
        <f>LOOKUP($C$111, T_Stock_Private!$C$58:$C$68, T_Stock_Private!F$58:F$68)*(1+P30)</f>
        <v>0</v>
      </c>
      <c r="Q118" s="686">
        <f>LOOKUP($C$111, T_Stock_Private!$C$58:$C$68, T_Stock_Private!G$58:G$68)*(1+Q30)</f>
        <v>0</v>
      </c>
      <c r="R118" s="686">
        <f>LOOKUP($C$111, T_Stock_Private!$C$58:$C$68, T_Stock_Private!H$58:H$68)*(1+R30)</f>
        <v>0</v>
      </c>
      <c r="S118" s="686">
        <f>LOOKUP($C$111, T_Stock_Private!$C$58:$C$68, T_Stock_Private!I$58:I$68)*(1+S30)</f>
        <v>0</v>
      </c>
      <c r="T118" s="686">
        <f>LOOKUP($C$111, T_Stock_Private!$C$58:$C$68, T_Stock_Private!J$58:J$68)*(1+T30)</f>
        <v>0</v>
      </c>
      <c r="U118" s="686">
        <f>LOOKUP($C$111, T_Stock_Private!$C$58:$C$68, T_Stock_Private!K$58:K$68)*(1+U30)</f>
        <v>0</v>
      </c>
      <c r="V118" s="686">
        <f>LOOKUP($C$111, T_Stock_Private!$C$58:$C$68, T_Stock_Private!L$58:L$68)*(1+V30)</f>
        <v>0</v>
      </c>
      <c r="W118" s="686">
        <f>LOOKUP($C$111, T_Stock_Private!$C$58:$C$68, T_Stock_Private!M$58:M$68)*(1+W30)</f>
        <v>0</v>
      </c>
      <c r="X118" s="686">
        <f>LOOKUP($C$111, T_Stock_Private!$C$58:$C$68, T_Stock_Private!N$58:N$68)*(1+X30)</f>
        <v>0</v>
      </c>
      <c r="Y118" s="686">
        <f>LOOKUP($C$111, T_Stock_Private!$C$58:$C$68, T_Stock_Private!O$58:O$68)*(1+Y30)</f>
        <v>0</v>
      </c>
      <c r="Z118" s="686">
        <f>LOOKUP($C$111, T_Stock_Private!$C$58:$C$68, T_Stock_Private!P$58:P$68)*(1+Z30)</f>
        <v>0</v>
      </c>
      <c r="AA118" s="686">
        <f>LOOKUP($C$111, T_Stock_Private!$C$58:$C$68, T_Stock_Private!Q$58:Q$68)*(1+AA30)</f>
        <v>0</v>
      </c>
      <c r="AB118" s="686">
        <f>LOOKUP($C$111, T_Stock_Private!$C$58:$C$68, T_Stock_Private!R$58:R$68)*(1+AB30)</f>
        <v>0</v>
      </c>
      <c r="AC118" s="89"/>
      <c r="AV118" s="699" t="str">
        <f t="shared" si="103"/>
        <v/>
      </c>
    </row>
    <row r="119" spans="1:64" x14ac:dyDescent="0.3">
      <c r="A119" s="22"/>
      <c r="B119" s="186" t="str">
        <f t="shared" si="116"/>
        <v>TBUSHYD100</v>
      </c>
      <c r="C119" s="186"/>
      <c r="D119" s="187"/>
      <c r="E119" s="186"/>
      <c r="F119" s="170"/>
      <c r="G119" s="189"/>
      <c r="H119" s="170"/>
      <c r="I119" s="190">
        <f>AF$5</f>
        <v>2020</v>
      </c>
      <c r="J119" s="191"/>
      <c r="K119" s="191"/>
      <c r="L119" s="211" t="s">
        <v>1064</v>
      </c>
      <c r="M119" s="186" t="s">
        <v>747</v>
      </c>
      <c r="N119" s="686">
        <f t="shared" ref="N119:AB119" si="119">N118*LOOKUP($AD111,$AG$4:$AP$4,$AG$5:$AP$5)</f>
        <v>0</v>
      </c>
      <c r="O119" s="686">
        <f t="shared" si="119"/>
        <v>0</v>
      </c>
      <c r="P119" s="686">
        <f t="shared" si="119"/>
        <v>0</v>
      </c>
      <c r="Q119" s="686">
        <f t="shared" si="119"/>
        <v>0</v>
      </c>
      <c r="R119" s="686">
        <f t="shared" si="119"/>
        <v>0</v>
      </c>
      <c r="S119" s="686">
        <f t="shared" si="119"/>
        <v>0</v>
      </c>
      <c r="T119" s="686">
        <f t="shared" si="119"/>
        <v>0</v>
      </c>
      <c r="U119" s="686">
        <f t="shared" si="119"/>
        <v>0</v>
      </c>
      <c r="V119" s="686">
        <f t="shared" si="119"/>
        <v>0</v>
      </c>
      <c r="W119" s="686">
        <f t="shared" si="119"/>
        <v>0</v>
      </c>
      <c r="X119" s="686">
        <f t="shared" si="119"/>
        <v>0</v>
      </c>
      <c r="Y119" s="686">
        <f t="shared" si="119"/>
        <v>0</v>
      </c>
      <c r="Z119" s="686">
        <f t="shared" si="119"/>
        <v>0</v>
      </c>
      <c r="AA119" s="686">
        <f t="shared" si="119"/>
        <v>0</v>
      </c>
      <c r="AB119" s="686">
        <f t="shared" si="119"/>
        <v>0</v>
      </c>
      <c r="AV119" s="699" t="str">
        <f t="shared" si="103"/>
        <v/>
      </c>
    </row>
    <row r="120" spans="1:64" x14ac:dyDescent="0.3">
      <c r="A120" s="22"/>
      <c r="B120" s="186" t="str">
        <f t="shared" si="116"/>
        <v>TBUSHYD100</v>
      </c>
      <c r="C120" s="186"/>
      <c r="D120" s="187"/>
      <c r="E120" s="186"/>
      <c r="F120" s="170"/>
      <c r="G120" s="189"/>
      <c r="H120" s="170"/>
      <c r="I120" s="190">
        <f>AF$6</f>
        <v>2025</v>
      </c>
      <c r="J120" s="191"/>
      <c r="K120" s="191"/>
      <c r="L120" s="211" t="s">
        <v>1064</v>
      </c>
      <c r="M120" s="186" t="s">
        <v>747</v>
      </c>
      <c r="N120" s="686">
        <f t="shared" ref="N120:AB120" si="120">N118*LOOKUP($AD111,$AG$4:$AP$4,$AG$6:$AP$6)</f>
        <v>0</v>
      </c>
      <c r="O120" s="686">
        <f t="shared" si="120"/>
        <v>0</v>
      </c>
      <c r="P120" s="686">
        <f t="shared" si="120"/>
        <v>0</v>
      </c>
      <c r="Q120" s="686">
        <f t="shared" si="120"/>
        <v>0</v>
      </c>
      <c r="R120" s="686">
        <f t="shared" si="120"/>
        <v>0</v>
      </c>
      <c r="S120" s="686">
        <f t="shared" si="120"/>
        <v>0</v>
      </c>
      <c r="T120" s="686">
        <f t="shared" si="120"/>
        <v>0</v>
      </c>
      <c r="U120" s="686">
        <f t="shared" si="120"/>
        <v>0</v>
      </c>
      <c r="V120" s="686">
        <f t="shared" si="120"/>
        <v>0</v>
      </c>
      <c r="W120" s="686">
        <f t="shared" si="120"/>
        <v>0</v>
      </c>
      <c r="X120" s="686">
        <f t="shared" si="120"/>
        <v>0</v>
      </c>
      <c r="Y120" s="686">
        <f t="shared" si="120"/>
        <v>0</v>
      </c>
      <c r="Z120" s="686">
        <f t="shared" si="120"/>
        <v>0</v>
      </c>
      <c r="AA120" s="686">
        <f t="shared" si="120"/>
        <v>0</v>
      </c>
      <c r="AB120" s="686">
        <f t="shared" si="120"/>
        <v>0</v>
      </c>
      <c r="AV120" s="699" t="str">
        <f t="shared" si="103"/>
        <v/>
      </c>
    </row>
    <row r="121" spans="1:64" x14ac:dyDescent="0.3">
      <c r="A121" s="22"/>
      <c r="B121" s="186" t="str">
        <f t="shared" si="116"/>
        <v>TBUSHYD100</v>
      </c>
      <c r="C121" s="186"/>
      <c r="D121" s="187"/>
      <c r="E121" s="186"/>
      <c r="F121" s="170"/>
      <c r="G121" s="189"/>
      <c r="H121" s="170"/>
      <c r="I121" s="190">
        <f>AF$7</f>
        <v>2030</v>
      </c>
      <c r="J121" s="191"/>
      <c r="K121" s="191"/>
      <c r="L121" s="211" t="s">
        <v>1064</v>
      </c>
      <c r="M121" s="186" t="s">
        <v>747</v>
      </c>
      <c r="N121" s="686">
        <f t="shared" ref="N121:AB121" si="121">N118*LOOKUP($AD111,$AG$4:$AP$4,$AG$7:$AP$7)</f>
        <v>0</v>
      </c>
      <c r="O121" s="686">
        <f t="shared" si="121"/>
        <v>0</v>
      </c>
      <c r="P121" s="686">
        <f t="shared" si="121"/>
        <v>0</v>
      </c>
      <c r="Q121" s="686">
        <f t="shared" si="121"/>
        <v>0</v>
      </c>
      <c r="R121" s="686">
        <f t="shared" si="121"/>
        <v>0</v>
      </c>
      <c r="S121" s="686">
        <f t="shared" si="121"/>
        <v>0</v>
      </c>
      <c r="T121" s="686">
        <f t="shared" si="121"/>
        <v>0</v>
      </c>
      <c r="U121" s="686">
        <f t="shared" si="121"/>
        <v>0</v>
      </c>
      <c r="V121" s="686">
        <f t="shared" si="121"/>
        <v>0</v>
      </c>
      <c r="W121" s="686">
        <f t="shared" si="121"/>
        <v>0</v>
      </c>
      <c r="X121" s="686">
        <f t="shared" si="121"/>
        <v>0</v>
      </c>
      <c r="Y121" s="686">
        <f t="shared" si="121"/>
        <v>0</v>
      </c>
      <c r="Z121" s="686">
        <f t="shared" si="121"/>
        <v>0</v>
      </c>
      <c r="AA121" s="686">
        <f t="shared" si="121"/>
        <v>0</v>
      </c>
      <c r="AB121" s="686">
        <f t="shared" si="121"/>
        <v>0</v>
      </c>
      <c r="AV121" s="699" t="str">
        <f t="shared" si="103"/>
        <v/>
      </c>
    </row>
    <row r="122" spans="1:64" x14ac:dyDescent="0.3">
      <c r="A122" s="22"/>
      <c r="B122" s="186" t="str">
        <f t="shared" si="116"/>
        <v>TBUSHYD100</v>
      </c>
      <c r="C122" s="186"/>
      <c r="D122" s="187"/>
      <c r="E122" s="186"/>
      <c r="F122" s="170"/>
      <c r="G122" s="189"/>
      <c r="H122" s="170"/>
      <c r="I122" s="190">
        <f>AF$8</f>
        <v>2035</v>
      </c>
      <c r="J122" s="191"/>
      <c r="K122" s="191"/>
      <c r="L122" s="211" t="s">
        <v>1064</v>
      </c>
      <c r="M122" s="186" t="s">
        <v>747</v>
      </c>
      <c r="N122" s="686">
        <f t="shared" ref="N122:AB122" si="122">N118*LOOKUP($AD111,$AG$4:$AP$4,$AG$8:$AP$8)</f>
        <v>0</v>
      </c>
      <c r="O122" s="686">
        <f t="shared" si="122"/>
        <v>0</v>
      </c>
      <c r="P122" s="686">
        <f t="shared" si="122"/>
        <v>0</v>
      </c>
      <c r="Q122" s="686">
        <f t="shared" si="122"/>
        <v>0</v>
      </c>
      <c r="R122" s="686">
        <f t="shared" si="122"/>
        <v>0</v>
      </c>
      <c r="S122" s="686">
        <f t="shared" si="122"/>
        <v>0</v>
      </c>
      <c r="T122" s="686">
        <f t="shared" si="122"/>
        <v>0</v>
      </c>
      <c r="U122" s="686">
        <f t="shared" si="122"/>
        <v>0</v>
      </c>
      <c r="V122" s="686">
        <f t="shared" si="122"/>
        <v>0</v>
      </c>
      <c r="W122" s="686">
        <f t="shared" si="122"/>
        <v>0</v>
      </c>
      <c r="X122" s="686">
        <f t="shared" si="122"/>
        <v>0</v>
      </c>
      <c r="Y122" s="686">
        <f t="shared" si="122"/>
        <v>0</v>
      </c>
      <c r="Z122" s="686">
        <f t="shared" si="122"/>
        <v>0</v>
      </c>
      <c r="AA122" s="686">
        <f t="shared" si="122"/>
        <v>0</v>
      </c>
      <c r="AB122" s="686">
        <f t="shared" si="122"/>
        <v>0</v>
      </c>
      <c r="AV122" s="699" t="str">
        <f t="shared" si="103"/>
        <v/>
      </c>
    </row>
    <row r="123" spans="1:64" x14ac:dyDescent="0.3">
      <c r="A123" s="22"/>
      <c r="B123" s="186" t="str">
        <f t="shared" si="116"/>
        <v>TBUSHYD100</v>
      </c>
      <c r="C123" s="186"/>
      <c r="D123" s="187"/>
      <c r="E123" s="186"/>
      <c r="F123" s="170"/>
      <c r="G123" s="189"/>
      <c r="H123" s="170"/>
      <c r="I123" s="190">
        <f>AF$9</f>
        <v>2040</v>
      </c>
      <c r="J123" s="191"/>
      <c r="K123" s="191"/>
      <c r="L123" s="211" t="s">
        <v>1064</v>
      </c>
      <c r="M123" s="186" t="s">
        <v>747</v>
      </c>
      <c r="N123" s="686">
        <f t="shared" ref="N123:AB123" si="123">N118*LOOKUP($AD111,$AG$4:$AP$4,$AG$9:$AP$9)</f>
        <v>0</v>
      </c>
      <c r="O123" s="686">
        <f t="shared" si="123"/>
        <v>0</v>
      </c>
      <c r="P123" s="686">
        <f t="shared" si="123"/>
        <v>0</v>
      </c>
      <c r="Q123" s="686">
        <f t="shared" si="123"/>
        <v>0</v>
      </c>
      <c r="R123" s="686">
        <f t="shared" si="123"/>
        <v>0</v>
      </c>
      <c r="S123" s="686">
        <f t="shared" si="123"/>
        <v>0</v>
      </c>
      <c r="T123" s="686">
        <f t="shared" si="123"/>
        <v>0</v>
      </c>
      <c r="U123" s="686">
        <f t="shared" si="123"/>
        <v>0</v>
      </c>
      <c r="V123" s="686">
        <f t="shared" si="123"/>
        <v>0</v>
      </c>
      <c r="W123" s="686">
        <f t="shared" si="123"/>
        <v>0</v>
      </c>
      <c r="X123" s="686">
        <f t="shared" si="123"/>
        <v>0</v>
      </c>
      <c r="Y123" s="686">
        <f t="shared" si="123"/>
        <v>0</v>
      </c>
      <c r="Z123" s="686">
        <f t="shared" si="123"/>
        <v>0</v>
      </c>
      <c r="AA123" s="686">
        <f t="shared" si="123"/>
        <v>0</v>
      </c>
      <c r="AB123" s="686">
        <f t="shared" si="123"/>
        <v>0</v>
      </c>
      <c r="AV123" s="699" t="str">
        <f t="shared" si="103"/>
        <v/>
      </c>
    </row>
    <row r="124" spans="1:64" x14ac:dyDescent="0.3">
      <c r="A124" s="22"/>
      <c r="B124" s="193" t="str">
        <f t="shared" si="116"/>
        <v>TBUSHYD100</v>
      </c>
      <c r="C124" s="193"/>
      <c r="D124" s="194"/>
      <c r="E124" s="193"/>
      <c r="F124" s="196"/>
      <c r="G124" s="195"/>
      <c r="H124" s="196"/>
      <c r="I124" s="197">
        <f>AF$10</f>
        <v>2050</v>
      </c>
      <c r="J124" s="198"/>
      <c r="K124" s="198"/>
      <c r="L124" s="199" t="s">
        <v>1064</v>
      </c>
      <c r="M124" s="193" t="s">
        <v>747</v>
      </c>
      <c r="N124" s="687">
        <f t="shared" ref="N124:AB124" si="124">N118*LOOKUP($AD111,$AG$4:$AP$4,$AG$10:$AP$10)</f>
        <v>0</v>
      </c>
      <c r="O124" s="687">
        <f t="shared" si="124"/>
        <v>0</v>
      </c>
      <c r="P124" s="687">
        <f t="shared" si="124"/>
        <v>0</v>
      </c>
      <c r="Q124" s="687">
        <f t="shared" si="124"/>
        <v>0</v>
      </c>
      <c r="R124" s="687">
        <f t="shared" si="124"/>
        <v>0</v>
      </c>
      <c r="S124" s="687">
        <f t="shared" si="124"/>
        <v>0</v>
      </c>
      <c r="T124" s="687">
        <f t="shared" si="124"/>
        <v>0</v>
      </c>
      <c r="U124" s="687">
        <f t="shared" si="124"/>
        <v>0</v>
      </c>
      <c r="V124" s="687">
        <f t="shared" si="124"/>
        <v>0</v>
      </c>
      <c r="W124" s="687">
        <f t="shared" si="124"/>
        <v>0</v>
      </c>
      <c r="X124" s="687">
        <f t="shared" si="124"/>
        <v>0</v>
      </c>
      <c r="Y124" s="687">
        <f t="shared" si="124"/>
        <v>0</v>
      </c>
      <c r="Z124" s="687">
        <f t="shared" si="124"/>
        <v>0</v>
      </c>
      <c r="AA124" s="687">
        <f t="shared" si="124"/>
        <v>0</v>
      </c>
      <c r="AB124" s="687">
        <f t="shared" si="124"/>
        <v>0</v>
      </c>
      <c r="AV124" s="699" t="str">
        <f t="shared" si="103"/>
        <v/>
      </c>
    </row>
    <row r="125" spans="1:64" s="83" customFormat="1" x14ac:dyDescent="0.3">
      <c r="A125" s="82"/>
      <c r="B125" s="178" t="str">
        <f>C125</f>
        <v>TBUSHYG100</v>
      </c>
      <c r="C125" s="178" t="s">
        <v>332</v>
      </c>
      <c r="D125" s="179" t="s">
        <v>769</v>
      </c>
      <c r="E125" s="407" t="s">
        <v>1011</v>
      </c>
      <c r="F125" s="182"/>
      <c r="G125" s="181"/>
      <c r="H125" s="182"/>
      <c r="I125" s="183"/>
      <c r="J125" s="184"/>
      <c r="K125" s="184"/>
      <c r="L125" s="203" t="s">
        <v>1106</v>
      </c>
      <c r="M125" s="184" t="s">
        <v>1155</v>
      </c>
      <c r="N125" s="691">
        <f>N$47</f>
        <v>1E-3</v>
      </c>
      <c r="O125" s="691">
        <f t="shared" ref="O125:AB125" si="125">$N125</f>
        <v>1E-3</v>
      </c>
      <c r="P125" s="691">
        <f t="shared" si="125"/>
        <v>1E-3</v>
      </c>
      <c r="Q125" s="691">
        <f t="shared" si="125"/>
        <v>1E-3</v>
      </c>
      <c r="R125" s="691">
        <f t="shared" si="125"/>
        <v>1E-3</v>
      </c>
      <c r="S125" s="691">
        <f t="shared" si="125"/>
        <v>1E-3</v>
      </c>
      <c r="T125" s="691">
        <f t="shared" si="125"/>
        <v>1E-3</v>
      </c>
      <c r="U125" s="691">
        <f t="shared" si="125"/>
        <v>1E-3</v>
      </c>
      <c r="V125" s="691">
        <f t="shared" si="125"/>
        <v>1E-3</v>
      </c>
      <c r="W125" s="691">
        <f t="shared" si="125"/>
        <v>1E-3</v>
      </c>
      <c r="X125" s="691">
        <f t="shared" si="125"/>
        <v>1E-3</v>
      </c>
      <c r="Y125" s="691">
        <f t="shared" si="125"/>
        <v>1E-3</v>
      </c>
      <c r="Z125" s="691">
        <f t="shared" si="125"/>
        <v>1E-3</v>
      </c>
      <c r="AA125" s="691">
        <f t="shared" si="125"/>
        <v>1E-3</v>
      </c>
      <c r="AB125" s="691">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699" t="str">
        <f t="shared" si="103"/>
        <v>TRAETHM</v>
      </c>
      <c r="AW125" s="567">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3">
      <c r="A126" s="22"/>
      <c r="B126" s="186" t="str">
        <f>B125</f>
        <v>TBUSHYG100</v>
      </c>
      <c r="C126" s="186"/>
      <c r="D126" s="187"/>
      <c r="E126" s="258" t="s">
        <v>1013</v>
      </c>
      <c r="F126" s="170"/>
      <c r="G126" s="189"/>
      <c r="H126" s="170"/>
      <c r="I126" s="190"/>
      <c r="J126" s="191" t="s">
        <v>1126</v>
      </c>
      <c r="K126" s="191"/>
      <c r="L126" s="211" t="s">
        <v>101</v>
      </c>
      <c r="M126" s="186"/>
      <c r="N126" s="674">
        <f>1-N$22</f>
        <v>0.94899999999999995</v>
      </c>
      <c r="O126" s="674">
        <f t="shared" ref="O126:AB126" si="127">1-O$22</f>
        <v>0.94899999999999995</v>
      </c>
      <c r="P126" s="674">
        <f t="shared" si="127"/>
        <v>0.94899999999999995</v>
      </c>
      <c r="Q126" s="674">
        <f t="shared" si="127"/>
        <v>0.94899999999999995</v>
      </c>
      <c r="R126" s="674">
        <f t="shared" si="127"/>
        <v>0.94899999999999995</v>
      </c>
      <c r="S126" s="674">
        <f t="shared" si="127"/>
        <v>0.94899999999999995</v>
      </c>
      <c r="T126" s="674">
        <f t="shared" si="127"/>
        <v>0.94899999999999995</v>
      </c>
      <c r="U126" s="674">
        <f t="shared" si="127"/>
        <v>0.94899999999999995</v>
      </c>
      <c r="V126" s="674">
        <f t="shared" si="127"/>
        <v>0.94899999999999995</v>
      </c>
      <c r="W126" s="674">
        <f t="shared" si="127"/>
        <v>0.94899999999999995</v>
      </c>
      <c r="X126" s="674">
        <f t="shared" si="127"/>
        <v>0.94899999999999995</v>
      </c>
      <c r="Y126" s="674">
        <f t="shared" si="127"/>
        <v>0.94899999999999995</v>
      </c>
      <c r="Z126" s="674">
        <f t="shared" si="127"/>
        <v>0.94899999999999995</v>
      </c>
      <c r="AA126" s="674">
        <f t="shared" si="127"/>
        <v>0.94899999999999995</v>
      </c>
      <c r="AB126" s="674">
        <f t="shared" si="127"/>
        <v>0.94899999999999995</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699" t="str">
        <f t="shared" si="103"/>
        <v>TRAGSL</v>
      </c>
      <c r="AW126" s="567">
        <f t="shared" si="126"/>
        <v>0</v>
      </c>
    </row>
    <row r="127" spans="1:64" x14ac:dyDescent="0.3">
      <c r="A127" s="22"/>
      <c r="B127" s="186" t="str">
        <f>B126</f>
        <v>TBUSHYG100</v>
      </c>
      <c r="C127" s="186"/>
      <c r="D127" s="187"/>
      <c r="E127" s="186"/>
      <c r="F127" s="170"/>
      <c r="G127" s="188" t="s">
        <v>415</v>
      </c>
      <c r="H127" s="170"/>
      <c r="I127" s="190"/>
      <c r="J127" s="191"/>
      <c r="K127" s="191"/>
      <c r="L127" s="191" t="s">
        <v>1125</v>
      </c>
      <c r="M127" s="186" t="s">
        <v>677</v>
      </c>
      <c r="N127" s="689">
        <f>T_CEFF!H122</f>
        <v>5.3420000000000002E-2</v>
      </c>
      <c r="O127" s="689">
        <f>T_CEFF!I122</f>
        <v>5.3420000000000002E-2</v>
      </c>
      <c r="P127" s="689">
        <f>T_CEFF!J122</f>
        <v>5.3420000000000002E-2</v>
      </c>
      <c r="Q127" s="689">
        <f>T_CEFF!K122</f>
        <v>5.3420000000000002E-2</v>
      </c>
      <c r="R127" s="689">
        <f>T_CEFF!L122</f>
        <v>5.3420000000000002E-2</v>
      </c>
      <c r="S127" s="689">
        <f>T_CEFF!M122</f>
        <v>5.3420000000000002E-2</v>
      </c>
      <c r="T127" s="689">
        <f>T_CEFF!N122</f>
        <v>5.3420000000000002E-2</v>
      </c>
      <c r="U127" s="689">
        <f>T_CEFF!O122</f>
        <v>5.3420000000000002E-2</v>
      </c>
      <c r="V127" s="689">
        <f>T_CEFF!P122</f>
        <v>5.3420000000000002E-2</v>
      </c>
      <c r="W127" s="689">
        <f>T_CEFF!Q122</f>
        <v>5.3420000000000002E-2</v>
      </c>
      <c r="X127" s="689">
        <f>T_CEFF!R122</f>
        <v>5.3420000000000002E-2</v>
      </c>
      <c r="Y127" s="689">
        <f>T_CEFF!S122</f>
        <v>5.3420000000000002E-2</v>
      </c>
      <c r="Z127" s="689">
        <f>T_CEFF!T122</f>
        <v>5.3420000000000002E-2</v>
      </c>
      <c r="AA127" s="689">
        <f>T_CEFF!U122</f>
        <v>5.3420000000000002E-2</v>
      </c>
      <c r="AB127" s="689">
        <f>T_CEFF!V122</f>
        <v>5.3420000000000002E-2</v>
      </c>
      <c r="AE127" s="36"/>
      <c r="AF127" s="68"/>
      <c r="AV127" s="699" t="str">
        <f t="shared" si="103"/>
        <v/>
      </c>
    </row>
    <row r="128" spans="1:64" x14ac:dyDescent="0.3">
      <c r="A128" s="22"/>
      <c r="B128" s="186" t="str">
        <f>B127</f>
        <v>TBUSHYG100</v>
      </c>
      <c r="C128" s="186"/>
      <c r="D128" s="187"/>
      <c r="E128" s="186"/>
      <c r="F128" s="170"/>
      <c r="G128" s="188" t="s">
        <v>592</v>
      </c>
      <c r="H128" s="170"/>
      <c r="I128" s="190"/>
      <c r="J128" s="191"/>
      <c r="K128" s="191"/>
      <c r="L128" s="191" t="s">
        <v>1125</v>
      </c>
      <c r="M128" s="186" t="s">
        <v>677</v>
      </c>
      <c r="N128" s="689">
        <f>T_CEFF!H123</f>
        <v>5.3420000000000002E-2</v>
      </c>
      <c r="O128" s="689">
        <f>T_CEFF!I123</f>
        <v>5.3420000000000002E-2</v>
      </c>
      <c r="P128" s="689">
        <f>T_CEFF!J123</f>
        <v>5.3420000000000002E-2</v>
      </c>
      <c r="Q128" s="689">
        <f>T_CEFF!K123</f>
        <v>5.3420000000000002E-2</v>
      </c>
      <c r="R128" s="689">
        <f>T_CEFF!L123</f>
        <v>5.3420000000000002E-2</v>
      </c>
      <c r="S128" s="689">
        <f>T_CEFF!M123</f>
        <v>5.3420000000000002E-2</v>
      </c>
      <c r="T128" s="689">
        <f>T_CEFF!N123</f>
        <v>5.3420000000000002E-2</v>
      </c>
      <c r="U128" s="689">
        <f>T_CEFF!O123</f>
        <v>5.3420000000000002E-2</v>
      </c>
      <c r="V128" s="689">
        <f>T_CEFF!P123</f>
        <v>5.3420000000000002E-2</v>
      </c>
      <c r="W128" s="689">
        <f>T_CEFF!Q123</f>
        <v>5.3420000000000002E-2</v>
      </c>
      <c r="X128" s="689">
        <f>T_CEFF!R123</f>
        <v>5.3420000000000002E-2</v>
      </c>
      <c r="Y128" s="689">
        <f>T_CEFF!S123</f>
        <v>5.3420000000000002E-2</v>
      </c>
      <c r="Z128" s="689">
        <f>T_CEFF!T123</f>
        <v>5.3420000000000002E-2</v>
      </c>
      <c r="AA128" s="689">
        <f>T_CEFF!U123</f>
        <v>5.3420000000000002E-2</v>
      </c>
      <c r="AB128" s="689">
        <f>T_CEFF!V123</f>
        <v>5.3420000000000002E-2</v>
      </c>
      <c r="AE128" s="36"/>
      <c r="AF128" s="68"/>
      <c r="AV128" s="699" t="str">
        <f t="shared" si="103"/>
        <v/>
      </c>
      <c r="AW128" s="567"/>
      <c r="AX128" s="567"/>
      <c r="AY128" s="567"/>
      <c r="AZ128" s="567"/>
      <c r="BA128" s="567"/>
      <c r="BB128" s="567"/>
      <c r="BC128" s="567"/>
      <c r="BD128" s="567"/>
      <c r="BE128" s="567"/>
      <c r="BF128" s="567"/>
      <c r="BG128" s="567"/>
      <c r="BH128" s="567"/>
      <c r="BI128" s="567"/>
      <c r="BJ128" s="567"/>
      <c r="BK128" s="567"/>
      <c r="BL128" s="567"/>
    </row>
    <row r="129" spans="1:64" x14ac:dyDescent="0.3">
      <c r="A129" s="22"/>
      <c r="B129" s="186" t="str">
        <f t="shared" ref="B129:B137" si="128">B128</f>
        <v>TBUSHYG100</v>
      </c>
      <c r="C129" s="186"/>
      <c r="D129" s="187"/>
      <c r="E129" s="186"/>
      <c r="F129" s="170"/>
      <c r="G129" s="189"/>
      <c r="H129" s="170"/>
      <c r="I129" s="190"/>
      <c r="J129" s="191"/>
      <c r="K129" s="191" t="s">
        <v>748</v>
      </c>
      <c r="L129" s="191" t="s">
        <v>1127</v>
      </c>
      <c r="M129" s="186" t="s">
        <v>1158</v>
      </c>
      <c r="N129" s="602">
        <f t="shared" ref="N129:AB129" si="129">N$16</f>
        <v>18</v>
      </c>
      <c r="O129" s="602">
        <f t="shared" si="129"/>
        <v>0</v>
      </c>
      <c r="P129" s="602">
        <f t="shared" si="129"/>
        <v>0</v>
      </c>
      <c r="Q129" s="602">
        <f t="shared" si="129"/>
        <v>0</v>
      </c>
      <c r="R129" s="602">
        <f t="shared" si="129"/>
        <v>0</v>
      </c>
      <c r="S129" s="602">
        <f t="shared" si="129"/>
        <v>0</v>
      </c>
      <c r="T129" s="602">
        <f t="shared" si="129"/>
        <v>0</v>
      </c>
      <c r="U129" s="602">
        <f t="shared" si="129"/>
        <v>0</v>
      </c>
      <c r="V129" s="602">
        <f t="shared" si="129"/>
        <v>0</v>
      </c>
      <c r="W129" s="602">
        <f t="shared" si="129"/>
        <v>0</v>
      </c>
      <c r="X129" s="602">
        <f t="shared" si="129"/>
        <v>0</v>
      </c>
      <c r="Y129" s="602">
        <f t="shared" si="129"/>
        <v>0</v>
      </c>
      <c r="Z129" s="602">
        <f t="shared" si="129"/>
        <v>0</v>
      </c>
      <c r="AA129" s="602">
        <f t="shared" si="129"/>
        <v>0</v>
      </c>
      <c r="AB129" s="602">
        <f t="shared" si="129"/>
        <v>0</v>
      </c>
      <c r="AE129" s="36"/>
      <c r="AF129" s="68"/>
      <c r="AV129" s="699" t="str">
        <f t="shared" si="103"/>
        <v/>
      </c>
    </row>
    <row r="130" spans="1:64" x14ac:dyDescent="0.3">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5.5</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1">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699" t="str">
        <f t="shared" si="103"/>
        <v/>
      </c>
    </row>
    <row r="131" spans="1:64" x14ac:dyDescent="0.3">
      <c r="A131" s="22"/>
      <c r="B131" s="186" t="str">
        <f t="shared" si="128"/>
        <v>TBUSHYG100</v>
      </c>
      <c r="C131" s="186"/>
      <c r="D131" s="187"/>
      <c r="E131" s="186"/>
      <c r="F131" s="170"/>
      <c r="G131" s="189"/>
      <c r="H131" s="170"/>
      <c r="I131" s="190">
        <f>$M$3</f>
        <v>2019</v>
      </c>
      <c r="J131" s="191"/>
      <c r="K131" s="191"/>
      <c r="L131" s="211" t="s">
        <v>1064</v>
      </c>
      <c r="M131" s="186" t="s">
        <v>747</v>
      </c>
      <c r="N131" s="686">
        <f>LOOKUP($C$125, T_Stock_Private!$C$58:$C$68, T_Stock_Private!D$58:D$68)*(1+N30)</f>
        <v>0</v>
      </c>
      <c r="O131" s="686">
        <f>LOOKUP($C$125, T_Stock_Private!$C$58:$C$68, T_Stock_Private!E$58:E$68)*(1+O30)</f>
        <v>0</v>
      </c>
      <c r="P131" s="686">
        <f>LOOKUP($C$125, T_Stock_Private!$C$58:$C$68, T_Stock_Private!F$58:F$68)*(1+P30)</f>
        <v>0</v>
      </c>
      <c r="Q131" s="686">
        <f>LOOKUP($C$125, T_Stock_Private!$C$58:$C$68, T_Stock_Private!G$58:G$68)*(1+Q30)</f>
        <v>0</v>
      </c>
      <c r="R131" s="686">
        <f>LOOKUP($C$125, T_Stock_Private!$C$58:$C$68, T_Stock_Private!H$58:H$68)*(1+R30)</f>
        <v>0</v>
      </c>
      <c r="S131" s="686">
        <f>LOOKUP($C$125, T_Stock_Private!$C$58:$C$68, T_Stock_Private!I$58:I$68)*(1+S30)</f>
        <v>0</v>
      </c>
      <c r="T131" s="686">
        <f>LOOKUP($C$125, T_Stock_Private!$C$58:$C$68, T_Stock_Private!J$58:J$68)*(1+T30)</f>
        <v>0</v>
      </c>
      <c r="U131" s="686">
        <f>LOOKUP($C$125, T_Stock_Private!$C$58:$C$68, T_Stock_Private!K$58:K$68)*(1+U30)</f>
        <v>0</v>
      </c>
      <c r="V131" s="686">
        <f>LOOKUP($C$125, T_Stock_Private!$C$58:$C$68, T_Stock_Private!L$58:L$68)*(1+V30)</f>
        <v>0</v>
      </c>
      <c r="W131" s="686">
        <f>LOOKUP($C$125, T_Stock_Private!$C$58:$C$68, T_Stock_Private!M$58:M$68)*(1+W30)</f>
        <v>0</v>
      </c>
      <c r="X131" s="686">
        <f>LOOKUP($C$125, T_Stock_Private!$C$58:$C$68, T_Stock_Private!N$58:N$68)*(1+X30)</f>
        <v>0</v>
      </c>
      <c r="Y131" s="686">
        <f>LOOKUP($C$125, T_Stock_Private!$C$58:$C$68, T_Stock_Private!O$58:O$68)*(1+Y30)</f>
        <v>0</v>
      </c>
      <c r="Z131" s="686">
        <f>LOOKUP($C$125, T_Stock_Private!$C$58:$C$68, T_Stock_Private!P$58:P$68)*(1+Z30)</f>
        <v>0</v>
      </c>
      <c r="AA131" s="686">
        <f>LOOKUP($C$125, T_Stock_Private!$C$58:$C$68, T_Stock_Private!Q$58:Q$68)*(1+AA30)</f>
        <v>0</v>
      </c>
      <c r="AB131" s="686">
        <f>LOOKUP($C$125, T_Stock_Private!$C$58:$C$68, T_Stock_Private!R$58:R$68)*(1+AB30)</f>
        <v>0</v>
      </c>
      <c r="AC131" s="89"/>
      <c r="AV131" s="699" t="str">
        <f t="shared" si="103"/>
        <v/>
      </c>
    </row>
    <row r="132" spans="1:64" x14ac:dyDescent="0.3">
      <c r="A132" s="22"/>
      <c r="B132" s="186" t="str">
        <f t="shared" si="128"/>
        <v>TBUSHYG100</v>
      </c>
      <c r="C132" s="186"/>
      <c r="D132" s="187"/>
      <c r="E132" s="186"/>
      <c r="F132" s="170"/>
      <c r="G132" s="189"/>
      <c r="H132" s="170"/>
      <c r="I132" s="190">
        <f>AF$5</f>
        <v>2020</v>
      </c>
      <c r="J132" s="191"/>
      <c r="K132" s="191"/>
      <c r="L132" s="211" t="s">
        <v>1064</v>
      </c>
      <c r="M132" s="186" t="s">
        <v>747</v>
      </c>
      <c r="N132" s="686">
        <f t="shared" ref="N132:AB132" si="131">N131*LOOKUP($AD125,$AG$4:$AP$4,$AG$5:$AP$5)</f>
        <v>0</v>
      </c>
      <c r="O132" s="686">
        <f t="shared" si="131"/>
        <v>0</v>
      </c>
      <c r="P132" s="686">
        <f t="shared" si="131"/>
        <v>0</v>
      </c>
      <c r="Q132" s="686">
        <f t="shared" si="131"/>
        <v>0</v>
      </c>
      <c r="R132" s="686">
        <f t="shared" si="131"/>
        <v>0</v>
      </c>
      <c r="S132" s="686">
        <f t="shared" si="131"/>
        <v>0</v>
      </c>
      <c r="T132" s="686">
        <f t="shared" si="131"/>
        <v>0</v>
      </c>
      <c r="U132" s="686">
        <f t="shared" si="131"/>
        <v>0</v>
      </c>
      <c r="V132" s="686">
        <f t="shared" si="131"/>
        <v>0</v>
      </c>
      <c r="W132" s="686">
        <f t="shared" si="131"/>
        <v>0</v>
      </c>
      <c r="X132" s="686">
        <f t="shared" si="131"/>
        <v>0</v>
      </c>
      <c r="Y132" s="686">
        <f t="shared" si="131"/>
        <v>0</v>
      </c>
      <c r="Z132" s="686">
        <f t="shared" si="131"/>
        <v>0</v>
      </c>
      <c r="AA132" s="686">
        <f t="shared" si="131"/>
        <v>0</v>
      </c>
      <c r="AB132" s="686">
        <f t="shared" si="131"/>
        <v>0</v>
      </c>
      <c r="AV132" s="699" t="str">
        <f t="shared" si="103"/>
        <v/>
      </c>
    </row>
    <row r="133" spans="1:64" x14ac:dyDescent="0.3">
      <c r="A133" s="22"/>
      <c r="B133" s="186" t="str">
        <f t="shared" si="128"/>
        <v>TBUSHYG100</v>
      </c>
      <c r="C133" s="186"/>
      <c r="D133" s="187"/>
      <c r="E133" s="186"/>
      <c r="F133" s="170"/>
      <c r="G133" s="189"/>
      <c r="H133" s="170"/>
      <c r="I133" s="190">
        <f>AF$6</f>
        <v>2025</v>
      </c>
      <c r="J133" s="191"/>
      <c r="K133" s="191"/>
      <c r="L133" s="211" t="s">
        <v>1064</v>
      </c>
      <c r="M133" s="186" t="s">
        <v>747</v>
      </c>
      <c r="N133" s="686">
        <f t="shared" ref="N133:AB133" si="132">N131*LOOKUP($AD125,$AG$4:$AP$4,$AG$6:$AP$6)</f>
        <v>0</v>
      </c>
      <c r="O133" s="686">
        <f t="shared" si="132"/>
        <v>0</v>
      </c>
      <c r="P133" s="686">
        <f t="shared" si="132"/>
        <v>0</v>
      </c>
      <c r="Q133" s="686">
        <f t="shared" si="132"/>
        <v>0</v>
      </c>
      <c r="R133" s="686">
        <f t="shared" si="132"/>
        <v>0</v>
      </c>
      <c r="S133" s="686">
        <f t="shared" si="132"/>
        <v>0</v>
      </c>
      <c r="T133" s="686">
        <f t="shared" si="132"/>
        <v>0</v>
      </c>
      <c r="U133" s="686">
        <f t="shared" si="132"/>
        <v>0</v>
      </c>
      <c r="V133" s="686">
        <f t="shared" si="132"/>
        <v>0</v>
      </c>
      <c r="W133" s="686">
        <f t="shared" si="132"/>
        <v>0</v>
      </c>
      <c r="X133" s="686">
        <f t="shared" si="132"/>
        <v>0</v>
      </c>
      <c r="Y133" s="686">
        <f t="shared" si="132"/>
        <v>0</v>
      </c>
      <c r="Z133" s="686">
        <f t="shared" si="132"/>
        <v>0</v>
      </c>
      <c r="AA133" s="686">
        <f t="shared" si="132"/>
        <v>0</v>
      </c>
      <c r="AB133" s="686">
        <f t="shared" si="132"/>
        <v>0</v>
      </c>
      <c r="AV133" s="699" t="str">
        <f t="shared" si="103"/>
        <v/>
      </c>
    </row>
    <row r="134" spans="1:64" x14ac:dyDescent="0.3">
      <c r="A134" s="22"/>
      <c r="B134" s="186" t="str">
        <f t="shared" si="128"/>
        <v>TBUSHYG100</v>
      </c>
      <c r="C134" s="186"/>
      <c r="D134" s="187"/>
      <c r="E134" s="186"/>
      <c r="F134" s="170"/>
      <c r="G134" s="189"/>
      <c r="H134" s="170"/>
      <c r="I134" s="190">
        <f>AF$7</f>
        <v>2030</v>
      </c>
      <c r="J134" s="191"/>
      <c r="K134" s="191"/>
      <c r="L134" s="211" t="s">
        <v>1064</v>
      </c>
      <c r="M134" s="186" t="s">
        <v>747</v>
      </c>
      <c r="N134" s="686">
        <f t="shared" ref="N134:AB134" si="133">N131*LOOKUP($AD125,$AG$4:$AP$4,$AG$7:$AP$7)</f>
        <v>0</v>
      </c>
      <c r="O134" s="686">
        <f t="shared" si="133"/>
        <v>0</v>
      </c>
      <c r="P134" s="686">
        <f t="shared" si="133"/>
        <v>0</v>
      </c>
      <c r="Q134" s="686">
        <f t="shared" si="133"/>
        <v>0</v>
      </c>
      <c r="R134" s="686">
        <f t="shared" si="133"/>
        <v>0</v>
      </c>
      <c r="S134" s="686">
        <f t="shared" si="133"/>
        <v>0</v>
      </c>
      <c r="T134" s="686">
        <f t="shared" si="133"/>
        <v>0</v>
      </c>
      <c r="U134" s="686">
        <f t="shared" si="133"/>
        <v>0</v>
      </c>
      <c r="V134" s="686">
        <f t="shared" si="133"/>
        <v>0</v>
      </c>
      <c r="W134" s="686">
        <f t="shared" si="133"/>
        <v>0</v>
      </c>
      <c r="X134" s="686">
        <f t="shared" si="133"/>
        <v>0</v>
      </c>
      <c r="Y134" s="686">
        <f t="shared" si="133"/>
        <v>0</v>
      </c>
      <c r="Z134" s="686">
        <f t="shared" si="133"/>
        <v>0</v>
      </c>
      <c r="AA134" s="686">
        <f t="shared" si="133"/>
        <v>0</v>
      </c>
      <c r="AB134" s="686">
        <f t="shared" si="133"/>
        <v>0</v>
      </c>
      <c r="AV134" s="699" t="str">
        <f t="shared" si="103"/>
        <v/>
      </c>
    </row>
    <row r="135" spans="1:64" x14ac:dyDescent="0.3">
      <c r="A135" s="22"/>
      <c r="B135" s="186" t="str">
        <f t="shared" si="128"/>
        <v>TBUSHYG100</v>
      </c>
      <c r="C135" s="186"/>
      <c r="D135" s="187"/>
      <c r="E135" s="186"/>
      <c r="F135" s="170"/>
      <c r="G135" s="189"/>
      <c r="H135" s="170"/>
      <c r="I135" s="190">
        <f>AF$8</f>
        <v>2035</v>
      </c>
      <c r="J135" s="191"/>
      <c r="K135" s="191"/>
      <c r="L135" s="211" t="s">
        <v>1064</v>
      </c>
      <c r="M135" s="186" t="s">
        <v>747</v>
      </c>
      <c r="N135" s="686">
        <f t="shared" ref="N135:AB135" si="134">N131*LOOKUP($AD125,$AG$4:$AP$4,$AG$8:$AP$8)</f>
        <v>0</v>
      </c>
      <c r="O135" s="686">
        <f t="shared" si="134"/>
        <v>0</v>
      </c>
      <c r="P135" s="686">
        <f t="shared" si="134"/>
        <v>0</v>
      </c>
      <c r="Q135" s="686">
        <f t="shared" si="134"/>
        <v>0</v>
      </c>
      <c r="R135" s="686">
        <f t="shared" si="134"/>
        <v>0</v>
      </c>
      <c r="S135" s="686">
        <f t="shared" si="134"/>
        <v>0</v>
      </c>
      <c r="T135" s="686">
        <f t="shared" si="134"/>
        <v>0</v>
      </c>
      <c r="U135" s="686">
        <f t="shared" si="134"/>
        <v>0</v>
      </c>
      <c r="V135" s="686">
        <f t="shared" si="134"/>
        <v>0</v>
      </c>
      <c r="W135" s="686">
        <f t="shared" si="134"/>
        <v>0</v>
      </c>
      <c r="X135" s="686">
        <f t="shared" si="134"/>
        <v>0</v>
      </c>
      <c r="Y135" s="686">
        <f t="shared" si="134"/>
        <v>0</v>
      </c>
      <c r="Z135" s="686">
        <f t="shared" si="134"/>
        <v>0</v>
      </c>
      <c r="AA135" s="686">
        <f t="shared" si="134"/>
        <v>0</v>
      </c>
      <c r="AB135" s="686">
        <f t="shared" si="134"/>
        <v>0</v>
      </c>
      <c r="AV135" s="699" t="str">
        <f t="shared" si="103"/>
        <v/>
      </c>
    </row>
    <row r="136" spans="1:64" x14ac:dyDescent="0.3">
      <c r="A136" s="22"/>
      <c r="B136" s="186" t="str">
        <f t="shared" si="128"/>
        <v>TBUSHYG100</v>
      </c>
      <c r="C136" s="186"/>
      <c r="D136" s="187"/>
      <c r="E136" s="186"/>
      <c r="F136" s="170"/>
      <c r="G136" s="189"/>
      <c r="H136" s="170"/>
      <c r="I136" s="190">
        <f>AF$9</f>
        <v>2040</v>
      </c>
      <c r="J136" s="191"/>
      <c r="K136" s="191"/>
      <c r="L136" s="211" t="s">
        <v>1064</v>
      </c>
      <c r="M136" s="186" t="s">
        <v>747</v>
      </c>
      <c r="N136" s="686">
        <f t="shared" ref="N136:AB136" si="135">N131*LOOKUP($AD125,$AG$4:$AP$4,$AG$9:$AP$9)</f>
        <v>0</v>
      </c>
      <c r="O136" s="686">
        <f t="shared" si="135"/>
        <v>0</v>
      </c>
      <c r="P136" s="686">
        <f t="shared" si="135"/>
        <v>0</v>
      </c>
      <c r="Q136" s="686">
        <f t="shared" si="135"/>
        <v>0</v>
      </c>
      <c r="R136" s="686">
        <f t="shared" si="135"/>
        <v>0</v>
      </c>
      <c r="S136" s="686">
        <f t="shared" si="135"/>
        <v>0</v>
      </c>
      <c r="T136" s="686">
        <f t="shared" si="135"/>
        <v>0</v>
      </c>
      <c r="U136" s="686">
        <f t="shared" si="135"/>
        <v>0</v>
      </c>
      <c r="V136" s="686">
        <f t="shared" si="135"/>
        <v>0</v>
      </c>
      <c r="W136" s="686">
        <f t="shared" si="135"/>
        <v>0</v>
      </c>
      <c r="X136" s="686">
        <f t="shared" si="135"/>
        <v>0</v>
      </c>
      <c r="Y136" s="686">
        <f t="shared" si="135"/>
        <v>0</v>
      </c>
      <c r="Z136" s="686">
        <f t="shared" si="135"/>
        <v>0</v>
      </c>
      <c r="AA136" s="686">
        <f t="shared" si="135"/>
        <v>0</v>
      </c>
      <c r="AB136" s="686">
        <f t="shared" si="135"/>
        <v>0</v>
      </c>
      <c r="AV136" s="699" t="str">
        <f t="shared" si="103"/>
        <v/>
      </c>
    </row>
    <row r="137" spans="1:64" x14ac:dyDescent="0.3">
      <c r="A137" s="22"/>
      <c r="B137" s="193" t="str">
        <f t="shared" si="128"/>
        <v>TBUSHYG100</v>
      </c>
      <c r="C137" s="193"/>
      <c r="D137" s="194"/>
      <c r="E137" s="193"/>
      <c r="F137" s="196"/>
      <c r="G137" s="195"/>
      <c r="H137" s="196"/>
      <c r="I137" s="197">
        <f>AF$10</f>
        <v>2050</v>
      </c>
      <c r="J137" s="198"/>
      <c r="K137" s="198"/>
      <c r="L137" s="199" t="s">
        <v>1064</v>
      </c>
      <c r="M137" s="193" t="s">
        <v>747</v>
      </c>
      <c r="N137" s="687">
        <f t="shared" ref="N137:AB137" si="136">N131*LOOKUP($AD125,$AG$4:$AP$4,$AG$10:$AP$10)</f>
        <v>0</v>
      </c>
      <c r="O137" s="687">
        <f t="shared" si="136"/>
        <v>0</v>
      </c>
      <c r="P137" s="687">
        <f t="shared" si="136"/>
        <v>0</v>
      </c>
      <c r="Q137" s="687">
        <f t="shared" si="136"/>
        <v>0</v>
      </c>
      <c r="R137" s="687">
        <f t="shared" si="136"/>
        <v>0</v>
      </c>
      <c r="S137" s="687">
        <f t="shared" si="136"/>
        <v>0</v>
      </c>
      <c r="T137" s="687">
        <f t="shared" si="136"/>
        <v>0</v>
      </c>
      <c r="U137" s="687">
        <f t="shared" si="136"/>
        <v>0</v>
      </c>
      <c r="V137" s="687">
        <f t="shared" si="136"/>
        <v>0</v>
      </c>
      <c r="W137" s="687">
        <f t="shared" si="136"/>
        <v>0</v>
      </c>
      <c r="X137" s="687">
        <f t="shared" si="136"/>
        <v>0</v>
      </c>
      <c r="Y137" s="687">
        <f t="shared" si="136"/>
        <v>0</v>
      </c>
      <c r="Z137" s="687">
        <f t="shared" si="136"/>
        <v>0</v>
      </c>
      <c r="AA137" s="687">
        <f t="shared" si="136"/>
        <v>0</v>
      </c>
      <c r="AB137" s="687">
        <f t="shared" si="136"/>
        <v>0</v>
      </c>
      <c r="AV137" s="699" t="str">
        <f t="shared" si="103"/>
        <v/>
      </c>
    </row>
    <row r="138" spans="1:64" s="83" customFormat="1" x14ac:dyDescent="0.3">
      <c r="A138" s="82"/>
      <c r="B138" s="178" t="str">
        <f>C138</f>
        <v>TBUSLPG100</v>
      </c>
      <c r="C138" s="178" t="s">
        <v>333</v>
      </c>
      <c r="D138" s="179" t="s">
        <v>770</v>
      </c>
      <c r="E138" s="407" t="s">
        <v>1032</v>
      </c>
      <c r="F138" s="182"/>
      <c r="G138" s="181"/>
      <c r="H138" s="182"/>
      <c r="I138" s="183"/>
      <c r="J138" s="184"/>
      <c r="K138" s="184"/>
      <c r="L138" s="203" t="s">
        <v>1106</v>
      </c>
      <c r="M138" s="184" t="s">
        <v>1155</v>
      </c>
      <c r="N138" s="691">
        <f>N$47</f>
        <v>1E-3</v>
      </c>
      <c r="O138" s="691">
        <f t="shared" ref="O138:AB138" si="137">$N138</f>
        <v>1E-3</v>
      </c>
      <c r="P138" s="691">
        <f t="shared" si="137"/>
        <v>1E-3</v>
      </c>
      <c r="Q138" s="691">
        <f t="shared" si="137"/>
        <v>1E-3</v>
      </c>
      <c r="R138" s="691">
        <f t="shared" si="137"/>
        <v>1E-3</v>
      </c>
      <c r="S138" s="691">
        <f t="shared" si="137"/>
        <v>1E-3</v>
      </c>
      <c r="T138" s="691">
        <f t="shared" si="137"/>
        <v>1E-3</v>
      </c>
      <c r="U138" s="691">
        <f t="shared" si="137"/>
        <v>1E-3</v>
      </c>
      <c r="V138" s="691">
        <f t="shared" si="137"/>
        <v>1E-3</v>
      </c>
      <c r="W138" s="691">
        <f t="shared" si="137"/>
        <v>1E-3</v>
      </c>
      <c r="X138" s="691">
        <f t="shared" si="137"/>
        <v>1E-3</v>
      </c>
      <c r="Y138" s="691">
        <f t="shared" si="137"/>
        <v>1E-3</v>
      </c>
      <c r="Z138" s="691">
        <f t="shared" si="137"/>
        <v>1E-3</v>
      </c>
      <c r="AA138" s="691">
        <f t="shared" si="137"/>
        <v>1E-3</v>
      </c>
      <c r="AB138" s="691">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699" t="str">
        <f t="shared" si="103"/>
        <v>TRALPG</v>
      </c>
      <c r="AW138" s="569">
        <f t="shared" ref="AW138" si="138">SUM(AX138:BL138)</f>
        <v>0</v>
      </c>
      <c r="AX138" s="35"/>
      <c r="AY138" s="35"/>
      <c r="AZ138" s="35"/>
      <c r="BA138" s="35"/>
      <c r="BB138" s="35"/>
      <c r="BC138" s="35"/>
      <c r="BD138" s="35"/>
      <c r="BE138" s="35"/>
      <c r="BF138" s="35"/>
      <c r="BG138" s="35"/>
      <c r="BH138" s="35"/>
      <c r="BI138" s="35"/>
      <c r="BJ138" s="35"/>
      <c r="BK138" s="35"/>
      <c r="BL138" s="35"/>
    </row>
    <row r="139" spans="1:64" x14ac:dyDescent="0.3">
      <c r="A139" s="22"/>
      <c r="B139" s="186" t="str">
        <f>B138</f>
        <v>TBUSLPG100</v>
      </c>
      <c r="C139" s="186"/>
      <c r="D139" s="187"/>
      <c r="E139" s="186"/>
      <c r="F139" s="170"/>
      <c r="G139" s="188" t="s">
        <v>415</v>
      </c>
      <c r="H139" s="170"/>
      <c r="I139" s="190"/>
      <c r="J139" s="191"/>
      <c r="K139" s="191"/>
      <c r="L139" s="191" t="s">
        <v>1125</v>
      </c>
      <c r="M139" s="186" t="s">
        <v>677</v>
      </c>
      <c r="N139" s="689">
        <f>T_CEFF!H124</f>
        <v>4.8079999999999998E-2</v>
      </c>
      <c r="O139" s="689">
        <f>T_CEFF!I124</f>
        <v>4.8079999999999998E-2</v>
      </c>
      <c r="P139" s="689">
        <f>T_CEFF!J124</f>
        <v>4.8079999999999998E-2</v>
      </c>
      <c r="Q139" s="689">
        <f>T_CEFF!K124</f>
        <v>4.8079999999999998E-2</v>
      </c>
      <c r="R139" s="689">
        <f>T_CEFF!L124</f>
        <v>4.8079999999999998E-2</v>
      </c>
      <c r="S139" s="689">
        <f>T_CEFF!M124</f>
        <v>4.8079999999999998E-2</v>
      </c>
      <c r="T139" s="689">
        <f>T_CEFF!N124</f>
        <v>4.8079999999999998E-2</v>
      </c>
      <c r="U139" s="689">
        <f>T_CEFF!O124</f>
        <v>4.8079999999999998E-2</v>
      </c>
      <c r="V139" s="689">
        <f>T_CEFF!P124</f>
        <v>4.8079999999999998E-2</v>
      </c>
      <c r="W139" s="689">
        <f>T_CEFF!Q124</f>
        <v>4.8079999999999998E-2</v>
      </c>
      <c r="X139" s="689">
        <f>T_CEFF!R124</f>
        <v>4.8079999999999998E-2</v>
      </c>
      <c r="Y139" s="689">
        <f>T_CEFF!S124</f>
        <v>4.8079999999999998E-2</v>
      </c>
      <c r="Z139" s="689">
        <f>T_CEFF!T124</f>
        <v>4.8079999999999998E-2</v>
      </c>
      <c r="AA139" s="689">
        <f>T_CEFF!U124</f>
        <v>4.8079999999999998E-2</v>
      </c>
      <c r="AB139" s="689">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699" t="str">
        <f t="shared" si="103"/>
        <v/>
      </c>
    </row>
    <row r="140" spans="1:64" x14ac:dyDescent="0.3">
      <c r="A140" s="22"/>
      <c r="B140" s="186" t="str">
        <f>B139</f>
        <v>TBUSLPG100</v>
      </c>
      <c r="C140" s="186"/>
      <c r="D140" s="187"/>
      <c r="E140" s="186"/>
      <c r="F140" s="170"/>
      <c r="G140" s="188" t="s">
        <v>592</v>
      </c>
      <c r="H140" s="170"/>
      <c r="I140" s="190"/>
      <c r="J140" s="191"/>
      <c r="K140" s="191"/>
      <c r="L140" s="191" t="s">
        <v>1125</v>
      </c>
      <c r="M140" s="186" t="s">
        <v>677</v>
      </c>
      <c r="N140" s="689">
        <f>T_CEFF!H125</f>
        <v>4.8079999999999998E-2</v>
      </c>
      <c r="O140" s="689">
        <f>T_CEFF!I125</f>
        <v>4.8079999999999998E-2</v>
      </c>
      <c r="P140" s="689">
        <f>T_CEFF!J125</f>
        <v>4.8079999999999998E-2</v>
      </c>
      <c r="Q140" s="689">
        <f>T_CEFF!K125</f>
        <v>4.8079999999999998E-2</v>
      </c>
      <c r="R140" s="689">
        <f>T_CEFF!L125</f>
        <v>4.8079999999999998E-2</v>
      </c>
      <c r="S140" s="689">
        <f>T_CEFF!M125</f>
        <v>4.8079999999999998E-2</v>
      </c>
      <c r="T140" s="689">
        <f>T_CEFF!N125</f>
        <v>4.8079999999999998E-2</v>
      </c>
      <c r="U140" s="689">
        <f>T_CEFF!O125</f>
        <v>4.8079999999999998E-2</v>
      </c>
      <c r="V140" s="689">
        <f>T_CEFF!P125</f>
        <v>4.8079999999999998E-2</v>
      </c>
      <c r="W140" s="689">
        <f>T_CEFF!Q125</f>
        <v>4.8079999999999998E-2</v>
      </c>
      <c r="X140" s="689">
        <f>T_CEFF!R125</f>
        <v>4.8079999999999998E-2</v>
      </c>
      <c r="Y140" s="689">
        <f>T_CEFF!S125</f>
        <v>4.8079999999999998E-2</v>
      </c>
      <c r="Z140" s="689">
        <f>T_CEFF!T125</f>
        <v>4.8079999999999998E-2</v>
      </c>
      <c r="AA140" s="689">
        <f>T_CEFF!U125</f>
        <v>4.8079999999999998E-2</v>
      </c>
      <c r="AB140" s="689">
        <f>T_CEFF!V125</f>
        <v>4.8079999999999998E-2</v>
      </c>
      <c r="AE140" s="36"/>
      <c r="AF140" s="68"/>
      <c r="AV140" s="713" t="str">
        <f t="shared" si="103"/>
        <v/>
      </c>
      <c r="AW140" s="569"/>
      <c r="AX140" s="569"/>
      <c r="AY140" s="569"/>
      <c r="AZ140" s="569"/>
      <c r="BA140" s="569"/>
      <c r="BB140" s="569"/>
      <c r="BC140" s="569"/>
      <c r="BD140" s="569"/>
      <c r="BE140" s="569"/>
      <c r="BF140" s="569"/>
      <c r="BG140" s="569"/>
      <c r="BH140" s="569"/>
      <c r="BI140" s="569"/>
      <c r="BJ140" s="569"/>
      <c r="BK140" s="569"/>
      <c r="BL140" s="569"/>
    </row>
    <row r="141" spans="1:64" x14ac:dyDescent="0.3">
      <c r="A141" s="22"/>
      <c r="B141" s="186" t="str">
        <f t="shared" ref="B141:B149" si="139">B140</f>
        <v>TBUSLPG100</v>
      </c>
      <c r="C141" s="186"/>
      <c r="D141" s="187"/>
      <c r="E141" s="186"/>
      <c r="F141" s="170"/>
      <c r="G141" s="189"/>
      <c r="H141" s="170"/>
      <c r="I141" s="190"/>
      <c r="J141" s="191"/>
      <c r="K141" s="191" t="s">
        <v>748</v>
      </c>
      <c r="L141" s="191" t="s">
        <v>1127</v>
      </c>
      <c r="M141" s="186" t="s">
        <v>1158</v>
      </c>
      <c r="N141" s="602">
        <f t="shared" ref="N141:AB141" si="140">N$16</f>
        <v>18</v>
      </c>
      <c r="O141" s="602">
        <f t="shared" si="140"/>
        <v>0</v>
      </c>
      <c r="P141" s="602">
        <f t="shared" si="140"/>
        <v>0</v>
      </c>
      <c r="Q141" s="602">
        <f t="shared" si="140"/>
        <v>0</v>
      </c>
      <c r="R141" s="602">
        <f t="shared" si="140"/>
        <v>0</v>
      </c>
      <c r="S141" s="602">
        <f t="shared" si="140"/>
        <v>0</v>
      </c>
      <c r="T141" s="602">
        <f t="shared" si="140"/>
        <v>0</v>
      </c>
      <c r="U141" s="602">
        <f t="shared" si="140"/>
        <v>0</v>
      </c>
      <c r="V141" s="602">
        <f t="shared" si="140"/>
        <v>0</v>
      </c>
      <c r="W141" s="602">
        <f t="shared" si="140"/>
        <v>0</v>
      </c>
      <c r="X141" s="602">
        <f t="shared" si="140"/>
        <v>0</v>
      </c>
      <c r="Y141" s="602">
        <f t="shared" si="140"/>
        <v>0</v>
      </c>
      <c r="Z141" s="602">
        <f t="shared" si="140"/>
        <v>0</v>
      </c>
      <c r="AA141" s="602">
        <f t="shared" si="140"/>
        <v>0</v>
      </c>
      <c r="AB141" s="602">
        <f t="shared" si="140"/>
        <v>0</v>
      </c>
      <c r="AE141" s="36"/>
      <c r="AF141" s="68"/>
      <c r="AV141" s="699" t="str">
        <f t="shared" si="103"/>
        <v/>
      </c>
      <c r="AW141" s="567"/>
      <c r="AX141" s="569"/>
      <c r="AY141" s="569"/>
      <c r="AZ141" s="569"/>
      <c r="BA141" s="569"/>
      <c r="BB141" s="569"/>
      <c r="BC141" s="569"/>
      <c r="BD141" s="569"/>
      <c r="BE141" s="569"/>
      <c r="BF141" s="569"/>
      <c r="BG141" s="569"/>
      <c r="BH141" s="569"/>
      <c r="BI141" s="569"/>
      <c r="BJ141" s="569"/>
      <c r="BK141" s="569"/>
      <c r="BL141" s="569"/>
    </row>
    <row r="142" spans="1:64" x14ac:dyDescent="0.3">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1">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699" t="str">
        <f t="shared" si="103"/>
        <v/>
      </c>
    </row>
    <row r="143" spans="1:64" x14ac:dyDescent="0.3">
      <c r="A143" s="22"/>
      <c r="B143" s="186" t="str">
        <f t="shared" si="139"/>
        <v>TBUSLPG100</v>
      </c>
      <c r="C143" s="186"/>
      <c r="D143" s="187"/>
      <c r="E143" s="186"/>
      <c r="F143" s="170"/>
      <c r="G143" s="189"/>
      <c r="H143" s="170"/>
      <c r="I143" s="190">
        <f>$M$3</f>
        <v>2019</v>
      </c>
      <c r="J143" s="191"/>
      <c r="K143" s="191"/>
      <c r="L143" s="211" t="s">
        <v>1064</v>
      </c>
      <c r="M143" s="186" t="s">
        <v>747</v>
      </c>
      <c r="N143" s="686">
        <f>LOOKUP($C$138, T_Stock_Private!$C$58:$C$68, T_Stock_Private!D$58:D$68)*(1+N30)</f>
        <v>0</v>
      </c>
      <c r="O143" s="686">
        <f>LOOKUP($C$138, T_Stock_Private!$C$58:$C$68, T_Stock_Private!E$58:E$68)*(1+O30)</f>
        <v>0</v>
      </c>
      <c r="P143" s="686">
        <f>LOOKUP($C$138, T_Stock_Private!$C$58:$C$68, T_Stock_Private!F$58:F$68)*(1+P30)</f>
        <v>0</v>
      </c>
      <c r="Q143" s="686">
        <f>LOOKUP($C$138, T_Stock_Private!$C$58:$C$68, T_Stock_Private!G$58:G$68)*(1+Q30)</f>
        <v>0</v>
      </c>
      <c r="R143" s="686">
        <f>LOOKUP($C$138, T_Stock_Private!$C$58:$C$68, T_Stock_Private!H$58:H$68)*(1+R30)</f>
        <v>0</v>
      </c>
      <c r="S143" s="686">
        <f>LOOKUP($C$138, T_Stock_Private!$C$58:$C$68, T_Stock_Private!I$58:I$68)*(1+S30)</f>
        <v>0</v>
      </c>
      <c r="T143" s="686">
        <f>LOOKUP($C$138, T_Stock_Private!$C$58:$C$68, T_Stock_Private!J$58:J$68)*(1+T30)</f>
        <v>0</v>
      </c>
      <c r="U143" s="686">
        <f>LOOKUP($C$138, T_Stock_Private!$C$58:$C$68, T_Stock_Private!K$58:K$68)*(1+U30)</f>
        <v>0</v>
      </c>
      <c r="V143" s="686">
        <f>LOOKUP($C$138, T_Stock_Private!$C$58:$C$68, T_Stock_Private!L$58:L$68)*(1+V30)</f>
        <v>0</v>
      </c>
      <c r="W143" s="686">
        <f>LOOKUP($C$138, T_Stock_Private!$C$58:$C$68, T_Stock_Private!M$58:M$68)*(1+W30)</f>
        <v>0</v>
      </c>
      <c r="X143" s="686">
        <f>LOOKUP($C$138, T_Stock_Private!$C$58:$C$68, T_Stock_Private!N$58:N$68)*(1+X30)</f>
        <v>0</v>
      </c>
      <c r="Y143" s="686">
        <f>LOOKUP($C$138, T_Stock_Private!$C$58:$C$68, T_Stock_Private!O$58:O$68)*(1+Y30)</f>
        <v>0</v>
      </c>
      <c r="Z143" s="686">
        <f>LOOKUP($C$138, T_Stock_Private!$C$58:$C$68, T_Stock_Private!P$58:P$68)*(1+Z30)</f>
        <v>0</v>
      </c>
      <c r="AA143" s="686">
        <f>LOOKUP($C$138, T_Stock_Private!$C$58:$C$68, T_Stock_Private!Q$58:Q$68)*(1+AA30)</f>
        <v>0</v>
      </c>
      <c r="AB143" s="686">
        <f>LOOKUP($C$138, T_Stock_Private!$C$58:$C$68, T_Stock_Private!R$58:R$68)*(1+AB30)</f>
        <v>0</v>
      </c>
      <c r="AC143" s="89"/>
      <c r="AV143" s="699" t="str">
        <f t="shared" si="103"/>
        <v/>
      </c>
    </row>
    <row r="144" spans="1:64" x14ac:dyDescent="0.3">
      <c r="A144" s="22"/>
      <c r="B144" s="186" t="str">
        <f t="shared" si="139"/>
        <v>TBUSLPG100</v>
      </c>
      <c r="C144" s="186"/>
      <c r="D144" s="187"/>
      <c r="E144" s="186"/>
      <c r="F144" s="170"/>
      <c r="G144" s="189"/>
      <c r="H144" s="170"/>
      <c r="I144" s="190">
        <f>AF$5</f>
        <v>2020</v>
      </c>
      <c r="J144" s="191"/>
      <c r="K144" s="191"/>
      <c r="L144" s="211" t="s">
        <v>1064</v>
      </c>
      <c r="M144" s="186" t="s">
        <v>747</v>
      </c>
      <c r="N144" s="686">
        <f t="shared" ref="N144:AB144" si="142">N143*LOOKUP($AD138,$AG$4:$AP$4,$AG$5:$AP$5)</f>
        <v>0</v>
      </c>
      <c r="O144" s="686">
        <f t="shared" si="142"/>
        <v>0</v>
      </c>
      <c r="P144" s="686">
        <f t="shared" si="142"/>
        <v>0</v>
      </c>
      <c r="Q144" s="686">
        <f t="shared" si="142"/>
        <v>0</v>
      </c>
      <c r="R144" s="686">
        <f t="shared" si="142"/>
        <v>0</v>
      </c>
      <c r="S144" s="686">
        <f t="shared" si="142"/>
        <v>0</v>
      </c>
      <c r="T144" s="686">
        <f t="shared" si="142"/>
        <v>0</v>
      </c>
      <c r="U144" s="686">
        <f t="shared" si="142"/>
        <v>0</v>
      </c>
      <c r="V144" s="686">
        <f t="shared" si="142"/>
        <v>0</v>
      </c>
      <c r="W144" s="686">
        <f t="shared" si="142"/>
        <v>0</v>
      </c>
      <c r="X144" s="686">
        <f t="shared" si="142"/>
        <v>0</v>
      </c>
      <c r="Y144" s="686">
        <f t="shared" si="142"/>
        <v>0</v>
      </c>
      <c r="Z144" s="686">
        <f t="shared" si="142"/>
        <v>0</v>
      </c>
      <c r="AA144" s="686">
        <f t="shared" si="142"/>
        <v>0</v>
      </c>
      <c r="AB144" s="686">
        <f t="shared" si="142"/>
        <v>0</v>
      </c>
      <c r="AV144" s="699" t="str">
        <f t="shared" si="103"/>
        <v/>
      </c>
    </row>
    <row r="145" spans="1:64" x14ac:dyDescent="0.3">
      <c r="A145" s="22"/>
      <c r="B145" s="186" t="str">
        <f t="shared" si="139"/>
        <v>TBUSLPG100</v>
      </c>
      <c r="C145" s="186"/>
      <c r="D145" s="187"/>
      <c r="E145" s="186"/>
      <c r="F145" s="170"/>
      <c r="G145" s="189"/>
      <c r="H145" s="170"/>
      <c r="I145" s="190">
        <f>AF$6</f>
        <v>2025</v>
      </c>
      <c r="J145" s="191"/>
      <c r="K145" s="191"/>
      <c r="L145" s="211" t="s">
        <v>1064</v>
      </c>
      <c r="M145" s="186" t="s">
        <v>747</v>
      </c>
      <c r="N145" s="686">
        <f t="shared" ref="N145:AB145" si="143">N143*LOOKUP($AD138,$AG$4:$AP$4,$AG$6:$AP$6)</f>
        <v>0</v>
      </c>
      <c r="O145" s="686">
        <f t="shared" si="143"/>
        <v>0</v>
      </c>
      <c r="P145" s="686">
        <f t="shared" si="143"/>
        <v>0</v>
      </c>
      <c r="Q145" s="686">
        <f t="shared" si="143"/>
        <v>0</v>
      </c>
      <c r="R145" s="686">
        <f t="shared" si="143"/>
        <v>0</v>
      </c>
      <c r="S145" s="686">
        <f t="shared" si="143"/>
        <v>0</v>
      </c>
      <c r="T145" s="686">
        <f t="shared" si="143"/>
        <v>0</v>
      </c>
      <c r="U145" s="686">
        <f t="shared" si="143"/>
        <v>0</v>
      </c>
      <c r="V145" s="686">
        <f t="shared" si="143"/>
        <v>0</v>
      </c>
      <c r="W145" s="686">
        <f t="shared" si="143"/>
        <v>0</v>
      </c>
      <c r="X145" s="686">
        <f t="shared" si="143"/>
        <v>0</v>
      </c>
      <c r="Y145" s="686">
        <f t="shared" si="143"/>
        <v>0</v>
      </c>
      <c r="Z145" s="686">
        <f t="shared" si="143"/>
        <v>0</v>
      </c>
      <c r="AA145" s="686">
        <f t="shared" si="143"/>
        <v>0</v>
      </c>
      <c r="AB145" s="686">
        <f t="shared" si="143"/>
        <v>0</v>
      </c>
      <c r="AV145" s="699" t="str">
        <f t="shared" si="103"/>
        <v/>
      </c>
    </row>
    <row r="146" spans="1:64" x14ac:dyDescent="0.3">
      <c r="A146" s="22"/>
      <c r="B146" s="186" t="str">
        <f t="shared" si="139"/>
        <v>TBUSLPG100</v>
      </c>
      <c r="C146" s="186"/>
      <c r="D146" s="187"/>
      <c r="E146" s="186"/>
      <c r="F146" s="170"/>
      <c r="G146" s="189"/>
      <c r="H146" s="170"/>
      <c r="I146" s="190">
        <f>AF$7</f>
        <v>2030</v>
      </c>
      <c r="J146" s="191"/>
      <c r="K146" s="191"/>
      <c r="L146" s="211" t="s">
        <v>1064</v>
      </c>
      <c r="M146" s="186" t="s">
        <v>747</v>
      </c>
      <c r="N146" s="686">
        <f t="shared" ref="N146:AB146" si="144">N143*LOOKUP($AD138,$AG$4:$AP$4,$AG$7:$AP$7)</f>
        <v>0</v>
      </c>
      <c r="O146" s="686">
        <f t="shared" si="144"/>
        <v>0</v>
      </c>
      <c r="P146" s="686">
        <f t="shared" si="144"/>
        <v>0</v>
      </c>
      <c r="Q146" s="686">
        <f t="shared" si="144"/>
        <v>0</v>
      </c>
      <c r="R146" s="686">
        <f t="shared" si="144"/>
        <v>0</v>
      </c>
      <c r="S146" s="686">
        <f t="shared" si="144"/>
        <v>0</v>
      </c>
      <c r="T146" s="686">
        <f t="shared" si="144"/>
        <v>0</v>
      </c>
      <c r="U146" s="686">
        <f t="shared" si="144"/>
        <v>0</v>
      </c>
      <c r="V146" s="686">
        <f t="shared" si="144"/>
        <v>0</v>
      </c>
      <c r="W146" s="686">
        <f t="shared" si="144"/>
        <v>0</v>
      </c>
      <c r="X146" s="686">
        <f t="shared" si="144"/>
        <v>0</v>
      </c>
      <c r="Y146" s="686">
        <f t="shared" si="144"/>
        <v>0</v>
      </c>
      <c r="Z146" s="686">
        <f t="shared" si="144"/>
        <v>0</v>
      </c>
      <c r="AA146" s="686">
        <f t="shared" si="144"/>
        <v>0</v>
      </c>
      <c r="AB146" s="686">
        <f t="shared" si="144"/>
        <v>0</v>
      </c>
      <c r="AV146" s="699" t="str">
        <f t="shared" si="103"/>
        <v/>
      </c>
    </row>
    <row r="147" spans="1:64" x14ac:dyDescent="0.3">
      <c r="A147" s="22"/>
      <c r="B147" s="186" t="str">
        <f t="shared" si="139"/>
        <v>TBUSLPG100</v>
      </c>
      <c r="C147" s="186"/>
      <c r="D147" s="187"/>
      <c r="E147" s="186"/>
      <c r="F147" s="170"/>
      <c r="G147" s="189"/>
      <c r="H147" s="170"/>
      <c r="I147" s="190">
        <f>AF$8</f>
        <v>2035</v>
      </c>
      <c r="J147" s="191"/>
      <c r="K147" s="191"/>
      <c r="L147" s="211" t="s">
        <v>1064</v>
      </c>
      <c r="M147" s="186" t="s">
        <v>747</v>
      </c>
      <c r="N147" s="686">
        <f t="shared" ref="N147:AB147" si="145">N143*LOOKUP($AD138,$AG$4:$AP$4,$AG$8:$AP$8)</f>
        <v>0</v>
      </c>
      <c r="O147" s="686">
        <f t="shared" si="145"/>
        <v>0</v>
      </c>
      <c r="P147" s="686">
        <f t="shared" si="145"/>
        <v>0</v>
      </c>
      <c r="Q147" s="686">
        <f t="shared" si="145"/>
        <v>0</v>
      </c>
      <c r="R147" s="686">
        <f t="shared" si="145"/>
        <v>0</v>
      </c>
      <c r="S147" s="686">
        <f t="shared" si="145"/>
        <v>0</v>
      </c>
      <c r="T147" s="686">
        <f t="shared" si="145"/>
        <v>0</v>
      </c>
      <c r="U147" s="686">
        <f t="shared" si="145"/>
        <v>0</v>
      </c>
      <c r="V147" s="686">
        <f t="shared" si="145"/>
        <v>0</v>
      </c>
      <c r="W147" s="686">
        <f t="shared" si="145"/>
        <v>0</v>
      </c>
      <c r="X147" s="686">
        <f t="shared" si="145"/>
        <v>0</v>
      </c>
      <c r="Y147" s="686">
        <f t="shared" si="145"/>
        <v>0</v>
      </c>
      <c r="Z147" s="686">
        <f t="shared" si="145"/>
        <v>0</v>
      </c>
      <c r="AA147" s="686">
        <f t="shared" si="145"/>
        <v>0</v>
      </c>
      <c r="AB147" s="686">
        <f t="shared" si="145"/>
        <v>0</v>
      </c>
      <c r="AV147" s="699" t="str">
        <f t="shared" si="103"/>
        <v/>
      </c>
    </row>
    <row r="148" spans="1:64" x14ac:dyDescent="0.3">
      <c r="A148" s="22"/>
      <c r="B148" s="186" t="str">
        <f t="shared" si="139"/>
        <v>TBUSLPG100</v>
      </c>
      <c r="C148" s="186"/>
      <c r="D148" s="187"/>
      <c r="E148" s="186"/>
      <c r="F148" s="170"/>
      <c r="G148" s="189"/>
      <c r="H148" s="170"/>
      <c r="I148" s="190">
        <f>AF$9</f>
        <v>2040</v>
      </c>
      <c r="J148" s="191"/>
      <c r="K148" s="191"/>
      <c r="L148" s="211" t="s">
        <v>1064</v>
      </c>
      <c r="M148" s="186" t="s">
        <v>747</v>
      </c>
      <c r="N148" s="686">
        <f t="shared" ref="N148:AB148" si="146">N143*LOOKUP($AD138,$AG$4:$AP$4,$AG$9:$AP$9)</f>
        <v>0</v>
      </c>
      <c r="O148" s="686">
        <f t="shared" si="146"/>
        <v>0</v>
      </c>
      <c r="P148" s="686">
        <f t="shared" si="146"/>
        <v>0</v>
      </c>
      <c r="Q148" s="686">
        <f t="shared" si="146"/>
        <v>0</v>
      </c>
      <c r="R148" s="686">
        <f t="shared" si="146"/>
        <v>0</v>
      </c>
      <c r="S148" s="686">
        <f t="shared" si="146"/>
        <v>0</v>
      </c>
      <c r="T148" s="686">
        <f t="shared" si="146"/>
        <v>0</v>
      </c>
      <c r="U148" s="686">
        <f t="shared" si="146"/>
        <v>0</v>
      </c>
      <c r="V148" s="686">
        <f t="shared" si="146"/>
        <v>0</v>
      </c>
      <c r="W148" s="686">
        <f t="shared" si="146"/>
        <v>0</v>
      </c>
      <c r="X148" s="686">
        <f t="shared" si="146"/>
        <v>0</v>
      </c>
      <c r="Y148" s="686">
        <f t="shared" si="146"/>
        <v>0</v>
      </c>
      <c r="Z148" s="686">
        <f t="shared" si="146"/>
        <v>0</v>
      </c>
      <c r="AA148" s="686">
        <f t="shared" si="146"/>
        <v>0</v>
      </c>
      <c r="AB148" s="686">
        <f t="shared" si="146"/>
        <v>0</v>
      </c>
      <c r="AV148" s="699" t="str">
        <f t="shared" si="103"/>
        <v/>
      </c>
    </row>
    <row r="149" spans="1:64" x14ac:dyDescent="0.3">
      <c r="A149" s="22"/>
      <c r="B149" s="193" t="str">
        <f t="shared" si="139"/>
        <v>TBUSLPG100</v>
      </c>
      <c r="C149" s="193"/>
      <c r="D149" s="194"/>
      <c r="E149" s="193"/>
      <c r="F149" s="196"/>
      <c r="G149" s="195"/>
      <c r="H149" s="196"/>
      <c r="I149" s="197">
        <f>AF$10</f>
        <v>2050</v>
      </c>
      <c r="J149" s="198"/>
      <c r="K149" s="198"/>
      <c r="L149" s="199" t="s">
        <v>1064</v>
      </c>
      <c r="M149" s="193" t="s">
        <v>747</v>
      </c>
      <c r="N149" s="687">
        <f t="shared" ref="N149:AB149" si="147">N143*LOOKUP($AD138,$AG$4:$AP$4,$AG$10:$AP$10)</f>
        <v>0</v>
      </c>
      <c r="O149" s="687">
        <f t="shared" si="147"/>
        <v>0</v>
      </c>
      <c r="P149" s="687">
        <f t="shared" si="147"/>
        <v>0</v>
      </c>
      <c r="Q149" s="687">
        <f t="shared" si="147"/>
        <v>0</v>
      </c>
      <c r="R149" s="687">
        <f t="shared" si="147"/>
        <v>0</v>
      </c>
      <c r="S149" s="687">
        <f t="shared" si="147"/>
        <v>0</v>
      </c>
      <c r="T149" s="687">
        <f t="shared" si="147"/>
        <v>0</v>
      </c>
      <c r="U149" s="687">
        <f t="shared" si="147"/>
        <v>0</v>
      </c>
      <c r="V149" s="687">
        <f t="shared" si="147"/>
        <v>0</v>
      </c>
      <c r="W149" s="687">
        <f t="shared" si="147"/>
        <v>0</v>
      </c>
      <c r="X149" s="687">
        <f t="shared" si="147"/>
        <v>0</v>
      </c>
      <c r="Y149" s="687">
        <f t="shared" si="147"/>
        <v>0</v>
      </c>
      <c r="Z149" s="687">
        <f t="shared" si="147"/>
        <v>0</v>
      </c>
      <c r="AA149" s="687">
        <f t="shared" si="147"/>
        <v>0</v>
      </c>
      <c r="AB149" s="687">
        <f t="shared" si="147"/>
        <v>0</v>
      </c>
      <c r="AV149" s="699" t="str">
        <f t="shared" si="103"/>
        <v/>
      </c>
    </row>
    <row r="150" spans="1:64" s="83" customFormat="1" ht="17.25" customHeight="1" x14ac:dyDescent="0.3">
      <c r="A150" s="82"/>
      <c r="B150" s="178" t="str">
        <f>C150</f>
        <v>TBUSPYD100</v>
      </c>
      <c r="C150" s="178" t="s">
        <v>334</v>
      </c>
      <c r="D150" s="179" t="s">
        <v>771</v>
      </c>
      <c r="E150" s="407" t="s">
        <v>987</v>
      </c>
      <c r="F150" s="182"/>
      <c r="G150" s="181"/>
      <c r="H150" s="182"/>
      <c r="I150" s="183"/>
      <c r="J150" s="184"/>
      <c r="K150" s="184"/>
      <c r="L150" s="203" t="s">
        <v>1106</v>
      </c>
      <c r="M150" s="184" t="s">
        <v>1155</v>
      </c>
      <c r="N150" s="691">
        <f>N$47</f>
        <v>1E-3</v>
      </c>
      <c r="O150" s="691">
        <f t="shared" ref="O150:AB150" si="148">$N150</f>
        <v>1E-3</v>
      </c>
      <c r="P150" s="691">
        <f t="shared" si="148"/>
        <v>1E-3</v>
      </c>
      <c r="Q150" s="691">
        <f t="shared" si="148"/>
        <v>1E-3</v>
      </c>
      <c r="R150" s="691">
        <f t="shared" si="148"/>
        <v>1E-3</v>
      </c>
      <c r="S150" s="691">
        <f t="shared" si="148"/>
        <v>1E-3</v>
      </c>
      <c r="T150" s="691">
        <f t="shared" si="148"/>
        <v>1E-3</v>
      </c>
      <c r="U150" s="691">
        <f t="shared" si="148"/>
        <v>1E-3</v>
      </c>
      <c r="V150" s="691">
        <f t="shared" si="148"/>
        <v>1E-3</v>
      </c>
      <c r="W150" s="691">
        <f t="shared" si="148"/>
        <v>1E-3</v>
      </c>
      <c r="X150" s="691">
        <f t="shared" si="148"/>
        <v>1E-3</v>
      </c>
      <c r="Y150" s="691">
        <f t="shared" si="148"/>
        <v>1E-3</v>
      </c>
      <c r="Z150" s="691">
        <f t="shared" si="148"/>
        <v>1E-3</v>
      </c>
      <c r="AA150" s="691">
        <f t="shared" si="148"/>
        <v>1E-3</v>
      </c>
      <c r="AB150" s="691">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699" t="str">
        <f t="shared" si="103"/>
        <v>TRABDL</v>
      </c>
      <c r="AW150" s="567">
        <f t="shared" ref="AW150" si="149">SUM(AX150:BL150)</f>
        <v>0</v>
      </c>
      <c r="AX150" s="35"/>
      <c r="AY150" s="35"/>
      <c r="AZ150" s="35"/>
      <c r="BA150" s="35"/>
      <c r="BB150" s="35"/>
      <c r="BC150" s="35"/>
      <c r="BD150" s="35"/>
      <c r="BE150" s="35"/>
      <c r="BF150" s="35"/>
      <c r="BG150" s="35"/>
      <c r="BH150" s="35"/>
      <c r="BI150" s="35"/>
      <c r="BJ150" s="35"/>
      <c r="BK150" s="35"/>
      <c r="BL150" s="35"/>
    </row>
    <row r="151" spans="1:64" x14ac:dyDescent="0.3">
      <c r="A151" s="22"/>
      <c r="B151" s="186" t="str">
        <f>B150</f>
        <v>TBUSPYD100</v>
      </c>
      <c r="C151" s="186"/>
      <c r="D151" s="187"/>
      <c r="E151" s="258" t="s">
        <v>185</v>
      </c>
      <c r="F151" s="170"/>
      <c r="G151" s="189"/>
      <c r="H151" s="170"/>
      <c r="I151" s="190"/>
      <c r="J151" s="184" t="str">
        <f>$J$48</f>
        <v>UP</v>
      </c>
      <c r="K151" s="191"/>
      <c r="L151" s="211" t="s">
        <v>101</v>
      </c>
      <c r="M151" s="186"/>
      <c r="N151" s="689">
        <f>1-N$21</f>
        <v>0.94496029288387329</v>
      </c>
      <c r="O151" s="689">
        <f t="shared" ref="O151:AB151" si="150">1-O$21</f>
        <v>0.94496029288387329</v>
      </c>
      <c r="P151" s="689">
        <f t="shared" si="150"/>
        <v>0.94496029288387329</v>
      </c>
      <c r="Q151" s="689">
        <f t="shared" si="150"/>
        <v>0.94496029288387329</v>
      </c>
      <c r="R151" s="689">
        <f t="shared" si="150"/>
        <v>0.94496029288387329</v>
      </c>
      <c r="S151" s="689">
        <f t="shared" si="150"/>
        <v>0.94496029288387329</v>
      </c>
      <c r="T151" s="689">
        <f t="shared" si="150"/>
        <v>0.94496029288387329</v>
      </c>
      <c r="U151" s="689">
        <f t="shared" si="150"/>
        <v>0.94496029288387329</v>
      </c>
      <c r="V151" s="689">
        <f t="shared" si="150"/>
        <v>0.94496029288387329</v>
      </c>
      <c r="W151" s="689">
        <f t="shared" si="150"/>
        <v>0.94496029288387329</v>
      </c>
      <c r="X151" s="689">
        <f t="shared" si="150"/>
        <v>0.94496029288387329</v>
      </c>
      <c r="Y151" s="689">
        <f t="shared" si="150"/>
        <v>0.94496029288387329</v>
      </c>
      <c r="Z151" s="689">
        <f t="shared" si="150"/>
        <v>0.94496029288387329</v>
      </c>
      <c r="AA151" s="689">
        <f t="shared" si="150"/>
        <v>0.94496029288387329</v>
      </c>
      <c r="AB151" s="689">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699" t="str">
        <f t="shared" si="103"/>
        <v>TRADST</v>
      </c>
      <c r="AW151" s="567">
        <f t="shared" ref="AW151" si="151">SUM(AX151:BL151)</f>
        <v>0</v>
      </c>
    </row>
    <row r="152" spans="1:64" s="83" customFormat="1" x14ac:dyDescent="0.3">
      <c r="A152" s="82"/>
      <c r="B152" s="178" t="str">
        <f t="shared" ref="B152" si="152">B151</f>
        <v>TBUSPYD100</v>
      </c>
      <c r="C152" s="178"/>
      <c r="D152" s="179"/>
      <c r="E152" s="407" t="s">
        <v>989</v>
      </c>
      <c r="F152" s="182"/>
      <c r="G152" s="181"/>
      <c r="H152" s="182"/>
      <c r="I152" s="183"/>
      <c r="J152" s="184" t="s">
        <v>1156</v>
      </c>
      <c r="K152" s="184"/>
      <c r="L152" s="203" t="s">
        <v>101</v>
      </c>
      <c r="M152" s="184"/>
      <c r="N152" s="689">
        <f>N$20</f>
        <v>7.0000000000000007E-2</v>
      </c>
      <c r="O152" s="689">
        <f t="shared" ref="O152:AB152" si="153">O$20</f>
        <v>7.0000000000000007E-2</v>
      </c>
      <c r="P152" s="689">
        <f t="shared" si="153"/>
        <v>7.0000000000000007E-2</v>
      </c>
      <c r="Q152" s="689">
        <f t="shared" si="153"/>
        <v>7.0000000000000007E-2</v>
      </c>
      <c r="R152" s="689">
        <f t="shared" si="153"/>
        <v>7.0000000000000007E-2</v>
      </c>
      <c r="S152" s="689">
        <f t="shared" si="153"/>
        <v>7.0000000000000007E-2</v>
      </c>
      <c r="T152" s="689">
        <f t="shared" si="153"/>
        <v>7.0000000000000007E-2</v>
      </c>
      <c r="U152" s="689">
        <f t="shared" si="153"/>
        <v>7.0000000000000007E-2</v>
      </c>
      <c r="V152" s="689">
        <f t="shared" si="153"/>
        <v>7.0000000000000007E-2</v>
      </c>
      <c r="W152" s="689">
        <f t="shared" si="153"/>
        <v>7.0000000000000007E-2</v>
      </c>
      <c r="X152" s="689">
        <f t="shared" si="153"/>
        <v>7.0000000000000007E-2</v>
      </c>
      <c r="Y152" s="689">
        <f t="shared" si="153"/>
        <v>7.0000000000000007E-2</v>
      </c>
      <c r="Z152" s="689">
        <f t="shared" si="153"/>
        <v>7.0000000000000007E-2</v>
      </c>
      <c r="AA152" s="689">
        <f t="shared" si="153"/>
        <v>7.0000000000000007E-2</v>
      </c>
      <c r="AB152" s="689">
        <f t="shared" si="153"/>
        <v>7.0000000000000007E-2</v>
      </c>
      <c r="AD152" s="408"/>
      <c r="AE152" s="357"/>
      <c r="AF152" s="84"/>
      <c r="AG152" s="84"/>
      <c r="AH152" s="84"/>
      <c r="AI152" s="84"/>
      <c r="AJ152" s="84"/>
      <c r="AK152" s="84"/>
      <c r="AL152" s="84"/>
      <c r="AM152" s="84"/>
      <c r="AN152" s="84"/>
      <c r="AO152" s="84"/>
      <c r="AP152" s="84"/>
      <c r="AQ152" s="84"/>
      <c r="AR152" s="84"/>
      <c r="AS152" s="84"/>
      <c r="AT152" s="84"/>
      <c r="AV152" s="699"/>
      <c r="AW152" s="567"/>
      <c r="AX152" s="707"/>
      <c r="AY152" s="35"/>
      <c r="AZ152" s="35"/>
      <c r="BA152" s="35"/>
      <c r="BB152" s="35"/>
      <c r="BC152" s="35"/>
      <c r="BD152" s="35"/>
      <c r="BE152" s="35"/>
      <c r="BF152" s="35"/>
      <c r="BG152" s="35"/>
      <c r="BH152" s="35"/>
      <c r="BI152" s="35"/>
      <c r="BJ152" s="35"/>
      <c r="BK152" s="35"/>
      <c r="BL152" s="35"/>
    </row>
    <row r="153" spans="1:64" x14ac:dyDescent="0.3">
      <c r="A153" s="22"/>
      <c r="B153" s="186" t="str">
        <f>B151</f>
        <v>TBUSPYD100</v>
      </c>
      <c r="C153" s="186"/>
      <c r="D153" s="187"/>
      <c r="E153" s="186"/>
      <c r="F153" s="170"/>
      <c r="G153" s="188" t="s">
        <v>415</v>
      </c>
      <c r="H153" s="170"/>
      <c r="I153" s="190"/>
      <c r="J153" s="191"/>
      <c r="K153" s="191"/>
      <c r="L153" s="191" t="s">
        <v>1125</v>
      </c>
      <c r="M153" s="186" t="s">
        <v>677</v>
      </c>
      <c r="N153" s="689">
        <f>T_CEFF!H126</f>
        <v>9.5240000000000005E-2</v>
      </c>
      <c r="O153" s="689">
        <f>T_CEFF!I126</f>
        <v>9.5240000000000005E-2</v>
      </c>
      <c r="P153" s="689">
        <f>T_CEFF!J126</f>
        <v>9.5240000000000005E-2</v>
      </c>
      <c r="Q153" s="689">
        <f>T_CEFF!K126</f>
        <v>9.5240000000000005E-2</v>
      </c>
      <c r="R153" s="689">
        <f>T_CEFF!L126</f>
        <v>9.5240000000000005E-2</v>
      </c>
      <c r="S153" s="689">
        <f>T_CEFF!M126</f>
        <v>9.5240000000000005E-2</v>
      </c>
      <c r="T153" s="689">
        <f>T_CEFF!N126</f>
        <v>9.5240000000000005E-2</v>
      </c>
      <c r="U153" s="689">
        <f>T_CEFF!O126</f>
        <v>9.5240000000000005E-2</v>
      </c>
      <c r="V153" s="689">
        <f>T_CEFF!P126</f>
        <v>9.5240000000000005E-2</v>
      </c>
      <c r="W153" s="689">
        <f>T_CEFF!Q126</f>
        <v>9.5240000000000005E-2</v>
      </c>
      <c r="X153" s="689">
        <f>T_CEFF!R126</f>
        <v>9.5240000000000005E-2</v>
      </c>
      <c r="Y153" s="689">
        <f>T_CEFF!S126</f>
        <v>9.5240000000000005E-2</v>
      </c>
      <c r="Z153" s="689">
        <f>T_CEFF!T126</f>
        <v>9.5240000000000005E-2</v>
      </c>
      <c r="AA153" s="689">
        <f>T_CEFF!U126</f>
        <v>9.5240000000000005E-2</v>
      </c>
      <c r="AB153" s="689">
        <f>T_CEFF!V126</f>
        <v>9.5240000000000005E-2</v>
      </c>
      <c r="AE153" s="36"/>
      <c r="AF153" s="68"/>
      <c r="AV153" s="699" t="str">
        <f t="shared" si="103"/>
        <v/>
      </c>
    </row>
    <row r="154" spans="1:64" x14ac:dyDescent="0.3">
      <c r="A154" s="22"/>
      <c r="B154" s="186" t="str">
        <f>B153</f>
        <v>TBUSPYD100</v>
      </c>
      <c r="C154" s="186"/>
      <c r="D154" s="187"/>
      <c r="E154" s="186"/>
      <c r="F154" s="170"/>
      <c r="G154" s="188" t="s">
        <v>592</v>
      </c>
      <c r="H154" s="170"/>
      <c r="I154" s="190"/>
      <c r="J154" s="191"/>
      <c r="K154" s="191"/>
      <c r="L154" s="191" t="s">
        <v>1125</v>
      </c>
      <c r="M154" s="186" t="s">
        <v>677</v>
      </c>
      <c r="N154" s="689">
        <f>T_CEFF!H127</f>
        <v>9.5240000000000005E-2</v>
      </c>
      <c r="O154" s="689">
        <f>T_CEFF!I127</f>
        <v>9.5240000000000005E-2</v>
      </c>
      <c r="P154" s="689">
        <f>T_CEFF!J127</f>
        <v>9.5240000000000005E-2</v>
      </c>
      <c r="Q154" s="689">
        <f>T_CEFF!K127</f>
        <v>9.5240000000000005E-2</v>
      </c>
      <c r="R154" s="689">
        <f>T_CEFF!L127</f>
        <v>9.5240000000000005E-2</v>
      </c>
      <c r="S154" s="689">
        <f>T_CEFF!M127</f>
        <v>9.5240000000000005E-2</v>
      </c>
      <c r="T154" s="689">
        <f>T_CEFF!N127</f>
        <v>9.5240000000000005E-2</v>
      </c>
      <c r="U154" s="689">
        <f>T_CEFF!O127</f>
        <v>9.5240000000000005E-2</v>
      </c>
      <c r="V154" s="689">
        <f>T_CEFF!P127</f>
        <v>9.5240000000000005E-2</v>
      </c>
      <c r="W154" s="689">
        <f>T_CEFF!Q127</f>
        <v>9.5240000000000005E-2</v>
      </c>
      <c r="X154" s="689">
        <f>T_CEFF!R127</f>
        <v>9.5240000000000005E-2</v>
      </c>
      <c r="Y154" s="689">
        <f>T_CEFF!S127</f>
        <v>9.5240000000000005E-2</v>
      </c>
      <c r="Z154" s="689">
        <f>T_CEFF!T127</f>
        <v>9.5240000000000005E-2</v>
      </c>
      <c r="AA154" s="689">
        <f>T_CEFF!U127</f>
        <v>9.5240000000000005E-2</v>
      </c>
      <c r="AB154" s="689">
        <f>T_CEFF!V127</f>
        <v>9.5240000000000005E-2</v>
      </c>
      <c r="AE154" s="36"/>
      <c r="AF154" s="68"/>
      <c r="AV154" s="699" t="str">
        <f t="shared" si="103"/>
        <v/>
      </c>
      <c r="AW154" s="567"/>
      <c r="AX154" s="567"/>
      <c r="AY154" s="567"/>
      <c r="AZ154" s="567"/>
      <c r="BA154" s="567"/>
      <c r="BB154" s="567"/>
      <c r="BC154" s="567"/>
      <c r="BD154" s="567"/>
      <c r="BE154" s="567"/>
      <c r="BF154" s="567"/>
      <c r="BG154" s="567"/>
      <c r="BH154" s="567"/>
      <c r="BI154" s="567"/>
      <c r="BJ154" s="567"/>
      <c r="BK154" s="567"/>
      <c r="BL154" s="567"/>
    </row>
    <row r="155" spans="1:64" x14ac:dyDescent="0.3">
      <c r="A155" s="22"/>
      <c r="B155" s="186" t="str">
        <f t="shared" ref="B155:B163" si="154">B154</f>
        <v>TBUSPYD100</v>
      </c>
      <c r="C155" s="186"/>
      <c r="D155" s="187"/>
      <c r="E155" s="186"/>
      <c r="F155" s="170"/>
      <c r="G155" s="189"/>
      <c r="H155" s="170"/>
      <c r="I155" s="190"/>
      <c r="J155" s="191"/>
      <c r="K155" s="191" t="s">
        <v>748</v>
      </c>
      <c r="L155" s="191" t="s">
        <v>1127</v>
      </c>
      <c r="M155" s="186" t="s">
        <v>1158</v>
      </c>
      <c r="N155" s="602">
        <f t="shared" ref="N155:AB155" si="155">N$16</f>
        <v>18</v>
      </c>
      <c r="O155" s="602">
        <f t="shared" si="155"/>
        <v>0</v>
      </c>
      <c r="P155" s="602">
        <f t="shared" si="155"/>
        <v>0</v>
      </c>
      <c r="Q155" s="602">
        <f t="shared" si="155"/>
        <v>0</v>
      </c>
      <c r="R155" s="602">
        <f t="shared" si="155"/>
        <v>0</v>
      </c>
      <c r="S155" s="602">
        <f t="shared" si="155"/>
        <v>0</v>
      </c>
      <c r="T155" s="602">
        <f t="shared" si="155"/>
        <v>0</v>
      </c>
      <c r="U155" s="602">
        <f t="shared" si="155"/>
        <v>0</v>
      </c>
      <c r="V155" s="602">
        <f t="shared" si="155"/>
        <v>0</v>
      </c>
      <c r="W155" s="602">
        <f t="shared" si="155"/>
        <v>0</v>
      </c>
      <c r="X155" s="602">
        <f t="shared" si="155"/>
        <v>0</v>
      </c>
      <c r="Y155" s="602">
        <f t="shared" si="155"/>
        <v>0</v>
      </c>
      <c r="Z155" s="602">
        <f t="shared" si="155"/>
        <v>0</v>
      </c>
      <c r="AA155" s="602">
        <f t="shared" si="155"/>
        <v>0</v>
      </c>
      <c r="AB155" s="602">
        <f t="shared" si="155"/>
        <v>0</v>
      </c>
      <c r="AE155" s="36"/>
      <c r="AF155" s="68"/>
      <c r="AV155" s="699" t="str">
        <f t="shared" si="103"/>
        <v/>
      </c>
      <c r="AW155" s="567"/>
      <c r="AX155" s="567"/>
      <c r="AY155" s="567"/>
      <c r="AZ155" s="567"/>
      <c r="BA155" s="567"/>
      <c r="BB155" s="567"/>
      <c r="BC155" s="567"/>
      <c r="BD155" s="567"/>
      <c r="BE155" s="567"/>
      <c r="BF155" s="567"/>
      <c r="BG155" s="567"/>
      <c r="BH155" s="567"/>
      <c r="BI155" s="567"/>
      <c r="BJ155" s="567"/>
      <c r="BK155" s="567"/>
      <c r="BL155" s="567"/>
    </row>
    <row r="156" spans="1:64" x14ac:dyDescent="0.3">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5.5</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1">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699" t="str">
        <f t="shared" si="103"/>
        <v/>
      </c>
    </row>
    <row r="157" spans="1:64" x14ac:dyDescent="0.3">
      <c r="A157" s="22"/>
      <c r="B157" s="186" t="str">
        <f t="shared" si="154"/>
        <v>TBUSPYD100</v>
      </c>
      <c r="C157" s="186"/>
      <c r="D157" s="187"/>
      <c r="E157" s="186"/>
      <c r="F157" s="170"/>
      <c r="G157" s="189"/>
      <c r="H157" s="170"/>
      <c r="I157" s="190">
        <f>$M$3</f>
        <v>2019</v>
      </c>
      <c r="J157" s="191"/>
      <c r="K157" s="191"/>
      <c r="L157" s="211" t="s">
        <v>1064</v>
      </c>
      <c r="M157" s="186" t="s">
        <v>747</v>
      </c>
      <c r="N157" s="686">
        <f>LOOKUP($C$125, T_Stock_Private!$C$58:$C$68, T_Stock_Private!D$58:D$68)*(1+N30)</f>
        <v>0</v>
      </c>
      <c r="O157" s="686">
        <f>LOOKUP($C$125, T_Stock_Private!$C$58:$C$68, T_Stock_Private!E$58:E$68)*(1+O30)</f>
        <v>0</v>
      </c>
      <c r="P157" s="686">
        <f>LOOKUP($C$125, T_Stock_Private!$C$58:$C$68, T_Stock_Private!F$58:F$68)*(1+P30)</f>
        <v>0</v>
      </c>
      <c r="Q157" s="686">
        <f>LOOKUP($C$125, T_Stock_Private!$C$58:$C$68, T_Stock_Private!G$58:G$68)*(1+Q30)</f>
        <v>0</v>
      </c>
      <c r="R157" s="686">
        <f>LOOKUP($C$125, T_Stock_Private!$C$58:$C$68, T_Stock_Private!H$58:H$68)*(1+R30)</f>
        <v>0</v>
      </c>
      <c r="S157" s="686">
        <f>LOOKUP($C$125, T_Stock_Private!$C$58:$C$68, T_Stock_Private!I$58:I$68)*(1+S30)</f>
        <v>0</v>
      </c>
      <c r="T157" s="686">
        <f>LOOKUP($C$125, T_Stock_Private!$C$58:$C$68, T_Stock_Private!J$58:J$68)*(1+T30)</f>
        <v>0</v>
      </c>
      <c r="U157" s="686">
        <f>LOOKUP($C$125, T_Stock_Private!$C$58:$C$68, T_Stock_Private!K$58:K$68)*(1+U30)</f>
        <v>0</v>
      </c>
      <c r="V157" s="686">
        <f>LOOKUP($C$125, T_Stock_Private!$C$58:$C$68, T_Stock_Private!L$58:L$68)*(1+V30)</f>
        <v>0</v>
      </c>
      <c r="W157" s="686">
        <f>LOOKUP($C$125, T_Stock_Private!$C$58:$C$68, T_Stock_Private!M$58:M$68)*(1+W30)</f>
        <v>0</v>
      </c>
      <c r="X157" s="686">
        <f>LOOKUP($C$125, T_Stock_Private!$C$58:$C$68, T_Stock_Private!N$58:N$68)*(1+X30)</f>
        <v>0</v>
      </c>
      <c r="Y157" s="686">
        <f>LOOKUP($C$125, T_Stock_Private!$C$58:$C$68, T_Stock_Private!O$58:O$68)*(1+Y30)</f>
        <v>0</v>
      </c>
      <c r="Z157" s="686">
        <f>LOOKUP($C$125, T_Stock_Private!$C$58:$C$68, T_Stock_Private!P$58:P$68)*(1+Z30)</f>
        <v>0</v>
      </c>
      <c r="AA157" s="686">
        <f>LOOKUP($C$125, T_Stock_Private!$C$58:$C$68, T_Stock_Private!Q$58:Q$68)*(1+AA30)</f>
        <v>0</v>
      </c>
      <c r="AB157" s="686">
        <f>LOOKUP($C$125, T_Stock_Private!$C$58:$C$68, T_Stock_Private!R$58:R$68)*(1+AB30)</f>
        <v>0</v>
      </c>
      <c r="AC157" s="89"/>
      <c r="AV157" s="699" t="str">
        <f t="shared" si="103"/>
        <v/>
      </c>
    </row>
    <row r="158" spans="1:64" x14ac:dyDescent="0.3">
      <c r="A158" s="22"/>
      <c r="B158" s="186" t="str">
        <f t="shared" si="154"/>
        <v>TBUSPYD100</v>
      </c>
      <c r="C158" s="186"/>
      <c r="D158" s="187"/>
      <c r="E158" s="186"/>
      <c r="F158" s="170"/>
      <c r="G158" s="189"/>
      <c r="H158" s="170"/>
      <c r="I158" s="190">
        <f>AF$5</f>
        <v>2020</v>
      </c>
      <c r="J158" s="191"/>
      <c r="K158" s="191"/>
      <c r="L158" s="211" t="s">
        <v>1064</v>
      </c>
      <c r="M158" s="186" t="s">
        <v>747</v>
      </c>
      <c r="N158" s="686">
        <f t="shared" ref="N158:AB158" si="157">N157*LOOKUP($AD150,$AG$4:$AP$4,$AG$5:$AP$5)</f>
        <v>0</v>
      </c>
      <c r="O158" s="686">
        <f t="shared" si="157"/>
        <v>0</v>
      </c>
      <c r="P158" s="686">
        <f t="shared" si="157"/>
        <v>0</v>
      </c>
      <c r="Q158" s="686">
        <f t="shared" si="157"/>
        <v>0</v>
      </c>
      <c r="R158" s="686">
        <f t="shared" si="157"/>
        <v>0</v>
      </c>
      <c r="S158" s="686">
        <f t="shared" si="157"/>
        <v>0</v>
      </c>
      <c r="T158" s="686">
        <f t="shared" si="157"/>
        <v>0</v>
      </c>
      <c r="U158" s="686">
        <f t="shared" si="157"/>
        <v>0</v>
      </c>
      <c r="V158" s="686">
        <f t="shared" si="157"/>
        <v>0</v>
      </c>
      <c r="W158" s="686">
        <f t="shared" si="157"/>
        <v>0</v>
      </c>
      <c r="X158" s="686">
        <f t="shared" si="157"/>
        <v>0</v>
      </c>
      <c r="Y158" s="686">
        <f t="shared" si="157"/>
        <v>0</v>
      </c>
      <c r="Z158" s="686">
        <f t="shared" si="157"/>
        <v>0</v>
      </c>
      <c r="AA158" s="686">
        <f t="shared" si="157"/>
        <v>0</v>
      </c>
      <c r="AB158" s="686">
        <f t="shared" si="157"/>
        <v>0</v>
      </c>
      <c r="AV158" s="699" t="str">
        <f t="shared" si="103"/>
        <v/>
      </c>
    </row>
    <row r="159" spans="1:64" x14ac:dyDescent="0.3">
      <c r="A159" s="22"/>
      <c r="B159" s="186" t="str">
        <f t="shared" si="154"/>
        <v>TBUSPYD100</v>
      </c>
      <c r="C159" s="186"/>
      <c r="D159" s="187"/>
      <c r="E159" s="186"/>
      <c r="F159" s="170"/>
      <c r="G159" s="189"/>
      <c r="H159" s="170"/>
      <c r="I159" s="190">
        <f>AF$6</f>
        <v>2025</v>
      </c>
      <c r="J159" s="191"/>
      <c r="K159" s="191"/>
      <c r="L159" s="211" t="s">
        <v>1064</v>
      </c>
      <c r="M159" s="186" t="s">
        <v>747</v>
      </c>
      <c r="N159" s="686">
        <f t="shared" ref="N159:AB159" si="158">N157*LOOKUP($AD150,$AG$4:$AP$4,$AG$6:$AP$6)</f>
        <v>0</v>
      </c>
      <c r="O159" s="686">
        <f t="shared" si="158"/>
        <v>0</v>
      </c>
      <c r="P159" s="686">
        <f t="shared" si="158"/>
        <v>0</v>
      </c>
      <c r="Q159" s="686">
        <f t="shared" si="158"/>
        <v>0</v>
      </c>
      <c r="R159" s="686">
        <f t="shared" si="158"/>
        <v>0</v>
      </c>
      <c r="S159" s="686">
        <f t="shared" si="158"/>
        <v>0</v>
      </c>
      <c r="T159" s="686">
        <f t="shared" si="158"/>
        <v>0</v>
      </c>
      <c r="U159" s="686">
        <f t="shared" si="158"/>
        <v>0</v>
      </c>
      <c r="V159" s="686">
        <f t="shared" si="158"/>
        <v>0</v>
      </c>
      <c r="W159" s="686">
        <f t="shared" si="158"/>
        <v>0</v>
      </c>
      <c r="X159" s="686">
        <f t="shared" si="158"/>
        <v>0</v>
      </c>
      <c r="Y159" s="686">
        <f t="shared" si="158"/>
        <v>0</v>
      </c>
      <c r="Z159" s="686">
        <f t="shared" si="158"/>
        <v>0</v>
      </c>
      <c r="AA159" s="686">
        <f t="shared" si="158"/>
        <v>0</v>
      </c>
      <c r="AB159" s="686">
        <f t="shared" si="158"/>
        <v>0</v>
      </c>
      <c r="AV159" s="699" t="str">
        <f t="shared" si="103"/>
        <v/>
      </c>
    </row>
    <row r="160" spans="1:64" x14ac:dyDescent="0.3">
      <c r="A160" s="22"/>
      <c r="B160" s="186" t="str">
        <f t="shared" si="154"/>
        <v>TBUSPYD100</v>
      </c>
      <c r="C160" s="186"/>
      <c r="D160" s="187"/>
      <c r="E160" s="186"/>
      <c r="F160" s="170"/>
      <c r="G160" s="189"/>
      <c r="H160" s="170"/>
      <c r="I160" s="190">
        <f>AF$7</f>
        <v>2030</v>
      </c>
      <c r="J160" s="191"/>
      <c r="K160" s="191"/>
      <c r="L160" s="211" t="s">
        <v>1064</v>
      </c>
      <c r="M160" s="186" t="s">
        <v>747</v>
      </c>
      <c r="N160" s="686">
        <f t="shared" ref="N160:AB160" si="159">N157*LOOKUP($AD150,$AG$4:$AP$4,$AG$7:$AP$7)</f>
        <v>0</v>
      </c>
      <c r="O160" s="686">
        <f t="shared" si="159"/>
        <v>0</v>
      </c>
      <c r="P160" s="686">
        <f t="shared" si="159"/>
        <v>0</v>
      </c>
      <c r="Q160" s="686">
        <f t="shared" si="159"/>
        <v>0</v>
      </c>
      <c r="R160" s="686">
        <f t="shared" si="159"/>
        <v>0</v>
      </c>
      <c r="S160" s="686">
        <f t="shared" si="159"/>
        <v>0</v>
      </c>
      <c r="T160" s="686">
        <f t="shared" si="159"/>
        <v>0</v>
      </c>
      <c r="U160" s="686">
        <f t="shared" si="159"/>
        <v>0</v>
      </c>
      <c r="V160" s="686">
        <f t="shared" si="159"/>
        <v>0</v>
      </c>
      <c r="W160" s="686">
        <f t="shared" si="159"/>
        <v>0</v>
      </c>
      <c r="X160" s="686">
        <f t="shared" si="159"/>
        <v>0</v>
      </c>
      <c r="Y160" s="686">
        <f t="shared" si="159"/>
        <v>0</v>
      </c>
      <c r="Z160" s="686">
        <f t="shared" si="159"/>
        <v>0</v>
      </c>
      <c r="AA160" s="686">
        <f t="shared" si="159"/>
        <v>0</v>
      </c>
      <c r="AB160" s="686">
        <f t="shared" si="159"/>
        <v>0</v>
      </c>
      <c r="AV160" s="699" t="str">
        <f t="shared" si="103"/>
        <v/>
      </c>
    </row>
    <row r="161" spans="1:49" x14ac:dyDescent="0.3">
      <c r="A161" s="22"/>
      <c r="B161" s="186" t="str">
        <f t="shared" si="154"/>
        <v>TBUSPYD100</v>
      </c>
      <c r="C161" s="186"/>
      <c r="D161" s="187"/>
      <c r="E161" s="186"/>
      <c r="F161" s="170"/>
      <c r="G161" s="189"/>
      <c r="H161" s="170"/>
      <c r="I161" s="190">
        <f>AF$8</f>
        <v>2035</v>
      </c>
      <c r="J161" s="191"/>
      <c r="K161" s="191"/>
      <c r="L161" s="211" t="s">
        <v>1064</v>
      </c>
      <c r="M161" s="186" t="s">
        <v>747</v>
      </c>
      <c r="N161" s="686">
        <f t="shared" ref="N161:AB161" si="160">N157*LOOKUP($AD150,$AG$4:$AP$4,$AG$8:$AP$8)</f>
        <v>0</v>
      </c>
      <c r="O161" s="686">
        <f t="shared" si="160"/>
        <v>0</v>
      </c>
      <c r="P161" s="686">
        <f t="shared" si="160"/>
        <v>0</v>
      </c>
      <c r="Q161" s="686">
        <f t="shared" si="160"/>
        <v>0</v>
      </c>
      <c r="R161" s="686">
        <f t="shared" si="160"/>
        <v>0</v>
      </c>
      <c r="S161" s="686">
        <f t="shared" si="160"/>
        <v>0</v>
      </c>
      <c r="T161" s="686">
        <f t="shared" si="160"/>
        <v>0</v>
      </c>
      <c r="U161" s="686">
        <f t="shared" si="160"/>
        <v>0</v>
      </c>
      <c r="V161" s="686">
        <f t="shared" si="160"/>
        <v>0</v>
      </c>
      <c r="W161" s="686">
        <f t="shared" si="160"/>
        <v>0</v>
      </c>
      <c r="X161" s="686">
        <f t="shared" si="160"/>
        <v>0</v>
      </c>
      <c r="Y161" s="686">
        <f t="shared" si="160"/>
        <v>0</v>
      </c>
      <c r="Z161" s="686">
        <f t="shared" si="160"/>
        <v>0</v>
      </c>
      <c r="AA161" s="686">
        <f t="shared" si="160"/>
        <v>0</v>
      </c>
      <c r="AB161" s="686">
        <f t="shared" si="160"/>
        <v>0</v>
      </c>
      <c r="AV161" s="699" t="str">
        <f t="shared" si="103"/>
        <v/>
      </c>
    </row>
    <row r="162" spans="1:49" x14ac:dyDescent="0.3">
      <c r="A162" s="22"/>
      <c r="B162" s="186" t="str">
        <f t="shared" si="154"/>
        <v>TBUSPYD100</v>
      </c>
      <c r="C162" s="186"/>
      <c r="D162" s="187"/>
      <c r="E162" s="186"/>
      <c r="F162" s="170"/>
      <c r="G162" s="189"/>
      <c r="H162" s="170"/>
      <c r="I162" s="190">
        <f>AF$9</f>
        <v>2040</v>
      </c>
      <c r="J162" s="191"/>
      <c r="K162" s="191"/>
      <c r="L162" s="211" t="s">
        <v>1064</v>
      </c>
      <c r="M162" s="186" t="s">
        <v>747</v>
      </c>
      <c r="N162" s="686">
        <f t="shared" ref="N162:AB162" si="161">N157*LOOKUP($AD150,$AG$4:$AP$4,$AG$9:$AP$9)</f>
        <v>0</v>
      </c>
      <c r="O162" s="686">
        <f t="shared" si="161"/>
        <v>0</v>
      </c>
      <c r="P162" s="686">
        <f t="shared" si="161"/>
        <v>0</v>
      </c>
      <c r="Q162" s="686">
        <f t="shared" si="161"/>
        <v>0</v>
      </c>
      <c r="R162" s="686">
        <f t="shared" si="161"/>
        <v>0</v>
      </c>
      <c r="S162" s="686">
        <f t="shared" si="161"/>
        <v>0</v>
      </c>
      <c r="T162" s="686">
        <f t="shared" si="161"/>
        <v>0</v>
      </c>
      <c r="U162" s="686">
        <f t="shared" si="161"/>
        <v>0</v>
      </c>
      <c r="V162" s="686">
        <f t="shared" si="161"/>
        <v>0</v>
      </c>
      <c r="W162" s="686">
        <f t="shared" si="161"/>
        <v>0</v>
      </c>
      <c r="X162" s="686">
        <f t="shared" si="161"/>
        <v>0</v>
      </c>
      <c r="Y162" s="686">
        <f t="shared" si="161"/>
        <v>0</v>
      </c>
      <c r="Z162" s="686">
        <f t="shared" si="161"/>
        <v>0</v>
      </c>
      <c r="AA162" s="686">
        <f t="shared" si="161"/>
        <v>0</v>
      </c>
      <c r="AB162" s="686">
        <f t="shared" si="161"/>
        <v>0</v>
      </c>
      <c r="AV162" s="699" t="str">
        <f t="shared" si="103"/>
        <v/>
      </c>
    </row>
    <row r="163" spans="1:49" x14ac:dyDescent="0.3">
      <c r="A163" s="22"/>
      <c r="B163" s="193" t="str">
        <f t="shared" si="154"/>
        <v>TBUSPYD100</v>
      </c>
      <c r="C163" s="193"/>
      <c r="D163" s="194"/>
      <c r="E163" s="193"/>
      <c r="F163" s="196"/>
      <c r="G163" s="195"/>
      <c r="H163" s="196"/>
      <c r="I163" s="197">
        <f>AF$10</f>
        <v>2050</v>
      </c>
      <c r="J163" s="198"/>
      <c r="K163" s="198"/>
      <c r="L163" s="199" t="s">
        <v>1064</v>
      </c>
      <c r="M163" s="193" t="s">
        <v>747</v>
      </c>
      <c r="N163" s="687">
        <f t="shared" ref="N163:AB163" si="162">N157*LOOKUP($AD150,$AG$4:$AP$4,$AG$10:$AP$10)</f>
        <v>0</v>
      </c>
      <c r="O163" s="687">
        <f t="shared" si="162"/>
        <v>0</v>
      </c>
      <c r="P163" s="687">
        <f t="shared" si="162"/>
        <v>0</v>
      </c>
      <c r="Q163" s="687">
        <f t="shared" si="162"/>
        <v>0</v>
      </c>
      <c r="R163" s="687">
        <f t="shared" si="162"/>
        <v>0</v>
      </c>
      <c r="S163" s="687">
        <f t="shared" si="162"/>
        <v>0</v>
      </c>
      <c r="T163" s="687">
        <f t="shared" si="162"/>
        <v>0</v>
      </c>
      <c r="U163" s="687">
        <f t="shared" si="162"/>
        <v>0</v>
      </c>
      <c r="V163" s="687">
        <f t="shared" si="162"/>
        <v>0</v>
      </c>
      <c r="W163" s="687">
        <f t="shared" si="162"/>
        <v>0</v>
      </c>
      <c r="X163" s="687">
        <f t="shared" si="162"/>
        <v>0</v>
      </c>
      <c r="Y163" s="687">
        <f t="shared" si="162"/>
        <v>0</v>
      </c>
      <c r="Z163" s="687">
        <f t="shared" si="162"/>
        <v>0</v>
      </c>
      <c r="AA163" s="687">
        <f t="shared" si="162"/>
        <v>0</v>
      </c>
      <c r="AB163" s="687">
        <f t="shared" si="162"/>
        <v>0</v>
      </c>
      <c r="AV163" s="699" t="str">
        <f t="shared" si="103"/>
        <v/>
      </c>
    </row>
    <row r="164" spans="1:49" s="83" customFormat="1" ht="15.75" customHeight="1" x14ac:dyDescent="0.3">
      <c r="A164" s="82"/>
      <c r="B164" s="178" t="str">
        <f>C164</f>
        <v>TBUSPYG100</v>
      </c>
      <c r="C164" s="178" t="s">
        <v>335</v>
      </c>
      <c r="D164" s="179" t="s">
        <v>772</v>
      </c>
      <c r="E164" s="407" t="s">
        <v>1011</v>
      </c>
      <c r="F164" s="182"/>
      <c r="G164" s="181"/>
      <c r="H164" s="182"/>
      <c r="I164" s="183"/>
      <c r="J164" s="184"/>
      <c r="K164" s="184"/>
      <c r="L164" s="203" t="s">
        <v>1106</v>
      </c>
      <c r="M164" s="184" t="s">
        <v>1155</v>
      </c>
      <c r="N164" s="691">
        <f>N$47</f>
        <v>1E-3</v>
      </c>
      <c r="O164" s="691">
        <f t="shared" ref="O164:AB164" si="163">$N164</f>
        <v>1E-3</v>
      </c>
      <c r="P164" s="691">
        <f t="shared" si="163"/>
        <v>1E-3</v>
      </c>
      <c r="Q164" s="691">
        <f t="shared" si="163"/>
        <v>1E-3</v>
      </c>
      <c r="R164" s="691">
        <f t="shared" si="163"/>
        <v>1E-3</v>
      </c>
      <c r="S164" s="691">
        <f t="shared" si="163"/>
        <v>1E-3</v>
      </c>
      <c r="T164" s="691">
        <f t="shared" si="163"/>
        <v>1E-3</v>
      </c>
      <c r="U164" s="691">
        <f t="shared" si="163"/>
        <v>1E-3</v>
      </c>
      <c r="V164" s="691">
        <f t="shared" si="163"/>
        <v>1E-3</v>
      </c>
      <c r="W164" s="691">
        <f t="shared" si="163"/>
        <v>1E-3</v>
      </c>
      <c r="X164" s="691">
        <f t="shared" si="163"/>
        <v>1E-3</v>
      </c>
      <c r="Y164" s="691">
        <f t="shared" si="163"/>
        <v>1E-3</v>
      </c>
      <c r="Z164" s="691">
        <f t="shared" si="163"/>
        <v>1E-3</v>
      </c>
      <c r="AA164" s="691">
        <f t="shared" si="163"/>
        <v>1E-3</v>
      </c>
      <c r="AB164" s="691">
        <f t="shared" si="163"/>
        <v>1E-3</v>
      </c>
      <c r="AD164" s="410" t="str">
        <f>MID(D164,11,3)</f>
        <v>Plu</v>
      </c>
      <c r="AV164" s="713" t="str">
        <f t="shared" si="103"/>
        <v>TRAETHM</v>
      </c>
      <c r="AW164" s="569">
        <f t="shared" ref="AW164:AW165" si="164">SUM(AX164:BL164)</f>
        <v>0</v>
      </c>
    </row>
    <row r="165" spans="1:49" x14ac:dyDescent="0.3">
      <c r="A165" s="22"/>
      <c r="B165" s="186" t="str">
        <f>B164</f>
        <v>TBUSPYG100</v>
      </c>
      <c r="C165" s="186"/>
      <c r="D165" s="187"/>
      <c r="E165" s="258" t="s">
        <v>1013</v>
      </c>
      <c r="F165" s="170"/>
      <c r="G165" s="189"/>
      <c r="H165" s="170"/>
      <c r="I165" s="190"/>
      <c r="J165" s="191" t="s">
        <v>1126</v>
      </c>
      <c r="K165" s="191"/>
      <c r="L165" s="211" t="s">
        <v>101</v>
      </c>
      <c r="M165" s="186"/>
      <c r="N165" s="674">
        <f>1-N$22</f>
        <v>0.94899999999999995</v>
      </c>
      <c r="O165" s="674">
        <f t="shared" ref="O165:AB165" si="165">1-O$22</f>
        <v>0.94899999999999995</v>
      </c>
      <c r="P165" s="674">
        <f t="shared" si="165"/>
        <v>0.94899999999999995</v>
      </c>
      <c r="Q165" s="674">
        <f t="shared" si="165"/>
        <v>0.94899999999999995</v>
      </c>
      <c r="R165" s="674">
        <f t="shared" si="165"/>
        <v>0.94899999999999995</v>
      </c>
      <c r="S165" s="674">
        <f t="shared" si="165"/>
        <v>0.94899999999999995</v>
      </c>
      <c r="T165" s="674">
        <f t="shared" si="165"/>
        <v>0.94899999999999995</v>
      </c>
      <c r="U165" s="674">
        <f t="shared" si="165"/>
        <v>0.94899999999999995</v>
      </c>
      <c r="V165" s="674">
        <f t="shared" si="165"/>
        <v>0.94899999999999995</v>
      </c>
      <c r="W165" s="674">
        <f t="shared" si="165"/>
        <v>0.94899999999999995</v>
      </c>
      <c r="X165" s="674">
        <f t="shared" si="165"/>
        <v>0.94899999999999995</v>
      </c>
      <c r="Y165" s="674">
        <f t="shared" si="165"/>
        <v>0.94899999999999995</v>
      </c>
      <c r="Z165" s="674">
        <f t="shared" si="165"/>
        <v>0.94899999999999995</v>
      </c>
      <c r="AA165" s="674">
        <f t="shared" si="165"/>
        <v>0.94899999999999995</v>
      </c>
      <c r="AB165" s="674">
        <f t="shared" si="165"/>
        <v>0.94899999999999995</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699" t="str">
        <f t="shared" si="103"/>
        <v>TRAGSL</v>
      </c>
      <c r="AW165" s="567">
        <f t="shared" si="164"/>
        <v>0</v>
      </c>
    </row>
    <row r="166" spans="1:49" x14ac:dyDescent="0.3">
      <c r="A166" s="22"/>
      <c r="B166" s="186" t="str">
        <f>B165</f>
        <v>TBUSPYG100</v>
      </c>
      <c r="C166" s="186"/>
      <c r="D166" s="187"/>
      <c r="E166" s="186"/>
      <c r="F166" s="170"/>
      <c r="G166" s="188" t="s">
        <v>415</v>
      </c>
      <c r="H166" s="170"/>
      <c r="I166" s="190"/>
      <c r="J166" s="191"/>
      <c r="K166" s="191"/>
      <c r="L166" s="191" t="s">
        <v>1125</v>
      </c>
      <c r="M166" s="186" t="s">
        <v>677</v>
      </c>
      <c r="N166" s="689">
        <f>T_CEFF!H128</f>
        <v>6.8680000000000005E-2</v>
      </c>
      <c r="O166" s="689">
        <f>T_CEFF!I128</f>
        <v>6.8680000000000005E-2</v>
      </c>
      <c r="P166" s="689">
        <f>T_CEFF!J128</f>
        <v>6.8680000000000005E-2</v>
      </c>
      <c r="Q166" s="689">
        <f>T_CEFF!K128</f>
        <v>6.8680000000000005E-2</v>
      </c>
      <c r="R166" s="689">
        <f>T_CEFF!L128</f>
        <v>6.8680000000000005E-2</v>
      </c>
      <c r="S166" s="689">
        <f>T_CEFF!M128</f>
        <v>6.8680000000000005E-2</v>
      </c>
      <c r="T166" s="689">
        <f>T_CEFF!N128</f>
        <v>6.8680000000000005E-2</v>
      </c>
      <c r="U166" s="689">
        <f>T_CEFF!O128</f>
        <v>6.8680000000000005E-2</v>
      </c>
      <c r="V166" s="689">
        <f>T_CEFF!P128</f>
        <v>6.8680000000000005E-2</v>
      </c>
      <c r="W166" s="689">
        <f>T_CEFF!Q128</f>
        <v>6.8680000000000005E-2</v>
      </c>
      <c r="X166" s="689">
        <f>T_CEFF!R128</f>
        <v>6.8680000000000005E-2</v>
      </c>
      <c r="Y166" s="689">
        <f>T_CEFF!S128</f>
        <v>6.8680000000000005E-2</v>
      </c>
      <c r="Z166" s="689">
        <f>T_CEFF!T128</f>
        <v>6.8680000000000005E-2</v>
      </c>
      <c r="AA166" s="689">
        <f>T_CEFF!U128</f>
        <v>6.8680000000000005E-2</v>
      </c>
      <c r="AB166" s="689">
        <f>T_CEFF!V128</f>
        <v>6.8680000000000005E-2</v>
      </c>
      <c r="AE166" s="36"/>
      <c r="AF166" s="68"/>
      <c r="AV166" s="699" t="str">
        <f t="shared" si="103"/>
        <v/>
      </c>
    </row>
    <row r="167" spans="1:49" x14ac:dyDescent="0.3">
      <c r="A167" s="22"/>
      <c r="B167" s="186" t="str">
        <f>B166</f>
        <v>TBUSPYG100</v>
      </c>
      <c r="C167" s="186"/>
      <c r="D167" s="187"/>
      <c r="E167" s="186"/>
      <c r="F167" s="170"/>
      <c r="G167" s="188" t="s">
        <v>592</v>
      </c>
      <c r="H167" s="170"/>
      <c r="I167" s="190"/>
      <c r="J167" s="191"/>
      <c r="K167" s="191"/>
      <c r="L167" s="191" t="s">
        <v>1125</v>
      </c>
      <c r="M167" s="186" t="s">
        <v>677</v>
      </c>
      <c r="N167" s="689">
        <f>T_CEFF!H129</f>
        <v>6.8680000000000005E-2</v>
      </c>
      <c r="O167" s="689">
        <f>T_CEFF!I129</f>
        <v>6.8680000000000005E-2</v>
      </c>
      <c r="P167" s="689">
        <f>T_CEFF!J129</f>
        <v>6.8680000000000005E-2</v>
      </c>
      <c r="Q167" s="689">
        <f>T_CEFF!K129</f>
        <v>6.8680000000000005E-2</v>
      </c>
      <c r="R167" s="689">
        <f>T_CEFF!L129</f>
        <v>6.8680000000000005E-2</v>
      </c>
      <c r="S167" s="689">
        <f>T_CEFF!M129</f>
        <v>6.8680000000000005E-2</v>
      </c>
      <c r="T167" s="689">
        <f>T_CEFF!N129</f>
        <v>6.8680000000000005E-2</v>
      </c>
      <c r="U167" s="689">
        <f>T_CEFF!O129</f>
        <v>6.8680000000000005E-2</v>
      </c>
      <c r="V167" s="689">
        <f>T_CEFF!P129</f>
        <v>6.8680000000000005E-2</v>
      </c>
      <c r="W167" s="689">
        <f>T_CEFF!Q129</f>
        <v>6.8680000000000005E-2</v>
      </c>
      <c r="X167" s="689">
        <f>T_CEFF!R129</f>
        <v>6.8680000000000005E-2</v>
      </c>
      <c r="Y167" s="689">
        <f>T_CEFF!S129</f>
        <v>6.8680000000000005E-2</v>
      </c>
      <c r="Z167" s="689">
        <f>T_CEFF!T129</f>
        <v>6.8680000000000005E-2</v>
      </c>
      <c r="AA167" s="689">
        <f>T_CEFF!U129</f>
        <v>6.8680000000000005E-2</v>
      </c>
      <c r="AB167" s="689">
        <f>T_CEFF!V129</f>
        <v>6.8680000000000005E-2</v>
      </c>
      <c r="AE167" s="36"/>
      <c r="AF167" s="68"/>
    </row>
    <row r="168" spans="1:49" x14ac:dyDescent="0.3">
      <c r="A168" s="22"/>
      <c r="B168" s="186" t="str">
        <f t="shared" ref="B168:B176" si="166">B167</f>
        <v>TBUSPYG100</v>
      </c>
      <c r="C168" s="186"/>
      <c r="D168" s="187"/>
      <c r="E168" s="186"/>
      <c r="F168" s="170"/>
      <c r="G168" s="189"/>
      <c r="H168" s="170"/>
      <c r="I168" s="190"/>
      <c r="J168" s="191"/>
      <c r="K168" s="191" t="s">
        <v>748</v>
      </c>
      <c r="L168" s="191" t="s">
        <v>1127</v>
      </c>
      <c r="M168" s="186" t="s">
        <v>1158</v>
      </c>
      <c r="N168" s="602">
        <f t="shared" ref="N168:AB168" si="167">N$16</f>
        <v>18</v>
      </c>
      <c r="O168" s="602">
        <f t="shared" si="167"/>
        <v>0</v>
      </c>
      <c r="P168" s="602">
        <f t="shared" si="167"/>
        <v>0</v>
      </c>
      <c r="Q168" s="602">
        <f t="shared" si="167"/>
        <v>0</v>
      </c>
      <c r="R168" s="602">
        <f t="shared" si="167"/>
        <v>0</v>
      </c>
      <c r="S168" s="602">
        <f t="shared" si="167"/>
        <v>0</v>
      </c>
      <c r="T168" s="602">
        <f t="shared" si="167"/>
        <v>0</v>
      </c>
      <c r="U168" s="602">
        <f t="shared" si="167"/>
        <v>0</v>
      </c>
      <c r="V168" s="602">
        <f t="shared" si="167"/>
        <v>0</v>
      </c>
      <c r="W168" s="602">
        <f t="shared" si="167"/>
        <v>0</v>
      </c>
      <c r="X168" s="602">
        <f t="shared" si="167"/>
        <v>0</v>
      </c>
      <c r="Y168" s="602">
        <f t="shared" si="167"/>
        <v>0</v>
      </c>
      <c r="Z168" s="602">
        <f t="shared" si="167"/>
        <v>0</v>
      </c>
      <c r="AA168" s="602">
        <f t="shared" si="167"/>
        <v>0</v>
      </c>
      <c r="AB168" s="602">
        <f t="shared" si="167"/>
        <v>0</v>
      </c>
      <c r="AE168" s="36"/>
      <c r="AF168" s="68"/>
    </row>
    <row r="169" spans="1:49" x14ac:dyDescent="0.3">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5.5</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1">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3">
      <c r="A170" s="22"/>
      <c r="B170" s="186" t="str">
        <f t="shared" si="166"/>
        <v>TBUSPYG100</v>
      </c>
      <c r="C170" s="186"/>
      <c r="D170" s="187"/>
      <c r="E170" s="186"/>
      <c r="F170" s="170"/>
      <c r="G170" s="189"/>
      <c r="H170" s="170"/>
      <c r="I170" s="190">
        <f>$M$3</f>
        <v>2019</v>
      </c>
      <c r="J170" s="191"/>
      <c r="K170" s="191"/>
      <c r="L170" s="211" t="s">
        <v>1064</v>
      </c>
      <c r="M170" s="186" t="s">
        <v>747</v>
      </c>
      <c r="N170" s="686">
        <f>LOOKUP($C$125, T_Stock_Private!$C$58:$C$68, T_Stock_Private!D$58:D$68)*(1+N30)</f>
        <v>0</v>
      </c>
      <c r="O170" s="686">
        <f>LOOKUP($C$125, T_Stock_Private!$C$58:$C$68, T_Stock_Private!E$58:E$68)*(1+O30)</f>
        <v>0</v>
      </c>
      <c r="P170" s="686">
        <f>LOOKUP($C$125, T_Stock_Private!$C$58:$C$68, T_Stock_Private!F$58:F$68)*(1+P30)</f>
        <v>0</v>
      </c>
      <c r="Q170" s="686">
        <f>LOOKUP($C$125, T_Stock_Private!$C$58:$C$68, T_Stock_Private!G$58:G$68)*(1+Q30)</f>
        <v>0</v>
      </c>
      <c r="R170" s="686">
        <f>LOOKUP($C$125, T_Stock_Private!$C$58:$C$68, T_Stock_Private!H$58:H$68)*(1+R30)</f>
        <v>0</v>
      </c>
      <c r="S170" s="686">
        <f>LOOKUP($C$125, T_Stock_Private!$C$58:$C$68, T_Stock_Private!I$58:I$68)*(1+S30)</f>
        <v>0</v>
      </c>
      <c r="T170" s="686">
        <f>LOOKUP($C$125, T_Stock_Private!$C$58:$C$68, T_Stock_Private!J$58:J$68)*(1+T30)</f>
        <v>0</v>
      </c>
      <c r="U170" s="686">
        <f>LOOKUP($C$125, T_Stock_Private!$C$58:$C$68, T_Stock_Private!K$58:K$68)*(1+U30)</f>
        <v>0</v>
      </c>
      <c r="V170" s="686">
        <f>LOOKUP($C$125, T_Stock_Private!$C$58:$C$68, T_Stock_Private!L$58:L$68)*(1+V30)</f>
        <v>0</v>
      </c>
      <c r="W170" s="686">
        <f>LOOKUP($C$125, T_Stock_Private!$C$58:$C$68, T_Stock_Private!M$58:M$68)*(1+W30)</f>
        <v>0</v>
      </c>
      <c r="X170" s="686">
        <f>LOOKUP($C$125, T_Stock_Private!$C$58:$C$68, T_Stock_Private!N$58:N$68)*(1+X30)</f>
        <v>0</v>
      </c>
      <c r="Y170" s="686">
        <f>LOOKUP($C$125, T_Stock_Private!$C$58:$C$68, T_Stock_Private!O$58:O$68)*(1+Y30)</f>
        <v>0</v>
      </c>
      <c r="Z170" s="686">
        <f>LOOKUP($C$125, T_Stock_Private!$C$58:$C$68, T_Stock_Private!P$58:P$68)*(1+Z30)</f>
        <v>0</v>
      </c>
      <c r="AA170" s="686">
        <f>LOOKUP($C$125, T_Stock_Private!$C$58:$C$68, T_Stock_Private!Q$58:Q$68)*(1+AA30)</f>
        <v>0</v>
      </c>
      <c r="AB170" s="686">
        <f>LOOKUP($C$125, T_Stock_Private!$C$58:$C$68, T_Stock_Private!R$58:R$68)*(1+AB30)</f>
        <v>0</v>
      </c>
      <c r="AC170" s="89"/>
    </row>
    <row r="171" spans="1:49" x14ac:dyDescent="0.3">
      <c r="A171" s="22"/>
      <c r="B171" s="186" t="str">
        <f t="shared" si="166"/>
        <v>TBUSPYG100</v>
      </c>
      <c r="C171" s="186"/>
      <c r="D171" s="187"/>
      <c r="E171" s="186"/>
      <c r="F171" s="170"/>
      <c r="G171" s="189"/>
      <c r="H171" s="170"/>
      <c r="I171" s="190">
        <f>AF$5</f>
        <v>2020</v>
      </c>
      <c r="J171" s="191"/>
      <c r="K171" s="191"/>
      <c r="L171" s="211" t="s">
        <v>1064</v>
      </c>
      <c r="M171" s="186" t="s">
        <v>747</v>
      </c>
      <c r="N171" s="686">
        <f t="shared" ref="N171:AB171" si="169">N170*LOOKUP($AD164,$AG$4:$AP$4,$AG$5:$AP$5)</f>
        <v>0</v>
      </c>
      <c r="O171" s="686">
        <f t="shared" si="169"/>
        <v>0</v>
      </c>
      <c r="P171" s="686">
        <f t="shared" si="169"/>
        <v>0</v>
      </c>
      <c r="Q171" s="686">
        <f t="shared" si="169"/>
        <v>0</v>
      </c>
      <c r="R171" s="686">
        <f t="shared" si="169"/>
        <v>0</v>
      </c>
      <c r="S171" s="686">
        <f t="shared" si="169"/>
        <v>0</v>
      </c>
      <c r="T171" s="686">
        <f t="shared" si="169"/>
        <v>0</v>
      </c>
      <c r="U171" s="686">
        <f t="shared" si="169"/>
        <v>0</v>
      </c>
      <c r="V171" s="686">
        <f t="shared" si="169"/>
        <v>0</v>
      </c>
      <c r="W171" s="686">
        <f t="shared" si="169"/>
        <v>0</v>
      </c>
      <c r="X171" s="686">
        <f t="shared" si="169"/>
        <v>0</v>
      </c>
      <c r="Y171" s="686">
        <f t="shared" si="169"/>
        <v>0</v>
      </c>
      <c r="Z171" s="686">
        <f t="shared" si="169"/>
        <v>0</v>
      </c>
      <c r="AA171" s="686">
        <f t="shared" si="169"/>
        <v>0</v>
      </c>
      <c r="AB171" s="686">
        <f t="shared" si="169"/>
        <v>0</v>
      </c>
    </row>
    <row r="172" spans="1:49" x14ac:dyDescent="0.3">
      <c r="A172" s="22"/>
      <c r="B172" s="186" t="str">
        <f t="shared" si="166"/>
        <v>TBUSPYG100</v>
      </c>
      <c r="C172" s="186"/>
      <c r="D172" s="187"/>
      <c r="E172" s="186"/>
      <c r="F172" s="170"/>
      <c r="G172" s="189"/>
      <c r="H172" s="170"/>
      <c r="I172" s="190">
        <f>AF$6</f>
        <v>2025</v>
      </c>
      <c r="J172" s="191"/>
      <c r="K172" s="191"/>
      <c r="L172" s="211" t="s">
        <v>1064</v>
      </c>
      <c r="M172" s="186" t="s">
        <v>747</v>
      </c>
      <c r="N172" s="686">
        <f t="shared" ref="N172:AB172" si="170">N170*LOOKUP($AD164,$AG$4:$AP$4,$AG$6:$AP$6)</f>
        <v>0</v>
      </c>
      <c r="O172" s="686">
        <f t="shared" si="170"/>
        <v>0</v>
      </c>
      <c r="P172" s="686">
        <f t="shared" si="170"/>
        <v>0</v>
      </c>
      <c r="Q172" s="686">
        <f t="shared" si="170"/>
        <v>0</v>
      </c>
      <c r="R172" s="686">
        <f t="shared" si="170"/>
        <v>0</v>
      </c>
      <c r="S172" s="686">
        <f t="shared" si="170"/>
        <v>0</v>
      </c>
      <c r="T172" s="686">
        <f t="shared" si="170"/>
        <v>0</v>
      </c>
      <c r="U172" s="686">
        <f t="shared" si="170"/>
        <v>0</v>
      </c>
      <c r="V172" s="686">
        <f t="shared" si="170"/>
        <v>0</v>
      </c>
      <c r="W172" s="686">
        <f t="shared" si="170"/>
        <v>0</v>
      </c>
      <c r="X172" s="686">
        <f t="shared" si="170"/>
        <v>0</v>
      </c>
      <c r="Y172" s="686">
        <f t="shared" si="170"/>
        <v>0</v>
      </c>
      <c r="Z172" s="686">
        <f t="shared" si="170"/>
        <v>0</v>
      </c>
      <c r="AA172" s="686">
        <f t="shared" si="170"/>
        <v>0</v>
      </c>
      <c r="AB172" s="686">
        <f t="shared" si="170"/>
        <v>0</v>
      </c>
    </row>
    <row r="173" spans="1:49" x14ac:dyDescent="0.3">
      <c r="A173" s="22"/>
      <c r="B173" s="186" t="str">
        <f t="shared" si="166"/>
        <v>TBUSPYG100</v>
      </c>
      <c r="C173" s="186"/>
      <c r="D173" s="187"/>
      <c r="E173" s="186"/>
      <c r="F173" s="170"/>
      <c r="G173" s="189"/>
      <c r="H173" s="170"/>
      <c r="I173" s="190">
        <f>AF$7</f>
        <v>2030</v>
      </c>
      <c r="J173" s="191"/>
      <c r="K173" s="191"/>
      <c r="L173" s="211" t="s">
        <v>1064</v>
      </c>
      <c r="M173" s="186" t="s">
        <v>747</v>
      </c>
      <c r="N173" s="686">
        <f t="shared" ref="N173:AB173" si="171">N170*LOOKUP($AD164,$AG$4:$AP$4,$AG$7:$AP$7)</f>
        <v>0</v>
      </c>
      <c r="O173" s="686">
        <f t="shared" si="171"/>
        <v>0</v>
      </c>
      <c r="P173" s="686">
        <f t="shared" si="171"/>
        <v>0</v>
      </c>
      <c r="Q173" s="686">
        <f t="shared" si="171"/>
        <v>0</v>
      </c>
      <c r="R173" s="686">
        <f t="shared" si="171"/>
        <v>0</v>
      </c>
      <c r="S173" s="686">
        <f t="shared" si="171"/>
        <v>0</v>
      </c>
      <c r="T173" s="686">
        <f t="shared" si="171"/>
        <v>0</v>
      </c>
      <c r="U173" s="686">
        <f t="shared" si="171"/>
        <v>0</v>
      </c>
      <c r="V173" s="686">
        <f t="shared" si="171"/>
        <v>0</v>
      </c>
      <c r="W173" s="686">
        <f t="shared" si="171"/>
        <v>0</v>
      </c>
      <c r="X173" s="686">
        <f t="shared" si="171"/>
        <v>0</v>
      </c>
      <c r="Y173" s="686">
        <f t="shared" si="171"/>
        <v>0</v>
      </c>
      <c r="Z173" s="686">
        <f t="shared" si="171"/>
        <v>0</v>
      </c>
      <c r="AA173" s="686">
        <f t="shared" si="171"/>
        <v>0</v>
      </c>
      <c r="AB173" s="686">
        <f t="shared" si="171"/>
        <v>0</v>
      </c>
    </row>
    <row r="174" spans="1:49" x14ac:dyDescent="0.3">
      <c r="A174" s="22"/>
      <c r="B174" s="186" t="str">
        <f t="shared" si="166"/>
        <v>TBUSPYG100</v>
      </c>
      <c r="C174" s="186"/>
      <c r="D174" s="187"/>
      <c r="E174" s="186"/>
      <c r="F174" s="170"/>
      <c r="G174" s="189"/>
      <c r="H174" s="170"/>
      <c r="I174" s="190">
        <f>AF$8</f>
        <v>2035</v>
      </c>
      <c r="J174" s="191"/>
      <c r="K174" s="191"/>
      <c r="L174" s="211" t="s">
        <v>1064</v>
      </c>
      <c r="M174" s="186" t="s">
        <v>747</v>
      </c>
      <c r="N174" s="686">
        <f t="shared" ref="N174:AB174" si="172">N170*LOOKUP($AD164,$AG$4:$AP$4,$AG$8:$AP$8)</f>
        <v>0</v>
      </c>
      <c r="O174" s="686">
        <f t="shared" si="172"/>
        <v>0</v>
      </c>
      <c r="P174" s="686">
        <f t="shared" si="172"/>
        <v>0</v>
      </c>
      <c r="Q174" s="686">
        <f t="shared" si="172"/>
        <v>0</v>
      </c>
      <c r="R174" s="686">
        <f t="shared" si="172"/>
        <v>0</v>
      </c>
      <c r="S174" s="686">
        <f t="shared" si="172"/>
        <v>0</v>
      </c>
      <c r="T174" s="686">
        <f t="shared" si="172"/>
        <v>0</v>
      </c>
      <c r="U174" s="686">
        <f t="shared" si="172"/>
        <v>0</v>
      </c>
      <c r="V174" s="686">
        <f t="shared" si="172"/>
        <v>0</v>
      </c>
      <c r="W174" s="686">
        <f t="shared" si="172"/>
        <v>0</v>
      </c>
      <c r="X174" s="686">
        <f t="shared" si="172"/>
        <v>0</v>
      </c>
      <c r="Y174" s="686">
        <f t="shared" si="172"/>
        <v>0</v>
      </c>
      <c r="Z174" s="686">
        <f t="shared" si="172"/>
        <v>0</v>
      </c>
      <c r="AA174" s="686">
        <f t="shared" si="172"/>
        <v>0</v>
      </c>
      <c r="AB174" s="686">
        <f t="shared" si="172"/>
        <v>0</v>
      </c>
    </row>
    <row r="175" spans="1:49" x14ac:dyDescent="0.3">
      <c r="A175" s="22"/>
      <c r="B175" s="186" t="str">
        <f t="shared" si="166"/>
        <v>TBUSPYG100</v>
      </c>
      <c r="C175" s="186"/>
      <c r="D175" s="187"/>
      <c r="E175" s="186"/>
      <c r="F175" s="170"/>
      <c r="G175" s="189"/>
      <c r="H175" s="170"/>
      <c r="I175" s="190">
        <f>AF$9</f>
        <v>2040</v>
      </c>
      <c r="J175" s="191"/>
      <c r="K175" s="191"/>
      <c r="L175" s="211" t="s">
        <v>1064</v>
      </c>
      <c r="M175" s="186" t="s">
        <v>747</v>
      </c>
      <c r="N175" s="686">
        <f t="shared" ref="N175:AB175" si="173">N170*LOOKUP($AD164,$AG$4:$AP$4,$AG$9:$AP$9)</f>
        <v>0</v>
      </c>
      <c r="O175" s="686">
        <f t="shared" si="173"/>
        <v>0</v>
      </c>
      <c r="P175" s="686">
        <f t="shared" si="173"/>
        <v>0</v>
      </c>
      <c r="Q175" s="686">
        <f t="shared" si="173"/>
        <v>0</v>
      </c>
      <c r="R175" s="686">
        <f t="shared" si="173"/>
        <v>0</v>
      </c>
      <c r="S175" s="686">
        <f t="shared" si="173"/>
        <v>0</v>
      </c>
      <c r="T175" s="686">
        <f t="shared" si="173"/>
        <v>0</v>
      </c>
      <c r="U175" s="686">
        <f t="shared" si="173"/>
        <v>0</v>
      </c>
      <c r="V175" s="686">
        <f t="shared" si="173"/>
        <v>0</v>
      </c>
      <c r="W175" s="686">
        <f t="shared" si="173"/>
        <v>0</v>
      </c>
      <c r="X175" s="686">
        <f t="shared" si="173"/>
        <v>0</v>
      </c>
      <c r="Y175" s="686">
        <f t="shared" si="173"/>
        <v>0</v>
      </c>
      <c r="Z175" s="686">
        <f t="shared" si="173"/>
        <v>0</v>
      </c>
      <c r="AA175" s="686">
        <f t="shared" si="173"/>
        <v>0</v>
      </c>
      <c r="AB175" s="686">
        <f t="shared" si="173"/>
        <v>0</v>
      </c>
    </row>
    <row r="176" spans="1:49" x14ac:dyDescent="0.3">
      <c r="A176" s="22"/>
      <c r="B176" s="193" t="str">
        <f t="shared" si="166"/>
        <v>TBUSPYG100</v>
      </c>
      <c r="C176" s="193"/>
      <c r="D176" s="194"/>
      <c r="E176" s="193"/>
      <c r="F176" s="196"/>
      <c r="G176" s="195"/>
      <c r="H176" s="196"/>
      <c r="I176" s="197">
        <f>AF$10</f>
        <v>2050</v>
      </c>
      <c r="J176" s="198"/>
      <c r="K176" s="198"/>
      <c r="L176" s="199" t="s">
        <v>1064</v>
      </c>
      <c r="M176" s="193" t="s">
        <v>747</v>
      </c>
      <c r="N176" s="687">
        <f t="shared" ref="N176:AB176" si="174">N170*LOOKUP($AD164,$AG$4:$AP$4,$AG$10:$AP$10)</f>
        <v>0</v>
      </c>
      <c r="O176" s="687">
        <f t="shared" si="174"/>
        <v>0</v>
      </c>
      <c r="P176" s="687">
        <f t="shared" si="174"/>
        <v>0</v>
      </c>
      <c r="Q176" s="687">
        <f t="shared" si="174"/>
        <v>0</v>
      </c>
      <c r="R176" s="687">
        <f t="shared" si="174"/>
        <v>0</v>
      </c>
      <c r="S176" s="687">
        <f t="shared" si="174"/>
        <v>0</v>
      </c>
      <c r="T176" s="687">
        <f t="shared" si="174"/>
        <v>0</v>
      </c>
      <c r="U176" s="687">
        <f t="shared" si="174"/>
        <v>0</v>
      </c>
      <c r="V176" s="687">
        <f t="shared" si="174"/>
        <v>0</v>
      </c>
      <c r="W176" s="687">
        <f t="shared" si="174"/>
        <v>0</v>
      </c>
      <c r="X176" s="687">
        <f t="shared" si="174"/>
        <v>0</v>
      </c>
      <c r="Y176" s="687">
        <f t="shared" si="174"/>
        <v>0</v>
      </c>
      <c r="Z176" s="687">
        <f t="shared" si="174"/>
        <v>0</v>
      </c>
      <c r="AA176" s="687">
        <f t="shared" si="174"/>
        <v>0</v>
      </c>
      <c r="AB176" s="687">
        <f t="shared" si="174"/>
        <v>0</v>
      </c>
    </row>
    <row r="178" spans="1:64" x14ac:dyDescent="0.3">
      <c r="N178" s="363"/>
    </row>
    <row r="179" spans="1:64" x14ac:dyDescent="0.3">
      <c r="M179" s="473" t="s">
        <v>1151</v>
      </c>
      <c r="N179" s="472">
        <v>0.12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3">
      <c r="B180" s="26" t="s">
        <v>1166</v>
      </c>
      <c r="C180" s="26"/>
      <c r="I180" s="36"/>
      <c r="L180" s="440"/>
      <c r="M180" s="473" t="s">
        <v>1153</v>
      </c>
      <c r="N180" s="472">
        <v>9.9199999999999997E-2</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3">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3">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5">
        <f t="shared" ref="AF182:AQ182" si="175">SUM(N10:N13)/AF185-1</f>
        <v>0.42918810608894864</v>
      </c>
      <c r="AG182" s="865" t="e">
        <f t="shared" si="175"/>
        <v>#DIV/0!</v>
      </c>
      <c r="AH182" s="865" t="e">
        <f t="shared" si="175"/>
        <v>#DIV/0!</v>
      </c>
      <c r="AI182" s="865" t="e">
        <f t="shared" si="175"/>
        <v>#DIV/0!</v>
      </c>
      <c r="AJ182" s="865" t="e">
        <f t="shared" si="175"/>
        <v>#DIV/0!</v>
      </c>
      <c r="AK182" s="865" t="e">
        <f t="shared" si="175"/>
        <v>#DIV/0!</v>
      </c>
      <c r="AL182" s="865" t="e">
        <f t="shared" si="175"/>
        <v>#DIV/0!</v>
      </c>
      <c r="AM182" s="865" t="e">
        <f t="shared" si="175"/>
        <v>#DIV/0!</v>
      </c>
      <c r="AN182" s="865" t="e">
        <f t="shared" si="175"/>
        <v>#DIV/0!</v>
      </c>
      <c r="AO182" s="865" t="e">
        <f t="shared" si="175"/>
        <v>#DIV/0!</v>
      </c>
      <c r="AP182" s="865" t="e">
        <f t="shared" si="175"/>
        <v>#DIV/0!</v>
      </c>
      <c r="AQ182" s="865" t="e">
        <f t="shared" si="175"/>
        <v>#DIV/0!</v>
      </c>
      <c r="AR182" s="865" t="e">
        <f>SUM(Z12:Z13)/AR185-1</f>
        <v>#DIV/0!</v>
      </c>
      <c r="AS182" s="865" t="e">
        <f>SUM(AA10:AA13)/AS185-1</f>
        <v>#DIV/0!</v>
      </c>
      <c r="AT182" s="865" t="e">
        <f>SUM(AB12:AB13)/AT185-1</f>
        <v>#DIV/0!</v>
      </c>
      <c r="AV182" s="471" t="s">
        <v>1051</v>
      </c>
    </row>
    <row r="183" spans="1:64" s="22" customFormat="1" x14ac:dyDescent="0.3">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0" t="s">
        <v>85</v>
      </c>
      <c r="AW183" s="700" t="s">
        <v>421</v>
      </c>
      <c r="AX183" s="700" t="str">
        <f t="shared" ref="AX183:BL183" si="178">N$2</f>
        <v>Z01</v>
      </c>
      <c r="AY183" s="700" t="str">
        <f t="shared" si="178"/>
        <v>Z02</v>
      </c>
      <c r="AZ183" s="700" t="str">
        <f t="shared" si="178"/>
        <v>Z03</v>
      </c>
      <c r="BA183" s="700" t="str">
        <f t="shared" si="178"/>
        <v>Z04</v>
      </c>
      <c r="BB183" s="700" t="str">
        <f t="shared" si="178"/>
        <v>Z05</v>
      </c>
      <c r="BC183" s="700" t="str">
        <f t="shared" si="178"/>
        <v>Z06</v>
      </c>
      <c r="BD183" s="700" t="str">
        <f t="shared" si="178"/>
        <v>Z07</v>
      </c>
      <c r="BE183" s="700" t="str">
        <f t="shared" si="178"/>
        <v>Z08</v>
      </c>
      <c r="BF183" s="700" t="str">
        <f t="shared" si="178"/>
        <v>Z09</v>
      </c>
      <c r="BG183" s="700" t="str">
        <f t="shared" si="178"/>
        <v>Z10</v>
      </c>
      <c r="BH183" s="700" t="str">
        <f t="shared" si="178"/>
        <v>Z11</v>
      </c>
      <c r="BI183" s="700" t="str">
        <f t="shared" si="178"/>
        <v>Z12</v>
      </c>
      <c r="BJ183" s="700" t="str">
        <f t="shared" si="178"/>
        <v>Z13</v>
      </c>
      <c r="BK183" s="700" t="str">
        <f t="shared" si="178"/>
        <v>Z14</v>
      </c>
      <c r="BL183" s="700" t="str">
        <f t="shared" si="178"/>
        <v>Z15</v>
      </c>
    </row>
    <row r="184" spans="1:64" s="22" customFormat="1" x14ac:dyDescent="0.3">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4" t="str">
        <f>IF(AE185-SUM(AD12:AD13)&lt;0,"too small",IF(AE185-SUM(AD12:AD13)&gt;0.001,"Too big","ok"))</f>
        <v>too small</v>
      </c>
      <c r="AF184" s="618" t="str">
        <f t="shared" ref="AF184:AT184" si="179">IF(AF185-SUM(N12:N13)&lt;0,"too small",IF(AF185-SUM(N12:N13)&gt;0.0005,"Too big","ok"))</f>
        <v>too small</v>
      </c>
      <c r="AG184" s="618" t="str">
        <f t="shared" si="179"/>
        <v>ok</v>
      </c>
      <c r="AH184" s="618" t="str">
        <f t="shared" si="179"/>
        <v>ok</v>
      </c>
      <c r="AI184" s="618" t="str">
        <f t="shared" si="179"/>
        <v>ok</v>
      </c>
      <c r="AJ184" s="618" t="str">
        <f t="shared" si="179"/>
        <v>ok</v>
      </c>
      <c r="AK184" s="618" t="str">
        <f t="shared" si="179"/>
        <v>ok</v>
      </c>
      <c r="AL184" s="618" t="str">
        <f t="shared" si="179"/>
        <v>ok</v>
      </c>
      <c r="AM184" s="618" t="str">
        <f t="shared" si="179"/>
        <v>ok</v>
      </c>
      <c r="AN184" s="618" t="str">
        <f t="shared" si="179"/>
        <v>ok</v>
      </c>
      <c r="AO184" s="618" t="str">
        <f t="shared" si="179"/>
        <v>ok</v>
      </c>
      <c r="AP184" s="618" t="str">
        <f t="shared" si="179"/>
        <v>ok</v>
      </c>
      <c r="AQ184" s="618" t="str">
        <f t="shared" si="179"/>
        <v>ok</v>
      </c>
      <c r="AR184" s="618" t="str">
        <f t="shared" si="179"/>
        <v>ok</v>
      </c>
      <c r="AS184" s="618" t="str">
        <f t="shared" si="179"/>
        <v>ok</v>
      </c>
      <c r="AT184" s="618" t="str">
        <f t="shared" si="179"/>
        <v>ok</v>
      </c>
      <c r="AV184" s="398" t="s">
        <v>103</v>
      </c>
      <c r="AW184" s="709">
        <f>SUM(AX184:BL184)</f>
        <v>934.18475325576412</v>
      </c>
      <c r="AX184" s="708">
        <f>SUM(AX185:AX326)</f>
        <v>934.18475325576412</v>
      </c>
      <c r="AY184" s="708">
        <f t="shared" ref="AY184" si="180">SUM(AY185:AY326)</f>
        <v>0</v>
      </c>
      <c r="AZ184" s="708">
        <f t="shared" ref="AZ184" si="181">SUM(AZ185:AZ326)</f>
        <v>0</v>
      </c>
      <c r="BA184" s="708">
        <f t="shared" ref="BA184" si="182">SUM(BA185:BA326)</f>
        <v>0</v>
      </c>
      <c r="BB184" s="708">
        <f t="shared" ref="BB184" si="183">SUM(BB185:BB326)</f>
        <v>0</v>
      </c>
      <c r="BC184" s="708">
        <f t="shared" ref="BC184" si="184">SUM(BC185:BC326)</f>
        <v>0</v>
      </c>
      <c r="BD184" s="708">
        <f t="shared" ref="BD184" si="185">SUM(BD185:BD326)</f>
        <v>0</v>
      </c>
      <c r="BE184" s="708">
        <f t="shared" ref="BE184" si="186">SUM(BE185:BE326)</f>
        <v>0</v>
      </c>
      <c r="BF184" s="708">
        <f t="shared" ref="BF184" si="187">SUM(BF185:BF326)</f>
        <v>0</v>
      </c>
      <c r="BG184" s="708">
        <f t="shared" ref="BG184" si="188">SUM(BG185:BG326)</f>
        <v>0</v>
      </c>
      <c r="BH184" s="708">
        <f t="shared" ref="BH184" si="189">SUM(BH185:BH326)</f>
        <v>0</v>
      </c>
      <c r="BI184" s="708">
        <f t="shared" ref="BI184" si="190">SUM(BI185:BI326)</f>
        <v>0</v>
      </c>
      <c r="BJ184" s="708">
        <f t="shared" ref="BJ184" si="191">SUM(BJ185:BJ326)</f>
        <v>0</v>
      </c>
      <c r="BK184" s="708">
        <f t="shared" ref="BK184" si="192">SUM(BK185:BK326)</f>
        <v>0</v>
      </c>
      <c r="BL184" s="708">
        <f t="shared" ref="BL184" si="193">SUM(BL185:BL326)</f>
        <v>0</v>
      </c>
    </row>
    <row r="185" spans="1:64" s="83" customFormat="1" x14ac:dyDescent="0.3">
      <c r="A185" s="82"/>
      <c r="B185" s="178" t="str">
        <f>C185</f>
        <v>TBISBDL100</v>
      </c>
      <c r="C185" s="178" t="s">
        <v>336</v>
      </c>
      <c r="D185" s="179" t="s">
        <v>751</v>
      </c>
      <c r="E185" s="407" t="s">
        <v>987</v>
      </c>
      <c r="F185" s="182"/>
      <c r="G185" s="181"/>
      <c r="H185" s="182"/>
      <c r="I185" s="183"/>
      <c r="J185" s="184"/>
      <c r="K185" s="184"/>
      <c r="L185" s="203" t="s">
        <v>1106</v>
      </c>
      <c r="M185" s="184" t="s">
        <v>1155</v>
      </c>
      <c r="N185" s="691">
        <f>N$47</f>
        <v>1E-3</v>
      </c>
      <c r="O185" s="691">
        <f t="shared" ref="O185:AB185" si="194">$N185</f>
        <v>1E-3</v>
      </c>
      <c r="P185" s="691">
        <f t="shared" si="194"/>
        <v>1E-3</v>
      </c>
      <c r="Q185" s="691">
        <f t="shared" si="194"/>
        <v>1E-3</v>
      </c>
      <c r="R185" s="691">
        <f t="shared" si="194"/>
        <v>1E-3</v>
      </c>
      <c r="S185" s="691">
        <f t="shared" si="194"/>
        <v>1E-3</v>
      </c>
      <c r="T185" s="691">
        <f t="shared" si="194"/>
        <v>1E-3</v>
      </c>
      <c r="U185" s="691">
        <f t="shared" si="194"/>
        <v>1E-3</v>
      </c>
      <c r="V185" s="691">
        <f t="shared" si="194"/>
        <v>1E-3</v>
      </c>
      <c r="W185" s="691">
        <f t="shared" si="194"/>
        <v>1E-3</v>
      </c>
      <c r="X185" s="691">
        <f t="shared" si="194"/>
        <v>1E-3</v>
      </c>
      <c r="Y185" s="691">
        <f t="shared" si="194"/>
        <v>1E-3</v>
      </c>
      <c r="Z185" s="691">
        <f t="shared" si="194"/>
        <v>1E-3</v>
      </c>
      <c r="AA185" s="691">
        <f t="shared" si="194"/>
        <v>1E-3</v>
      </c>
      <c r="AB185" s="691">
        <f t="shared" si="194"/>
        <v>1E-3</v>
      </c>
      <c r="AD185" s="86" t="str">
        <f>MID(D185,15,3)</f>
        <v>BDL</v>
      </c>
      <c r="AE185" s="571">
        <f>SUM(AF185:AT185)</f>
        <v>1343.4200801280001</v>
      </c>
      <c r="AF185" s="585">
        <f>SUM(AF188:AF326)</f>
        <v>1343.4200801280001</v>
      </c>
      <c r="AG185" s="585">
        <f t="shared" ref="AG185:AT185" si="195">SUM(AG188:AG326)</f>
        <v>0</v>
      </c>
      <c r="AH185" s="585">
        <f t="shared" si="195"/>
        <v>0</v>
      </c>
      <c r="AI185" s="585">
        <f t="shared" si="195"/>
        <v>0</v>
      </c>
      <c r="AJ185" s="585">
        <f t="shared" si="195"/>
        <v>0</v>
      </c>
      <c r="AK185" s="585">
        <f t="shared" si="195"/>
        <v>0</v>
      </c>
      <c r="AL185" s="585">
        <f t="shared" si="195"/>
        <v>0</v>
      </c>
      <c r="AM185" s="585">
        <f t="shared" si="195"/>
        <v>0</v>
      </c>
      <c r="AN185" s="585">
        <f t="shared" si="195"/>
        <v>0</v>
      </c>
      <c r="AO185" s="585">
        <f t="shared" si="195"/>
        <v>0</v>
      </c>
      <c r="AP185" s="585">
        <f t="shared" si="195"/>
        <v>0</v>
      </c>
      <c r="AQ185" s="585">
        <f t="shared" si="195"/>
        <v>0</v>
      </c>
      <c r="AR185" s="585">
        <f t="shared" si="195"/>
        <v>0</v>
      </c>
      <c r="AS185" s="585">
        <f t="shared" si="195"/>
        <v>0</v>
      </c>
      <c r="AT185" s="585">
        <f t="shared" si="195"/>
        <v>0</v>
      </c>
      <c r="AV185" s="699" t="str">
        <f>MID(E185,1,7)</f>
        <v>TRABDL</v>
      </c>
      <c r="AW185" s="567">
        <f>SUM(AX185:BL185)</f>
        <v>353.95163364934598</v>
      </c>
      <c r="AX185" s="567">
        <f>N189*N190/N186/1000</f>
        <v>353.95163364934598</v>
      </c>
      <c r="AY185" s="567">
        <f t="shared" ref="AY185:BL185" si="196">O189*O190/O186/1000</f>
        <v>0</v>
      </c>
      <c r="AZ185" s="567">
        <f t="shared" si="196"/>
        <v>0</v>
      </c>
      <c r="BA185" s="567">
        <f t="shared" si="196"/>
        <v>0</v>
      </c>
      <c r="BB185" s="567">
        <f t="shared" si="196"/>
        <v>0</v>
      </c>
      <c r="BC185" s="567">
        <f t="shared" si="196"/>
        <v>0</v>
      </c>
      <c r="BD185" s="567">
        <f t="shared" si="196"/>
        <v>0</v>
      </c>
      <c r="BE185" s="567">
        <f t="shared" si="196"/>
        <v>0</v>
      </c>
      <c r="BF185" s="567">
        <f t="shared" si="196"/>
        <v>0</v>
      </c>
      <c r="BG185" s="567">
        <f t="shared" si="196"/>
        <v>0</v>
      </c>
      <c r="BH185" s="567">
        <f t="shared" si="196"/>
        <v>0</v>
      </c>
      <c r="BI185" s="567">
        <f t="shared" si="196"/>
        <v>0</v>
      </c>
      <c r="BJ185" s="567">
        <f t="shared" si="196"/>
        <v>0</v>
      </c>
      <c r="BK185" s="567">
        <f t="shared" si="196"/>
        <v>0</v>
      </c>
      <c r="BL185" s="567">
        <f t="shared" si="196"/>
        <v>0</v>
      </c>
    </row>
    <row r="186" spans="1:64" s="83" customFormat="1" x14ac:dyDescent="0.3">
      <c r="B186" s="178" t="str">
        <f>B185</f>
        <v>TBISBDL100</v>
      </c>
      <c r="C186" s="178"/>
      <c r="D186" s="179"/>
      <c r="E186" s="178"/>
      <c r="F186" s="182"/>
      <c r="G186" s="180" t="s">
        <v>414</v>
      </c>
      <c r="H186" s="182"/>
      <c r="I186" s="183"/>
      <c r="J186" s="184"/>
      <c r="K186" s="184"/>
      <c r="L186" s="184" t="s">
        <v>1125</v>
      </c>
      <c r="M186" s="178" t="s">
        <v>677</v>
      </c>
      <c r="N186" s="689">
        <f>T_CEFF!H130</f>
        <v>8.3330000000000001E-2</v>
      </c>
      <c r="O186" s="689">
        <f>T_CEFF!I130</f>
        <v>8.3330000000000001E-2</v>
      </c>
      <c r="P186" s="689">
        <f>T_CEFF!J130</f>
        <v>8.3330000000000001E-2</v>
      </c>
      <c r="Q186" s="689">
        <f>T_CEFF!K130</f>
        <v>8.3330000000000001E-2</v>
      </c>
      <c r="R186" s="689">
        <f>T_CEFF!L130</f>
        <v>8.3330000000000001E-2</v>
      </c>
      <c r="S186" s="689">
        <f>T_CEFF!M130</f>
        <v>8.3330000000000001E-2</v>
      </c>
      <c r="T186" s="689">
        <f>T_CEFF!N130</f>
        <v>8.3330000000000001E-2</v>
      </c>
      <c r="U186" s="689">
        <f>T_CEFF!O130</f>
        <v>8.3330000000000001E-2</v>
      </c>
      <c r="V186" s="689">
        <f>T_CEFF!P130</f>
        <v>8.3330000000000001E-2</v>
      </c>
      <c r="W186" s="689">
        <f>T_CEFF!Q130</f>
        <v>8.3330000000000001E-2</v>
      </c>
      <c r="X186" s="689">
        <f>T_CEFF!R130</f>
        <v>8.3330000000000001E-2</v>
      </c>
      <c r="Y186" s="689">
        <f>T_CEFF!S130</f>
        <v>8.3330000000000001E-2</v>
      </c>
      <c r="Z186" s="689">
        <f>T_CEFF!T130</f>
        <v>8.3330000000000001E-2</v>
      </c>
      <c r="AA186" s="689">
        <f>T_CEFF!U130</f>
        <v>8.3330000000000001E-2</v>
      </c>
      <c r="AB186" s="689">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699" t="str">
        <f>MID(E186,1,7)</f>
        <v/>
      </c>
      <c r="AW186" s="567"/>
      <c r="AX186" s="567"/>
      <c r="AY186" s="567"/>
      <c r="AZ186" s="567"/>
      <c r="BA186" s="567"/>
      <c r="BB186" s="567"/>
      <c r="BC186" s="567"/>
      <c r="BD186" s="567"/>
      <c r="BE186" s="567"/>
      <c r="BF186" s="567"/>
      <c r="BG186" s="567"/>
      <c r="BH186" s="567"/>
      <c r="BI186" s="567"/>
      <c r="BJ186" s="567"/>
      <c r="BK186" s="567"/>
      <c r="BL186" s="567"/>
    </row>
    <row r="187" spans="1:64" s="83" customFormat="1" x14ac:dyDescent="0.3">
      <c r="B187" s="178" t="str">
        <f t="shared" ref="B187:B196" si="197">B186</f>
        <v>TBISBDL100</v>
      </c>
      <c r="C187" s="178"/>
      <c r="D187" s="179"/>
      <c r="E187" s="178"/>
      <c r="F187" s="182"/>
      <c r="G187" s="180" t="s">
        <v>589</v>
      </c>
      <c r="H187" s="182"/>
      <c r="I187" s="183"/>
      <c r="J187" s="184"/>
      <c r="K187" s="184"/>
      <c r="L187" s="184" t="s">
        <v>1125</v>
      </c>
      <c r="M187" s="178" t="s">
        <v>677</v>
      </c>
      <c r="N187" s="689">
        <f>T_CEFF!H131</f>
        <v>8.3330000000000001E-2</v>
      </c>
      <c r="O187" s="689">
        <f>T_CEFF!I131</f>
        <v>8.3330000000000001E-2</v>
      </c>
      <c r="P187" s="689">
        <f>T_CEFF!J131</f>
        <v>8.3330000000000001E-2</v>
      </c>
      <c r="Q187" s="689">
        <f>T_CEFF!K131</f>
        <v>8.3330000000000001E-2</v>
      </c>
      <c r="R187" s="689">
        <f>T_CEFF!L131</f>
        <v>8.3330000000000001E-2</v>
      </c>
      <c r="S187" s="689">
        <f>T_CEFF!M131</f>
        <v>8.3330000000000001E-2</v>
      </c>
      <c r="T187" s="689">
        <f>T_CEFF!N131</f>
        <v>8.3330000000000001E-2</v>
      </c>
      <c r="U187" s="689">
        <f>T_CEFF!O131</f>
        <v>8.3330000000000001E-2</v>
      </c>
      <c r="V187" s="689">
        <f>T_CEFF!P131</f>
        <v>8.3330000000000001E-2</v>
      </c>
      <c r="W187" s="689">
        <f>T_CEFF!Q131</f>
        <v>8.3330000000000001E-2</v>
      </c>
      <c r="X187" s="689">
        <f>T_CEFF!R131</f>
        <v>8.3330000000000001E-2</v>
      </c>
      <c r="Y187" s="689">
        <f>T_CEFF!S131</f>
        <v>8.3330000000000001E-2</v>
      </c>
      <c r="Z187" s="689">
        <f>T_CEFF!T131</f>
        <v>8.3330000000000001E-2</v>
      </c>
      <c r="AA187" s="689">
        <f>T_CEFF!U131</f>
        <v>8.3330000000000001E-2</v>
      </c>
      <c r="AB187" s="689">
        <f>T_CEFF!V131</f>
        <v>8.3330000000000001E-2</v>
      </c>
      <c r="AE187" s="357"/>
    </row>
    <row r="188" spans="1:64" s="83" customFormat="1" x14ac:dyDescent="0.3">
      <c r="B188" s="178" t="str">
        <f>B187</f>
        <v>TBISBDL100</v>
      </c>
      <c r="C188" s="178"/>
      <c r="D188" s="179"/>
      <c r="E188" s="178"/>
      <c r="F188" s="182"/>
      <c r="G188" s="181"/>
      <c r="H188" s="182"/>
      <c r="I188" s="183"/>
      <c r="J188" s="184"/>
      <c r="K188" s="184" t="s">
        <v>748</v>
      </c>
      <c r="L188" s="184" t="s">
        <v>1127</v>
      </c>
      <c r="M188" s="178" t="s">
        <v>1118</v>
      </c>
      <c r="N188" s="690">
        <f>N$17</f>
        <v>18</v>
      </c>
      <c r="O188" s="690">
        <f t="shared" ref="O188:AB188" si="198">O$17</f>
        <v>0</v>
      </c>
      <c r="P188" s="690">
        <f t="shared" si="198"/>
        <v>0</v>
      </c>
      <c r="Q188" s="690">
        <f t="shared" si="198"/>
        <v>0</v>
      </c>
      <c r="R188" s="690">
        <f t="shared" si="198"/>
        <v>0</v>
      </c>
      <c r="S188" s="690">
        <f t="shared" si="198"/>
        <v>0</v>
      </c>
      <c r="T188" s="690">
        <f t="shared" si="198"/>
        <v>0</v>
      </c>
      <c r="U188" s="690">
        <f t="shared" si="198"/>
        <v>0</v>
      </c>
      <c r="V188" s="690">
        <f t="shared" si="198"/>
        <v>0</v>
      </c>
      <c r="W188" s="690">
        <f t="shared" si="198"/>
        <v>0</v>
      </c>
      <c r="X188" s="690">
        <f t="shared" si="198"/>
        <v>0</v>
      </c>
      <c r="Y188" s="690">
        <f t="shared" si="198"/>
        <v>0</v>
      </c>
      <c r="Z188" s="690">
        <f t="shared" si="198"/>
        <v>0</v>
      </c>
      <c r="AA188" s="690">
        <f t="shared" si="198"/>
        <v>0</v>
      </c>
      <c r="AB188" s="690">
        <f t="shared" si="198"/>
        <v>0</v>
      </c>
      <c r="AE188" s="357"/>
    </row>
    <row r="189" spans="1:64" s="83" customFormat="1" x14ac:dyDescent="0.3">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36.96</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1">
        <f>SUM(AF189:AT189)</f>
        <v>530.90621337599998</v>
      </c>
      <c r="AF189" s="85">
        <f t="shared" ref="AF189:AT189" si="199">N188*N189*N190/1000</f>
        <v>530.90621337599998</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3">
      <c r="B190" s="178" t="str">
        <f>B189</f>
        <v>TBISBDL100</v>
      </c>
      <c r="C190" s="178"/>
      <c r="D190" s="179"/>
      <c r="E190" s="178"/>
      <c r="F190" s="182"/>
      <c r="G190" s="181"/>
      <c r="H190" s="182"/>
      <c r="I190" s="183">
        <f>$M$3</f>
        <v>2019</v>
      </c>
      <c r="J190" s="184"/>
      <c r="K190" s="184"/>
      <c r="L190" s="203" t="s">
        <v>1064</v>
      </c>
      <c r="M190" s="178" t="s">
        <v>747</v>
      </c>
      <c r="N190" s="686">
        <f>LOOKUP($C$185, T_Stock_Private!$C$74:$C$84, T_Stock_Private!D$74:D$84)*(1+N180)</f>
        <v>798.01919999999996</v>
      </c>
      <c r="O190" s="686">
        <f>LOOKUP($C$185, T_Stock_Private!$C$74:$C$84, T_Stock_Private!E$74:E$84)*(1+O180)</f>
        <v>0</v>
      </c>
      <c r="P190" s="686">
        <f>LOOKUP($C$185, T_Stock_Private!$C$74:$C$84, T_Stock_Private!F$74:F$84)*(1+P180)</f>
        <v>0</v>
      </c>
      <c r="Q190" s="686">
        <f>LOOKUP($C$185, T_Stock_Private!$C$74:$C$84, T_Stock_Private!G$74:G$84)*(1+Q180)</f>
        <v>0</v>
      </c>
      <c r="R190" s="686">
        <f>LOOKUP($C$185, T_Stock_Private!$C$74:$C$84, T_Stock_Private!H$74:H$84)*(1+R180)</f>
        <v>0</v>
      </c>
      <c r="S190" s="686">
        <f>LOOKUP($C$185, T_Stock_Private!$C$74:$C$84, T_Stock_Private!I$74:I$84)*(1+S180)</f>
        <v>0</v>
      </c>
      <c r="T190" s="686">
        <f>LOOKUP($C$185, T_Stock_Private!$C$74:$C$84, T_Stock_Private!J$74:J$84)*(1+T180)</f>
        <v>0</v>
      </c>
      <c r="U190" s="686">
        <f>LOOKUP($C$185, T_Stock_Private!$C$74:$C$84, T_Stock_Private!K$74:K$84)*(1+U180)</f>
        <v>0</v>
      </c>
      <c r="V190" s="686">
        <f>LOOKUP($C$185, T_Stock_Private!$C$74:$C$84, T_Stock_Private!L$74:L$84)*(1+V180)</f>
        <v>0</v>
      </c>
      <c r="W190" s="686">
        <f>LOOKUP($C$185, T_Stock_Private!$C$74:$C$84, T_Stock_Private!M$74:M$84)*(1+W180)</f>
        <v>0</v>
      </c>
      <c r="X190" s="686">
        <f>LOOKUP($C$185, T_Stock_Private!$C$74:$C$84, T_Stock_Private!N$74:N$84)*(1+X180)</f>
        <v>0</v>
      </c>
      <c r="Y190" s="686">
        <f>LOOKUP($C$185, T_Stock_Private!$C$74:$C$84, T_Stock_Private!O$74:O$84)*(1+Y180)</f>
        <v>0</v>
      </c>
      <c r="Z190" s="686">
        <f>LOOKUP($C$185, T_Stock_Private!$C$74:$C$84, T_Stock_Private!P$74:P$84)*(1+Z180)</f>
        <v>0</v>
      </c>
      <c r="AA190" s="686">
        <f>LOOKUP($C$185, T_Stock_Private!$C$74:$C$84, T_Stock_Private!Q$74:Q$84)*(1+AA180)</f>
        <v>0</v>
      </c>
      <c r="AB190" s="686">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3">
      <c r="B191" s="178" t="str">
        <f t="shared" si="197"/>
        <v>TBISBDL100</v>
      </c>
      <c r="C191" s="178"/>
      <c r="D191" s="179"/>
      <c r="E191" s="178"/>
      <c r="F191" s="182"/>
      <c r="G191" s="181"/>
      <c r="H191" s="182"/>
      <c r="I191" s="183">
        <f>AF$5</f>
        <v>2020</v>
      </c>
      <c r="J191" s="184"/>
      <c r="K191" s="184"/>
      <c r="L191" s="203" t="s">
        <v>1064</v>
      </c>
      <c r="M191" s="178" t="s">
        <v>747</v>
      </c>
      <c r="N191" s="686">
        <f t="shared" ref="N191:AB191" si="200">N190*LOOKUP($AD185,$AG$4:$AP$4,$AG$5:$AP$5)</f>
        <v>758.1182399999999</v>
      </c>
      <c r="O191" s="686">
        <f t="shared" si="200"/>
        <v>0</v>
      </c>
      <c r="P191" s="686">
        <f t="shared" si="200"/>
        <v>0</v>
      </c>
      <c r="Q191" s="686">
        <f t="shared" si="200"/>
        <v>0</v>
      </c>
      <c r="R191" s="686">
        <f t="shared" si="200"/>
        <v>0</v>
      </c>
      <c r="S191" s="686">
        <f t="shared" si="200"/>
        <v>0</v>
      </c>
      <c r="T191" s="686">
        <f t="shared" si="200"/>
        <v>0</v>
      </c>
      <c r="U191" s="686">
        <f t="shared" si="200"/>
        <v>0</v>
      </c>
      <c r="V191" s="686">
        <f t="shared" si="200"/>
        <v>0</v>
      </c>
      <c r="W191" s="686">
        <f t="shared" si="200"/>
        <v>0</v>
      </c>
      <c r="X191" s="686">
        <f t="shared" si="200"/>
        <v>0</v>
      </c>
      <c r="Y191" s="686">
        <f t="shared" si="200"/>
        <v>0</v>
      </c>
      <c r="Z191" s="686">
        <f t="shared" si="200"/>
        <v>0</v>
      </c>
      <c r="AA191" s="686">
        <f t="shared" si="200"/>
        <v>0</v>
      </c>
      <c r="AB191" s="686">
        <f t="shared" si="200"/>
        <v>0</v>
      </c>
      <c r="AE191" s="357"/>
      <c r="AG191" s="89"/>
      <c r="AH191" s="89"/>
      <c r="AI191" s="89"/>
      <c r="AJ191" s="89"/>
      <c r="AK191" s="89"/>
      <c r="AL191" s="89"/>
      <c r="AM191" s="89"/>
      <c r="AN191" s="89"/>
      <c r="AO191" s="89"/>
      <c r="AP191" s="89"/>
      <c r="AQ191" s="89"/>
      <c r="AR191" s="89"/>
      <c r="AS191" s="89"/>
      <c r="AT191" s="89"/>
    </row>
    <row r="192" spans="1:64" s="83" customFormat="1" x14ac:dyDescent="0.3">
      <c r="B192" s="178" t="str">
        <f t="shared" si="197"/>
        <v>TBISBDL100</v>
      </c>
      <c r="C192" s="178"/>
      <c r="D192" s="179"/>
      <c r="E192" s="178"/>
      <c r="F192" s="182"/>
      <c r="G192" s="181"/>
      <c r="H192" s="182"/>
      <c r="I192" s="183">
        <f>AF$6</f>
        <v>2025</v>
      </c>
      <c r="J192" s="184"/>
      <c r="K192" s="184"/>
      <c r="L192" s="203" t="s">
        <v>1064</v>
      </c>
      <c r="M192" s="178" t="s">
        <v>747</v>
      </c>
      <c r="N192" s="686">
        <f t="shared" ref="N192:AB192" si="201">N190*LOOKUP($AD185,$AG$4:$AP$4,$AG$6:$AP$6)</f>
        <v>478.81151999999997</v>
      </c>
      <c r="O192" s="686">
        <f t="shared" si="201"/>
        <v>0</v>
      </c>
      <c r="P192" s="686">
        <f t="shared" si="201"/>
        <v>0</v>
      </c>
      <c r="Q192" s="686">
        <f t="shared" si="201"/>
        <v>0</v>
      </c>
      <c r="R192" s="686">
        <f t="shared" si="201"/>
        <v>0</v>
      </c>
      <c r="S192" s="686">
        <f t="shared" si="201"/>
        <v>0</v>
      </c>
      <c r="T192" s="686">
        <f t="shared" si="201"/>
        <v>0</v>
      </c>
      <c r="U192" s="686">
        <f t="shared" si="201"/>
        <v>0</v>
      </c>
      <c r="V192" s="686">
        <f t="shared" si="201"/>
        <v>0</v>
      </c>
      <c r="W192" s="686">
        <f t="shared" si="201"/>
        <v>0</v>
      </c>
      <c r="X192" s="686">
        <f t="shared" si="201"/>
        <v>0</v>
      </c>
      <c r="Y192" s="686">
        <f t="shared" si="201"/>
        <v>0</v>
      </c>
      <c r="Z192" s="686">
        <f t="shared" si="201"/>
        <v>0</v>
      </c>
      <c r="AA192" s="686">
        <f t="shared" si="201"/>
        <v>0</v>
      </c>
      <c r="AB192" s="686">
        <f t="shared" si="201"/>
        <v>0</v>
      </c>
      <c r="AE192" s="357"/>
      <c r="AG192" s="89"/>
      <c r="AH192" s="89"/>
      <c r="AI192" s="89"/>
      <c r="AJ192" s="89"/>
      <c r="AK192" s="89"/>
      <c r="AL192" s="89"/>
      <c r="AM192" s="89"/>
      <c r="AN192" s="89"/>
      <c r="AO192" s="89"/>
      <c r="AP192" s="89"/>
      <c r="AQ192" s="89"/>
      <c r="AR192" s="89"/>
      <c r="AS192" s="89"/>
      <c r="AT192" s="89"/>
    </row>
    <row r="193" spans="1:64" s="83" customFormat="1" x14ac:dyDescent="0.3">
      <c r="B193" s="178" t="str">
        <f t="shared" si="197"/>
        <v>TBISBDL100</v>
      </c>
      <c r="C193" s="178"/>
      <c r="D193" s="179"/>
      <c r="E193" s="178"/>
      <c r="F193" s="182"/>
      <c r="G193" s="181"/>
      <c r="H193" s="182"/>
      <c r="I193" s="183">
        <f>AF$7</f>
        <v>2030</v>
      </c>
      <c r="J193" s="184"/>
      <c r="K193" s="184"/>
      <c r="L193" s="203" t="s">
        <v>1064</v>
      </c>
      <c r="M193" s="178" t="s">
        <v>747</v>
      </c>
      <c r="N193" s="686">
        <f t="shared" ref="N193:AB193" si="202">N190*LOOKUP($AD185,$AG$4:$AP$4,$AG$7:$AP$7)</f>
        <v>79.801919999999996</v>
      </c>
      <c r="O193" s="686">
        <f t="shared" si="202"/>
        <v>0</v>
      </c>
      <c r="P193" s="686">
        <f t="shared" si="202"/>
        <v>0</v>
      </c>
      <c r="Q193" s="686">
        <f t="shared" si="202"/>
        <v>0</v>
      </c>
      <c r="R193" s="686">
        <f t="shared" si="202"/>
        <v>0</v>
      </c>
      <c r="S193" s="686">
        <f t="shared" si="202"/>
        <v>0</v>
      </c>
      <c r="T193" s="686">
        <f t="shared" si="202"/>
        <v>0</v>
      </c>
      <c r="U193" s="686">
        <f t="shared" si="202"/>
        <v>0</v>
      </c>
      <c r="V193" s="686">
        <f t="shared" si="202"/>
        <v>0</v>
      </c>
      <c r="W193" s="686">
        <f t="shared" si="202"/>
        <v>0</v>
      </c>
      <c r="X193" s="686">
        <f t="shared" si="202"/>
        <v>0</v>
      </c>
      <c r="Y193" s="686">
        <f t="shared" si="202"/>
        <v>0</v>
      </c>
      <c r="Z193" s="686">
        <f t="shared" si="202"/>
        <v>0</v>
      </c>
      <c r="AA193" s="686">
        <f t="shared" si="202"/>
        <v>0</v>
      </c>
      <c r="AB193" s="686">
        <f t="shared" si="202"/>
        <v>0</v>
      </c>
      <c r="AE193" s="357"/>
      <c r="AG193" s="89"/>
      <c r="AH193" s="89"/>
      <c r="AI193" s="89"/>
      <c r="AJ193" s="89"/>
      <c r="AK193" s="89"/>
      <c r="AL193" s="89"/>
      <c r="AM193" s="89"/>
      <c r="AN193" s="89"/>
      <c r="AO193" s="89"/>
      <c r="AP193" s="89"/>
      <c r="AQ193" s="89"/>
      <c r="AR193" s="89"/>
      <c r="AS193" s="89"/>
      <c r="AT193" s="89"/>
    </row>
    <row r="194" spans="1:64" s="83" customFormat="1" x14ac:dyDescent="0.3">
      <c r="B194" s="178" t="str">
        <f t="shared" si="197"/>
        <v>TBISBDL100</v>
      </c>
      <c r="C194" s="178"/>
      <c r="D194" s="179"/>
      <c r="E194" s="178"/>
      <c r="F194" s="182"/>
      <c r="G194" s="181"/>
      <c r="H194" s="182"/>
      <c r="I194" s="183">
        <f>AF$8</f>
        <v>2035</v>
      </c>
      <c r="J194" s="184"/>
      <c r="K194" s="184"/>
      <c r="L194" s="203" t="s">
        <v>1064</v>
      </c>
      <c r="M194" s="178" t="s">
        <v>747</v>
      </c>
      <c r="N194" s="686">
        <f t="shared" ref="N194:AB194" si="203">N190*LOOKUP($AD185,$AG$4:$AP$4,$AG$8:$AP$8)</f>
        <v>7.9801919999999997</v>
      </c>
      <c r="O194" s="686">
        <f t="shared" si="203"/>
        <v>0</v>
      </c>
      <c r="P194" s="686">
        <f t="shared" si="203"/>
        <v>0</v>
      </c>
      <c r="Q194" s="686">
        <f t="shared" si="203"/>
        <v>0</v>
      </c>
      <c r="R194" s="686">
        <f t="shared" si="203"/>
        <v>0</v>
      </c>
      <c r="S194" s="686">
        <f t="shared" si="203"/>
        <v>0</v>
      </c>
      <c r="T194" s="686">
        <f t="shared" si="203"/>
        <v>0</v>
      </c>
      <c r="U194" s="686">
        <f t="shared" si="203"/>
        <v>0</v>
      </c>
      <c r="V194" s="686">
        <f t="shared" si="203"/>
        <v>0</v>
      </c>
      <c r="W194" s="686">
        <f t="shared" si="203"/>
        <v>0</v>
      </c>
      <c r="X194" s="686">
        <f t="shared" si="203"/>
        <v>0</v>
      </c>
      <c r="Y194" s="686">
        <f t="shared" si="203"/>
        <v>0</v>
      </c>
      <c r="Z194" s="686">
        <f t="shared" si="203"/>
        <v>0</v>
      </c>
      <c r="AA194" s="686">
        <f t="shared" si="203"/>
        <v>0</v>
      </c>
      <c r="AB194" s="686">
        <f t="shared" si="203"/>
        <v>0</v>
      </c>
      <c r="AE194" s="357"/>
      <c r="AG194" s="89"/>
      <c r="AH194" s="89"/>
      <c r="AI194" s="89"/>
      <c r="AJ194" s="89"/>
      <c r="AK194" s="89"/>
      <c r="AL194" s="89"/>
      <c r="AM194" s="89"/>
      <c r="AN194" s="89"/>
      <c r="AO194" s="89"/>
      <c r="AP194" s="89"/>
      <c r="AQ194" s="89"/>
      <c r="AR194" s="89"/>
      <c r="AS194" s="89"/>
      <c r="AT194" s="89"/>
    </row>
    <row r="195" spans="1:64" s="83" customFormat="1" x14ac:dyDescent="0.3">
      <c r="B195" s="178" t="str">
        <f t="shared" si="197"/>
        <v>TBISBDL100</v>
      </c>
      <c r="C195" s="178"/>
      <c r="D195" s="179"/>
      <c r="E195" s="178"/>
      <c r="F195" s="182"/>
      <c r="G195" s="181"/>
      <c r="H195" s="182"/>
      <c r="I195" s="183">
        <f>AF$9</f>
        <v>2040</v>
      </c>
      <c r="J195" s="184"/>
      <c r="K195" s="184"/>
      <c r="L195" s="203" t="s">
        <v>1064</v>
      </c>
      <c r="M195" s="178" t="s">
        <v>747</v>
      </c>
      <c r="N195" s="686">
        <f t="shared" ref="N195:AB195" si="204">N190*LOOKUP($AD185,$AG$4:$AP$4,$AG$9:$AP$9)</f>
        <v>0</v>
      </c>
      <c r="O195" s="686">
        <f t="shared" si="204"/>
        <v>0</v>
      </c>
      <c r="P195" s="686">
        <f t="shared" si="204"/>
        <v>0</v>
      </c>
      <c r="Q195" s="686">
        <f t="shared" si="204"/>
        <v>0</v>
      </c>
      <c r="R195" s="686">
        <f t="shared" si="204"/>
        <v>0</v>
      </c>
      <c r="S195" s="686">
        <f t="shared" si="204"/>
        <v>0</v>
      </c>
      <c r="T195" s="686">
        <f t="shared" si="204"/>
        <v>0</v>
      </c>
      <c r="U195" s="686">
        <f t="shared" si="204"/>
        <v>0</v>
      </c>
      <c r="V195" s="686">
        <f t="shared" si="204"/>
        <v>0</v>
      </c>
      <c r="W195" s="686">
        <f t="shared" si="204"/>
        <v>0</v>
      </c>
      <c r="X195" s="686">
        <f t="shared" si="204"/>
        <v>0</v>
      </c>
      <c r="Y195" s="686">
        <f t="shared" si="204"/>
        <v>0</v>
      </c>
      <c r="Z195" s="686">
        <f t="shared" si="204"/>
        <v>0</v>
      </c>
      <c r="AA195" s="686">
        <f t="shared" si="204"/>
        <v>0</v>
      </c>
      <c r="AB195" s="686">
        <f t="shared" si="204"/>
        <v>0</v>
      </c>
      <c r="AE195" s="357"/>
      <c r="AG195" s="89"/>
      <c r="AH195" s="89"/>
      <c r="AI195" s="89"/>
      <c r="AJ195" s="89"/>
      <c r="AK195" s="89"/>
      <c r="AL195" s="89"/>
      <c r="AM195" s="89"/>
      <c r="AN195" s="89"/>
      <c r="AO195" s="89"/>
      <c r="AP195" s="89"/>
      <c r="AQ195" s="89"/>
      <c r="AR195" s="89"/>
      <c r="AS195" s="89"/>
      <c r="AT195" s="89"/>
    </row>
    <row r="196" spans="1:64" s="83" customFormat="1" x14ac:dyDescent="0.3">
      <c r="B196" s="204" t="str">
        <f t="shared" si="197"/>
        <v>TBISBDL100</v>
      </c>
      <c r="C196" s="204"/>
      <c r="D196" s="205"/>
      <c r="E196" s="204"/>
      <c r="F196" s="206"/>
      <c r="G196" s="207"/>
      <c r="H196" s="206"/>
      <c r="I196" s="208">
        <f>AF$10</f>
        <v>2050</v>
      </c>
      <c r="J196" s="209"/>
      <c r="K196" s="209"/>
      <c r="L196" s="210" t="s">
        <v>1064</v>
      </c>
      <c r="M196" s="204" t="s">
        <v>747</v>
      </c>
      <c r="N196" s="687">
        <f t="shared" ref="N196:AB196" si="205">N190*LOOKUP($AD185,$AG$4:$AP$4,$AG$10:$AP$10)</f>
        <v>0</v>
      </c>
      <c r="O196" s="687">
        <f t="shared" si="205"/>
        <v>0</v>
      </c>
      <c r="P196" s="687">
        <f t="shared" si="205"/>
        <v>0</v>
      </c>
      <c r="Q196" s="687">
        <f t="shared" si="205"/>
        <v>0</v>
      </c>
      <c r="R196" s="687">
        <f t="shared" si="205"/>
        <v>0</v>
      </c>
      <c r="S196" s="687">
        <f t="shared" si="205"/>
        <v>0</v>
      </c>
      <c r="T196" s="687">
        <f t="shared" si="205"/>
        <v>0</v>
      </c>
      <c r="U196" s="687">
        <f t="shared" si="205"/>
        <v>0</v>
      </c>
      <c r="V196" s="687">
        <f t="shared" si="205"/>
        <v>0</v>
      </c>
      <c r="W196" s="687">
        <f t="shared" si="205"/>
        <v>0</v>
      </c>
      <c r="X196" s="687">
        <f t="shared" si="205"/>
        <v>0</v>
      </c>
      <c r="Y196" s="687">
        <f t="shared" si="205"/>
        <v>0</v>
      </c>
      <c r="Z196" s="687">
        <f t="shared" si="205"/>
        <v>0</v>
      </c>
      <c r="AA196" s="687">
        <f t="shared" si="205"/>
        <v>0</v>
      </c>
      <c r="AB196" s="687">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3">
      <c r="A197" s="82"/>
      <c r="B197" s="178" t="str">
        <f>C197</f>
        <v>TBISDST100</v>
      </c>
      <c r="C197" s="178" t="s">
        <v>337</v>
      </c>
      <c r="D197" s="179" t="s">
        <v>752</v>
      </c>
      <c r="E197" s="407" t="s">
        <v>987</v>
      </c>
      <c r="F197" s="182"/>
      <c r="G197" s="181"/>
      <c r="H197" s="182"/>
      <c r="I197" s="183"/>
      <c r="J197" s="184"/>
      <c r="K197" s="184"/>
      <c r="L197" s="203" t="s">
        <v>1106</v>
      </c>
      <c r="M197" s="184" t="s">
        <v>1155</v>
      </c>
      <c r="N197" s="691">
        <v>1E-3</v>
      </c>
      <c r="O197" s="691">
        <f t="shared" ref="O197:AB197" si="206">$N197</f>
        <v>1E-3</v>
      </c>
      <c r="P197" s="691">
        <f t="shared" si="206"/>
        <v>1E-3</v>
      </c>
      <c r="Q197" s="691">
        <f t="shared" si="206"/>
        <v>1E-3</v>
      </c>
      <c r="R197" s="691">
        <f t="shared" si="206"/>
        <v>1E-3</v>
      </c>
      <c r="S197" s="691">
        <f t="shared" si="206"/>
        <v>1E-3</v>
      </c>
      <c r="T197" s="691">
        <f t="shared" si="206"/>
        <v>1E-3</v>
      </c>
      <c r="U197" s="691">
        <f t="shared" si="206"/>
        <v>1E-3</v>
      </c>
      <c r="V197" s="691">
        <f t="shared" si="206"/>
        <v>1E-3</v>
      </c>
      <c r="W197" s="691">
        <f t="shared" si="206"/>
        <v>1E-3</v>
      </c>
      <c r="X197" s="691">
        <f t="shared" si="206"/>
        <v>1E-3</v>
      </c>
      <c r="Y197" s="691">
        <f t="shared" si="206"/>
        <v>1E-3</v>
      </c>
      <c r="Z197" s="691">
        <f t="shared" si="206"/>
        <v>1E-3</v>
      </c>
      <c r="AA197" s="691">
        <f t="shared" si="206"/>
        <v>1E-3</v>
      </c>
      <c r="AB197" s="691">
        <f t="shared" si="206"/>
        <v>1E-3</v>
      </c>
      <c r="AD197" s="86" t="str">
        <f>MID(D197,15,3)</f>
        <v>DST</v>
      </c>
      <c r="AE197" s="357"/>
      <c r="AG197" s="89"/>
      <c r="AH197" s="89"/>
      <c r="AI197" s="89"/>
      <c r="AJ197" s="89"/>
      <c r="AK197" s="89"/>
      <c r="AL197" s="89"/>
      <c r="AM197" s="89"/>
      <c r="AN197" s="89"/>
      <c r="AO197" s="89"/>
      <c r="AP197" s="89"/>
      <c r="AQ197" s="89"/>
      <c r="AR197" s="89"/>
      <c r="AS197" s="89"/>
      <c r="AT197" s="89"/>
      <c r="AV197" s="699" t="str">
        <f t="shared" ref="AV197:AV198" si="207">MID(E197,1,7)</f>
        <v>TRABDL</v>
      </c>
      <c r="AW197" s="567">
        <f t="shared" ref="AW197:AW198" si="208">SUM(AX197:BL197)</f>
        <v>19.481394249334581</v>
      </c>
      <c r="AX197" s="567">
        <f>N$203*N$204*(1-N198)/N$200/1000</f>
        <v>19.481394249334581</v>
      </c>
      <c r="AY197" s="567">
        <f t="shared" ref="AY197:BL197" si="209">O$203*O$204*(1-O198)/O$200/1000</f>
        <v>0</v>
      </c>
      <c r="AZ197" s="567">
        <f t="shared" si="209"/>
        <v>0</v>
      </c>
      <c r="BA197" s="567">
        <f t="shared" si="209"/>
        <v>0</v>
      </c>
      <c r="BB197" s="567">
        <f t="shared" si="209"/>
        <v>0</v>
      </c>
      <c r="BC197" s="567">
        <f t="shared" si="209"/>
        <v>0</v>
      </c>
      <c r="BD197" s="567">
        <f t="shared" si="209"/>
        <v>0</v>
      </c>
      <c r="BE197" s="567">
        <f t="shared" si="209"/>
        <v>0</v>
      </c>
      <c r="BF197" s="567">
        <f t="shared" si="209"/>
        <v>0</v>
      </c>
      <c r="BG197" s="567">
        <f t="shared" si="209"/>
        <v>0</v>
      </c>
      <c r="BH197" s="567">
        <f t="shared" si="209"/>
        <v>0</v>
      </c>
      <c r="BI197" s="567">
        <f t="shared" si="209"/>
        <v>0</v>
      </c>
      <c r="BJ197" s="567">
        <f t="shared" si="209"/>
        <v>0</v>
      </c>
      <c r="BK197" s="567">
        <f t="shared" si="209"/>
        <v>0</v>
      </c>
      <c r="BL197" s="567">
        <f t="shared" si="209"/>
        <v>0</v>
      </c>
    </row>
    <row r="198" spans="1:64" s="83" customFormat="1" x14ac:dyDescent="0.3">
      <c r="A198" s="82"/>
      <c r="B198" s="178" t="str">
        <f>B197</f>
        <v>TBISDST100</v>
      </c>
      <c r="C198" s="178"/>
      <c r="D198" s="179"/>
      <c r="E198" s="407" t="s">
        <v>185</v>
      </c>
      <c r="F198" s="182"/>
      <c r="G198" s="181"/>
      <c r="H198" s="182"/>
      <c r="I198" s="183"/>
      <c r="J198" s="184" t="s">
        <v>1156</v>
      </c>
      <c r="K198" s="184"/>
      <c r="L198" s="203" t="s">
        <v>101</v>
      </c>
      <c r="M198" s="184"/>
      <c r="N198" s="689">
        <f t="shared" ref="N198:AB198" si="210">1-N21</f>
        <v>0.94496029288387329</v>
      </c>
      <c r="O198" s="689">
        <f t="shared" si="210"/>
        <v>0.94496029288387329</v>
      </c>
      <c r="P198" s="689">
        <f t="shared" si="210"/>
        <v>0.94496029288387329</v>
      </c>
      <c r="Q198" s="689">
        <f t="shared" si="210"/>
        <v>0.94496029288387329</v>
      </c>
      <c r="R198" s="689">
        <f t="shared" si="210"/>
        <v>0.94496029288387329</v>
      </c>
      <c r="S198" s="689">
        <f t="shared" si="210"/>
        <v>0.94496029288387329</v>
      </c>
      <c r="T198" s="689">
        <f t="shared" si="210"/>
        <v>0.94496029288387329</v>
      </c>
      <c r="U198" s="689">
        <f t="shared" si="210"/>
        <v>0.94496029288387329</v>
      </c>
      <c r="V198" s="689">
        <f t="shared" si="210"/>
        <v>0.94496029288387329</v>
      </c>
      <c r="W198" s="689">
        <f t="shared" si="210"/>
        <v>0.94496029288387329</v>
      </c>
      <c r="X198" s="689">
        <f t="shared" si="210"/>
        <v>0.94496029288387329</v>
      </c>
      <c r="Y198" s="689">
        <f t="shared" si="210"/>
        <v>0.94496029288387329</v>
      </c>
      <c r="Z198" s="689">
        <f t="shared" si="210"/>
        <v>0.94496029288387329</v>
      </c>
      <c r="AA198" s="689">
        <f t="shared" si="210"/>
        <v>0.94496029288387329</v>
      </c>
      <c r="AB198" s="689">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699" t="str">
        <f t="shared" si="207"/>
        <v>TRADST</v>
      </c>
      <c r="AW198" s="567">
        <f t="shared" si="208"/>
        <v>334.47023940001139</v>
      </c>
      <c r="AX198" s="567">
        <f>N$203*N$204*N198/N$200/1000</f>
        <v>334.47023940001139</v>
      </c>
      <c r="AY198" s="567">
        <f t="shared" ref="AY198:BL198" si="211">O$203*O$204*O198/O$200/1000</f>
        <v>0</v>
      </c>
      <c r="AZ198" s="567">
        <f t="shared" si="211"/>
        <v>0</v>
      </c>
      <c r="BA198" s="567">
        <f t="shared" si="211"/>
        <v>0</v>
      </c>
      <c r="BB198" s="567">
        <f t="shared" si="211"/>
        <v>0</v>
      </c>
      <c r="BC198" s="567">
        <f t="shared" si="211"/>
        <v>0</v>
      </c>
      <c r="BD198" s="567">
        <f t="shared" si="211"/>
        <v>0</v>
      </c>
      <c r="BE198" s="567">
        <f t="shared" si="211"/>
        <v>0</v>
      </c>
      <c r="BF198" s="567">
        <f t="shared" si="211"/>
        <v>0</v>
      </c>
      <c r="BG198" s="567">
        <f t="shared" si="211"/>
        <v>0</v>
      </c>
      <c r="BH198" s="567">
        <f t="shared" si="211"/>
        <v>0</v>
      </c>
      <c r="BI198" s="567">
        <f t="shared" si="211"/>
        <v>0</v>
      </c>
      <c r="BJ198" s="567">
        <f t="shared" si="211"/>
        <v>0</v>
      </c>
      <c r="BK198" s="567">
        <f t="shared" si="211"/>
        <v>0</v>
      </c>
      <c r="BL198" s="567">
        <f t="shared" si="211"/>
        <v>0</v>
      </c>
    </row>
    <row r="199" spans="1:64" s="83" customFormat="1" x14ac:dyDescent="0.3">
      <c r="A199" s="82"/>
      <c r="B199" s="178" t="str">
        <f t="shared" ref="B199" si="212">B198</f>
        <v>TBISDST100</v>
      </c>
      <c r="C199" s="178"/>
      <c r="D199" s="179"/>
      <c r="E199" s="407" t="s">
        <v>989</v>
      </c>
      <c r="F199" s="182"/>
      <c r="G199" s="181"/>
      <c r="H199" s="182"/>
      <c r="I199" s="183"/>
      <c r="J199" s="184" t="s">
        <v>1156</v>
      </c>
      <c r="K199" s="184"/>
      <c r="L199" s="203" t="s">
        <v>101</v>
      </c>
      <c r="M199" s="184"/>
      <c r="N199" s="689">
        <f>N$20</f>
        <v>7.0000000000000007E-2</v>
      </c>
      <c r="O199" s="689">
        <f t="shared" ref="O199:AB199" si="213">O$20</f>
        <v>7.0000000000000007E-2</v>
      </c>
      <c r="P199" s="689">
        <f t="shared" si="213"/>
        <v>7.0000000000000007E-2</v>
      </c>
      <c r="Q199" s="689">
        <f t="shared" si="213"/>
        <v>7.0000000000000007E-2</v>
      </c>
      <c r="R199" s="689">
        <f t="shared" si="213"/>
        <v>7.0000000000000007E-2</v>
      </c>
      <c r="S199" s="689">
        <f t="shared" si="213"/>
        <v>7.0000000000000007E-2</v>
      </c>
      <c r="T199" s="689">
        <f t="shared" si="213"/>
        <v>7.0000000000000007E-2</v>
      </c>
      <c r="U199" s="689">
        <f t="shared" si="213"/>
        <v>7.0000000000000007E-2</v>
      </c>
      <c r="V199" s="689">
        <f t="shared" si="213"/>
        <v>7.0000000000000007E-2</v>
      </c>
      <c r="W199" s="689">
        <f t="shared" si="213"/>
        <v>7.0000000000000007E-2</v>
      </c>
      <c r="X199" s="689">
        <f t="shared" si="213"/>
        <v>7.0000000000000007E-2</v>
      </c>
      <c r="Y199" s="689">
        <f t="shared" si="213"/>
        <v>7.0000000000000007E-2</v>
      </c>
      <c r="Z199" s="689">
        <f t="shared" si="213"/>
        <v>7.0000000000000007E-2</v>
      </c>
      <c r="AA199" s="689">
        <f t="shared" si="213"/>
        <v>7.0000000000000007E-2</v>
      </c>
      <c r="AB199" s="689">
        <f t="shared" si="213"/>
        <v>7.0000000000000007E-2</v>
      </c>
      <c r="AD199" s="408"/>
      <c r="AE199" s="357"/>
      <c r="AF199" s="84"/>
      <c r="AG199" s="84"/>
      <c r="AH199" s="84"/>
      <c r="AI199" s="84"/>
      <c r="AJ199" s="84"/>
      <c r="AK199" s="84"/>
      <c r="AL199" s="84"/>
      <c r="AM199" s="84"/>
      <c r="AN199" s="84"/>
      <c r="AO199" s="84"/>
      <c r="AP199" s="84"/>
      <c r="AQ199" s="84"/>
      <c r="AR199" s="84"/>
      <c r="AS199" s="84"/>
      <c r="AT199" s="84"/>
      <c r="AV199" s="699" t="str">
        <f t="shared" ref="AV199" si="214">MID(E199,1,7)</f>
        <v>TRABDLM</v>
      </c>
      <c r="AW199" s="567">
        <f t="shared" ref="AW199" si="215">SUM(AX199:BL199)</f>
        <v>24.776614355454221</v>
      </c>
      <c r="AX199" s="567">
        <f>N$203*N$204*N199/N$200/1000</f>
        <v>24.776614355454221</v>
      </c>
      <c r="AY199" s="567">
        <f t="shared" ref="AY199" si="216">O$203*O$204*O199/O$200/1000</f>
        <v>0</v>
      </c>
      <c r="AZ199" s="567">
        <f t="shared" ref="AZ199" si="217">P$203*P$204*P199/P$200/1000</f>
        <v>0</v>
      </c>
      <c r="BA199" s="567">
        <f t="shared" ref="BA199" si="218">Q$203*Q$204*Q199/Q$200/1000</f>
        <v>0</v>
      </c>
      <c r="BB199" s="567">
        <f t="shared" ref="BB199" si="219">R$203*R$204*R199/R$200/1000</f>
        <v>0</v>
      </c>
      <c r="BC199" s="567">
        <f t="shared" ref="BC199" si="220">S$203*S$204*S199/S$200/1000</f>
        <v>0</v>
      </c>
      <c r="BD199" s="567">
        <f t="shared" ref="BD199" si="221">T$203*T$204*T199/T$200/1000</f>
        <v>0</v>
      </c>
      <c r="BE199" s="567">
        <f t="shared" ref="BE199" si="222">U$203*U$204*U199/U$200/1000</f>
        <v>0</v>
      </c>
      <c r="BF199" s="567">
        <f t="shared" ref="BF199" si="223">V$203*V$204*V199/V$200/1000</f>
        <v>0</v>
      </c>
      <c r="BG199" s="567">
        <f t="shared" ref="BG199" si="224">W$203*W$204*W199/W$200/1000</f>
        <v>0</v>
      </c>
      <c r="BH199" s="567">
        <f t="shared" ref="BH199" si="225">X$203*X$204*X199/X$200/1000</f>
        <v>0</v>
      </c>
      <c r="BI199" s="567">
        <f t="shared" ref="BI199" si="226">Y$203*Y$204*Y199/Y$200/1000</f>
        <v>0</v>
      </c>
      <c r="BJ199" s="567">
        <f t="shared" ref="BJ199" si="227">Z$203*Z$204*Z199/Z$200/1000</f>
        <v>0</v>
      </c>
      <c r="BK199" s="567">
        <f t="shared" ref="BK199" si="228">AA$203*AA$204*AA199/AA$200/1000</f>
        <v>0</v>
      </c>
      <c r="BL199" s="567">
        <f t="shared" ref="BL199" si="229">AB$203*AB$204*AB199/AB$200/1000</f>
        <v>0</v>
      </c>
    </row>
    <row r="200" spans="1:64" s="83" customFormat="1" x14ac:dyDescent="0.3">
      <c r="B200" s="178" t="str">
        <f>B198</f>
        <v>TBISDST100</v>
      </c>
      <c r="C200" s="178"/>
      <c r="D200" s="179"/>
      <c r="E200" s="178"/>
      <c r="F200" s="182"/>
      <c r="G200" s="180" t="s">
        <v>414</v>
      </c>
      <c r="H200" s="182"/>
      <c r="I200" s="183"/>
      <c r="J200" s="184"/>
      <c r="K200" s="184"/>
      <c r="L200" s="184" t="s">
        <v>1125</v>
      </c>
      <c r="M200" s="178" t="s">
        <v>677</v>
      </c>
      <c r="N200" s="689">
        <f>T_CEFF!H132</f>
        <v>8.3330000000000001E-2</v>
      </c>
      <c r="O200" s="689">
        <f>T_CEFF!I132</f>
        <v>8.3330000000000001E-2</v>
      </c>
      <c r="P200" s="689">
        <f>T_CEFF!J132</f>
        <v>8.3330000000000001E-2</v>
      </c>
      <c r="Q200" s="689">
        <f>T_CEFF!K132</f>
        <v>8.3330000000000001E-2</v>
      </c>
      <c r="R200" s="689">
        <f>T_CEFF!L132</f>
        <v>8.3330000000000001E-2</v>
      </c>
      <c r="S200" s="689">
        <f>T_CEFF!M132</f>
        <v>8.3330000000000001E-2</v>
      </c>
      <c r="T200" s="689">
        <f>T_CEFF!N132</f>
        <v>8.3330000000000001E-2</v>
      </c>
      <c r="U200" s="689">
        <f>T_CEFF!O132</f>
        <v>8.3330000000000001E-2</v>
      </c>
      <c r="V200" s="689">
        <f>T_CEFF!P132</f>
        <v>8.3330000000000001E-2</v>
      </c>
      <c r="W200" s="689">
        <f>T_CEFF!Q132</f>
        <v>8.3330000000000001E-2</v>
      </c>
      <c r="X200" s="689">
        <f>T_CEFF!R132</f>
        <v>8.3330000000000001E-2</v>
      </c>
      <c r="Y200" s="689">
        <f>T_CEFF!S132</f>
        <v>8.3330000000000001E-2</v>
      </c>
      <c r="Z200" s="689">
        <f>T_CEFF!T132</f>
        <v>8.3330000000000001E-2</v>
      </c>
      <c r="AA200" s="689">
        <f>T_CEFF!U132</f>
        <v>8.3330000000000001E-2</v>
      </c>
      <c r="AB200" s="689">
        <f>T_CEFF!V132</f>
        <v>8.3330000000000001E-2</v>
      </c>
      <c r="AE200" s="357"/>
    </row>
    <row r="201" spans="1:64" s="83" customFormat="1" x14ac:dyDescent="0.3">
      <c r="B201" s="178" t="str">
        <f t="shared" ref="B201:B210" si="230">B200</f>
        <v>TBISDST100</v>
      </c>
      <c r="C201" s="178"/>
      <c r="D201" s="179"/>
      <c r="E201" s="178"/>
      <c r="F201" s="182"/>
      <c r="G201" s="180" t="s">
        <v>589</v>
      </c>
      <c r="H201" s="182"/>
      <c r="I201" s="183"/>
      <c r="J201" s="184"/>
      <c r="K201" s="184"/>
      <c r="L201" s="184" t="s">
        <v>1125</v>
      </c>
      <c r="M201" s="178" t="s">
        <v>677</v>
      </c>
      <c r="N201" s="689">
        <f>T_CEFF!H133</f>
        <v>8.3330000000000001E-2</v>
      </c>
      <c r="O201" s="689">
        <f>T_CEFF!I133</f>
        <v>8.3330000000000001E-2</v>
      </c>
      <c r="P201" s="689">
        <f>T_CEFF!J133</f>
        <v>8.3330000000000001E-2</v>
      </c>
      <c r="Q201" s="689">
        <f>T_CEFF!K133</f>
        <v>8.3330000000000001E-2</v>
      </c>
      <c r="R201" s="689">
        <f>T_CEFF!L133</f>
        <v>8.3330000000000001E-2</v>
      </c>
      <c r="S201" s="689">
        <f>T_CEFF!M133</f>
        <v>8.3330000000000001E-2</v>
      </c>
      <c r="T201" s="689">
        <f>T_CEFF!N133</f>
        <v>8.3330000000000001E-2</v>
      </c>
      <c r="U201" s="689">
        <f>T_CEFF!O133</f>
        <v>8.3330000000000001E-2</v>
      </c>
      <c r="V201" s="689">
        <f>T_CEFF!P133</f>
        <v>8.3330000000000001E-2</v>
      </c>
      <c r="W201" s="689">
        <f>T_CEFF!Q133</f>
        <v>8.3330000000000001E-2</v>
      </c>
      <c r="X201" s="689">
        <f>T_CEFF!R133</f>
        <v>8.3330000000000001E-2</v>
      </c>
      <c r="Y201" s="689">
        <f>T_CEFF!S133</f>
        <v>8.3330000000000001E-2</v>
      </c>
      <c r="Z201" s="689">
        <f>T_CEFF!T133</f>
        <v>8.3330000000000001E-2</v>
      </c>
      <c r="AA201" s="689">
        <f>T_CEFF!U133</f>
        <v>8.3330000000000001E-2</v>
      </c>
      <c r="AB201" s="689">
        <f>T_CEFF!V133</f>
        <v>8.3330000000000001E-2</v>
      </c>
      <c r="AE201" s="357"/>
    </row>
    <row r="202" spans="1:64" s="83" customFormat="1" x14ac:dyDescent="0.3">
      <c r="B202" s="178" t="str">
        <f>B201</f>
        <v>TBISDST100</v>
      </c>
      <c r="C202" s="178"/>
      <c r="D202" s="179"/>
      <c r="E202" s="178"/>
      <c r="F202" s="182"/>
      <c r="G202" s="181"/>
      <c r="H202" s="182"/>
      <c r="I202" s="183"/>
      <c r="J202" s="184"/>
      <c r="K202" s="184" t="s">
        <v>748</v>
      </c>
      <c r="L202" s="184" t="s">
        <v>1127</v>
      </c>
      <c r="M202" s="178" t="s">
        <v>1118</v>
      </c>
      <c r="N202" s="690">
        <f>N$17</f>
        <v>18</v>
      </c>
      <c r="O202" s="690">
        <f t="shared" ref="O202:AB202" si="231">O$17</f>
        <v>0</v>
      </c>
      <c r="P202" s="690">
        <f t="shared" si="231"/>
        <v>0</v>
      </c>
      <c r="Q202" s="690">
        <f t="shared" si="231"/>
        <v>0</v>
      </c>
      <c r="R202" s="690">
        <f t="shared" si="231"/>
        <v>0</v>
      </c>
      <c r="S202" s="690">
        <f t="shared" si="231"/>
        <v>0</v>
      </c>
      <c r="T202" s="690">
        <f t="shared" si="231"/>
        <v>0</v>
      </c>
      <c r="U202" s="690">
        <f t="shared" si="231"/>
        <v>0</v>
      </c>
      <c r="V202" s="690">
        <f t="shared" si="231"/>
        <v>0</v>
      </c>
      <c r="W202" s="690">
        <f t="shared" si="231"/>
        <v>0</v>
      </c>
      <c r="X202" s="690">
        <f t="shared" si="231"/>
        <v>0</v>
      </c>
      <c r="Y202" s="690">
        <f t="shared" si="231"/>
        <v>0</v>
      </c>
      <c r="Z202" s="690">
        <f t="shared" si="231"/>
        <v>0</v>
      </c>
      <c r="AA202" s="690">
        <f t="shared" si="231"/>
        <v>0</v>
      </c>
      <c r="AB202" s="690">
        <f t="shared" si="231"/>
        <v>0</v>
      </c>
      <c r="AE202" s="357"/>
    </row>
    <row r="203" spans="1:64" s="83" customFormat="1" x14ac:dyDescent="0.3">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36.96</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1">
        <f>SUM(AF203:AT203)</f>
        <v>530.90621337599998</v>
      </c>
      <c r="AF203" s="85">
        <f>N202*N203*N204/1000</f>
        <v>530.90621337599998</v>
      </c>
      <c r="AG203" s="85">
        <f t="shared" ref="AG203:AT203" si="232">O202*O203*O204/1000</f>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3">
      <c r="B204" s="178" t="str">
        <f>B203</f>
        <v>TBISDST100</v>
      </c>
      <c r="C204" s="178"/>
      <c r="D204" s="179"/>
      <c r="E204" s="178"/>
      <c r="F204" s="182"/>
      <c r="G204" s="181"/>
      <c r="H204" s="182"/>
      <c r="I204" s="183">
        <f>$M$3</f>
        <v>2019</v>
      </c>
      <c r="J204" s="184"/>
      <c r="K204" s="184"/>
      <c r="L204" s="203" t="s">
        <v>1064</v>
      </c>
      <c r="M204" s="178" t="s">
        <v>747</v>
      </c>
      <c r="N204" s="686">
        <f>LOOKUP($C$197, T_Stock_Private!$C$74:$C$84, T_Stock_Private!D$74:D$84)*(1+N180)</f>
        <v>798.01919999999996</v>
      </c>
      <c r="O204" s="686">
        <f>LOOKUP($C$197, T_Stock_Private!$C$74:$C$84, T_Stock_Private!E$74:E$84)*(1+O180)</f>
        <v>0</v>
      </c>
      <c r="P204" s="686">
        <f>LOOKUP($C$197, T_Stock_Private!$C$74:$C$84, T_Stock_Private!F$74:F$84)*(1+P180)</f>
        <v>0</v>
      </c>
      <c r="Q204" s="686">
        <f>LOOKUP($C$197, T_Stock_Private!$C$74:$C$84, T_Stock_Private!G$74:G$84)*(1+Q180)</f>
        <v>0</v>
      </c>
      <c r="R204" s="686">
        <f>LOOKUP($C$197, T_Stock_Private!$C$74:$C$84, T_Stock_Private!H$74:H$84)*(1+R180)</f>
        <v>0</v>
      </c>
      <c r="S204" s="686">
        <f>LOOKUP($C$197, T_Stock_Private!$C$74:$C$84, T_Stock_Private!I$74:I$84)*(1+S180)</f>
        <v>0</v>
      </c>
      <c r="T204" s="686">
        <f>LOOKUP($C$197, T_Stock_Private!$C$74:$C$84, T_Stock_Private!J$74:J$84)*(1+T180)</f>
        <v>0</v>
      </c>
      <c r="U204" s="686">
        <f>LOOKUP($C$197, T_Stock_Private!$C$74:$C$84, T_Stock_Private!K$74:K$84)*(1+U180)</f>
        <v>0</v>
      </c>
      <c r="V204" s="686">
        <f>LOOKUP($C$197, T_Stock_Private!$C$74:$C$84, T_Stock_Private!L$74:L$84)*(1+V180)</f>
        <v>0</v>
      </c>
      <c r="W204" s="686">
        <f>LOOKUP($C$197, T_Stock_Private!$C$74:$C$84, T_Stock_Private!M$74:M$84)*(1+W180)</f>
        <v>0</v>
      </c>
      <c r="X204" s="686">
        <f>LOOKUP($C$197, T_Stock_Private!$C$74:$C$84, T_Stock_Private!N$74:N$84)*(1+X180)</f>
        <v>0</v>
      </c>
      <c r="Y204" s="686">
        <f>LOOKUP($C$197, T_Stock_Private!$C$74:$C$84, T_Stock_Private!O$74:O$84)*(1+Y180)</f>
        <v>0</v>
      </c>
      <c r="Z204" s="686">
        <f>LOOKUP($C$197, T_Stock_Private!$C$74:$C$84, T_Stock_Private!P$74:P$84)*(1+Z180)</f>
        <v>0</v>
      </c>
      <c r="AA204" s="686">
        <f>LOOKUP($C$197, T_Stock_Private!$C$74:$C$84, T_Stock_Private!Q$74:Q$84)*(1+AA180)</f>
        <v>0</v>
      </c>
      <c r="AB204" s="686">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3">
      <c r="B205" s="178" t="str">
        <f t="shared" si="230"/>
        <v>TBISDST100</v>
      </c>
      <c r="C205" s="178"/>
      <c r="D205" s="179"/>
      <c r="E205" s="178"/>
      <c r="F205" s="182"/>
      <c r="G205" s="181"/>
      <c r="H205" s="182"/>
      <c r="I205" s="183">
        <f>AF$5</f>
        <v>2020</v>
      </c>
      <c r="J205" s="184"/>
      <c r="K205" s="184"/>
      <c r="L205" s="203" t="s">
        <v>1064</v>
      </c>
      <c r="M205" s="178" t="s">
        <v>747</v>
      </c>
      <c r="N205" s="686">
        <f t="shared" ref="N205:AB205" si="233">N204*LOOKUP($AD197,$AG$4:$AP$4,$AG$5:$AP$5)</f>
        <v>758.1182399999999</v>
      </c>
      <c r="O205" s="686">
        <f t="shared" si="233"/>
        <v>0</v>
      </c>
      <c r="P205" s="686">
        <f t="shared" si="233"/>
        <v>0</v>
      </c>
      <c r="Q205" s="686">
        <f t="shared" si="233"/>
        <v>0</v>
      </c>
      <c r="R205" s="686">
        <f t="shared" si="233"/>
        <v>0</v>
      </c>
      <c r="S205" s="686">
        <f t="shared" si="233"/>
        <v>0</v>
      </c>
      <c r="T205" s="686">
        <f t="shared" si="233"/>
        <v>0</v>
      </c>
      <c r="U205" s="686">
        <f t="shared" si="233"/>
        <v>0</v>
      </c>
      <c r="V205" s="686">
        <f t="shared" si="233"/>
        <v>0</v>
      </c>
      <c r="W205" s="686">
        <f t="shared" si="233"/>
        <v>0</v>
      </c>
      <c r="X205" s="686">
        <f t="shared" si="233"/>
        <v>0</v>
      </c>
      <c r="Y205" s="686">
        <f t="shared" si="233"/>
        <v>0</v>
      </c>
      <c r="Z205" s="686">
        <f t="shared" si="233"/>
        <v>0</v>
      </c>
      <c r="AA205" s="686">
        <f t="shared" si="233"/>
        <v>0</v>
      </c>
      <c r="AB205" s="686">
        <f t="shared" si="233"/>
        <v>0</v>
      </c>
      <c r="AE205" s="357"/>
      <c r="AG205" s="89"/>
      <c r="AH205" s="89"/>
      <c r="AI205" s="89"/>
      <c r="AJ205" s="89"/>
      <c r="AK205" s="89"/>
      <c r="AL205" s="89"/>
      <c r="AM205" s="89"/>
      <c r="AN205" s="89"/>
      <c r="AO205" s="89"/>
      <c r="AP205" s="89"/>
      <c r="AQ205" s="89"/>
      <c r="AR205" s="89"/>
      <c r="AS205" s="89"/>
      <c r="AT205" s="89"/>
    </row>
    <row r="206" spans="1:64" s="83" customFormat="1" x14ac:dyDescent="0.3">
      <c r="B206" s="178" t="str">
        <f t="shared" si="230"/>
        <v>TBISDST100</v>
      </c>
      <c r="C206" s="178"/>
      <c r="D206" s="179"/>
      <c r="E206" s="178"/>
      <c r="F206" s="182"/>
      <c r="G206" s="181"/>
      <c r="H206" s="182"/>
      <c r="I206" s="183">
        <f>AF$6</f>
        <v>2025</v>
      </c>
      <c r="J206" s="184"/>
      <c r="K206" s="184"/>
      <c r="L206" s="203" t="s">
        <v>1064</v>
      </c>
      <c r="M206" s="178" t="s">
        <v>747</v>
      </c>
      <c r="N206" s="686">
        <f t="shared" ref="N206:AB206" si="234">N204*LOOKUP($AD197,$AG$4:$AP$4,$AG$6:$AP$6)</f>
        <v>478.81151999999997</v>
      </c>
      <c r="O206" s="686">
        <f t="shared" si="234"/>
        <v>0</v>
      </c>
      <c r="P206" s="686">
        <f t="shared" si="234"/>
        <v>0</v>
      </c>
      <c r="Q206" s="686">
        <f t="shared" si="234"/>
        <v>0</v>
      </c>
      <c r="R206" s="686">
        <f t="shared" si="234"/>
        <v>0</v>
      </c>
      <c r="S206" s="686">
        <f t="shared" si="234"/>
        <v>0</v>
      </c>
      <c r="T206" s="686">
        <f t="shared" si="234"/>
        <v>0</v>
      </c>
      <c r="U206" s="686">
        <f t="shared" si="234"/>
        <v>0</v>
      </c>
      <c r="V206" s="686">
        <f t="shared" si="234"/>
        <v>0</v>
      </c>
      <c r="W206" s="686">
        <f t="shared" si="234"/>
        <v>0</v>
      </c>
      <c r="X206" s="686">
        <f t="shared" si="234"/>
        <v>0</v>
      </c>
      <c r="Y206" s="686">
        <f t="shared" si="234"/>
        <v>0</v>
      </c>
      <c r="Z206" s="686">
        <f t="shared" si="234"/>
        <v>0</v>
      </c>
      <c r="AA206" s="686">
        <f t="shared" si="234"/>
        <v>0</v>
      </c>
      <c r="AB206" s="686">
        <f t="shared" si="234"/>
        <v>0</v>
      </c>
      <c r="AE206" s="357"/>
      <c r="AG206" s="89"/>
      <c r="AH206" s="89"/>
      <c r="AI206" s="89"/>
      <c r="AJ206" s="89"/>
      <c r="AK206" s="89"/>
      <c r="AL206" s="89"/>
      <c r="AM206" s="89"/>
      <c r="AN206" s="89"/>
      <c r="AO206" s="89"/>
      <c r="AP206" s="89"/>
      <c r="AQ206" s="89"/>
      <c r="AR206" s="89"/>
      <c r="AS206" s="89"/>
      <c r="AT206" s="89"/>
    </row>
    <row r="207" spans="1:64" s="83" customFormat="1" x14ac:dyDescent="0.3">
      <c r="B207" s="178" t="str">
        <f t="shared" si="230"/>
        <v>TBISDST100</v>
      </c>
      <c r="C207" s="178"/>
      <c r="D207" s="179"/>
      <c r="E207" s="178"/>
      <c r="F207" s="182"/>
      <c r="G207" s="181"/>
      <c r="H207" s="182"/>
      <c r="I207" s="183">
        <f>AF$7</f>
        <v>2030</v>
      </c>
      <c r="J207" s="184"/>
      <c r="K207" s="184"/>
      <c r="L207" s="203" t="s">
        <v>1064</v>
      </c>
      <c r="M207" s="178" t="s">
        <v>747</v>
      </c>
      <c r="N207" s="686">
        <f t="shared" ref="N207:AB207" si="235">N204*LOOKUP($AD197,$AG$4:$AP$4,$AG$7:$AP$7)</f>
        <v>79.801919999999996</v>
      </c>
      <c r="O207" s="686">
        <f t="shared" si="235"/>
        <v>0</v>
      </c>
      <c r="P207" s="686">
        <f t="shared" si="235"/>
        <v>0</v>
      </c>
      <c r="Q207" s="686">
        <f t="shared" si="235"/>
        <v>0</v>
      </c>
      <c r="R207" s="686">
        <f t="shared" si="235"/>
        <v>0</v>
      </c>
      <c r="S207" s="686">
        <f t="shared" si="235"/>
        <v>0</v>
      </c>
      <c r="T207" s="686">
        <f t="shared" si="235"/>
        <v>0</v>
      </c>
      <c r="U207" s="686">
        <f t="shared" si="235"/>
        <v>0</v>
      </c>
      <c r="V207" s="686">
        <f t="shared" si="235"/>
        <v>0</v>
      </c>
      <c r="W207" s="686">
        <f t="shared" si="235"/>
        <v>0</v>
      </c>
      <c r="X207" s="686">
        <f t="shared" si="235"/>
        <v>0</v>
      </c>
      <c r="Y207" s="686">
        <f t="shared" si="235"/>
        <v>0</v>
      </c>
      <c r="Z207" s="686">
        <f t="shared" si="235"/>
        <v>0</v>
      </c>
      <c r="AA207" s="686">
        <f t="shared" si="235"/>
        <v>0</v>
      </c>
      <c r="AB207" s="686">
        <f t="shared" si="235"/>
        <v>0</v>
      </c>
      <c r="AE207" s="357"/>
      <c r="AG207" s="89"/>
      <c r="AH207" s="89"/>
      <c r="AI207" s="89"/>
      <c r="AJ207" s="89"/>
      <c r="AK207" s="89"/>
      <c r="AL207" s="89"/>
      <c r="AM207" s="89"/>
      <c r="AN207" s="89"/>
      <c r="AO207" s="89"/>
      <c r="AP207" s="89"/>
      <c r="AQ207" s="89"/>
      <c r="AR207" s="89"/>
      <c r="AS207" s="89"/>
      <c r="AT207" s="89"/>
    </row>
    <row r="208" spans="1:64" s="83" customFormat="1" x14ac:dyDescent="0.3">
      <c r="B208" s="178" t="str">
        <f t="shared" si="230"/>
        <v>TBISDST100</v>
      </c>
      <c r="C208" s="178"/>
      <c r="D208" s="179"/>
      <c r="E208" s="178"/>
      <c r="F208" s="182"/>
      <c r="G208" s="181"/>
      <c r="H208" s="182"/>
      <c r="I208" s="183">
        <f>AF$8</f>
        <v>2035</v>
      </c>
      <c r="J208" s="184"/>
      <c r="K208" s="184"/>
      <c r="L208" s="203" t="s">
        <v>1064</v>
      </c>
      <c r="M208" s="178" t="s">
        <v>747</v>
      </c>
      <c r="N208" s="686">
        <f t="shared" ref="N208:AB208" si="236">N204*LOOKUP($AD197,$AG$4:$AP$4,$AG$8:$AP$8)</f>
        <v>7.9801919999999997</v>
      </c>
      <c r="O208" s="686">
        <f t="shared" si="236"/>
        <v>0</v>
      </c>
      <c r="P208" s="686">
        <f t="shared" si="236"/>
        <v>0</v>
      </c>
      <c r="Q208" s="686">
        <f t="shared" si="236"/>
        <v>0</v>
      </c>
      <c r="R208" s="686">
        <f t="shared" si="236"/>
        <v>0</v>
      </c>
      <c r="S208" s="686">
        <f t="shared" si="236"/>
        <v>0</v>
      </c>
      <c r="T208" s="686">
        <f t="shared" si="236"/>
        <v>0</v>
      </c>
      <c r="U208" s="686">
        <f t="shared" si="236"/>
        <v>0</v>
      </c>
      <c r="V208" s="686">
        <f t="shared" si="236"/>
        <v>0</v>
      </c>
      <c r="W208" s="686">
        <f t="shared" si="236"/>
        <v>0</v>
      </c>
      <c r="X208" s="686">
        <f t="shared" si="236"/>
        <v>0</v>
      </c>
      <c r="Y208" s="686">
        <f t="shared" si="236"/>
        <v>0</v>
      </c>
      <c r="Z208" s="686">
        <f t="shared" si="236"/>
        <v>0</v>
      </c>
      <c r="AA208" s="686">
        <f t="shared" si="236"/>
        <v>0</v>
      </c>
      <c r="AB208" s="686">
        <f t="shared" si="236"/>
        <v>0</v>
      </c>
      <c r="AE208" s="357"/>
      <c r="AG208" s="89"/>
      <c r="AH208" s="89"/>
      <c r="AI208" s="89"/>
      <c r="AJ208" s="89"/>
      <c r="AK208" s="89"/>
      <c r="AL208" s="89"/>
      <c r="AM208" s="89"/>
      <c r="AN208" s="89"/>
      <c r="AO208" s="89"/>
      <c r="AP208" s="89"/>
      <c r="AQ208" s="89"/>
      <c r="AR208" s="89"/>
      <c r="AS208" s="89"/>
      <c r="AT208" s="89"/>
    </row>
    <row r="209" spans="1:64" s="83" customFormat="1" x14ac:dyDescent="0.3">
      <c r="B209" s="178" t="str">
        <f t="shared" si="230"/>
        <v>TBISDST100</v>
      </c>
      <c r="C209" s="178"/>
      <c r="D209" s="179"/>
      <c r="E209" s="178"/>
      <c r="F209" s="182"/>
      <c r="G209" s="181"/>
      <c r="H209" s="182"/>
      <c r="I209" s="183">
        <f>AF$9</f>
        <v>2040</v>
      </c>
      <c r="J209" s="184"/>
      <c r="K209" s="184"/>
      <c r="L209" s="203" t="s">
        <v>1064</v>
      </c>
      <c r="M209" s="178" t="s">
        <v>747</v>
      </c>
      <c r="N209" s="686">
        <f t="shared" ref="N209:AB209" si="237">N204*LOOKUP($AD197,$AG$4:$AP$4,$AG$9:$AP$9)</f>
        <v>0</v>
      </c>
      <c r="O209" s="686">
        <f t="shared" si="237"/>
        <v>0</v>
      </c>
      <c r="P209" s="686">
        <f t="shared" si="237"/>
        <v>0</v>
      </c>
      <c r="Q209" s="686">
        <f t="shared" si="237"/>
        <v>0</v>
      </c>
      <c r="R209" s="686">
        <f t="shared" si="237"/>
        <v>0</v>
      </c>
      <c r="S209" s="686">
        <f t="shared" si="237"/>
        <v>0</v>
      </c>
      <c r="T209" s="686">
        <f t="shared" si="237"/>
        <v>0</v>
      </c>
      <c r="U209" s="686">
        <f t="shared" si="237"/>
        <v>0</v>
      </c>
      <c r="V209" s="686">
        <f t="shared" si="237"/>
        <v>0</v>
      </c>
      <c r="W209" s="686">
        <f t="shared" si="237"/>
        <v>0</v>
      </c>
      <c r="X209" s="686">
        <f t="shared" si="237"/>
        <v>0</v>
      </c>
      <c r="Y209" s="686">
        <f t="shared" si="237"/>
        <v>0</v>
      </c>
      <c r="Z209" s="686">
        <f t="shared" si="237"/>
        <v>0</v>
      </c>
      <c r="AA209" s="686">
        <f t="shared" si="237"/>
        <v>0</v>
      </c>
      <c r="AB209" s="686">
        <f t="shared" si="237"/>
        <v>0</v>
      </c>
      <c r="AE209" s="357"/>
      <c r="AG209" s="89"/>
      <c r="AH209" s="89"/>
      <c r="AI209" s="89"/>
      <c r="AJ209" s="89"/>
      <c r="AK209" s="89"/>
      <c r="AL209" s="89"/>
      <c r="AM209" s="89"/>
      <c r="AN209" s="89"/>
      <c r="AO209" s="89"/>
      <c r="AP209" s="89"/>
      <c r="AQ209" s="89"/>
      <c r="AR209" s="89"/>
      <c r="AS209" s="89"/>
      <c r="AT209" s="89"/>
    </row>
    <row r="210" spans="1:64" s="83" customFormat="1" x14ac:dyDescent="0.3">
      <c r="B210" s="204" t="str">
        <f t="shared" si="230"/>
        <v>TBISDST100</v>
      </c>
      <c r="C210" s="204"/>
      <c r="D210" s="205"/>
      <c r="E210" s="204"/>
      <c r="F210" s="206"/>
      <c r="G210" s="207"/>
      <c r="H210" s="206"/>
      <c r="I210" s="208">
        <f>AF$10</f>
        <v>2050</v>
      </c>
      <c r="J210" s="209"/>
      <c r="K210" s="209"/>
      <c r="L210" s="210" t="s">
        <v>1064</v>
      </c>
      <c r="M210" s="204" t="s">
        <v>747</v>
      </c>
      <c r="N210" s="687">
        <f t="shared" ref="N210:AB210" si="238">N204*LOOKUP($AD197,$AG$4:$AP$4,$AG$10:$AP$10)</f>
        <v>0</v>
      </c>
      <c r="O210" s="687">
        <f t="shared" si="238"/>
        <v>0</v>
      </c>
      <c r="P210" s="687">
        <f t="shared" si="238"/>
        <v>0</v>
      </c>
      <c r="Q210" s="687">
        <f t="shared" si="238"/>
        <v>0</v>
      </c>
      <c r="R210" s="687">
        <f t="shared" si="238"/>
        <v>0</v>
      </c>
      <c r="S210" s="687">
        <f t="shared" si="238"/>
        <v>0</v>
      </c>
      <c r="T210" s="687">
        <f t="shared" si="238"/>
        <v>0</v>
      </c>
      <c r="U210" s="687">
        <f t="shared" si="238"/>
        <v>0</v>
      </c>
      <c r="V210" s="687">
        <f t="shared" si="238"/>
        <v>0</v>
      </c>
      <c r="W210" s="687">
        <f t="shared" si="238"/>
        <v>0</v>
      </c>
      <c r="X210" s="687">
        <f t="shared" si="238"/>
        <v>0</v>
      </c>
      <c r="Y210" s="687">
        <f t="shared" si="238"/>
        <v>0</v>
      </c>
      <c r="Z210" s="687">
        <f t="shared" si="238"/>
        <v>0</v>
      </c>
      <c r="AA210" s="687">
        <f t="shared" si="238"/>
        <v>0</v>
      </c>
      <c r="AB210" s="687">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3">
      <c r="A211" s="82"/>
      <c r="B211" s="178" t="str">
        <f>C211</f>
        <v>TBISELC100</v>
      </c>
      <c r="C211" s="178" t="s">
        <v>338</v>
      </c>
      <c r="D211" s="179" t="s">
        <v>753</v>
      </c>
      <c r="E211" s="407" t="s">
        <v>682</v>
      </c>
      <c r="F211" s="182"/>
      <c r="G211" s="181"/>
      <c r="H211" s="182"/>
      <c r="I211" s="183"/>
      <c r="J211" s="184"/>
      <c r="K211" s="184"/>
      <c r="L211" s="203" t="s">
        <v>1106</v>
      </c>
      <c r="M211" s="184" t="s">
        <v>1155</v>
      </c>
      <c r="N211" s="691">
        <f>N$197</f>
        <v>1E-3</v>
      </c>
      <c r="O211" s="691">
        <f t="shared" ref="O211:AB211" si="239">$N211</f>
        <v>1E-3</v>
      </c>
      <c r="P211" s="691">
        <f t="shared" si="239"/>
        <v>1E-3</v>
      </c>
      <c r="Q211" s="691">
        <f t="shared" si="239"/>
        <v>1E-3</v>
      </c>
      <c r="R211" s="691">
        <f t="shared" si="239"/>
        <v>1E-3</v>
      </c>
      <c r="S211" s="691">
        <f t="shared" si="239"/>
        <v>1E-3</v>
      </c>
      <c r="T211" s="691">
        <f t="shared" si="239"/>
        <v>1E-3</v>
      </c>
      <c r="U211" s="691">
        <f t="shared" si="239"/>
        <v>1E-3</v>
      </c>
      <c r="V211" s="691">
        <f t="shared" si="239"/>
        <v>1E-3</v>
      </c>
      <c r="W211" s="691">
        <f t="shared" si="239"/>
        <v>1E-3</v>
      </c>
      <c r="X211" s="691">
        <f t="shared" si="239"/>
        <v>1E-3</v>
      </c>
      <c r="Y211" s="691">
        <f t="shared" si="239"/>
        <v>1E-3</v>
      </c>
      <c r="Z211" s="691">
        <f t="shared" si="239"/>
        <v>1E-3</v>
      </c>
      <c r="AA211" s="691">
        <f t="shared" si="239"/>
        <v>1E-3</v>
      </c>
      <c r="AB211" s="691">
        <f t="shared" si="239"/>
        <v>1E-3</v>
      </c>
      <c r="AD211" s="86" t="str">
        <f>MID(D211,15,3)</f>
        <v>ELC</v>
      </c>
      <c r="AE211" s="357"/>
      <c r="AG211" s="89"/>
      <c r="AH211" s="89"/>
      <c r="AI211" s="89"/>
      <c r="AJ211" s="89"/>
      <c r="AK211" s="89"/>
      <c r="AL211" s="89"/>
      <c r="AM211" s="89"/>
      <c r="AN211" s="89"/>
      <c r="AO211" s="89"/>
      <c r="AP211" s="89"/>
      <c r="AQ211" s="89"/>
      <c r="AR211" s="89"/>
      <c r="AS211" s="89"/>
      <c r="AT211" s="89"/>
      <c r="AV211" s="699" t="str">
        <f t="shared" ref="AV211:AV212" si="240">MID(E211,1,7)</f>
        <v>TRAELC</v>
      </c>
      <c r="AW211" s="567">
        <f t="shared" ref="AW211" si="241">SUM(AX211:BL211)</f>
        <v>2.8068609827803441</v>
      </c>
      <c r="AX211" s="569">
        <f>N215*N216/N212/1000</f>
        <v>2.8068609827803441</v>
      </c>
      <c r="AY211" s="569">
        <f t="shared" ref="AY211:BL211" si="242">O215*O216/O212/1000</f>
        <v>0</v>
      </c>
      <c r="AZ211" s="569">
        <f t="shared" si="242"/>
        <v>0</v>
      </c>
      <c r="BA211" s="569">
        <f t="shared" si="242"/>
        <v>0</v>
      </c>
      <c r="BB211" s="569">
        <f t="shared" si="242"/>
        <v>0</v>
      </c>
      <c r="BC211" s="569">
        <f t="shared" si="242"/>
        <v>0</v>
      </c>
      <c r="BD211" s="569">
        <f t="shared" si="242"/>
        <v>0</v>
      </c>
      <c r="BE211" s="569">
        <f t="shared" si="242"/>
        <v>0</v>
      </c>
      <c r="BF211" s="569">
        <f t="shared" si="242"/>
        <v>0</v>
      </c>
      <c r="BG211" s="569">
        <f t="shared" si="242"/>
        <v>0</v>
      </c>
      <c r="BH211" s="569">
        <f t="shared" si="242"/>
        <v>0</v>
      </c>
      <c r="BI211" s="569">
        <f t="shared" si="242"/>
        <v>0</v>
      </c>
      <c r="BJ211" s="569">
        <f t="shared" si="242"/>
        <v>0</v>
      </c>
      <c r="BK211" s="569">
        <f t="shared" si="242"/>
        <v>0</v>
      </c>
      <c r="BL211" s="569">
        <f t="shared" si="242"/>
        <v>0</v>
      </c>
    </row>
    <row r="212" spans="1:64" s="83" customFormat="1" x14ac:dyDescent="0.3">
      <c r="B212" s="178" t="str">
        <f>B211</f>
        <v>TBISELC100</v>
      </c>
      <c r="C212" s="178"/>
      <c r="D212" s="179"/>
      <c r="E212" s="178"/>
      <c r="F212" s="182"/>
      <c r="G212" s="180" t="s">
        <v>414</v>
      </c>
      <c r="H212" s="182"/>
      <c r="I212" s="183"/>
      <c r="J212" s="184"/>
      <c r="K212" s="184"/>
      <c r="L212" s="184" t="s">
        <v>1125</v>
      </c>
      <c r="M212" s="178" t="s">
        <v>677</v>
      </c>
      <c r="N212" s="689">
        <f>T_CEFF!H134</f>
        <v>0.16667000000000001</v>
      </c>
      <c r="O212" s="689">
        <f>T_CEFF!I134</f>
        <v>0.16667000000000001</v>
      </c>
      <c r="P212" s="689">
        <f>T_CEFF!J134</f>
        <v>0.16667000000000001</v>
      </c>
      <c r="Q212" s="689">
        <f>T_CEFF!K134</f>
        <v>0.16667000000000001</v>
      </c>
      <c r="R212" s="689">
        <f>T_CEFF!L134</f>
        <v>0.16667000000000001</v>
      </c>
      <c r="S212" s="689">
        <f>T_CEFF!M134</f>
        <v>0.16667000000000001</v>
      </c>
      <c r="T212" s="689">
        <f>T_CEFF!N134</f>
        <v>0.16667000000000001</v>
      </c>
      <c r="U212" s="689">
        <f>T_CEFF!O134</f>
        <v>0.16667000000000001</v>
      </c>
      <c r="V212" s="689">
        <f>T_CEFF!P134</f>
        <v>0.16667000000000001</v>
      </c>
      <c r="W212" s="689">
        <f>T_CEFF!Q134</f>
        <v>0.16667000000000001</v>
      </c>
      <c r="X212" s="689">
        <f>T_CEFF!R134</f>
        <v>0.16667000000000001</v>
      </c>
      <c r="Y212" s="689">
        <f>T_CEFF!S134</f>
        <v>0.16667000000000001</v>
      </c>
      <c r="Z212" s="689">
        <f>T_CEFF!T134</f>
        <v>0.16667000000000001</v>
      </c>
      <c r="AA212" s="689">
        <f>T_CEFF!U134</f>
        <v>0.16667000000000001</v>
      </c>
      <c r="AB212" s="689">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699" t="str">
        <f t="shared" si="240"/>
        <v/>
      </c>
      <c r="AW212" s="567"/>
    </row>
    <row r="213" spans="1:64" s="83" customFormat="1" x14ac:dyDescent="0.3">
      <c r="B213" s="178" t="str">
        <f t="shared" ref="B213:B222" si="243">B212</f>
        <v>TBISELC100</v>
      </c>
      <c r="C213" s="178"/>
      <c r="D213" s="179"/>
      <c r="E213" s="178"/>
      <c r="F213" s="182"/>
      <c r="G213" s="180" t="s">
        <v>589</v>
      </c>
      <c r="H213" s="182"/>
      <c r="I213" s="183"/>
      <c r="J213" s="184"/>
      <c r="K213" s="184"/>
      <c r="L213" s="184" t="s">
        <v>1125</v>
      </c>
      <c r="M213" s="178" t="s">
        <v>677</v>
      </c>
      <c r="N213" s="689">
        <f>T_CEFF!H135</f>
        <v>0.16667000000000001</v>
      </c>
      <c r="O213" s="689">
        <f>T_CEFF!I135</f>
        <v>0.16667000000000001</v>
      </c>
      <c r="P213" s="689">
        <f>T_CEFF!J135</f>
        <v>0.16667000000000001</v>
      </c>
      <c r="Q213" s="689">
        <f>T_CEFF!K135</f>
        <v>0.16667000000000001</v>
      </c>
      <c r="R213" s="689">
        <f>T_CEFF!L135</f>
        <v>0.16667000000000001</v>
      </c>
      <c r="S213" s="689">
        <f>T_CEFF!M135</f>
        <v>0.16667000000000001</v>
      </c>
      <c r="T213" s="689">
        <f>T_CEFF!N135</f>
        <v>0.16667000000000001</v>
      </c>
      <c r="U213" s="689">
        <f>T_CEFF!O135</f>
        <v>0.16667000000000001</v>
      </c>
      <c r="V213" s="689">
        <f>T_CEFF!P135</f>
        <v>0.16667000000000001</v>
      </c>
      <c r="W213" s="689">
        <f>T_CEFF!Q135</f>
        <v>0.16667000000000001</v>
      </c>
      <c r="X213" s="689">
        <f>T_CEFF!R135</f>
        <v>0.16667000000000001</v>
      </c>
      <c r="Y213" s="689">
        <f>T_CEFF!S135</f>
        <v>0.16667000000000001</v>
      </c>
      <c r="Z213" s="689">
        <f>T_CEFF!T135</f>
        <v>0.16667000000000001</v>
      </c>
      <c r="AA213" s="689">
        <f>T_CEFF!U135</f>
        <v>0.16667000000000001</v>
      </c>
      <c r="AB213" s="689">
        <f>T_CEFF!V135</f>
        <v>0.16667000000000001</v>
      </c>
      <c r="AE213" s="357"/>
    </row>
    <row r="214" spans="1:64" s="83" customFormat="1" x14ac:dyDescent="0.3">
      <c r="B214" s="178" t="str">
        <f>B213</f>
        <v>TBISELC100</v>
      </c>
      <c r="C214" s="178"/>
      <c r="D214" s="179"/>
      <c r="E214" s="178"/>
      <c r="F214" s="182"/>
      <c r="G214" s="181"/>
      <c r="H214" s="182"/>
      <c r="I214" s="183"/>
      <c r="J214" s="184"/>
      <c r="K214" s="184" t="s">
        <v>748</v>
      </c>
      <c r="L214" s="184" t="s">
        <v>1127</v>
      </c>
      <c r="M214" s="186" t="s">
        <v>1158</v>
      </c>
      <c r="N214" s="690">
        <f>N$17</f>
        <v>18</v>
      </c>
      <c r="O214" s="690">
        <f t="shared" ref="O214:AB214" si="244">O$17</f>
        <v>0</v>
      </c>
      <c r="P214" s="690">
        <f t="shared" si="244"/>
        <v>0</v>
      </c>
      <c r="Q214" s="690">
        <f t="shared" si="244"/>
        <v>0</v>
      </c>
      <c r="R214" s="690">
        <f t="shared" si="244"/>
        <v>0</v>
      </c>
      <c r="S214" s="690">
        <f t="shared" si="244"/>
        <v>0</v>
      </c>
      <c r="T214" s="690">
        <f t="shared" si="244"/>
        <v>0</v>
      </c>
      <c r="U214" s="690">
        <f t="shared" si="244"/>
        <v>0</v>
      </c>
      <c r="V214" s="690">
        <f t="shared" si="244"/>
        <v>0</v>
      </c>
      <c r="W214" s="690">
        <f t="shared" si="244"/>
        <v>0</v>
      </c>
      <c r="X214" s="690">
        <f t="shared" si="244"/>
        <v>0</v>
      </c>
      <c r="Y214" s="690">
        <f t="shared" si="244"/>
        <v>0</v>
      </c>
      <c r="Z214" s="690">
        <f t="shared" si="244"/>
        <v>0</v>
      </c>
      <c r="AA214" s="690">
        <f t="shared" si="244"/>
        <v>0</v>
      </c>
      <c r="AB214" s="690">
        <f t="shared" si="244"/>
        <v>0</v>
      </c>
      <c r="AE214" s="357"/>
    </row>
    <row r="215" spans="1:64" s="83" customFormat="1" x14ac:dyDescent="0.3">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22.400000000000002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1">
        <f>SUM(AF215:AT215)</f>
        <v>8.4207513600000006</v>
      </c>
      <c r="AF215" s="85">
        <f t="shared" ref="AF215:AT215" si="245">N214*N215*N216/1000</f>
        <v>8.4207513600000006</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3">
      <c r="B216" s="178" t="str">
        <f>B215</f>
        <v>TBISELC100</v>
      </c>
      <c r="C216" s="178"/>
      <c r="D216" s="179"/>
      <c r="E216" s="178"/>
      <c r="F216" s="182"/>
      <c r="G216" s="181"/>
      <c r="H216" s="182"/>
      <c r="I216" s="183">
        <f>$M$3</f>
        <v>2019</v>
      </c>
      <c r="J216" s="184"/>
      <c r="K216" s="184"/>
      <c r="L216" s="203" t="s">
        <v>1064</v>
      </c>
      <c r="M216" s="178" t="s">
        <v>747</v>
      </c>
      <c r="N216" s="686">
        <f>LOOKUP($C$211, T_Stock_Private!$C$74:$C$84, T_Stock_Private!D$74:D$84)*(1+N180)</f>
        <v>20.884799999999998</v>
      </c>
      <c r="O216" s="686">
        <f>LOOKUP($C$211, T_Stock_Private!$C$74:$C$84, T_Stock_Private!E$74:E$84)*(1+O180)</f>
        <v>0</v>
      </c>
      <c r="P216" s="686">
        <f>LOOKUP($C$211, T_Stock_Private!$C$74:$C$84, T_Stock_Private!F$74:F$84)*(1+P180)</f>
        <v>0</v>
      </c>
      <c r="Q216" s="686">
        <f>LOOKUP($C$211, T_Stock_Private!$C$74:$C$84, T_Stock_Private!G$74:G$84)*(1+Q180)</f>
        <v>0</v>
      </c>
      <c r="R216" s="686">
        <f>LOOKUP($C$211, T_Stock_Private!$C$74:$C$84, T_Stock_Private!H$74:H$84)*(1+R180)</f>
        <v>0</v>
      </c>
      <c r="S216" s="686">
        <f>LOOKUP($C$211, T_Stock_Private!$C$74:$C$84, T_Stock_Private!I$74:I$84)*(1+S180)</f>
        <v>0</v>
      </c>
      <c r="T216" s="686">
        <f>LOOKUP($C$211, T_Stock_Private!$C$74:$C$84, T_Stock_Private!J$74:J$84)*(1+T180)</f>
        <v>0</v>
      </c>
      <c r="U216" s="686">
        <f>LOOKUP($C$211, T_Stock_Private!$C$74:$C$84, T_Stock_Private!K$74:K$84)*(1+U180)</f>
        <v>0</v>
      </c>
      <c r="V216" s="686">
        <f>LOOKUP($C$211, T_Stock_Private!$C$74:$C$84, T_Stock_Private!L$74:L$84)*(1+V180)</f>
        <v>0</v>
      </c>
      <c r="W216" s="686">
        <f>LOOKUP($C$211, T_Stock_Private!$C$74:$C$84, T_Stock_Private!M$74:M$84)*(1+W180)</f>
        <v>0</v>
      </c>
      <c r="X216" s="686">
        <f>LOOKUP($C$211, T_Stock_Private!$C$74:$C$84, T_Stock_Private!N$74:N$84)*(1+X180)</f>
        <v>0</v>
      </c>
      <c r="Y216" s="686">
        <f>LOOKUP($C$211, T_Stock_Private!$C$74:$C$84, T_Stock_Private!O$74:O$84)*(1+Y180)</f>
        <v>0</v>
      </c>
      <c r="Z216" s="686">
        <f>LOOKUP($C$211, T_Stock_Private!$C$74:$C$84, T_Stock_Private!P$74:P$84)*(1+Z180)</f>
        <v>0</v>
      </c>
      <c r="AA216" s="686">
        <f>LOOKUP($C$211, T_Stock_Private!$C$74:$C$84, T_Stock_Private!Q$74:Q$84)*(1+AA180)</f>
        <v>0</v>
      </c>
      <c r="AB216" s="686">
        <f>LOOKUP($C$211, T_Stock_Private!$C$74:$C$84, T_Stock_Private!R$74:R$84)*(1+AB180)</f>
        <v>0</v>
      </c>
      <c r="AC216" s="89"/>
      <c r="AE216" s="357"/>
      <c r="AF216" s="89"/>
    </row>
    <row r="217" spans="1:64" s="83" customFormat="1" x14ac:dyDescent="0.3">
      <c r="B217" s="178" t="str">
        <f t="shared" si="243"/>
        <v>TBISELC100</v>
      </c>
      <c r="C217" s="178"/>
      <c r="D217" s="179"/>
      <c r="E217" s="178"/>
      <c r="F217" s="182"/>
      <c r="G217" s="181"/>
      <c r="H217" s="182"/>
      <c r="I217" s="183">
        <f>AF$5</f>
        <v>2020</v>
      </c>
      <c r="J217" s="184"/>
      <c r="K217" s="184"/>
      <c r="L217" s="203" t="s">
        <v>1064</v>
      </c>
      <c r="M217" s="178" t="s">
        <v>747</v>
      </c>
      <c r="N217" s="686">
        <f t="shared" ref="N217:AB217" si="246">N216*LOOKUP($AD211,$AG$4:$AP$4,$AG$5:$AP$5)</f>
        <v>19.840559999999996</v>
      </c>
      <c r="O217" s="686">
        <f t="shared" si="246"/>
        <v>0</v>
      </c>
      <c r="P217" s="686">
        <f t="shared" si="246"/>
        <v>0</v>
      </c>
      <c r="Q217" s="686">
        <f t="shared" si="246"/>
        <v>0</v>
      </c>
      <c r="R217" s="686">
        <f t="shared" si="246"/>
        <v>0</v>
      </c>
      <c r="S217" s="686">
        <f t="shared" si="246"/>
        <v>0</v>
      </c>
      <c r="T217" s="686">
        <f t="shared" si="246"/>
        <v>0</v>
      </c>
      <c r="U217" s="686">
        <f t="shared" si="246"/>
        <v>0</v>
      </c>
      <c r="V217" s="686">
        <f t="shared" si="246"/>
        <v>0</v>
      </c>
      <c r="W217" s="686">
        <f t="shared" si="246"/>
        <v>0</v>
      </c>
      <c r="X217" s="686">
        <f t="shared" si="246"/>
        <v>0</v>
      </c>
      <c r="Y217" s="686">
        <f t="shared" si="246"/>
        <v>0</v>
      </c>
      <c r="Z217" s="686">
        <f t="shared" si="246"/>
        <v>0</v>
      </c>
      <c r="AA217" s="686">
        <f t="shared" si="246"/>
        <v>0</v>
      </c>
      <c r="AB217" s="686">
        <f t="shared" si="246"/>
        <v>0</v>
      </c>
      <c r="AE217" s="357"/>
      <c r="AF217" s="89"/>
    </row>
    <row r="218" spans="1:64" s="83" customFormat="1" x14ac:dyDescent="0.3">
      <c r="B218" s="178" t="str">
        <f t="shared" si="243"/>
        <v>TBISELC100</v>
      </c>
      <c r="C218" s="178"/>
      <c r="D218" s="179"/>
      <c r="E218" s="178"/>
      <c r="F218" s="182"/>
      <c r="G218" s="181"/>
      <c r="H218" s="182"/>
      <c r="I218" s="183">
        <f>AF$6</f>
        <v>2025</v>
      </c>
      <c r="J218" s="184"/>
      <c r="K218" s="184"/>
      <c r="L218" s="203" t="s">
        <v>1064</v>
      </c>
      <c r="M218" s="178" t="s">
        <v>747</v>
      </c>
      <c r="N218" s="686">
        <f t="shared" ref="N218:AB218" si="247">N216*LOOKUP($AD211,$AG$4:$AP$4,$AG$6:$AP$6)</f>
        <v>12.530879999999998</v>
      </c>
      <c r="O218" s="686">
        <f t="shared" si="247"/>
        <v>0</v>
      </c>
      <c r="P218" s="686">
        <f t="shared" si="247"/>
        <v>0</v>
      </c>
      <c r="Q218" s="686">
        <f t="shared" si="247"/>
        <v>0</v>
      </c>
      <c r="R218" s="686">
        <f t="shared" si="247"/>
        <v>0</v>
      </c>
      <c r="S218" s="686">
        <f t="shared" si="247"/>
        <v>0</v>
      </c>
      <c r="T218" s="686">
        <f t="shared" si="247"/>
        <v>0</v>
      </c>
      <c r="U218" s="686">
        <f t="shared" si="247"/>
        <v>0</v>
      </c>
      <c r="V218" s="686">
        <f t="shared" si="247"/>
        <v>0</v>
      </c>
      <c r="W218" s="686">
        <f t="shared" si="247"/>
        <v>0</v>
      </c>
      <c r="X218" s="686">
        <f t="shared" si="247"/>
        <v>0</v>
      </c>
      <c r="Y218" s="686">
        <f t="shared" si="247"/>
        <v>0</v>
      </c>
      <c r="Z218" s="686">
        <f t="shared" si="247"/>
        <v>0</v>
      </c>
      <c r="AA218" s="686">
        <f t="shared" si="247"/>
        <v>0</v>
      </c>
      <c r="AB218" s="686">
        <f t="shared" si="247"/>
        <v>0</v>
      </c>
      <c r="AE218" s="357"/>
      <c r="AF218" s="89"/>
    </row>
    <row r="219" spans="1:64" s="83" customFormat="1" x14ac:dyDescent="0.3">
      <c r="B219" s="178" t="str">
        <f t="shared" si="243"/>
        <v>TBISELC100</v>
      </c>
      <c r="C219" s="178"/>
      <c r="D219" s="179"/>
      <c r="E219" s="178"/>
      <c r="F219" s="182"/>
      <c r="G219" s="181"/>
      <c r="H219" s="182"/>
      <c r="I219" s="183">
        <f>AF$7</f>
        <v>2030</v>
      </c>
      <c r="J219" s="184"/>
      <c r="K219" s="184"/>
      <c r="L219" s="203" t="s">
        <v>1064</v>
      </c>
      <c r="M219" s="178" t="s">
        <v>747</v>
      </c>
      <c r="N219" s="686">
        <f t="shared" ref="N219:AB219" si="248">N216*LOOKUP($AD211,$AG$4:$AP$4,$AG$7:$AP$7)</f>
        <v>2.0884800000000001</v>
      </c>
      <c r="O219" s="686">
        <f t="shared" si="248"/>
        <v>0</v>
      </c>
      <c r="P219" s="686">
        <f t="shared" si="248"/>
        <v>0</v>
      </c>
      <c r="Q219" s="686">
        <f t="shared" si="248"/>
        <v>0</v>
      </c>
      <c r="R219" s="686">
        <f t="shared" si="248"/>
        <v>0</v>
      </c>
      <c r="S219" s="686">
        <f t="shared" si="248"/>
        <v>0</v>
      </c>
      <c r="T219" s="686">
        <f t="shared" si="248"/>
        <v>0</v>
      </c>
      <c r="U219" s="686">
        <f t="shared" si="248"/>
        <v>0</v>
      </c>
      <c r="V219" s="686">
        <f t="shared" si="248"/>
        <v>0</v>
      </c>
      <c r="W219" s="686">
        <f t="shared" si="248"/>
        <v>0</v>
      </c>
      <c r="X219" s="686">
        <f t="shared" si="248"/>
        <v>0</v>
      </c>
      <c r="Y219" s="686">
        <f t="shared" si="248"/>
        <v>0</v>
      </c>
      <c r="Z219" s="686">
        <f t="shared" si="248"/>
        <v>0</v>
      </c>
      <c r="AA219" s="686">
        <f t="shared" si="248"/>
        <v>0</v>
      </c>
      <c r="AB219" s="686">
        <f t="shared" si="248"/>
        <v>0</v>
      </c>
      <c r="AE219" s="357"/>
      <c r="AF219" s="89"/>
    </row>
    <row r="220" spans="1:64" s="83" customFormat="1" x14ac:dyDescent="0.3">
      <c r="B220" s="178" t="str">
        <f t="shared" si="243"/>
        <v>TBISELC100</v>
      </c>
      <c r="C220" s="178"/>
      <c r="D220" s="179"/>
      <c r="E220" s="178"/>
      <c r="F220" s="182"/>
      <c r="G220" s="181"/>
      <c r="H220" s="182"/>
      <c r="I220" s="183">
        <f>AF$8</f>
        <v>2035</v>
      </c>
      <c r="J220" s="184"/>
      <c r="K220" s="184"/>
      <c r="L220" s="203" t="s">
        <v>1064</v>
      </c>
      <c r="M220" s="178" t="s">
        <v>747</v>
      </c>
      <c r="N220" s="686">
        <f t="shared" ref="N220:AB220" si="249">N216*LOOKUP($AD211,$AG$4:$AP$4,$AG$8:$AP$8)</f>
        <v>0.20884799999999998</v>
      </c>
      <c r="O220" s="686">
        <f t="shared" si="249"/>
        <v>0</v>
      </c>
      <c r="P220" s="686">
        <f t="shared" si="249"/>
        <v>0</v>
      </c>
      <c r="Q220" s="686">
        <f t="shared" si="249"/>
        <v>0</v>
      </c>
      <c r="R220" s="686">
        <f t="shared" si="249"/>
        <v>0</v>
      </c>
      <c r="S220" s="686">
        <f t="shared" si="249"/>
        <v>0</v>
      </c>
      <c r="T220" s="686">
        <f t="shared" si="249"/>
        <v>0</v>
      </c>
      <c r="U220" s="686">
        <f t="shared" si="249"/>
        <v>0</v>
      </c>
      <c r="V220" s="686">
        <f t="shared" si="249"/>
        <v>0</v>
      </c>
      <c r="W220" s="686">
        <f t="shared" si="249"/>
        <v>0</v>
      </c>
      <c r="X220" s="686">
        <f t="shared" si="249"/>
        <v>0</v>
      </c>
      <c r="Y220" s="686">
        <f t="shared" si="249"/>
        <v>0</v>
      </c>
      <c r="Z220" s="686">
        <f t="shared" si="249"/>
        <v>0</v>
      </c>
      <c r="AA220" s="686">
        <f t="shared" si="249"/>
        <v>0</v>
      </c>
      <c r="AB220" s="686">
        <f t="shared" si="249"/>
        <v>0</v>
      </c>
      <c r="AE220" s="357"/>
      <c r="AF220" s="89"/>
    </row>
    <row r="221" spans="1:64" s="83" customFormat="1" x14ac:dyDescent="0.3">
      <c r="B221" s="178" t="str">
        <f t="shared" si="243"/>
        <v>TBISELC100</v>
      </c>
      <c r="C221" s="178"/>
      <c r="D221" s="179"/>
      <c r="E221" s="178"/>
      <c r="F221" s="182"/>
      <c r="G221" s="181"/>
      <c r="H221" s="182"/>
      <c r="I221" s="183">
        <f>AF$9</f>
        <v>2040</v>
      </c>
      <c r="J221" s="184"/>
      <c r="K221" s="184"/>
      <c r="L221" s="203" t="s">
        <v>1064</v>
      </c>
      <c r="M221" s="178" t="s">
        <v>747</v>
      </c>
      <c r="N221" s="686">
        <f t="shared" ref="N221:AB221" si="250">N216*LOOKUP($AD211,$AG$4:$AP$4,$AG$9:$AP$9)</f>
        <v>0</v>
      </c>
      <c r="O221" s="686">
        <f t="shared" si="250"/>
        <v>0</v>
      </c>
      <c r="P221" s="686">
        <f t="shared" si="250"/>
        <v>0</v>
      </c>
      <c r="Q221" s="686">
        <f t="shared" si="250"/>
        <v>0</v>
      </c>
      <c r="R221" s="686">
        <f t="shared" si="250"/>
        <v>0</v>
      </c>
      <c r="S221" s="686">
        <f t="shared" si="250"/>
        <v>0</v>
      </c>
      <c r="T221" s="686">
        <f t="shared" si="250"/>
        <v>0</v>
      </c>
      <c r="U221" s="686">
        <f t="shared" si="250"/>
        <v>0</v>
      </c>
      <c r="V221" s="686">
        <f t="shared" si="250"/>
        <v>0</v>
      </c>
      <c r="W221" s="686">
        <f t="shared" si="250"/>
        <v>0</v>
      </c>
      <c r="X221" s="686">
        <f t="shared" si="250"/>
        <v>0</v>
      </c>
      <c r="Y221" s="686">
        <f t="shared" si="250"/>
        <v>0</v>
      </c>
      <c r="Z221" s="686">
        <f t="shared" si="250"/>
        <v>0</v>
      </c>
      <c r="AA221" s="686">
        <f t="shared" si="250"/>
        <v>0</v>
      </c>
      <c r="AB221" s="686">
        <f t="shared" si="250"/>
        <v>0</v>
      </c>
      <c r="AE221" s="357"/>
      <c r="AF221" s="89"/>
    </row>
    <row r="222" spans="1:64" s="83" customFormat="1" x14ac:dyDescent="0.3">
      <c r="B222" s="204" t="str">
        <f t="shared" si="243"/>
        <v>TBISELC100</v>
      </c>
      <c r="C222" s="204"/>
      <c r="D222" s="205"/>
      <c r="E222" s="204"/>
      <c r="F222" s="206"/>
      <c r="G222" s="207"/>
      <c r="H222" s="206"/>
      <c r="I222" s="208">
        <f>AF$10</f>
        <v>2050</v>
      </c>
      <c r="J222" s="209"/>
      <c r="K222" s="209"/>
      <c r="L222" s="210" t="s">
        <v>1064</v>
      </c>
      <c r="M222" s="204" t="s">
        <v>747</v>
      </c>
      <c r="N222" s="687">
        <f t="shared" ref="N222:AB222" si="251">N216*LOOKUP($AD211,$AG$4:$AP$4,$AG$10:$AP$10)</f>
        <v>0</v>
      </c>
      <c r="O222" s="687">
        <f t="shared" si="251"/>
        <v>0</v>
      </c>
      <c r="P222" s="687">
        <f t="shared" si="251"/>
        <v>0</v>
      </c>
      <c r="Q222" s="687">
        <f t="shared" si="251"/>
        <v>0</v>
      </c>
      <c r="R222" s="687">
        <f t="shared" si="251"/>
        <v>0</v>
      </c>
      <c r="S222" s="687">
        <f t="shared" si="251"/>
        <v>0</v>
      </c>
      <c r="T222" s="687">
        <f t="shared" si="251"/>
        <v>0</v>
      </c>
      <c r="U222" s="687">
        <f t="shared" si="251"/>
        <v>0</v>
      </c>
      <c r="V222" s="687">
        <f t="shared" si="251"/>
        <v>0</v>
      </c>
      <c r="W222" s="687">
        <f t="shared" si="251"/>
        <v>0</v>
      </c>
      <c r="X222" s="687">
        <f t="shared" si="251"/>
        <v>0</v>
      </c>
      <c r="Y222" s="687">
        <f t="shared" si="251"/>
        <v>0</v>
      </c>
      <c r="Z222" s="687">
        <f t="shared" si="251"/>
        <v>0</v>
      </c>
      <c r="AA222" s="687">
        <f t="shared" si="251"/>
        <v>0</v>
      </c>
      <c r="AB222" s="687">
        <f t="shared" si="251"/>
        <v>0</v>
      </c>
      <c r="AE222" s="357"/>
      <c r="AF222" s="89"/>
    </row>
    <row r="223" spans="1:64" s="83" customFormat="1" x14ac:dyDescent="0.3">
      <c r="A223" s="82"/>
      <c r="B223" s="178" t="str">
        <f>C223</f>
        <v>TBISETH100</v>
      </c>
      <c r="C223" s="178" t="s">
        <v>339</v>
      </c>
      <c r="D223" s="179" t="s">
        <v>754</v>
      </c>
      <c r="E223" s="180" t="s">
        <v>1009</v>
      </c>
      <c r="F223" s="182"/>
      <c r="G223" s="181"/>
      <c r="H223" s="182"/>
      <c r="I223" s="183"/>
      <c r="J223" s="184"/>
      <c r="K223" s="184"/>
      <c r="L223" s="203" t="s">
        <v>1106</v>
      </c>
      <c r="M223" s="184" t="s">
        <v>1155</v>
      </c>
      <c r="N223" s="691">
        <f>N$47</f>
        <v>1E-3</v>
      </c>
      <c r="O223" s="691">
        <f t="shared" ref="O223:AB223" si="252">$N223</f>
        <v>1E-3</v>
      </c>
      <c r="P223" s="691">
        <f t="shared" si="252"/>
        <v>1E-3</v>
      </c>
      <c r="Q223" s="691">
        <f t="shared" si="252"/>
        <v>1E-3</v>
      </c>
      <c r="R223" s="691">
        <f t="shared" si="252"/>
        <v>1E-3</v>
      </c>
      <c r="S223" s="691">
        <f t="shared" si="252"/>
        <v>1E-3</v>
      </c>
      <c r="T223" s="691">
        <f t="shared" si="252"/>
        <v>1E-3</v>
      </c>
      <c r="U223" s="691">
        <f t="shared" si="252"/>
        <v>1E-3</v>
      </c>
      <c r="V223" s="691">
        <f t="shared" si="252"/>
        <v>1E-3</v>
      </c>
      <c r="W223" s="691">
        <f t="shared" si="252"/>
        <v>1E-3</v>
      </c>
      <c r="X223" s="691">
        <f t="shared" si="252"/>
        <v>1E-3</v>
      </c>
      <c r="Y223" s="691">
        <f t="shared" si="252"/>
        <v>1E-3</v>
      </c>
      <c r="Z223" s="691">
        <f t="shared" si="252"/>
        <v>1E-3</v>
      </c>
      <c r="AA223" s="691">
        <f t="shared" si="252"/>
        <v>1E-3</v>
      </c>
      <c r="AB223" s="691">
        <f t="shared" si="252"/>
        <v>1E-3</v>
      </c>
      <c r="AD223" s="410" t="str">
        <f>MID(D223,15,3)</f>
        <v>ETH</v>
      </c>
      <c r="AE223" s="357"/>
      <c r="AF223" s="89"/>
      <c r="AV223" s="699" t="str">
        <f t="shared" ref="AV223" si="253">MID(E223,1,7)</f>
        <v>TRAETH</v>
      </c>
      <c r="AW223" s="567">
        <f t="shared" ref="AW223" si="254">SUM(AX223:BL223)</f>
        <v>53.748823284823281</v>
      </c>
      <c r="AX223" s="569">
        <f>N227*N228/N224/1000</f>
        <v>53.748823284823281</v>
      </c>
      <c r="AY223" s="569">
        <f t="shared" ref="AY223:BL223" si="255">O227*O228/O224/1000</f>
        <v>0</v>
      </c>
      <c r="AZ223" s="569">
        <f t="shared" si="255"/>
        <v>0</v>
      </c>
      <c r="BA223" s="569">
        <f t="shared" si="255"/>
        <v>0</v>
      </c>
      <c r="BB223" s="569">
        <f t="shared" si="255"/>
        <v>0</v>
      </c>
      <c r="BC223" s="569">
        <f t="shared" si="255"/>
        <v>0</v>
      </c>
      <c r="BD223" s="569">
        <f t="shared" si="255"/>
        <v>0</v>
      </c>
      <c r="BE223" s="569">
        <f t="shared" si="255"/>
        <v>0</v>
      </c>
      <c r="BF223" s="569">
        <f t="shared" si="255"/>
        <v>0</v>
      </c>
      <c r="BG223" s="569">
        <f t="shared" si="255"/>
        <v>0</v>
      </c>
      <c r="BH223" s="569">
        <f t="shared" si="255"/>
        <v>0</v>
      </c>
      <c r="BI223" s="569">
        <f t="shared" si="255"/>
        <v>0</v>
      </c>
      <c r="BJ223" s="569">
        <f t="shared" si="255"/>
        <v>0</v>
      </c>
      <c r="BK223" s="569">
        <f t="shared" si="255"/>
        <v>0</v>
      </c>
      <c r="BL223" s="569">
        <f t="shared" si="255"/>
        <v>0</v>
      </c>
    </row>
    <row r="224" spans="1:64" s="83" customFormat="1" x14ac:dyDescent="0.3">
      <c r="A224" s="82"/>
      <c r="B224" s="178" t="str">
        <f>B223</f>
        <v>TBISETH100</v>
      </c>
      <c r="C224" s="178"/>
      <c r="D224" s="179"/>
      <c r="E224" s="178"/>
      <c r="F224" s="182"/>
      <c r="G224" s="180" t="s">
        <v>414</v>
      </c>
      <c r="H224" s="182"/>
      <c r="I224" s="183"/>
      <c r="J224" s="184"/>
      <c r="K224" s="184"/>
      <c r="L224" s="184" t="s">
        <v>1125</v>
      </c>
      <c r="M224" s="178" t="s">
        <v>677</v>
      </c>
      <c r="N224" s="689">
        <f>T_CEFF!H136</f>
        <v>4.3290000000000002E-2</v>
      </c>
      <c r="O224" s="689">
        <f>T_CEFF!I136</f>
        <v>4.3290000000000002E-2</v>
      </c>
      <c r="P224" s="689">
        <f>T_CEFF!J136</f>
        <v>4.3290000000000002E-2</v>
      </c>
      <c r="Q224" s="689">
        <f>T_CEFF!K136</f>
        <v>4.3290000000000002E-2</v>
      </c>
      <c r="R224" s="689">
        <f>T_CEFF!L136</f>
        <v>4.3290000000000002E-2</v>
      </c>
      <c r="S224" s="689">
        <f>T_CEFF!M136</f>
        <v>4.3290000000000002E-2</v>
      </c>
      <c r="T224" s="689">
        <f>T_CEFF!N136</f>
        <v>4.3290000000000002E-2</v>
      </c>
      <c r="U224" s="689">
        <f>T_CEFF!O136</f>
        <v>4.3290000000000002E-2</v>
      </c>
      <c r="V224" s="689">
        <f>T_CEFF!P136</f>
        <v>4.3290000000000002E-2</v>
      </c>
      <c r="W224" s="689">
        <f>T_CEFF!Q136</f>
        <v>4.3290000000000002E-2</v>
      </c>
      <c r="X224" s="689">
        <f>T_CEFF!R136</f>
        <v>4.3290000000000002E-2</v>
      </c>
      <c r="Y224" s="689">
        <f>T_CEFF!S136</f>
        <v>4.3290000000000002E-2</v>
      </c>
      <c r="Z224" s="689">
        <f>T_CEFF!T136</f>
        <v>4.3290000000000002E-2</v>
      </c>
      <c r="AA224" s="689">
        <f>T_CEFF!U136</f>
        <v>4.3290000000000002E-2</v>
      </c>
      <c r="AB224" s="689">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3">
      <c r="A225" s="82"/>
      <c r="B225" s="178" t="str">
        <f t="shared" ref="B225:B234" si="256">B224</f>
        <v>TBISETH100</v>
      </c>
      <c r="C225" s="178"/>
      <c r="D225" s="179"/>
      <c r="E225" s="178"/>
      <c r="F225" s="182"/>
      <c r="G225" s="180" t="s">
        <v>589</v>
      </c>
      <c r="H225" s="182"/>
      <c r="I225" s="183"/>
      <c r="J225" s="184"/>
      <c r="K225" s="184"/>
      <c r="L225" s="184" t="s">
        <v>1125</v>
      </c>
      <c r="M225" s="178" t="s">
        <v>677</v>
      </c>
      <c r="N225" s="689">
        <f>T_CEFF!H137</f>
        <v>4.3290000000000002E-2</v>
      </c>
      <c r="O225" s="689">
        <f>T_CEFF!I137</f>
        <v>4.3290000000000002E-2</v>
      </c>
      <c r="P225" s="689">
        <f>T_CEFF!J137</f>
        <v>4.3290000000000002E-2</v>
      </c>
      <c r="Q225" s="689">
        <f>T_CEFF!K137</f>
        <v>4.3290000000000002E-2</v>
      </c>
      <c r="R225" s="689">
        <f>T_CEFF!L137</f>
        <v>4.3290000000000002E-2</v>
      </c>
      <c r="S225" s="689">
        <f>T_CEFF!M137</f>
        <v>4.3290000000000002E-2</v>
      </c>
      <c r="T225" s="689">
        <f>T_CEFF!N137</f>
        <v>4.3290000000000002E-2</v>
      </c>
      <c r="U225" s="689">
        <f>T_CEFF!O137</f>
        <v>4.3290000000000002E-2</v>
      </c>
      <c r="V225" s="689">
        <f>T_CEFF!P137</f>
        <v>4.3290000000000002E-2</v>
      </c>
      <c r="W225" s="689">
        <f>T_CEFF!Q137</f>
        <v>4.3290000000000002E-2</v>
      </c>
      <c r="X225" s="689">
        <f>T_CEFF!R137</f>
        <v>4.3290000000000002E-2</v>
      </c>
      <c r="Y225" s="689">
        <f>T_CEFF!S137</f>
        <v>4.3290000000000002E-2</v>
      </c>
      <c r="Z225" s="689">
        <f>T_CEFF!T137</f>
        <v>4.3290000000000002E-2</v>
      </c>
      <c r="AA225" s="689">
        <f>T_CEFF!U137</f>
        <v>4.3290000000000002E-2</v>
      </c>
      <c r="AB225" s="689">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3">
      <c r="A226" s="82"/>
      <c r="B226" s="178" t="str">
        <f>B225</f>
        <v>TBISETH100</v>
      </c>
      <c r="C226" s="178"/>
      <c r="D226" s="179"/>
      <c r="E226" s="178"/>
      <c r="F226" s="182"/>
      <c r="G226" s="181"/>
      <c r="H226" s="182"/>
      <c r="I226" s="183"/>
      <c r="J226" s="184"/>
      <c r="K226" s="184" t="s">
        <v>748</v>
      </c>
      <c r="L226" s="184" t="s">
        <v>1127</v>
      </c>
      <c r="M226" s="178" t="s">
        <v>1118</v>
      </c>
      <c r="N226" s="690">
        <f>N$17</f>
        <v>18</v>
      </c>
      <c r="O226" s="690">
        <f t="shared" ref="O226:AB226" si="257">O$17</f>
        <v>0</v>
      </c>
      <c r="P226" s="690">
        <f t="shared" si="257"/>
        <v>0</v>
      </c>
      <c r="Q226" s="690">
        <f t="shared" si="257"/>
        <v>0</v>
      </c>
      <c r="R226" s="690">
        <f t="shared" si="257"/>
        <v>0</v>
      </c>
      <c r="S226" s="690">
        <f t="shared" si="257"/>
        <v>0</v>
      </c>
      <c r="T226" s="690">
        <f t="shared" si="257"/>
        <v>0</v>
      </c>
      <c r="U226" s="690">
        <f t="shared" si="257"/>
        <v>0</v>
      </c>
      <c r="V226" s="690">
        <f t="shared" si="257"/>
        <v>0</v>
      </c>
      <c r="W226" s="690">
        <f t="shared" si="257"/>
        <v>0</v>
      </c>
      <c r="X226" s="690">
        <f t="shared" si="257"/>
        <v>0</v>
      </c>
      <c r="Y226" s="690">
        <f t="shared" si="257"/>
        <v>0</v>
      </c>
      <c r="Z226" s="690">
        <f t="shared" si="257"/>
        <v>0</v>
      </c>
      <c r="AA226" s="690">
        <f t="shared" si="257"/>
        <v>0</v>
      </c>
      <c r="AB226" s="690">
        <f t="shared" si="257"/>
        <v>0</v>
      </c>
      <c r="AE226" s="357"/>
      <c r="AG226" s="89"/>
      <c r="AH226" s="89"/>
      <c r="AI226" s="89"/>
      <c r="AJ226" s="89"/>
      <c r="AK226" s="89"/>
      <c r="AL226" s="89"/>
      <c r="AM226" s="89"/>
      <c r="AN226" s="89"/>
      <c r="AO226" s="89"/>
      <c r="AP226" s="89"/>
      <c r="AQ226" s="89"/>
      <c r="AR226" s="89"/>
      <c r="AS226" s="89"/>
      <c r="AT226" s="89"/>
    </row>
    <row r="227" spans="1:64" s="83" customFormat="1" x14ac:dyDescent="0.3">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30.240000000000002</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1">
        <f>SUM(AF227:AT227)</f>
        <v>41.882158080000011</v>
      </c>
      <c r="AF227" s="85">
        <f t="shared" ref="AF227:AT227" si="258">N226*N227*N228/1000</f>
        <v>41.882158080000011</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3">
      <c r="A228" s="82"/>
      <c r="B228" s="178" t="str">
        <f>B227</f>
        <v>TBISETH100</v>
      </c>
      <c r="C228" s="178"/>
      <c r="D228" s="179"/>
      <c r="E228" s="178"/>
      <c r="F228" s="182"/>
      <c r="G228" s="181"/>
      <c r="H228" s="182"/>
      <c r="I228" s="183">
        <f>$M$3</f>
        <v>2019</v>
      </c>
      <c r="J228" s="184"/>
      <c r="K228" s="184"/>
      <c r="L228" s="203" t="s">
        <v>1064</v>
      </c>
      <c r="M228" s="178" t="s">
        <v>747</v>
      </c>
      <c r="N228" s="686">
        <f>LOOKUP($C$223, T_Stock_Private!$C$74:$C$84, T_Stock_Private!D$74:D$84)*(1+N180)</f>
        <v>76.944000000000003</v>
      </c>
      <c r="O228" s="686">
        <f>LOOKUP($C$223, T_Stock_Private!$C$74:$C$84, T_Stock_Private!E$74:E$84)*(1+O180)</f>
        <v>0</v>
      </c>
      <c r="P228" s="686">
        <f>LOOKUP($C$223, T_Stock_Private!$C$74:$C$84, T_Stock_Private!F$74:F$84)*(1+P180)</f>
        <v>0</v>
      </c>
      <c r="Q228" s="686">
        <f>LOOKUP($C$223, T_Stock_Private!$C$74:$C$84, T_Stock_Private!G$74:G$84)*(1+Q180)</f>
        <v>0</v>
      </c>
      <c r="R228" s="686">
        <f>LOOKUP($C$223, T_Stock_Private!$C$74:$C$84, T_Stock_Private!H$74:H$84)*(1+R180)</f>
        <v>0</v>
      </c>
      <c r="S228" s="686">
        <f>LOOKUP($C$223, T_Stock_Private!$C$74:$C$84, T_Stock_Private!I$74:I$84)*(1+S180)</f>
        <v>0</v>
      </c>
      <c r="T228" s="686">
        <f>LOOKUP($C$223, T_Stock_Private!$C$74:$C$84, T_Stock_Private!J$74:J$84)*(1+T180)</f>
        <v>0</v>
      </c>
      <c r="U228" s="686">
        <f>LOOKUP($C$223, T_Stock_Private!$C$74:$C$84, T_Stock_Private!K$74:K$84)*(1+U180)</f>
        <v>0</v>
      </c>
      <c r="V228" s="686">
        <f>LOOKUP($C$223, T_Stock_Private!$C$74:$C$84, T_Stock_Private!L$74:L$84)*(1+V180)</f>
        <v>0</v>
      </c>
      <c r="W228" s="686">
        <f>LOOKUP($C$223, T_Stock_Private!$C$74:$C$84, T_Stock_Private!M$74:M$84)*(1+W180)</f>
        <v>0</v>
      </c>
      <c r="X228" s="686">
        <f>LOOKUP($C$223, T_Stock_Private!$C$74:$C$84, T_Stock_Private!N$74:N$84)*(1+X180)</f>
        <v>0</v>
      </c>
      <c r="Y228" s="686">
        <f>LOOKUP($C$223, T_Stock_Private!$C$74:$C$84, T_Stock_Private!O$74:O$84)*(1+Y180)</f>
        <v>0</v>
      </c>
      <c r="Z228" s="686">
        <f>LOOKUP($C$223, T_Stock_Private!$C$74:$C$84, T_Stock_Private!P$74:P$84)*(1+Z180)</f>
        <v>0</v>
      </c>
      <c r="AA228" s="686">
        <f>LOOKUP($C$223, T_Stock_Private!$C$74:$C$84, T_Stock_Private!Q$74:Q$84)*(1+AA180)</f>
        <v>0</v>
      </c>
      <c r="AB228" s="686">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3">
      <c r="A229" s="82"/>
      <c r="B229" s="178" t="str">
        <f t="shared" si="256"/>
        <v>TBISETH100</v>
      </c>
      <c r="C229" s="178"/>
      <c r="D229" s="179"/>
      <c r="E229" s="178"/>
      <c r="F229" s="182"/>
      <c r="G229" s="181"/>
      <c r="H229" s="182"/>
      <c r="I229" s="183">
        <f>AF$5</f>
        <v>2020</v>
      </c>
      <c r="J229" s="184"/>
      <c r="K229" s="184"/>
      <c r="L229" s="203" t="s">
        <v>1064</v>
      </c>
      <c r="M229" s="178" t="s">
        <v>747</v>
      </c>
      <c r="N229" s="686">
        <f t="shared" ref="N229:AB229" si="259">N228*LOOKUP($AD223,$AG$4:$AP$4,$AG$5:$AP$5)</f>
        <v>73.096800000000002</v>
      </c>
      <c r="O229" s="686">
        <f t="shared" si="259"/>
        <v>0</v>
      </c>
      <c r="P229" s="686">
        <f t="shared" si="259"/>
        <v>0</v>
      </c>
      <c r="Q229" s="686">
        <f t="shared" si="259"/>
        <v>0</v>
      </c>
      <c r="R229" s="686">
        <f t="shared" si="259"/>
        <v>0</v>
      </c>
      <c r="S229" s="686">
        <f t="shared" si="259"/>
        <v>0</v>
      </c>
      <c r="T229" s="686">
        <f t="shared" si="259"/>
        <v>0</v>
      </c>
      <c r="U229" s="686">
        <f t="shared" si="259"/>
        <v>0</v>
      </c>
      <c r="V229" s="686">
        <f t="shared" si="259"/>
        <v>0</v>
      </c>
      <c r="W229" s="686">
        <f t="shared" si="259"/>
        <v>0</v>
      </c>
      <c r="X229" s="686">
        <f t="shared" si="259"/>
        <v>0</v>
      </c>
      <c r="Y229" s="686">
        <f t="shared" si="259"/>
        <v>0</v>
      </c>
      <c r="Z229" s="686">
        <f t="shared" si="259"/>
        <v>0</v>
      </c>
      <c r="AA229" s="686">
        <f t="shared" si="259"/>
        <v>0</v>
      </c>
      <c r="AB229" s="686">
        <f t="shared" si="259"/>
        <v>0</v>
      </c>
      <c r="AE229" s="357"/>
      <c r="AG229" s="89"/>
      <c r="AH229" s="89"/>
      <c r="AI229" s="89"/>
      <c r="AJ229" s="89"/>
      <c r="AK229" s="89"/>
      <c r="AL229" s="89"/>
      <c r="AM229" s="89"/>
      <c r="AN229" s="89"/>
      <c r="AO229" s="89"/>
      <c r="AP229" s="89"/>
      <c r="AQ229" s="89"/>
      <c r="AR229" s="89"/>
      <c r="AS229" s="89"/>
      <c r="AT229" s="89"/>
    </row>
    <row r="230" spans="1:64" s="83" customFormat="1" x14ac:dyDescent="0.3">
      <c r="A230" s="82"/>
      <c r="B230" s="178" t="str">
        <f t="shared" si="256"/>
        <v>TBISETH100</v>
      </c>
      <c r="C230" s="178"/>
      <c r="D230" s="179"/>
      <c r="E230" s="178"/>
      <c r="F230" s="182"/>
      <c r="G230" s="181"/>
      <c r="H230" s="182"/>
      <c r="I230" s="183">
        <f>AF$6</f>
        <v>2025</v>
      </c>
      <c r="J230" s="184"/>
      <c r="K230" s="184"/>
      <c r="L230" s="203" t="s">
        <v>1064</v>
      </c>
      <c r="M230" s="178" t="s">
        <v>747</v>
      </c>
      <c r="N230" s="686">
        <f t="shared" ref="N230:AB230" si="260">N228*LOOKUP($AD223,$AG$4:$AP$4,$AG$6:$AP$6)</f>
        <v>46.166400000000003</v>
      </c>
      <c r="O230" s="686">
        <f t="shared" si="260"/>
        <v>0</v>
      </c>
      <c r="P230" s="686">
        <f t="shared" si="260"/>
        <v>0</v>
      </c>
      <c r="Q230" s="686">
        <f t="shared" si="260"/>
        <v>0</v>
      </c>
      <c r="R230" s="686">
        <f t="shared" si="260"/>
        <v>0</v>
      </c>
      <c r="S230" s="686">
        <f t="shared" si="260"/>
        <v>0</v>
      </c>
      <c r="T230" s="686">
        <f t="shared" si="260"/>
        <v>0</v>
      </c>
      <c r="U230" s="686">
        <f t="shared" si="260"/>
        <v>0</v>
      </c>
      <c r="V230" s="686">
        <f t="shared" si="260"/>
        <v>0</v>
      </c>
      <c r="W230" s="686">
        <f t="shared" si="260"/>
        <v>0</v>
      </c>
      <c r="X230" s="686">
        <f t="shared" si="260"/>
        <v>0</v>
      </c>
      <c r="Y230" s="686">
        <f t="shared" si="260"/>
        <v>0</v>
      </c>
      <c r="Z230" s="686">
        <f t="shared" si="260"/>
        <v>0</v>
      </c>
      <c r="AA230" s="686">
        <f t="shared" si="260"/>
        <v>0</v>
      </c>
      <c r="AB230" s="686">
        <f t="shared" si="260"/>
        <v>0</v>
      </c>
      <c r="AE230" s="357"/>
      <c r="AG230" s="89"/>
      <c r="AH230" s="89"/>
      <c r="AI230" s="89"/>
      <c r="AJ230" s="89"/>
      <c r="AK230" s="89"/>
      <c r="AL230" s="89"/>
      <c r="AM230" s="89"/>
      <c r="AN230" s="89"/>
      <c r="AO230" s="89"/>
      <c r="AP230" s="89"/>
      <c r="AQ230" s="89"/>
      <c r="AR230" s="89"/>
      <c r="AS230" s="89"/>
      <c r="AT230" s="89"/>
    </row>
    <row r="231" spans="1:64" s="83" customFormat="1" x14ac:dyDescent="0.3">
      <c r="A231" s="82"/>
      <c r="B231" s="178" t="str">
        <f t="shared" si="256"/>
        <v>TBISETH100</v>
      </c>
      <c r="C231" s="178"/>
      <c r="D231" s="179"/>
      <c r="E231" s="178"/>
      <c r="F231" s="182"/>
      <c r="G231" s="181"/>
      <c r="H231" s="182"/>
      <c r="I231" s="183">
        <f>AF$7</f>
        <v>2030</v>
      </c>
      <c r="J231" s="184"/>
      <c r="K231" s="184"/>
      <c r="L231" s="203" t="s">
        <v>1064</v>
      </c>
      <c r="M231" s="178" t="s">
        <v>747</v>
      </c>
      <c r="N231" s="686">
        <f t="shared" ref="N231:AB231" si="261">N228*LOOKUP($AD223,$AG$4:$AP$4,$AG$7:$AP$7)</f>
        <v>7.6944000000000008</v>
      </c>
      <c r="O231" s="686">
        <f t="shared" si="261"/>
        <v>0</v>
      </c>
      <c r="P231" s="686">
        <f t="shared" si="261"/>
        <v>0</v>
      </c>
      <c r="Q231" s="686">
        <f t="shared" si="261"/>
        <v>0</v>
      </c>
      <c r="R231" s="686">
        <f t="shared" si="261"/>
        <v>0</v>
      </c>
      <c r="S231" s="686">
        <f t="shared" si="261"/>
        <v>0</v>
      </c>
      <c r="T231" s="686">
        <f t="shared" si="261"/>
        <v>0</v>
      </c>
      <c r="U231" s="686">
        <f t="shared" si="261"/>
        <v>0</v>
      </c>
      <c r="V231" s="686">
        <f t="shared" si="261"/>
        <v>0</v>
      </c>
      <c r="W231" s="686">
        <f t="shared" si="261"/>
        <v>0</v>
      </c>
      <c r="X231" s="686">
        <f t="shared" si="261"/>
        <v>0</v>
      </c>
      <c r="Y231" s="686">
        <f t="shared" si="261"/>
        <v>0</v>
      </c>
      <c r="Z231" s="686">
        <f t="shared" si="261"/>
        <v>0</v>
      </c>
      <c r="AA231" s="686">
        <f t="shared" si="261"/>
        <v>0</v>
      </c>
      <c r="AB231" s="686">
        <f t="shared" si="261"/>
        <v>0</v>
      </c>
      <c r="AE231" s="357"/>
      <c r="AG231" s="89"/>
      <c r="AH231" s="89"/>
      <c r="AI231" s="89"/>
      <c r="AJ231" s="89"/>
      <c r="AK231" s="89"/>
      <c r="AL231" s="89"/>
      <c r="AM231" s="89"/>
      <c r="AN231" s="89"/>
      <c r="AO231" s="89"/>
      <c r="AP231" s="89"/>
      <c r="AQ231" s="89"/>
      <c r="AR231" s="89"/>
      <c r="AS231" s="89"/>
      <c r="AT231" s="89"/>
    </row>
    <row r="232" spans="1:64" s="83" customFormat="1" x14ac:dyDescent="0.3">
      <c r="A232" s="82"/>
      <c r="B232" s="178" t="str">
        <f t="shared" si="256"/>
        <v>TBISETH100</v>
      </c>
      <c r="C232" s="178"/>
      <c r="D232" s="179"/>
      <c r="E232" s="178"/>
      <c r="F232" s="182"/>
      <c r="G232" s="181"/>
      <c r="H232" s="182"/>
      <c r="I232" s="183">
        <f>AF$8</f>
        <v>2035</v>
      </c>
      <c r="J232" s="184"/>
      <c r="K232" s="184"/>
      <c r="L232" s="203" t="s">
        <v>1064</v>
      </c>
      <c r="M232" s="178" t="s">
        <v>747</v>
      </c>
      <c r="N232" s="686">
        <f t="shared" ref="N232:AB232" si="262">N228*LOOKUP($AD223,$AG$4:$AP$4,$AG$8:$AP$8)</f>
        <v>0.76944000000000001</v>
      </c>
      <c r="O232" s="686">
        <f t="shared" si="262"/>
        <v>0</v>
      </c>
      <c r="P232" s="686">
        <f t="shared" si="262"/>
        <v>0</v>
      </c>
      <c r="Q232" s="686">
        <f t="shared" si="262"/>
        <v>0</v>
      </c>
      <c r="R232" s="686">
        <f t="shared" si="262"/>
        <v>0</v>
      </c>
      <c r="S232" s="686">
        <f t="shared" si="262"/>
        <v>0</v>
      </c>
      <c r="T232" s="686">
        <f t="shared" si="262"/>
        <v>0</v>
      </c>
      <c r="U232" s="686">
        <f t="shared" si="262"/>
        <v>0</v>
      </c>
      <c r="V232" s="686">
        <f t="shared" si="262"/>
        <v>0</v>
      </c>
      <c r="W232" s="686">
        <f t="shared" si="262"/>
        <v>0</v>
      </c>
      <c r="X232" s="686">
        <f t="shared" si="262"/>
        <v>0</v>
      </c>
      <c r="Y232" s="686">
        <f t="shared" si="262"/>
        <v>0</v>
      </c>
      <c r="Z232" s="686">
        <f t="shared" si="262"/>
        <v>0</v>
      </c>
      <c r="AA232" s="686">
        <f t="shared" si="262"/>
        <v>0</v>
      </c>
      <c r="AB232" s="686">
        <f t="shared" si="262"/>
        <v>0</v>
      </c>
      <c r="AE232" s="357"/>
      <c r="AG232" s="89"/>
      <c r="AH232" s="89"/>
      <c r="AI232" s="89"/>
      <c r="AJ232" s="89"/>
      <c r="AK232" s="89"/>
      <c r="AL232" s="89"/>
      <c r="AM232" s="89"/>
      <c r="AN232" s="89"/>
      <c r="AO232" s="89"/>
      <c r="AP232" s="89"/>
      <c r="AQ232" s="89"/>
      <c r="AR232" s="89"/>
      <c r="AS232" s="89"/>
      <c r="AT232" s="89"/>
    </row>
    <row r="233" spans="1:64" s="83" customFormat="1" x14ac:dyDescent="0.3">
      <c r="A233" s="82"/>
      <c r="B233" s="178" t="str">
        <f t="shared" si="256"/>
        <v>TBISETH100</v>
      </c>
      <c r="C233" s="178"/>
      <c r="D233" s="179"/>
      <c r="E233" s="178"/>
      <c r="F233" s="182"/>
      <c r="G233" s="181"/>
      <c r="H233" s="182"/>
      <c r="I233" s="183">
        <f>AF$9</f>
        <v>2040</v>
      </c>
      <c r="J233" s="184"/>
      <c r="K233" s="184"/>
      <c r="L233" s="203" t="s">
        <v>1064</v>
      </c>
      <c r="M233" s="178" t="s">
        <v>747</v>
      </c>
      <c r="N233" s="686">
        <f t="shared" ref="N233:AB233" si="263">N228*LOOKUP($AD223,$AG$4:$AP$4,$AG$9:$AP$9)</f>
        <v>0</v>
      </c>
      <c r="O233" s="686">
        <f t="shared" si="263"/>
        <v>0</v>
      </c>
      <c r="P233" s="686">
        <f t="shared" si="263"/>
        <v>0</v>
      </c>
      <c r="Q233" s="686">
        <f t="shared" si="263"/>
        <v>0</v>
      </c>
      <c r="R233" s="686">
        <f t="shared" si="263"/>
        <v>0</v>
      </c>
      <c r="S233" s="686">
        <f t="shared" si="263"/>
        <v>0</v>
      </c>
      <c r="T233" s="686">
        <f t="shared" si="263"/>
        <v>0</v>
      </c>
      <c r="U233" s="686">
        <f t="shared" si="263"/>
        <v>0</v>
      </c>
      <c r="V233" s="686">
        <f t="shared" si="263"/>
        <v>0</v>
      </c>
      <c r="W233" s="686">
        <f t="shared" si="263"/>
        <v>0</v>
      </c>
      <c r="X233" s="686">
        <f t="shared" si="263"/>
        <v>0</v>
      </c>
      <c r="Y233" s="686">
        <f t="shared" si="263"/>
        <v>0</v>
      </c>
      <c r="Z233" s="686">
        <f t="shared" si="263"/>
        <v>0</v>
      </c>
      <c r="AA233" s="686">
        <f t="shared" si="263"/>
        <v>0</v>
      </c>
      <c r="AB233" s="686">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3">
      <c r="A234" s="82"/>
      <c r="B234" s="204" t="str">
        <f t="shared" si="256"/>
        <v>TBISETH100</v>
      </c>
      <c r="C234" s="204"/>
      <c r="D234" s="205"/>
      <c r="E234" s="204"/>
      <c r="F234" s="206"/>
      <c r="G234" s="207"/>
      <c r="H234" s="206"/>
      <c r="I234" s="208">
        <f>AF$10</f>
        <v>2050</v>
      </c>
      <c r="J234" s="209"/>
      <c r="K234" s="209"/>
      <c r="L234" s="210" t="s">
        <v>1064</v>
      </c>
      <c r="M234" s="204" t="s">
        <v>747</v>
      </c>
      <c r="N234" s="687">
        <f t="shared" ref="N234:AB234" si="264">N228*LOOKUP($AD223,$AG$4:$AP$4,$AG$10:$AP$10)</f>
        <v>0</v>
      </c>
      <c r="O234" s="687">
        <f t="shared" si="264"/>
        <v>0</v>
      </c>
      <c r="P234" s="687">
        <f t="shared" si="264"/>
        <v>0</v>
      </c>
      <c r="Q234" s="687">
        <f t="shared" si="264"/>
        <v>0</v>
      </c>
      <c r="R234" s="687">
        <f t="shared" si="264"/>
        <v>0</v>
      </c>
      <c r="S234" s="687">
        <f t="shared" si="264"/>
        <v>0</v>
      </c>
      <c r="T234" s="687">
        <f t="shared" si="264"/>
        <v>0</v>
      </c>
      <c r="U234" s="687">
        <f t="shared" si="264"/>
        <v>0</v>
      </c>
      <c r="V234" s="687">
        <f t="shared" si="264"/>
        <v>0</v>
      </c>
      <c r="W234" s="687">
        <f t="shared" si="264"/>
        <v>0</v>
      </c>
      <c r="X234" s="687">
        <f t="shared" si="264"/>
        <v>0</v>
      </c>
      <c r="Y234" s="687">
        <f t="shared" si="264"/>
        <v>0</v>
      </c>
      <c r="Z234" s="687">
        <f t="shared" si="264"/>
        <v>0</v>
      </c>
      <c r="AA234" s="687">
        <f t="shared" si="264"/>
        <v>0</v>
      </c>
      <c r="AB234" s="687">
        <f t="shared" si="264"/>
        <v>0</v>
      </c>
      <c r="AE234" s="357"/>
      <c r="AG234" s="89"/>
      <c r="AH234" s="89"/>
      <c r="AI234" s="89"/>
      <c r="AJ234" s="89"/>
      <c r="AK234" s="89"/>
      <c r="AL234" s="89"/>
      <c r="AM234" s="89"/>
      <c r="AN234" s="89"/>
      <c r="AO234" s="89"/>
      <c r="AP234" s="89"/>
      <c r="AQ234" s="89"/>
      <c r="AR234" s="89"/>
      <c r="AS234" s="89"/>
      <c r="AT234" s="89"/>
    </row>
    <row r="235" spans="1:64" s="83" customFormat="1" x14ac:dyDescent="0.3">
      <c r="A235" s="82"/>
      <c r="B235" s="178" t="str">
        <f>C235</f>
        <v>TBISGAS100</v>
      </c>
      <c r="C235" s="178" t="s">
        <v>340</v>
      </c>
      <c r="D235" s="179" t="s">
        <v>755</v>
      </c>
      <c r="E235" s="180" t="s">
        <v>993</v>
      </c>
      <c r="F235" s="182"/>
      <c r="G235" s="181"/>
      <c r="H235" s="182"/>
      <c r="I235" s="183"/>
      <c r="J235" s="184"/>
      <c r="K235" s="184"/>
      <c r="L235" s="203" t="s">
        <v>1106</v>
      </c>
      <c r="M235" s="184" t="s">
        <v>1155</v>
      </c>
      <c r="N235" s="691">
        <f>N$47</f>
        <v>1E-3</v>
      </c>
      <c r="O235" s="691">
        <f t="shared" ref="O235:AB235" si="265">$N235</f>
        <v>1E-3</v>
      </c>
      <c r="P235" s="691">
        <f t="shared" si="265"/>
        <v>1E-3</v>
      </c>
      <c r="Q235" s="691">
        <f t="shared" si="265"/>
        <v>1E-3</v>
      </c>
      <c r="R235" s="691">
        <f t="shared" si="265"/>
        <v>1E-3</v>
      </c>
      <c r="S235" s="691">
        <f t="shared" si="265"/>
        <v>1E-3</v>
      </c>
      <c r="T235" s="691">
        <f t="shared" si="265"/>
        <v>1E-3</v>
      </c>
      <c r="U235" s="691">
        <f t="shared" si="265"/>
        <v>1E-3</v>
      </c>
      <c r="V235" s="691">
        <f t="shared" si="265"/>
        <v>1E-3</v>
      </c>
      <c r="W235" s="691">
        <f t="shared" si="265"/>
        <v>1E-3</v>
      </c>
      <c r="X235" s="691">
        <f t="shared" si="265"/>
        <v>1E-3</v>
      </c>
      <c r="Y235" s="691">
        <f t="shared" si="265"/>
        <v>1E-3</v>
      </c>
      <c r="Z235" s="691">
        <f t="shared" si="265"/>
        <v>1E-3</v>
      </c>
      <c r="AA235" s="691">
        <f t="shared" si="265"/>
        <v>1E-3</v>
      </c>
      <c r="AB235" s="691">
        <f t="shared" si="265"/>
        <v>1E-3</v>
      </c>
      <c r="AD235" s="410" t="str">
        <f>MID(D235,15,3)</f>
        <v>GAS</v>
      </c>
      <c r="AE235" s="357"/>
      <c r="AG235" s="89"/>
      <c r="AH235" s="89"/>
      <c r="AI235" s="89"/>
      <c r="AJ235" s="89"/>
      <c r="AK235" s="89"/>
      <c r="AL235" s="89"/>
      <c r="AM235" s="89"/>
      <c r="AN235" s="89"/>
      <c r="AO235" s="89"/>
      <c r="AP235" s="89"/>
      <c r="AQ235" s="89"/>
      <c r="AR235" s="89"/>
      <c r="AS235" s="89"/>
      <c r="AT235" s="89"/>
      <c r="AV235" s="699" t="str">
        <f t="shared" ref="AV235:AV236" si="266">MID(E235,1,7)</f>
        <v>TRABGS</v>
      </c>
      <c r="AW235" s="567">
        <f t="shared" ref="AW235:AW236" si="267">SUM(AX235:BL235)</f>
        <v>144.94918733401434</v>
      </c>
      <c r="AX235" s="569">
        <f>N$240*N$241*(1-N236)/N$237/1000</f>
        <v>144.94918733401434</v>
      </c>
      <c r="AY235" s="569">
        <f t="shared" ref="AY235:BI235" si="268">O$240*O$241*(1-O236)/O$237/1000</f>
        <v>0</v>
      </c>
      <c r="AZ235" s="569">
        <f t="shared" si="268"/>
        <v>0</v>
      </c>
      <c r="BA235" s="569">
        <f t="shared" si="268"/>
        <v>0</v>
      </c>
      <c r="BB235" s="569">
        <f t="shared" si="268"/>
        <v>0</v>
      </c>
      <c r="BC235" s="569">
        <f t="shared" si="268"/>
        <v>0</v>
      </c>
      <c r="BD235" s="569">
        <f t="shared" si="268"/>
        <v>0</v>
      </c>
      <c r="BE235" s="569">
        <f t="shared" si="268"/>
        <v>0</v>
      </c>
      <c r="BF235" s="569">
        <f t="shared" si="268"/>
        <v>0</v>
      </c>
      <c r="BG235" s="569">
        <f t="shared" si="268"/>
        <v>0</v>
      </c>
      <c r="BH235" s="569">
        <f t="shared" si="268"/>
        <v>0</v>
      </c>
      <c r="BI235" s="569">
        <f t="shared" si="268"/>
        <v>0</v>
      </c>
      <c r="BJ235" s="569">
        <f t="shared" ref="BJ235" si="269">Z$240*Z$241*(1-Z236)/Z$237/1000</f>
        <v>0</v>
      </c>
      <c r="BK235" s="569">
        <f t="shared" ref="BK235" si="270">AA$240*AA$241*(1-AA236)/AA$237/1000</f>
        <v>0</v>
      </c>
      <c r="BL235" s="569">
        <f t="shared" ref="BL235" si="271">AB$240*AB$241*(1-AB236)/AB$237/1000</f>
        <v>0</v>
      </c>
    </row>
    <row r="236" spans="1:64" s="83" customFormat="1" x14ac:dyDescent="0.3">
      <c r="A236" s="82"/>
      <c r="B236" s="178" t="str">
        <f>B235</f>
        <v>TBISGAS100</v>
      </c>
      <c r="C236" s="178"/>
      <c r="D236" s="179"/>
      <c r="E236" s="180" t="s">
        <v>1038</v>
      </c>
      <c r="F236" s="182"/>
      <c r="G236" s="181"/>
      <c r="H236" s="182"/>
      <c r="I236" s="183"/>
      <c r="J236" s="184" t="s">
        <v>1156</v>
      </c>
      <c r="K236" s="184"/>
      <c r="L236" s="203" t="s">
        <v>101</v>
      </c>
      <c r="M236" s="178"/>
      <c r="N236" s="690">
        <f t="shared" ref="N236:AB236" si="272">1-N19</f>
        <v>0</v>
      </c>
      <c r="O236" s="690">
        <f t="shared" si="272"/>
        <v>0</v>
      </c>
      <c r="P236" s="690">
        <f t="shared" si="272"/>
        <v>0</v>
      </c>
      <c r="Q236" s="690">
        <f t="shared" si="272"/>
        <v>0</v>
      </c>
      <c r="R236" s="690">
        <f t="shared" si="272"/>
        <v>0</v>
      </c>
      <c r="S236" s="690">
        <f t="shared" si="272"/>
        <v>0</v>
      </c>
      <c r="T236" s="690">
        <f t="shared" si="272"/>
        <v>0</v>
      </c>
      <c r="U236" s="690">
        <f t="shared" si="272"/>
        <v>0</v>
      </c>
      <c r="V236" s="690">
        <f t="shared" si="272"/>
        <v>0</v>
      </c>
      <c r="W236" s="690">
        <f t="shared" si="272"/>
        <v>0</v>
      </c>
      <c r="X236" s="690">
        <f t="shared" si="272"/>
        <v>0</v>
      </c>
      <c r="Y236" s="690">
        <f t="shared" si="272"/>
        <v>0</v>
      </c>
      <c r="Z236" s="690">
        <f t="shared" si="272"/>
        <v>0</v>
      </c>
      <c r="AA236" s="690">
        <f t="shared" si="272"/>
        <v>0</v>
      </c>
      <c r="AB236" s="690">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699" t="str">
        <f t="shared" si="266"/>
        <v>TRANGS</v>
      </c>
      <c r="AW236" s="567">
        <f t="shared" si="267"/>
        <v>0</v>
      </c>
      <c r="AX236" s="569">
        <f>N$240*N$241*N236/N$237/1000</f>
        <v>0</v>
      </c>
      <c r="AY236" s="569">
        <f t="shared" ref="AY236:BI236" si="273">O$240*O$241*O236/O$237/1000</f>
        <v>0</v>
      </c>
      <c r="AZ236" s="569">
        <f t="shared" si="273"/>
        <v>0</v>
      </c>
      <c r="BA236" s="569">
        <f t="shared" si="273"/>
        <v>0</v>
      </c>
      <c r="BB236" s="569">
        <f t="shared" si="273"/>
        <v>0</v>
      </c>
      <c r="BC236" s="569">
        <f t="shared" si="273"/>
        <v>0</v>
      </c>
      <c r="BD236" s="569">
        <f t="shared" si="273"/>
        <v>0</v>
      </c>
      <c r="BE236" s="569">
        <f t="shared" si="273"/>
        <v>0</v>
      </c>
      <c r="BF236" s="569">
        <f t="shared" si="273"/>
        <v>0</v>
      </c>
      <c r="BG236" s="569">
        <f t="shared" si="273"/>
        <v>0</v>
      </c>
      <c r="BH236" s="569">
        <f t="shared" si="273"/>
        <v>0</v>
      </c>
      <c r="BI236" s="569">
        <f t="shared" si="273"/>
        <v>0</v>
      </c>
      <c r="BJ236" s="569">
        <f t="shared" ref="BJ236" si="274">Z$240*Z$241*Z236/Z$237/1000</f>
        <v>0</v>
      </c>
      <c r="BK236" s="569">
        <f t="shared" ref="BK236" si="275">AA$240*AA$241*AA236/AA$237/1000</f>
        <v>0</v>
      </c>
      <c r="BL236" s="569">
        <f t="shared" ref="BL236" si="276">AB$240*AB$241*AB236/AB$237/1000</f>
        <v>0</v>
      </c>
    </row>
    <row r="237" spans="1:64" s="83" customFormat="1" x14ac:dyDescent="0.3">
      <c r="A237" s="82"/>
      <c r="B237" s="178" t="str">
        <f t="shared" ref="B237:B247" si="277">B236</f>
        <v>TBISGAS100</v>
      </c>
      <c r="C237" s="178"/>
      <c r="D237" s="179"/>
      <c r="E237" s="178"/>
      <c r="F237" s="182"/>
      <c r="G237" s="180" t="s">
        <v>414</v>
      </c>
      <c r="H237" s="182"/>
      <c r="I237" s="183"/>
      <c r="J237" s="184"/>
      <c r="K237" s="184"/>
      <c r="L237" s="184" t="s">
        <v>1125</v>
      </c>
      <c r="M237" s="178" t="s">
        <v>677</v>
      </c>
      <c r="N237" s="689">
        <f>T_CEFF!H138</f>
        <v>8.8109999999999994E-2</v>
      </c>
      <c r="O237" s="689">
        <f>T_CEFF!I138</f>
        <v>8.8109999999999994E-2</v>
      </c>
      <c r="P237" s="689">
        <f>T_CEFF!J138</f>
        <v>8.8109999999999994E-2</v>
      </c>
      <c r="Q237" s="689">
        <f>T_CEFF!K138</f>
        <v>8.8109999999999994E-2</v>
      </c>
      <c r="R237" s="689">
        <f>T_CEFF!L138</f>
        <v>8.8109999999999994E-2</v>
      </c>
      <c r="S237" s="689">
        <f>T_CEFF!M138</f>
        <v>8.8109999999999994E-2</v>
      </c>
      <c r="T237" s="689">
        <f>T_CEFF!N138</f>
        <v>8.8109999999999994E-2</v>
      </c>
      <c r="U237" s="689">
        <f>T_CEFF!O138</f>
        <v>8.8109999999999994E-2</v>
      </c>
      <c r="V237" s="689">
        <f>T_CEFF!P138</f>
        <v>8.8109999999999994E-2</v>
      </c>
      <c r="W237" s="689">
        <f>T_CEFF!Q138</f>
        <v>8.8109999999999994E-2</v>
      </c>
      <c r="X237" s="689">
        <f>T_CEFF!R138</f>
        <v>8.8109999999999994E-2</v>
      </c>
      <c r="Y237" s="689">
        <f>T_CEFF!S138</f>
        <v>8.8109999999999994E-2</v>
      </c>
      <c r="Z237" s="689">
        <f>T_CEFF!T138</f>
        <v>8.8109999999999994E-2</v>
      </c>
      <c r="AA237" s="689">
        <f>T_CEFF!U138</f>
        <v>8.8109999999999994E-2</v>
      </c>
      <c r="AB237" s="689">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3">
      <c r="A238" s="82"/>
      <c r="B238" s="178" t="str">
        <f t="shared" si="277"/>
        <v>TBISGAS100</v>
      </c>
      <c r="C238" s="178"/>
      <c r="D238" s="179"/>
      <c r="E238" s="178"/>
      <c r="F238" s="182"/>
      <c r="G238" s="180" t="s">
        <v>589</v>
      </c>
      <c r="H238" s="182"/>
      <c r="I238" s="183"/>
      <c r="J238" s="184"/>
      <c r="K238" s="184"/>
      <c r="L238" s="184" t="s">
        <v>1125</v>
      </c>
      <c r="M238" s="178" t="s">
        <v>677</v>
      </c>
      <c r="N238" s="689">
        <f>T_CEFF!H139</f>
        <v>8.8109999999999994E-2</v>
      </c>
      <c r="O238" s="689">
        <f>T_CEFF!I139</f>
        <v>8.8109999999999994E-2</v>
      </c>
      <c r="P238" s="689">
        <f>T_CEFF!J139</f>
        <v>8.8109999999999994E-2</v>
      </c>
      <c r="Q238" s="689">
        <f>T_CEFF!K139</f>
        <v>8.8109999999999994E-2</v>
      </c>
      <c r="R238" s="689">
        <f>T_CEFF!L139</f>
        <v>8.8109999999999994E-2</v>
      </c>
      <c r="S238" s="689">
        <f>T_CEFF!M139</f>
        <v>8.8109999999999994E-2</v>
      </c>
      <c r="T238" s="689">
        <f>T_CEFF!N139</f>
        <v>8.8109999999999994E-2</v>
      </c>
      <c r="U238" s="689">
        <f>T_CEFF!O139</f>
        <v>8.8109999999999994E-2</v>
      </c>
      <c r="V238" s="689">
        <f>T_CEFF!P139</f>
        <v>8.8109999999999994E-2</v>
      </c>
      <c r="W238" s="689">
        <f>T_CEFF!Q139</f>
        <v>8.8109999999999994E-2</v>
      </c>
      <c r="X238" s="689">
        <f>T_CEFF!R139</f>
        <v>8.8109999999999994E-2</v>
      </c>
      <c r="Y238" s="689">
        <f>T_CEFF!S139</f>
        <v>8.8109999999999994E-2</v>
      </c>
      <c r="Z238" s="689">
        <f>T_CEFF!T139</f>
        <v>8.8109999999999994E-2</v>
      </c>
      <c r="AA238" s="689">
        <f>T_CEFF!U139</f>
        <v>8.8109999999999994E-2</v>
      </c>
      <c r="AB238" s="689">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3">
      <c r="A239" s="82"/>
      <c r="B239" s="178" t="str">
        <f t="shared" si="277"/>
        <v>TBISGAS100</v>
      </c>
      <c r="C239" s="178"/>
      <c r="D239" s="179"/>
      <c r="E239" s="178"/>
      <c r="F239" s="182"/>
      <c r="G239" s="181"/>
      <c r="H239" s="182"/>
      <c r="I239" s="183"/>
      <c r="J239" s="184"/>
      <c r="K239" s="184" t="s">
        <v>748</v>
      </c>
      <c r="L239" s="184" t="s">
        <v>1127</v>
      </c>
      <c r="M239" s="178" t="s">
        <v>1118</v>
      </c>
      <c r="N239" s="690">
        <f>N$17</f>
        <v>18</v>
      </c>
      <c r="O239" s="690">
        <f t="shared" ref="O239:AB239" si="278">O$17</f>
        <v>0</v>
      </c>
      <c r="P239" s="690">
        <f t="shared" si="278"/>
        <v>0</v>
      </c>
      <c r="Q239" s="690">
        <f t="shared" si="278"/>
        <v>0</v>
      </c>
      <c r="R239" s="690">
        <f t="shared" si="278"/>
        <v>0</v>
      </c>
      <c r="S239" s="690">
        <f t="shared" si="278"/>
        <v>0</v>
      </c>
      <c r="T239" s="690">
        <f t="shared" si="278"/>
        <v>0</v>
      </c>
      <c r="U239" s="690">
        <f t="shared" si="278"/>
        <v>0</v>
      </c>
      <c r="V239" s="690">
        <f t="shared" si="278"/>
        <v>0</v>
      </c>
      <c r="W239" s="690">
        <f t="shared" si="278"/>
        <v>0</v>
      </c>
      <c r="X239" s="690">
        <f t="shared" si="278"/>
        <v>0</v>
      </c>
      <c r="Y239" s="690">
        <f t="shared" si="278"/>
        <v>0</v>
      </c>
      <c r="Z239" s="690">
        <f t="shared" si="278"/>
        <v>0</v>
      </c>
      <c r="AA239" s="690">
        <f t="shared" si="278"/>
        <v>0</v>
      </c>
      <c r="AB239" s="690">
        <f t="shared" si="278"/>
        <v>0</v>
      </c>
      <c r="AE239" s="357"/>
      <c r="AG239" s="89"/>
      <c r="AH239" s="89"/>
      <c r="AI239" s="89"/>
      <c r="AJ239" s="89"/>
      <c r="AK239" s="89"/>
      <c r="AL239" s="89"/>
      <c r="AM239" s="89"/>
      <c r="AN239" s="89"/>
      <c r="AO239" s="89"/>
      <c r="AP239" s="89"/>
      <c r="AQ239" s="89"/>
      <c r="AR239" s="89"/>
      <c r="AS239" s="89"/>
      <c r="AT239" s="89"/>
    </row>
    <row r="240" spans="1:64" s="83" customFormat="1" x14ac:dyDescent="0.3">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43.680000000000007</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1">
        <f>SUM(AF240:AT240)</f>
        <v>229.88651212800002</v>
      </c>
      <c r="AF240" s="85">
        <f t="shared" ref="AF240:AT240" si="279">N239*N240*N241/1000</f>
        <v>229.88651212800002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3">
      <c r="A241" s="82"/>
      <c r="B241" s="178" t="str">
        <f t="shared" si="277"/>
        <v>TBISGAS100</v>
      </c>
      <c r="C241" s="178"/>
      <c r="D241" s="179"/>
      <c r="E241" s="178"/>
      <c r="F241" s="182"/>
      <c r="G241" s="181"/>
      <c r="H241" s="182"/>
      <c r="I241" s="183">
        <f>$M$3</f>
        <v>2019</v>
      </c>
      <c r="J241" s="184"/>
      <c r="K241" s="184"/>
      <c r="L241" s="203" t="s">
        <v>1064</v>
      </c>
      <c r="M241" s="178" t="s">
        <v>747</v>
      </c>
      <c r="N241" s="686">
        <f>LOOKUP($C$235, T_Stock_Private!$C$74:$C$84, T_Stock_Private!D$74:D$84)*(1+N180)</f>
        <v>292.38720000000001</v>
      </c>
      <c r="O241" s="686">
        <f>LOOKUP($C$235, T_Stock_Private!$C$74:$C$84, T_Stock_Private!E$74:E$84)*(1+O180)</f>
        <v>0</v>
      </c>
      <c r="P241" s="686">
        <f>LOOKUP($C$235, T_Stock_Private!$C$74:$C$84, T_Stock_Private!F$74:F$84)*(1+P180)</f>
        <v>0</v>
      </c>
      <c r="Q241" s="686">
        <f>LOOKUP($C$235, T_Stock_Private!$C$74:$C$84, T_Stock_Private!G$74:G$84)*(1+Q180)</f>
        <v>0</v>
      </c>
      <c r="R241" s="686">
        <f>LOOKUP($C$235, T_Stock_Private!$C$74:$C$84, T_Stock_Private!H$74:H$84)*(1+R180)</f>
        <v>0</v>
      </c>
      <c r="S241" s="686">
        <f>LOOKUP($C$235, T_Stock_Private!$C$74:$C$84, T_Stock_Private!I$74:I$84)*(1+S180)</f>
        <v>0</v>
      </c>
      <c r="T241" s="686">
        <f>LOOKUP($C$235, T_Stock_Private!$C$74:$C$84, T_Stock_Private!J$74:J$84)*(1+T180)</f>
        <v>0</v>
      </c>
      <c r="U241" s="686">
        <f>LOOKUP($C$235, T_Stock_Private!$C$74:$C$84, T_Stock_Private!K$74:K$84)*(1+U180)</f>
        <v>0</v>
      </c>
      <c r="V241" s="686">
        <f>LOOKUP($C$235, T_Stock_Private!$C$74:$C$84, T_Stock_Private!L$74:L$84)*(1+V180)</f>
        <v>0</v>
      </c>
      <c r="W241" s="686">
        <f>LOOKUP($C$235, T_Stock_Private!$C$74:$C$84, T_Stock_Private!M$74:M$84)*(1+W180)</f>
        <v>0</v>
      </c>
      <c r="X241" s="686">
        <f>LOOKUP($C$235, T_Stock_Private!$C$74:$C$84, T_Stock_Private!N$74:N$84)*(1+X180)</f>
        <v>0</v>
      </c>
      <c r="Y241" s="686">
        <f>LOOKUP($C$235, T_Stock_Private!$C$74:$C$84, T_Stock_Private!O$74:O$84)*(1+Y180)</f>
        <v>0</v>
      </c>
      <c r="Z241" s="686">
        <f>LOOKUP($C$235, T_Stock_Private!$C$74:$C$84, T_Stock_Private!P$74:P$84)*(1+Z180)</f>
        <v>0</v>
      </c>
      <c r="AA241" s="686">
        <f>LOOKUP($C$235, T_Stock_Private!$C$74:$C$84, T_Stock_Private!Q$74:Q$84)*(1+AA180)</f>
        <v>0</v>
      </c>
      <c r="AB241" s="686">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3">
      <c r="A242" s="82"/>
      <c r="B242" s="178" t="str">
        <f t="shared" si="277"/>
        <v>TBISGAS100</v>
      </c>
      <c r="C242" s="178"/>
      <c r="D242" s="179"/>
      <c r="E242" s="178"/>
      <c r="F242" s="182"/>
      <c r="G242" s="181"/>
      <c r="H242" s="182"/>
      <c r="I242" s="183">
        <f>AF$5</f>
        <v>2020</v>
      </c>
      <c r="J242" s="184"/>
      <c r="K242" s="184"/>
      <c r="L242" s="203" t="s">
        <v>1064</v>
      </c>
      <c r="M242" s="178" t="s">
        <v>747</v>
      </c>
      <c r="N242" s="686">
        <f t="shared" ref="N242:AB242" si="280">N241*LOOKUP($AD235,$AG$4:$AP$4,$AG$5:$AP$5)</f>
        <v>292.38720000000001</v>
      </c>
      <c r="O242" s="686">
        <f t="shared" si="280"/>
        <v>0</v>
      </c>
      <c r="P242" s="686">
        <f t="shared" si="280"/>
        <v>0</v>
      </c>
      <c r="Q242" s="686">
        <f t="shared" si="280"/>
        <v>0</v>
      </c>
      <c r="R242" s="686">
        <f t="shared" si="280"/>
        <v>0</v>
      </c>
      <c r="S242" s="686">
        <f t="shared" si="280"/>
        <v>0</v>
      </c>
      <c r="T242" s="686">
        <f t="shared" si="280"/>
        <v>0</v>
      </c>
      <c r="U242" s="686">
        <f t="shared" si="280"/>
        <v>0</v>
      </c>
      <c r="V242" s="686">
        <f t="shared" si="280"/>
        <v>0</v>
      </c>
      <c r="W242" s="686">
        <f t="shared" si="280"/>
        <v>0</v>
      </c>
      <c r="X242" s="686">
        <f t="shared" si="280"/>
        <v>0</v>
      </c>
      <c r="Y242" s="686">
        <f t="shared" si="280"/>
        <v>0</v>
      </c>
      <c r="Z242" s="686">
        <f t="shared" si="280"/>
        <v>0</v>
      </c>
      <c r="AA242" s="686">
        <f t="shared" si="280"/>
        <v>0</v>
      </c>
      <c r="AB242" s="686">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3">
      <c r="A243" s="82"/>
      <c r="B243" s="178" t="str">
        <f t="shared" si="277"/>
        <v>TBISGAS100</v>
      </c>
      <c r="C243" s="178"/>
      <c r="D243" s="179"/>
      <c r="E243" s="178"/>
      <c r="F243" s="182"/>
      <c r="G243" s="181"/>
      <c r="H243" s="182"/>
      <c r="I243" s="183">
        <f>AF$6</f>
        <v>2025</v>
      </c>
      <c r="J243" s="184"/>
      <c r="K243" s="184"/>
      <c r="L243" s="203" t="s">
        <v>1064</v>
      </c>
      <c r="M243" s="178" t="s">
        <v>747</v>
      </c>
      <c r="N243" s="686">
        <f t="shared" ref="N243:AB243" si="281">N241*LOOKUP($AD235,$AG$4:$AP$4,$AG$6:$AP$6)</f>
        <v>175.43232</v>
      </c>
      <c r="O243" s="686">
        <f t="shared" si="281"/>
        <v>0</v>
      </c>
      <c r="P243" s="686">
        <f t="shared" si="281"/>
        <v>0</v>
      </c>
      <c r="Q243" s="686">
        <f t="shared" si="281"/>
        <v>0</v>
      </c>
      <c r="R243" s="686">
        <f t="shared" si="281"/>
        <v>0</v>
      </c>
      <c r="S243" s="686">
        <f t="shared" si="281"/>
        <v>0</v>
      </c>
      <c r="T243" s="686">
        <f t="shared" si="281"/>
        <v>0</v>
      </c>
      <c r="U243" s="686">
        <f t="shared" si="281"/>
        <v>0</v>
      </c>
      <c r="V243" s="686">
        <f t="shared" si="281"/>
        <v>0</v>
      </c>
      <c r="W243" s="686">
        <f t="shared" si="281"/>
        <v>0</v>
      </c>
      <c r="X243" s="686">
        <f t="shared" si="281"/>
        <v>0</v>
      </c>
      <c r="Y243" s="686">
        <f t="shared" si="281"/>
        <v>0</v>
      </c>
      <c r="Z243" s="686">
        <f t="shared" si="281"/>
        <v>0</v>
      </c>
      <c r="AA243" s="686">
        <f t="shared" si="281"/>
        <v>0</v>
      </c>
      <c r="AB243" s="686">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3">
      <c r="A244" s="82"/>
      <c r="B244" s="178" t="str">
        <f t="shared" si="277"/>
        <v>TBISGAS100</v>
      </c>
      <c r="C244" s="178"/>
      <c r="D244" s="179"/>
      <c r="E244" s="178"/>
      <c r="F244" s="182"/>
      <c r="G244" s="181"/>
      <c r="H244" s="182"/>
      <c r="I244" s="183">
        <f>AF$7</f>
        <v>2030</v>
      </c>
      <c r="J244" s="184"/>
      <c r="K244" s="184"/>
      <c r="L244" s="203" t="s">
        <v>1064</v>
      </c>
      <c r="M244" s="178" t="s">
        <v>747</v>
      </c>
      <c r="N244" s="686">
        <f t="shared" ref="N244:AB244" si="282">N241*LOOKUP($AD235,$AG$4:$AP$4,$AG$7:$AP$7)</f>
        <v>29.238720000000001</v>
      </c>
      <c r="O244" s="686">
        <f t="shared" si="282"/>
        <v>0</v>
      </c>
      <c r="P244" s="686">
        <f t="shared" si="282"/>
        <v>0</v>
      </c>
      <c r="Q244" s="686">
        <f t="shared" si="282"/>
        <v>0</v>
      </c>
      <c r="R244" s="686">
        <f t="shared" si="282"/>
        <v>0</v>
      </c>
      <c r="S244" s="686">
        <f t="shared" si="282"/>
        <v>0</v>
      </c>
      <c r="T244" s="686">
        <f t="shared" si="282"/>
        <v>0</v>
      </c>
      <c r="U244" s="686">
        <f t="shared" si="282"/>
        <v>0</v>
      </c>
      <c r="V244" s="686">
        <f t="shared" si="282"/>
        <v>0</v>
      </c>
      <c r="W244" s="686">
        <f t="shared" si="282"/>
        <v>0</v>
      </c>
      <c r="X244" s="686">
        <f t="shared" si="282"/>
        <v>0</v>
      </c>
      <c r="Y244" s="686">
        <f t="shared" si="282"/>
        <v>0</v>
      </c>
      <c r="Z244" s="686">
        <f t="shared" si="282"/>
        <v>0</v>
      </c>
      <c r="AA244" s="686">
        <f t="shared" si="282"/>
        <v>0</v>
      </c>
      <c r="AB244" s="686">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3">
      <c r="A245" s="82"/>
      <c r="B245" s="178" t="str">
        <f t="shared" si="277"/>
        <v>TBISGAS100</v>
      </c>
      <c r="C245" s="178"/>
      <c r="D245" s="179"/>
      <c r="E245" s="178"/>
      <c r="F245" s="182"/>
      <c r="G245" s="181"/>
      <c r="H245" s="182"/>
      <c r="I245" s="183">
        <f>AF$8</f>
        <v>2035</v>
      </c>
      <c r="J245" s="184"/>
      <c r="K245" s="184"/>
      <c r="L245" s="203" t="s">
        <v>1064</v>
      </c>
      <c r="M245" s="178" t="s">
        <v>747</v>
      </c>
      <c r="N245" s="686">
        <f t="shared" ref="N245:AB245" si="283">N241*LOOKUP($AD235,$AG$4:$AP$4,$AG$8:$AP$8)</f>
        <v>2.9238720000000002</v>
      </c>
      <c r="O245" s="686">
        <f t="shared" si="283"/>
        <v>0</v>
      </c>
      <c r="P245" s="686">
        <f t="shared" si="283"/>
        <v>0</v>
      </c>
      <c r="Q245" s="686">
        <f t="shared" si="283"/>
        <v>0</v>
      </c>
      <c r="R245" s="686">
        <f t="shared" si="283"/>
        <v>0</v>
      </c>
      <c r="S245" s="686">
        <f t="shared" si="283"/>
        <v>0</v>
      </c>
      <c r="T245" s="686">
        <f t="shared" si="283"/>
        <v>0</v>
      </c>
      <c r="U245" s="686">
        <f t="shared" si="283"/>
        <v>0</v>
      </c>
      <c r="V245" s="686">
        <f t="shared" si="283"/>
        <v>0</v>
      </c>
      <c r="W245" s="686">
        <f t="shared" si="283"/>
        <v>0</v>
      </c>
      <c r="X245" s="686">
        <f t="shared" si="283"/>
        <v>0</v>
      </c>
      <c r="Y245" s="686">
        <f t="shared" si="283"/>
        <v>0</v>
      </c>
      <c r="Z245" s="686">
        <f t="shared" si="283"/>
        <v>0</v>
      </c>
      <c r="AA245" s="686">
        <f t="shared" si="283"/>
        <v>0</v>
      </c>
      <c r="AB245" s="686">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3">
      <c r="A246" s="82"/>
      <c r="B246" s="178" t="str">
        <f t="shared" si="277"/>
        <v>TBISGAS100</v>
      </c>
      <c r="C246" s="178"/>
      <c r="D246" s="179"/>
      <c r="E246" s="178"/>
      <c r="F246" s="182"/>
      <c r="G246" s="181"/>
      <c r="H246" s="182"/>
      <c r="I246" s="183">
        <f>AF$9</f>
        <v>2040</v>
      </c>
      <c r="J246" s="184"/>
      <c r="K246" s="184"/>
      <c r="L246" s="203" t="s">
        <v>1064</v>
      </c>
      <c r="M246" s="178" t="s">
        <v>747</v>
      </c>
      <c r="N246" s="686">
        <f t="shared" ref="N246:AB246" si="284">N241*LOOKUP($AD235,$AG$4:$AP$4,$AG$9:$AP$9)</f>
        <v>0</v>
      </c>
      <c r="O246" s="686">
        <f t="shared" si="284"/>
        <v>0</v>
      </c>
      <c r="P246" s="686">
        <f t="shared" si="284"/>
        <v>0</v>
      </c>
      <c r="Q246" s="686">
        <f t="shared" si="284"/>
        <v>0</v>
      </c>
      <c r="R246" s="686">
        <f t="shared" si="284"/>
        <v>0</v>
      </c>
      <c r="S246" s="686">
        <f t="shared" si="284"/>
        <v>0</v>
      </c>
      <c r="T246" s="686">
        <f t="shared" si="284"/>
        <v>0</v>
      </c>
      <c r="U246" s="686">
        <f t="shared" si="284"/>
        <v>0</v>
      </c>
      <c r="V246" s="686">
        <f t="shared" si="284"/>
        <v>0</v>
      </c>
      <c r="W246" s="686">
        <f t="shared" si="284"/>
        <v>0</v>
      </c>
      <c r="X246" s="686">
        <f t="shared" si="284"/>
        <v>0</v>
      </c>
      <c r="Y246" s="686">
        <f t="shared" si="284"/>
        <v>0</v>
      </c>
      <c r="Z246" s="686">
        <f t="shared" si="284"/>
        <v>0</v>
      </c>
      <c r="AA246" s="686">
        <f t="shared" si="284"/>
        <v>0</v>
      </c>
      <c r="AB246" s="686">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3">
      <c r="A247" s="82"/>
      <c r="B247" s="204" t="str">
        <f t="shared" si="277"/>
        <v>TBISGAS100</v>
      </c>
      <c r="C247" s="204"/>
      <c r="D247" s="205"/>
      <c r="E247" s="204"/>
      <c r="F247" s="206"/>
      <c r="G247" s="207"/>
      <c r="H247" s="206"/>
      <c r="I247" s="208">
        <f>AF$10</f>
        <v>2050</v>
      </c>
      <c r="J247" s="209"/>
      <c r="K247" s="209"/>
      <c r="L247" s="210" t="s">
        <v>1064</v>
      </c>
      <c r="M247" s="204" t="s">
        <v>747</v>
      </c>
      <c r="N247" s="687">
        <f t="shared" ref="N247:AB247" si="285">N241*LOOKUP($AD235,$AG$4:$AP$4,$AG$10:$AP$10)</f>
        <v>0</v>
      </c>
      <c r="O247" s="687">
        <f t="shared" si="285"/>
        <v>0</v>
      </c>
      <c r="P247" s="687">
        <f t="shared" si="285"/>
        <v>0</v>
      </c>
      <c r="Q247" s="687">
        <f t="shared" si="285"/>
        <v>0</v>
      </c>
      <c r="R247" s="687">
        <f t="shared" si="285"/>
        <v>0</v>
      </c>
      <c r="S247" s="687">
        <f t="shared" si="285"/>
        <v>0</v>
      </c>
      <c r="T247" s="687">
        <f t="shared" si="285"/>
        <v>0</v>
      </c>
      <c r="U247" s="687">
        <f t="shared" si="285"/>
        <v>0</v>
      </c>
      <c r="V247" s="687">
        <f t="shared" si="285"/>
        <v>0</v>
      </c>
      <c r="W247" s="687">
        <f t="shared" si="285"/>
        <v>0</v>
      </c>
      <c r="X247" s="687">
        <f t="shared" si="285"/>
        <v>0</v>
      </c>
      <c r="Y247" s="687">
        <f t="shared" si="285"/>
        <v>0</v>
      </c>
      <c r="Z247" s="687">
        <f t="shared" si="285"/>
        <v>0</v>
      </c>
      <c r="AA247" s="687">
        <f t="shared" si="285"/>
        <v>0</v>
      </c>
      <c r="AB247" s="687">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3">
      <c r="A248" s="82"/>
      <c r="B248" s="178" t="str">
        <f>C248</f>
        <v>TBISGSL100</v>
      </c>
      <c r="C248" s="178" t="s">
        <v>341</v>
      </c>
      <c r="D248" s="179" t="s">
        <v>756</v>
      </c>
      <c r="E248" s="180" t="s">
        <v>1011</v>
      </c>
      <c r="F248" s="182"/>
      <c r="G248" s="181"/>
      <c r="H248" s="182"/>
      <c r="I248" s="183"/>
      <c r="J248" s="184"/>
      <c r="K248" s="184"/>
      <c r="L248" s="203" t="s">
        <v>1106</v>
      </c>
      <c r="M248" s="184" t="s">
        <v>1155</v>
      </c>
      <c r="N248" s="691">
        <f>N$47</f>
        <v>1E-3</v>
      </c>
      <c r="O248" s="691">
        <f t="shared" ref="O248:AB248" si="286">$N248</f>
        <v>1E-3</v>
      </c>
      <c r="P248" s="691">
        <f t="shared" si="286"/>
        <v>1E-3</v>
      </c>
      <c r="Q248" s="691">
        <f t="shared" si="286"/>
        <v>1E-3</v>
      </c>
      <c r="R248" s="691">
        <f t="shared" si="286"/>
        <v>1E-3</v>
      </c>
      <c r="S248" s="691">
        <f t="shared" si="286"/>
        <v>1E-3</v>
      </c>
      <c r="T248" s="691">
        <f t="shared" si="286"/>
        <v>1E-3</v>
      </c>
      <c r="U248" s="691">
        <f t="shared" si="286"/>
        <v>1E-3</v>
      </c>
      <c r="V248" s="691">
        <f t="shared" si="286"/>
        <v>1E-3</v>
      </c>
      <c r="W248" s="691">
        <f t="shared" si="286"/>
        <v>1E-3</v>
      </c>
      <c r="X248" s="691">
        <f t="shared" si="286"/>
        <v>1E-3</v>
      </c>
      <c r="Y248" s="691">
        <f t="shared" si="286"/>
        <v>1E-3</v>
      </c>
      <c r="Z248" s="691">
        <f t="shared" si="286"/>
        <v>1E-3</v>
      </c>
      <c r="AA248" s="691">
        <f t="shared" si="286"/>
        <v>1E-3</v>
      </c>
      <c r="AB248" s="691">
        <f t="shared" si="286"/>
        <v>1E-3</v>
      </c>
      <c r="AD248" s="402" t="str">
        <f>MID(D248,15,3)</f>
        <v>GSL</v>
      </c>
      <c r="AE248" s="357"/>
      <c r="AG248" s="89"/>
      <c r="AH248" s="89"/>
      <c r="AI248" s="89"/>
      <c r="AJ248" s="89"/>
      <c r="AK248" s="89"/>
      <c r="AL248" s="89"/>
      <c r="AM248" s="89"/>
      <c r="AN248" s="89"/>
      <c r="AO248" s="89"/>
      <c r="AP248" s="89"/>
      <c r="AQ248" s="89"/>
      <c r="AR248" s="89"/>
      <c r="AS248" s="89"/>
      <c r="AT248" s="89"/>
      <c r="AV248" s="699" t="str">
        <f t="shared" ref="AV248:AV249" si="287">MID(E248,1,7)</f>
        <v>TRAETHM</v>
      </c>
      <c r="AW248" s="567">
        <f t="shared" ref="AW248:AW249" si="288">SUM(AX248:BL248)</f>
        <v>0</v>
      </c>
    </row>
    <row r="249" spans="1:49" x14ac:dyDescent="0.3">
      <c r="A249" s="22"/>
      <c r="B249" s="186" t="str">
        <f>B248</f>
        <v>TBISGSL100</v>
      </c>
      <c r="C249" s="186"/>
      <c r="D249" s="187"/>
      <c r="E249" s="188" t="s">
        <v>1013</v>
      </c>
      <c r="F249" s="170"/>
      <c r="G249" s="189"/>
      <c r="H249" s="170"/>
      <c r="I249" s="190"/>
      <c r="J249" s="191" t="s">
        <v>1126</v>
      </c>
      <c r="K249" s="191"/>
      <c r="L249" s="211" t="s">
        <v>101</v>
      </c>
      <c r="M249" s="186"/>
      <c r="N249" s="674">
        <f>1-N$22</f>
        <v>0.94899999999999995</v>
      </c>
      <c r="O249" s="674">
        <f t="shared" ref="O249:AB249" si="289">1-O$22</f>
        <v>0.94899999999999995</v>
      </c>
      <c r="P249" s="674">
        <f t="shared" si="289"/>
        <v>0.94899999999999995</v>
      </c>
      <c r="Q249" s="674">
        <f t="shared" si="289"/>
        <v>0.94899999999999995</v>
      </c>
      <c r="R249" s="674">
        <f t="shared" si="289"/>
        <v>0.94899999999999995</v>
      </c>
      <c r="S249" s="674">
        <f t="shared" si="289"/>
        <v>0.94899999999999995</v>
      </c>
      <c r="T249" s="674">
        <f t="shared" si="289"/>
        <v>0.94899999999999995</v>
      </c>
      <c r="U249" s="674">
        <f t="shared" si="289"/>
        <v>0.94899999999999995</v>
      </c>
      <c r="V249" s="674">
        <f t="shared" si="289"/>
        <v>0.94899999999999995</v>
      </c>
      <c r="W249" s="674">
        <f t="shared" si="289"/>
        <v>0.94899999999999995</v>
      </c>
      <c r="X249" s="674">
        <f t="shared" si="289"/>
        <v>0.94899999999999995</v>
      </c>
      <c r="Y249" s="674">
        <f t="shared" si="289"/>
        <v>0.94899999999999995</v>
      </c>
      <c r="Z249" s="674">
        <f t="shared" si="289"/>
        <v>0.94899999999999995</v>
      </c>
      <c r="AA249" s="674">
        <f t="shared" si="289"/>
        <v>0.94899999999999995</v>
      </c>
      <c r="AB249" s="674">
        <f t="shared" si="289"/>
        <v>0.94899999999999995</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699" t="str">
        <f t="shared" si="287"/>
        <v>TRAGSL</v>
      </c>
      <c r="AW249" s="567">
        <f t="shared" si="288"/>
        <v>0</v>
      </c>
    </row>
    <row r="250" spans="1:49" x14ac:dyDescent="0.3">
      <c r="A250" s="22"/>
      <c r="B250" s="186" t="str">
        <f>B249</f>
        <v>TBISGSL100</v>
      </c>
      <c r="C250" s="186"/>
      <c r="D250" s="187"/>
      <c r="E250" s="186"/>
      <c r="F250" s="170"/>
      <c r="G250" s="188" t="s">
        <v>414</v>
      </c>
      <c r="H250" s="170"/>
      <c r="I250" s="190"/>
      <c r="J250" s="191"/>
      <c r="K250" s="191"/>
      <c r="L250" s="191" t="s">
        <v>1125</v>
      </c>
      <c r="M250" s="186" t="s">
        <v>677</v>
      </c>
      <c r="N250" s="689">
        <f>T_CEFF!H140</f>
        <v>5.0610000000000002E-2</v>
      </c>
      <c r="O250" s="689">
        <f>T_CEFF!I140</f>
        <v>5.0610000000000002E-2</v>
      </c>
      <c r="P250" s="689">
        <f>T_CEFF!J140</f>
        <v>5.0610000000000002E-2</v>
      </c>
      <c r="Q250" s="689">
        <f>T_CEFF!K140</f>
        <v>5.0610000000000002E-2</v>
      </c>
      <c r="R250" s="689">
        <f>T_CEFF!L140</f>
        <v>5.0610000000000002E-2</v>
      </c>
      <c r="S250" s="689">
        <f>T_CEFF!M140</f>
        <v>5.0610000000000002E-2</v>
      </c>
      <c r="T250" s="689">
        <f>T_CEFF!N140</f>
        <v>5.0610000000000002E-2</v>
      </c>
      <c r="U250" s="689">
        <f>T_CEFF!O140</f>
        <v>5.0610000000000002E-2</v>
      </c>
      <c r="V250" s="689">
        <f>T_CEFF!P140</f>
        <v>5.0610000000000002E-2</v>
      </c>
      <c r="W250" s="689">
        <f>T_CEFF!Q140</f>
        <v>5.0610000000000002E-2</v>
      </c>
      <c r="X250" s="689">
        <f>T_CEFF!R140</f>
        <v>5.0610000000000002E-2</v>
      </c>
      <c r="Y250" s="689">
        <f>T_CEFF!S140</f>
        <v>5.0610000000000002E-2</v>
      </c>
      <c r="Z250" s="689">
        <f>T_CEFF!T140</f>
        <v>5.0610000000000002E-2</v>
      </c>
      <c r="AA250" s="689">
        <f>T_CEFF!U140</f>
        <v>5.0610000000000002E-2</v>
      </c>
      <c r="AB250" s="689">
        <f>T_CEFF!V140</f>
        <v>5.0610000000000002E-2</v>
      </c>
      <c r="AE250" s="36"/>
      <c r="AG250" s="68"/>
      <c r="AH250" s="68"/>
      <c r="AI250" s="68"/>
      <c r="AJ250" s="68"/>
      <c r="AK250" s="68"/>
      <c r="AL250" s="68"/>
      <c r="AM250" s="68"/>
      <c r="AN250" s="68"/>
      <c r="AO250" s="68"/>
      <c r="AP250" s="68"/>
      <c r="AQ250" s="68"/>
      <c r="AR250" s="68"/>
      <c r="AS250" s="68"/>
      <c r="AT250" s="68"/>
    </row>
    <row r="251" spans="1:49" x14ac:dyDescent="0.3">
      <c r="A251" s="22"/>
      <c r="B251" s="186" t="str">
        <f>B250</f>
        <v>TBISGSL100</v>
      </c>
      <c r="C251" s="186"/>
      <c r="D251" s="187"/>
      <c r="E251" s="186"/>
      <c r="F251" s="170"/>
      <c r="G251" s="188" t="s">
        <v>589</v>
      </c>
      <c r="H251" s="170"/>
      <c r="I251" s="190"/>
      <c r="J251" s="191"/>
      <c r="K251" s="191"/>
      <c r="L251" s="191" t="s">
        <v>1125</v>
      </c>
      <c r="M251" s="186" t="s">
        <v>677</v>
      </c>
      <c r="N251" s="689">
        <f>T_CEFF!H141</f>
        <v>5.0610000000000002E-2</v>
      </c>
      <c r="O251" s="689">
        <f>T_CEFF!I141</f>
        <v>5.0610000000000002E-2</v>
      </c>
      <c r="P251" s="689">
        <f>T_CEFF!J141</f>
        <v>5.0610000000000002E-2</v>
      </c>
      <c r="Q251" s="689">
        <f>T_CEFF!K141</f>
        <v>5.0610000000000002E-2</v>
      </c>
      <c r="R251" s="689">
        <f>T_CEFF!L141</f>
        <v>5.0610000000000002E-2</v>
      </c>
      <c r="S251" s="689">
        <f>T_CEFF!M141</f>
        <v>5.0610000000000002E-2</v>
      </c>
      <c r="T251" s="689">
        <f>T_CEFF!N141</f>
        <v>5.0610000000000002E-2</v>
      </c>
      <c r="U251" s="689">
        <f>T_CEFF!O141</f>
        <v>5.0610000000000002E-2</v>
      </c>
      <c r="V251" s="689">
        <f>T_CEFF!P141</f>
        <v>5.0610000000000002E-2</v>
      </c>
      <c r="W251" s="689">
        <f>T_CEFF!Q141</f>
        <v>5.0610000000000002E-2</v>
      </c>
      <c r="X251" s="689">
        <f>T_CEFF!R141</f>
        <v>5.0610000000000002E-2</v>
      </c>
      <c r="Y251" s="689">
        <f>T_CEFF!S141</f>
        <v>5.0610000000000002E-2</v>
      </c>
      <c r="Z251" s="689">
        <f>T_CEFF!T141</f>
        <v>5.0610000000000002E-2</v>
      </c>
      <c r="AA251" s="689">
        <f>T_CEFF!U141</f>
        <v>5.0610000000000002E-2</v>
      </c>
      <c r="AB251" s="689">
        <f>T_CEFF!V141</f>
        <v>5.0610000000000002E-2</v>
      </c>
      <c r="AE251" s="36"/>
      <c r="AG251" s="68"/>
      <c r="AH251" s="68"/>
      <c r="AI251" s="68"/>
      <c r="AJ251" s="68"/>
      <c r="AK251" s="68"/>
      <c r="AL251" s="68"/>
      <c r="AM251" s="68"/>
      <c r="AN251" s="68"/>
      <c r="AO251" s="68"/>
      <c r="AP251" s="68"/>
      <c r="AQ251" s="68"/>
      <c r="AR251" s="68"/>
      <c r="AS251" s="68"/>
      <c r="AT251" s="68"/>
    </row>
    <row r="252" spans="1:49" x14ac:dyDescent="0.3">
      <c r="A252" s="22"/>
      <c r="B252" s="186" t="str">
        <f t="shared" ref="B252:B260" si="290">B251</f>
        <v>TBISGSL100</v>
      </c>
      <c r="C252" s="186"/>
      <c r="D252" s="187"/>
      <c r="E252" s="186"/>
      <c r="F252" s="170"/>
      <c r="G252" s="189"/>
      <c r="H252" s="170"/>
      <c r="I252" s="190"/>
      <c r="J252" s="191"/>
      <c r="K252" s="191" t="s">
        <v>748</v>
      </c>
      <c r="L252" s="191" t="s">
        <v>1127</v>
      </c>
      <c r="M252" s="186" t="s">
        <v>1118</v>
      </c>
      <c r="N252" s="602">
        <f>N$17</f>
        <v>18</v>
      </c>
      <c r="O252" s="602">
        <f t="shared" ref="O252:AB252" si="291">O$17</f>
        <v>0</v>
      </c>
      <c r="P252" s="602">
        <f t="shared" si="291"/>
        <v>0</v>
      </c>
      <c r="Q252" s="602">
        <f t="shared" si="291"/>
        <v>0</v>
      </c>
      <c r="R252" s="602">
        <f t="shared" si="291"/>
        <v>0</v>
      </c>
      <c r="S252" s="602">
        <f t="shared" si="291"/>
        <v>0</v>
      </c>
      <c r="T252" s="602">
        <f t="shared" si="291"/>
        <v>0</v>
      </c>
      <c r="U252" s="602">
        <f t="shared" si="291"/>
        <v>0</v>
      </c>
      <c r="V252" s="602">
        <f t="shared" si="291"/>
        <v>0</v>
      </c>
      <c r="W252" s="602">
        <f t="shared" si="291"/>
        <v>0</v>
      </c>
      <c r="X252" s="602">
        <f t="shared" si="291"/>
        <v>0</v>
      </c>
      <c r="Y252" s="602">
        <f t="shared" si="291"/>
        <v>0</v>
      </c>
      <c r="Z252" s="602">
        <f t="shared" si="291"/>
        <v>0</v>
      </c>
      <c r="AA252" s="602">
        <f t="shared" si="291"/>
        <v>0</v>
      </c>
      <c r="AB252" s="602">
        <f t="shared" si="291"/>
        <v>0</v>
      </c>
      <c r="AE252" s="36"/>
      <c r="AG252" s="68"/>
      <c r="AH252" s="68"/>
      <c r="AI252" s="68"/>
      <c r="AJ252" s="68"/>
      <c r="AK252" s="68"/>
      <c r="AL252" s="68"/>
      <c r="AM252" s="68"/>
      <c r="AN252" s="68"/>
      <c r="AO252" s="68"/>
      <c r="AP252" s="68"/>
      <c r="AQ252" s="68"/>
      <c r="AR252" s="68"/>
      <c r="AS252" s="68"/>
      <c r="AT252" s="68"/>
    </row>
    <row r="253" spans="1:49" x14ac:dyDescent="0.3">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8.9600000000000009</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1">
        <f>SUM(AF253:AT253)</f>
        <v>0.70911590400000013</v>
      </c>
      <c r="AF253" s="85">
        <f t="shared" ref="AF253:AT253" si="292">N252*N253*N254/1000</f>
        <v>0.70911590400000013</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3">
      <c r="A254" s="22"/>
      <c r="B254" s="186" t="str">
        <f t="shared" si="290"/>
        <v>TBISGSL100</v>
      </c>
      <c r="C254" s="186"/>
      <c r="D254" s="187"/>
      <c r="E254" s="186"/>
      <c r="F254" s="170"/>
      <c r="G254" s="189"/>
      <c r="H254" s="170"/>
      <c r="I254" s="190">
        <f>$M$3</f>
        <v>2019</v>
      </c>
      <c r="J254" s="191"/>
      <c r="K254" s="191"/>
      <c r="L254" s="211" t="s">
        <v>1064</v>
      </c>
      <c r="M254" s="186" t="s">
        <v>747</v>
      </c>
      <c r="N254" s="686">
        <f>LOOKUP($C$248, T_Stock_Private!$C$74:$C$84, T_Stock_Private!D$74:D$84)*(1+N180)</f>
        <v>4.3967999999999998</v>
      </c>
      <c r="O254" s="686">
        <f>LOOKUP($C$248, T_Stock_Private!$C$74:$C$84, T_Stock_Private!E$74:E$84)*(1+O180)</f>
        <v>0</v>
      </c>
      <c r="P254" s="686">
        <f>LOOKUP($C$248, T_Stock_Private!$C$74:$C$84, T_Stock_Private!F$74:F$84)*(1+P180)</f>
        <v>0</v>
      </c>
      <c r="Q254" s="686">
        <f>LOOKUP($C$248, T_Stock_Private!$C$74:$C$84, T_Stock_Private!G$74:G$84)*(1+Q180)</f>
        <v>0</v>
      </c>
      <c r="R254" s="686">
        <f>LOOKUP($C$248, T_Stock_Private!$C$74:$C$84, T_Stock_Private!H$74:H$84)*(1+R180)</f>
        <v>0</v>
      </c>
      <c r="S254" s="686">
        <f>LOOKUP($C$248, T_Stock_Private!$C$74:$C$84, T_Stock_Private!I$74:I$84)*(1+S180)</f>
        <v>0</v>
      </c>
      <c r="T254" s="686">
        <f>LOOKUP($C$248, T_Stock_Private!$C$74:$C$84, T_Stock_Private!J$74:J$84)*(1+T180)</f>
        <v>0</v>
      </c>
      <c r="U254" s="686">
        <f>LOOKUP($C$248, T_Stock_Private!$C$74:$C$84, T_Stock_Private!K$74:K$84)*(1+U180)</f>
        <v>0</v>
      </c>
      <c r="V254" s="686">
        <f>LOOKUP($C$248, T_Stock_Private!$C$74:$C$84, T_Stock_Private!L$74:L$84)*(1+V180)</f>
        <v>0</v>
      </c>
      <c r="W254" s="686">
        <f>LOOKUP($C$248, T_Stock_Private!$C$74:$C$84, T_Stock_Private!M$74:M$84)*(1+W180)</f>
        <v>0</v>
      </c>
      <c r="X254" s="686">
        <f>LOOKUP($C$248, T_Stock_Private!$C$74:$C$84, T_Stock_Private!N$74:N$84)*(1+X180)</f>
        <v>0</v>
      </c>
      <c r="Y254" s="686">
        <f>LOOKUP($C$248, T_Stock_Private!$C$74:$C$84, T_Stock_Private!O$74:O$84)*(1+Y180)</f>
        <v>0</v>
      </c>
      <c r="Z254" s="686">
        <f>LOOKUP($C$248, T_Stock_Private!$C$74:$C$84, T_Stock_Private!P$74:P$84)*(1+Z180)</f>
        <v>0</v>
      </c>
      <c r="AA254" s="686">
        <f>LOOKUP($C$248, T_Stock_Private!$C$74:$C$84, T_Stock_Private!Q$74:Q$84)*(1+AA180)</f>
        <v>0</v>
      </c>
      <c r="AB254" s="686">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3">
      <c r="A255" s="22"/>
      <c r="B255" s="186" t="str">
        <f t="shared" si="290"/>
        <v>TBISGSL100</v>
      </c>
      <c r="C255" s="186"/>
      <c r="D255" s="187"/>
      <c r="E255" s="186"/>
      <c r="F255" s="170"/>
      <c r="G255" s="189"/>
      <c r="H255" s="170"/>
      <c r="I255" s="190">
        <f>AF$5</f>
        <v>2020</v>
      </c>
      <c r="J255" s="191"/>
      <c r="K255" s="191"/>
      <c r="L255" s="211" t="s">
        <v>1064</v>
      </c>
      <c r="M255" s="186" t="s">
        <v>747</v>
      </c>
      <c r="N255" s="686">
        <f t="shared" ref="N255:AB255" si="293">N254*LOOKUP($AD248,$AG$4:$AP$4,$AG$5:$AP$5)</f>
        <v>4.1769599999999993</v>
      </c>
      <c r="O255" s="686">
        <f t="shared" si="293"/>
        <v>0</v>
      </c>
      <c r="P255" s="686">
        <f t="shared" si="293"/>
        <v>0</v>
      </c>
      <c r="Q255" s="686">
        <f t="shared" si="293"/>
        <v>0</v>
      </c>
      <c r="R255" s="686">
        <f t="shared" si="293"/>
        <v>0</v>
      </c>
      <c r="S255" s="686">
        <f t="shared" si="293"/>
        <v>0</v>
      </c>
      <c r="T255" s="686">
        <f t="shared" si="293"/>
        <v>0</v>
      </c>
      <c r="U255" s="686">
        <f t="shared" si="293"/>
        <v>0</v>
      </c>
      <c r="V255" s="686">
        <f t="shared" si="293"/>
        <v>0</v>
      </c>
      <c r="W255" s="686">
        <f t="shared" si="293"/>
        <v>0</v>
      </c>
      <c r="X255" s="686">
        <f t="shared" si="293"/>
        <v>0</v>
      </c>
      <c r="Y255" s="686">
        <f t="shared" si="293"/>
        <v>0</v>
      </c>
      <c r="Z255" s="686">
        <f t="shared" si="293"/>
        <v>0</v>
      </c>
      <c r="AA255" s="686">
        <f t="shared" si="293"/>
        <v>0</v>
      </c>
      <c r="AB255" s="686">
        <f t="shared" si="293"/>
        <v>0</v>
      </c>
    </row>
    <row r="256" spans="1:49" x14ac:dyDescent="0.3">
      <c r="A256" s="22"/>
      <c r="B256" s="186" t="str">
        <f t="shared" si="290"/>
        <v>TBISGSL100</v>
      </c>
      <c r="C256" s="186"/>
      <c r="D256" s="187"/>
      <c r="E256" s="186"/>
      <c r="F256" s="170"/>
      <c r="G256" s="189"/>
      <c r="H256" s="170"/>
      <c r="I256" s="190">
        <f>AF$6</f>
        <v>2025</v>
      </c>
      <c r="J256" s="191"/>
      <c r="K256" s="191"/>
      <c r="L256" s="211" t="s">
        <v>1064</v>
      </c>
      <c r="M256" s="186" t="s">
        <v>747</v>
      </c>
      <c r="N256" s="686">
        <f t="shared" ref="N256:AB256" si="294">N254*LOOKUP($AD248,$AG$4:$AP$4,$AG$6:$AP$6)</f>
        <v>2.1983999999999999</v>
      </c>
      <c r="O256" s="686">
        <f t="shared" si="294"/>
        <v>0</v>
      </c>
      <c r="P256" s="686">
        <f t="shared" si="294"/>
        <v>0</v>
      </c>
      <c r="Q256" s="686">
        <f t="shared" si="294"/>
        <v>0</v>
      </c>
      <c r="R256" s="686">
        <f t="shared" si="294"/>
        <v>0</v>
      </c>
      <c r="S256" s="686">
        <f t="shared" si="294"/>
        <v>0</v>
      </c>
      <c r="T256" s="686">
        <f t="shared" si="294"/>
        <v>0</v>
      </c>
      <c r="U256" s="686">
        <f t="shared" si="294"/>
        <v>0</v>
      </c>
      <c r="V256" s="686">
        <f t="shared" si="294"/>
        <v>0</v>
      </c>
      <c r="W256" s="686">
        <f t="shared" si="294"/>
        <v>0</v>
      </c>
      <c r="X256" s="686">
        <f t="shared" si="294"/>
        <v>0</v>
      </c>
      <c r="Y256" s="686">
        <f t="shared" si="294"/>
        <v>0</v>
      </c>
      <c r="Z256" s="686">
        <f t="shared" si="294"/>
        <v>0</v>
      </c>
      <c r="AA256" s="686">
        <f t="shared" si="294"/>
        <v>0</v>
      </c>
      <c r="AB256" s="686">
        <f t="shared" si="294"/>
        <v>0</v>
      </c>
    </row>
    <row r="257" spans="1:64" x14ac:dyDescent="0.3">
      <c r="A257" s="22"/>
      <c r="B257" s="186" t="str">
        <f t="shared" si="290"/>
        <v>TBISGSL100</v>
      </c>
      <c r="C257" s="186"/>
      <c r="D257" s="187"/>
      <c r="E257" s="186"/>
      <c r="F257" s="170"/>
      <c r="G257" s="189"/>
      <c r="H257" s="170"/>
      <c r="I257" s="190">
        <f>AF$7</f>
        <v>2030</v>
      </c>
      <c r="J257" s="191"/>
      <c r="K257" s="191"/>
      <c r="L257" s="211" t="s">
        <v>1064</v>
      </c>
      <c r="M257" s="186" t="s">
        <v>747</v>
      </c>
      <c r="N257" s="686">
        <f t="shared" ref="N257:AB257" si="295">N254*LOOKUP($AD248,$AG$4:$AP$4,$AG$7:$AP$7)</f>
        <v>0</v>
      </c>
      <c r="O257" s="686">
        <f t="shared" si="295"/>
        <v>0</v>
      </c>
      <c r="P257" s="686">
        <f t="shared" si="295"/>
        <v>0</v>
      </c>
      <c r="Q257" s="686">
        <f t="shared" si="295"/>
        <v>0</v>
      </c>
      <c r="R257" s="686">
        <f t="shared" si="295"/>
        <v>0</v>
      </c>
      <c r="S257" s="686">
        <f t="shared" si="295"/>
        <v>0</v>
      </c>
      <c r="T257" s="686">
        <f t="shared" si="295"/>
        <v>0</v>
      </c>
      <c r="U257" s="686">
        <f t="shared" si="295"/>
        <v>0</v>
      </c>
      <c r="V257" s="686">
        <f t="shared" si="295"/>
        <v>0</v>
      </c>
      <c r="W257" s="686">
        <f t="shared" si="295"/>
        <v>0</v>
      </c>
      <c r="X257" s="686">
        <f t="shared" si="295"/>
        <v>0</v>
      </c>
      <c r="Y257" s="686">
        <f t="shared" si="295"/>
        <v>0</v>
      </c>
      <c r="Z257" s="686">
        <f t="shared" si="295"/>
        <v>0</v>
      </c>
      <c r="AA257" s="686">
        <f t="shared" si="295"/>
        <v>0</v>
      </c>
      <c r="AB257" s="686">
        <f t="shared" si="295"/>
        <v>0</v>
      </c>
    </row>
    <row r="258" spans="1:64" x14ac:dyDescent="0.3">
      <c r="A258" s="22"/>
      <c r="B258" s="186" t="str">
        <f t="shared" si="290"/>
        <v>TBISGSL100</v>
      </c>
      <c r="C258" s="186"/>
      <c r="D258" s="187"/>
      <c r="E258" s="186"/>
      <c r="F258" s="170"/>
      <c r="G258" s="189"/>
      <c r="H258" s="170"/>
      <c r="I258" s="190">
        <f>AF$8</f>
        <v>2035</v>
      </c>
      <c r="J258" s="191"/>
      <c r="K258" s="191"/>
      <c r="L258" s="211" t="s">
        <v>1064</v>
      </c>
      <c r="M258" s="186" t="s">
        <v>747</v>
      </c>
      <c r="N258" s="686">
        <f t="shared" ref="N258:AB258" si="296">N254*LOOKUP($AD248,$AG$4:$AP$4,$AG$8:$AP$8)</f>
        <v>0</v>
      </c>
      <c r="O258" s="686">
        <f t="shared" si="296"/>
        <v>0</v>
      </c>
      <c r="P258" s="686">
        <f t="shared" si="296"/>
        <v>0</v>
      </c>
      <c r="Q258" s="686">
        <f t="shared" si="296"/>
        <v>0</v>
      </c>
      <c r="R258" s="686">
        <f t="shared" si="296"/>
        <v>0</v>
      </c>
      <c r="S258" s="686">
        <f t="shared" si="296"/>
        <v>0</v>
      </c>
      <c r="T258" s="686">
        <f t="shared" si="296"/>
        <v>0</v>
      </c>
      <c r="U258" s="686">
        <f t="shared" si="296"/>
        <v>0</v>
      </c>
      <c r="V258" s="686">
        <f t="shared" si="296"/>
        <v>0</v>
      </c>
      <c r="W258" s="686">
        <f t="shared" si="296"/>
        <v>0</v>
      </c>
      <c r="X258" s="686">
        <f t="shared" si="296"/>
        <v>0</v>
      </c>
      <c r="Y258" s="686">
        <f t="shared" si="296"/>
        <v>0</v>
      </c>
      <c r="Z258" s="686">
        <f t="shared" si="296"/>
        <v>0</v>
      </c>
      <c r="AA258" s="686">
        <f t="shared" si="296"/>
        <v>0</v>
      </c>
      <c r="AB258" s="686">
        <f t="shared" si="296"/>
        <v>0</v>
      </c>
    </row>
    <row r="259" spans="1:64" x14ac:dyDescent="0.3">
      <c r="A259" s="22"/>
      <c r="B259" s="186" t="str">
        <f t="shared" si="290"/>
        <v>TBISGSL100</v>
      </c>
      <c r="C259" s="186"/>
      <c r="D259" s="187"/>
      <c r="E259" s="186"/>
      <c r="F259" s="170"/>
      <c r="G259" s="189"/>
      <c r="H259" s="170"/>
      <c r="I259" s="190">
        <f>AF$9</f>
        <v>2040</v>
      </c>
      <c r="J259" s="191"/>
      <c r="K259" s="191"/>
      <c r="L259" s="211" t="s">
        <v>1064</v>
      </c>
      <c r="M259" s="186" t="s">
        <v>747</v>
      </c>
      <c r="N259" s="686">
        <f t="shared" ref="N259:AB259" si="297">N254*LOOKUP($AD248,$AG$4:$AP$4,$AG$9:$AP$9)</f>
        <v>0</v>
      </c>
      <c r="O259" s="686">
        <f t="shared" si="297"/>
        <v>0</v>
      </c>
      <c r="P259" s="686">
        <f t="shared" si="297"/>
        <v>0</v>
      </c>
      <c r="Q259" s="686">
        <f t="shared" si="297"/>
        <v>0</v>
      </c>
      <c r="R259" s="686">
        <f t="shared" si="297"/>
        <v>0</v>
      </c>
      <c r="S259" s="686">
        <f t="shared" si="297"/>
        <v>0</v>
      </c>
      <c r="T259" s="686">
        <f t="shared" si="297"/>
        <v>0</v>
      </c>
      <c r="U259" s="686">
        <f t="shared" si="297"/>
        <v>0</v>
      </c>
      <c r="V259" s="686">
        <f t="shared" si="297"/>
        <v>0</v>
      </c>
      <c r="W259" s="686">
        <f t="shared" si="297"/>
        <v>0</v>
      </c>
      <c r="X259" s="686">
        <f t="shared" si="297"/>
        <v>0</v>
      </c>
      <c r="Y259" s="686">
        <f t="shared" si="297"/>
        <v>0</v>
      </c>
      <c r="Z259" s="686">
        <f t="shared" si="297"/>
        <v>0</v>
      </c>
      <c r="AA259" s="686">
        <f t="shared" si="297"/>
        <v>0</v>
      </c>
      <c r="AB259" s="686">
        <f t="shared" si="297"/>
        <v>0</v>
      </c>
    </row>
    <row r="260" spans="1:64" x14ac:dyDescent="0.3">
      <c r="A260" s="22"/>
      <c r="B260" s="193" t="str">
        <f t="shared" si="290"/>
        <v>TBISGSL100</v>
      </c>
      <c r="C260" s="193"/>
      <c r="D260" s="194"/>
      <c r="E260" s="193"/>
      <c r="F260" s="196"/>
      <c r="G260" s="195"/>
      <c r="H260" s="196"/>
      <c r="I260" s="197">
        <f>AF$10</f>
        <v>2050</v>
      </c>
      <c r="J260" s="198"/>
      <c r="K260" s="198"/>
      <c r="L260" s="212" t="s">
        <v>1064</v>
      </c>
      <c r="M260" s="193" t="s">
        <v>747</v>
      </c>
      <c r="N260" s="687">
        <f t="shared" ref="N260:AB260" si="298">N254*LOOKUP($AD248,$AG$4:$AP$4,$AG$10:$AP$10)</f>
        <v>0</v>
      </c>
      <c r="O260" s="687">
        <f t="shared" si="298"/>
        <v>0</v>
      </c>
      <c r="P260" s="687">
        <f t="shared" si="298"/>
        <v>0</v>
      </c>
      <c r="Q260" s="687">
        <f t="shared" si="298"/>
        <v>0</v>
      </c>
      <c r="R260" s="687">
        <f t="shared" si="298"/>
        <v>0</v>
      </c>
      <c r="S260" s="687">
        <f t="shared" si="298"/>
        <v>0</v>
      </c>
      <c r="T260" s="687">
        <f t="shared" si="298"/>
        <v>0</v>
      </c>
      <c r="U260" s="687">
        <f t="shared" si="298"/>
        <v>0</v>
      </c>
      <c r="V260" s="687">
        <f t="shared" si="298"/>
        <v>0</v>
      </c>
      <c r="W260" s="687">
        <f t="shared" si="298"/>
        <v>0</v>
      </c>
      <c r="X260" s="687">
        <f t="shared" si="298"/>
        <v>0</v>
      </c>
      <c r="Y260" s="687">
        <f t="shared" si="298"/>
        <v>0</v>
      </c>
      <c r="Z260" s="687">
        <f t="shared" si="298"/>
        <v>0</v>
      </c>
      <c r="AA260" s="687">
        <f t="shared" si="298"/>
        <v>0</v>
      </c>
      <c r="AB260" s="687">
        <f t="shared" si="298"/>
        <v>0</v>
      </c>
    </row>
    <row r="261" spans="1:64" s="83" customFormat="1" ht="15" customHeight="1" x14ac:dyDescent="0.3">
      <c r="A261" s="82"/>
      <c r="B261" s="178" t="str">
        <f>C261</f>
        <v>TBISHYD100</v>
      </c>
      <c r="C261" s="178" t="s">
        <v>342</v>
      </c>
      <c r="D261" s="179" t="s">
        <v>757</v>
      </c>
      <c r="E261" s="258" t="s">
        <v>987</v>
      </c>
      <c r="F261" s="182"/>
      <c r="G261" s="181"/>
      <c r="H261" s="182"/>
      <c r="I261" s="183"/>
      <c r="J261" s="184"/>
      <c r="K261" s="184"/>
      <c r="L261" s="203" t="s">
        <v>1106</v>
      </c>
      <c r="M261" s="184" t="s">
        <v>1155</v>
      </c>
      <c r="N261" s="691">
        <f>N$47</f>
        <v>1E-3</v>
      </c>
      <c r="O261" s="691">
        <f t="shared" ref="O261:AB261" si="299">$N261</f>
        <v>1E-3</v>
      </c>
      <c r="P261" s="691">
        <f t="shared" si="299"/>
        <v>1E-3</v>
      </c>
      <c r="Q261" s="691">
        <f t="shared" si="299"/>
        <v>1E-3</v>
      </c>
      <c r="R261" s="691">
        <f t="shared" si="299"/>
        <v>1E-3</v>
      </c>
      <c r="S261" s="691">
        <f t="shared" si="299"/>
        <v>1E-3</v>
      </c>
      <c r="T261" s="691">
        <f t="shared" si="299"/>
        <v>1E-3</v>
      </c>
      <c r="U261" s="691">
        <f t="shared" si="299"/>
        <v>1E-3</v>
      </c>
      <c r="V261" s="691">
        <f t="shared" si="299"/>
        <v>1E-3</v>
      </c>
      <c r="W261" s="691">
        <f t="shared" si="299"/>
        <v>1E-3</v>
      </c>
      <c r="X261" s="691">
        <f t="shared" si="299"/>
        <v>1E-3</v>
      </c>
      <c r="Y261" s="691">
        <f t="shared" si="299"/>
        <v>1E-3</v>
      </c>
      <c r="Z261" s="691">
        <f t="shared" si="299"/>
        <v>1E-3</v>
      </c>
      <c r="AA261" s="691">
        <f t="shared" si="299"/>
        <v>1E-3</v>
      </c>
      <c r="AB261" s="691">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699" t="str">
        <f t="shared" ref="AV261:AV262" si="300">MID(E261,1,7)</f>
        <v>TRABDL</v>
      </c>
      <c r="AW261" s="567">
        <f t="shared" ref="AW261:AW262" si="301">SUM(AX261:BL261)</f>
        <v>0</v>
      </c>
    </row>
    <row r="262" spans="1:64" ht="15" customHeight="1" x14ac:dyDescent="0.3">
      <c r="A262" s="22"/>
      <c r="B262" s="186" t="str">
        <f>B261</f>
        <v>TBISHYD100</v>
      </c>
      <c r="C262" s="186"/>
      <c r="D262" s="187"/>
      <c r="E262" s="258" t="s">
        <v>185</v>
      </c>
      <c r="F262" s="170"/>
      <c r="G262" s="189"/>
      <c r="H262" s="170"/>
      <c r="I262" s="190"/>
      <c r="J262" s="191" t="str">
        <f>$J$198</f>
        <v>UP</v>
      </c>
      <c r="K262" s="191"/>
      <c r="L262" s="211" t="s">
        <v>101</v>
      </c>
      <c r="M262" s="186"/>
      <c r="N262" s="674">
        <f t="shared" ref="N262:AB262" si="302">1-N21</f>
        <v>0.94496029288387329</v>
      </c>
      <c r="O262" s="674">
        <f t="shared" si="302"/>
        <v>0.94496029288387329</v>
      </c>
      <c r="P262" s="674">
        <f t="shared" si="302"/>
        <v>0.94496029288387329</v>
      </c>
      <c r="Q262" s="674">
        <f t="shared" si="302"/>
        <v>0.94496029288387329</v>
      </c>
      <c r="R262" s="674">
        <f t="shared" si="302"/>
        <v>0.94496029288387329</v>
      </c>
      <c r="S262" s="674">
        <f t="shared" si="302"/>
        <v>0.94496029288387329</v>
      </c>
      <c r="T262" s="674">
        <f t="shared" si="302"/>
        <v>0.94496029288387329</v>
      </c>
      <c r="U262" s="674">
        <f t="shared" si="302"/>
        <v>0.94496029288387329</v>
      </c>
      <c r="V262" s="674">
        <f t="shared" si="302"/>
        <v>0.94496029288387329</v>
      </c>
      <c r="W262" s="674">
        <f t="shared" si="302"/>
        <v>0.94496029288387329</v>
      </c>
      <c r="X262" s="674">
        <f t="shared" si="302"/>
        <v>0.94496029288387329</v>
      </c>
      <c r="Y262" s="674">
        <f t="shared" si="302"/>
        <v>0.94496029288387329</v>
      </c>
      <c r="Z262" s="674">
        <f t="shared" si="302"/>
        <v>0.94496029288387329</v>
      </c>
      <c r="AA262" s="674">
        <f t="shared" si="302"/>
        <v>0.94496029288387329</v>
      </c>
      <c r="AB262" s="674">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699" t="str">
        <f t="shared" si="300"/>
        <v>TRADST</v>
      </c>
      <c r="AW262" s="567">
        <f t="shared" si="301"/>
        <v>0</v>
      </c>
    </row>
    <row r="263" spans="1:64" s="83" customFormat="1" x14ac:dyDescent="0.3">
      <c r="A263" s="82"/>
      <c r="B263" s="178" t="str">
        <f t="shared" ref="B263" si="303">B262</f>
        <v>TBISHYD100</v>
      </c>
      <c r="C263" s="178"/>
      <c r="D263" s="179"/>
      <c r="E263" s="407" t="s">
        <v>989</v>
      </c>
      <c r="F263" s="182"/>
      <c r="G263" s="181"/>
      <c r="H263" s="182"/>
      <c r="I263" s="183"/>
      <c r="J263" s="184" t="s">
        <v>1156</v>
      </c>
      <c r="K263" s="184"/>
      <c r="L263" s="203" t="s">
        <v>101</v>
      </c>
      <c r="M263" s="184"/>
      <c r="N263" s="689">
        <f>N$20</f>
        <v>7.0000000000000007E-2</v>
      </c>
      <c r="O263" s="689">
        <f t="shared" ref="O263:AB263" si="304">O$20</f>
        <v>7.0000000000000007E-2</v>
      </c>
      <c r="P263" s="689">
        <f t="shared" si="304"/>
        <v>7.0000000000000007E-2</v>
      </c>
      <c r="Q263" s="689">
        <f t="shared" si="304"/>
        <v>7.0000000000000007E-2</v>
      </c>
      <c r="R263" s="689">
        <f t="shared" si="304"/>
        <v>7.0000000000000007E-2</v>
      </c>
      <c r="S263" s="689">
        <f t="shared" si="304"/>
        <v>7.0000000000000007E-2</v>
      </c>
      <c r="T263" s="689">
        <f t="shared" si="304"/>
        <v>7.0000000000000007E-2</v>
      </c>
      <c r="U263" s="689">
        <f t="shared" si="304"/>
        <v>7.0000000000000007E-2</v>
      </c>
      <c r="V263" s="689">
        <f t="shared" si="304"/>
        <v>7.0000000000000007E-2</v>
      </c>
      <c r="W263" s="689">
        <f t="shared" si="304"/>
        <v>7.0000000000000007E-2</v>
      </c>
      <c r="X263" s="689">
        <f t="shared" si="304"/>
        <v>7.0000000000000007E-2</v>
      </c>
      <c r="Y263" s="689">
        <f t="shared" si="304"/>
        <v>7.0000000000000007E-2</v>
      </c>
      <c r="Z263" s="689">
        <f t="shared" si="304"/>
        <v>7.0000000000000007E-2</v>
      </c>
      <c r="AA263" s="689">
        <f t="shared" si="304"/>
        <v>7.0000000000000007E-2</v>
      </c>
      <c r="AB263" s="689">
        <f t="shared" si="304"/>
        <v>7.0000000000000007E-2</v>
      </c>
      <c r="AD263" s="408"/>
      <c r="AE263" s="357"/>
      <c r="AF263" s="84"/>
      <c r="AG263" s="84"/>
      <c r="AH263" s="84"/>
      <c r="AI263" s="84"/>
      <c r="AJ263" s="84"/>
      <c r="AK263" s="84"/>
      <c r="AL263" s="84"/>
      <c r="AM263" s="84"/>
      <c r="AN263" s="84"/>
      <c r="AO263" s="84"/>
      <c r="AP263" s="84"/>
      <c r="AQ263" s="84"/>
      <c r="AR263" s="84"/>
      <c r="AS263" s="84"/>
      <c r="AT263" s="84"/>
      <c r="AV263" s="699"/>
      <c r="AW263" s="567"/>
      <c r="AX263" s="707"/>
      <c r="AY263" s="35"/>
      <c r="AZ263" s="35"/>
      <c r="BA263" s="35"/>
      <c r="BB263" s="35"/>
      <c r="BC263" s="35"/>
      <c r="BD263" s="35"/>
      <c r="BE263" s="35"/>
      <c r="BF263" s="35"/>
      <c r="BG263" s="35"/>
      <c r="BH263" s="35"/>
      <c r="BI263" s="35"/>
      <c r="BJ263" s="35"/>
      <c r="BK263" s="35"/>
      <c r="BL263" s="35"/>
    </row>
    <row r="264" spans="1:64" ht="15" customHeight="1" x14ac:dyDescent="0.3">
      <c r="A264" s="22"/>
      <c r="B264" s="186" t="str">
        <f>B262</f>
        <v>TBISHYD100</v>
      </c>
      <c r="C264" s="186"/>
      <c r="D264" s="187"/>
      <c r="E264" s="186"/>
      <c r="F264" s="170"/>
      <c r="G264" s="188" t="s">
        <v>414</v>
      </c>
      <c r="H264" s="170"/>
      <c r="I264" s="190"/>
      <c r="J264" s="191"/>
      <c r="K264" s="191"/>
      <c r="L264" s="191" t="s">
        <v>1125</v>
      </c>
      <c r="M264" s="186" t="s">
        <v>677</v>
      </c>
      <c r="N264" s="689">
        <f>T_CEFF!H142</f>
        <v>8.7720000000000006E-2</v>
      </c>
      <c r="O264" s="689">
        <f>T_CEFF!I142</f>
        <v>8.7720000000000006E-2</v>
      </c>
      <c r="P264" s="689">
        <f>T_CEFF!J142</f>
        <v>8.7720000000000006E-2</v>
      </c>
      <c r="Q264" s="689">
        <f>T_CEFF!K142</f>
        <v>8.7720000000000006E-2</v>
      </c>
      <c r="R264" s="689">
        <f>T_CEFF!L142</f>
        <v>8.7720000000000006E-2</v>
      </c>
      <c r="S264" s="689">
        <f>T_CEFF!M142</f>
        <v>8.7720000000000006E-2</v>
      </c>
      <c r="T264" s="689">
        <f>T_CEFF!N142</f>
        <v>8.7720000000000006E-2</v>
      </c>
      <c r="U264" s="689">
        <f>T_CEFF!O142</f>
        <v>8.7720000000000006E-2</v>
      </c>
      <c r="V264" s="689">
        <f>T_CEFF!P142</f>
        <v>8.7720000000000006E-2</v>
      </c>
      <c r="W264" s="689">
        <f>T_CEFF!Q142</f>
        <v>8.7720000000000006E-2</v>
      </c>
      <c r="X264" s="689">
        <f>T_CEFF!R142</f>
        <v>8.7720000000000006E-2</v>
      </c>
      <c r="Y264" s="689">
        <f>T_CEFF!S142</f>
        <v>8.7720000000000006E-2</v>
      </c>
      <c r="Z264" s="689">
        <f>T_CEFF!T142</f>
        <v>8.7720000000000006E-2</v>
      </c>
      <c r="AA264" s="689">
        <f>T_CEFF!U142</f>
        <v>8.7720000000000006E-2</v>
      </c>
      <c r="AB264" s="689">
        <f>T_CEFF!V142</f>
        <v>8.7720000000000006E-2</v>
      </c>
      <c r="AE264" s="36"/>
      <c r="AF264" s="68"/>
    </row>
    <row r="265" spans="1:64" ht="15" customHeight="1" x14ac:dyDescent="0.3">
      <c r="A265" s="22"/>
      <c r="B265" s="186" t="str">
        <f>B264</f>
        <v>TBISHYD100</v>
      </c>
      <c r="C265" s="186"/>
      <c r="D265" s="187"/>
      <c r="E265" s="186"/>
      <c r="F265" s="170"/>
      <c r="G265" s="188" t="s">
        <v>589</v>
      </c>
      <c r="H265" s="170"/>
      <c r="I265" s="190"/>
      <c r="J265" s="191"/>
      <c r="K265" s="191"/>
      <c r="L265" s="191" t="s">
        <v>1125</v>
      </c>
      <c r="M265" s="186" t="s">
        <v>677</v>
      </c>
      <c r="N265" s="689">
        <f>T_CEFF!H143</f>
        <v>8.7720000000000006E-2</v>
      </c>
      <c r="O265" s="689">
        <f>T_CEFF!I143</f>
        <v>8.7720000000000006E-2</v>
      </c>
      <c r="P265" s="689">
        <f>T_CEFF!J143</f>
        <v>8.7720000000000006E-2</v>
      </c>
      <c r="Q265" s="689">
        <f>T_CEFF!K143</f>
        <v>8.7720000000000006E-2</v>
      </c>
      <c r="R265" s="689">
        <f>T_CEFF!L143</f>
        <v>8.7720000000000006E-2</v>
      </c>
      <c r="S265" s="689">
        <f>T_CEFF!M143</f>
        <v>8.7720000000000006E-2</v>
      </c>
      <c r="T265" s="689">
        <f>T_CEFF!N143</f>
        <v>8.7720000000000006E-2</v>
      </c>
      <c r="U265" s="689">
        <f>T_CEFF!O143</f>
        <v>8.7720000000000006E-2</v>
      </c>
      <c r="V265" s="689">
        <f>T_CEFF!P143</f>
        <v>8.7720000000000006E-2</v>
      </c>
      <c r="W265" s="689">
        <f>T_CEFF!Q143</f>
        <v>8.7720000000000006E-2</v>
      </c>
      <c r="X265" s="689">
        <f>T_CEFF!R143</f>
        <v>8.7720000000000006E-2</v>
      </c>
      <c r="Y265" s="689">
        <f>T_CEFF!S143</f>
        <v>8.7720000000000006E-2</v>
      </c>
      <c r="Z265" s="689">
        <f>T_CEFF!T143</f>
        <v>8.7720000000000006E-2</v>
      </c>
      <c r="AA265" s="689">
        <f>T_CEFF!U143</f>
        <v>8.7720000000000006E-2</v>
      </c>
      <c r="AB265" s="689">
        <f>T_CEFF!V143</f>
        <v>8.7720000000000006E-2</v>
      </c>
      <c r="AE265" s="36"/>
      <c r="AF265" s="68"/>
    </row>
    <row r="266" spans="1:64" ht="15" customHeight="1" x14ac:dyDescent="0.3">
      <c r="A266" s="22"/>
      <c r="B266" s="186" t="str">
        <f t="shared" ref="B266:B274" si="305">B265</f>
        <v>TBISHYD100</v>
      </c>
      <c r="C266" s="186"/>
      <c r="D266" s="187"/>
      <c r="E266" s="186"/>
      <c r="F266" s="170"/>
      <c r="G266" s="189"/>
      <c r="H266" s="170"/>
      <c r="I266" s="190"/>
      <c r="J266" s="191"/>
      <c r="K266" s="191" t="s">
        <v>748</v>
      </c>
      <c r="L266" s="191" t="s">
        <v>1127</v>
      </c>
      <c r="M266" s="186" t="s">
        <v>1158</v>
      </c>
      <c r="N266" s="602">
        <f t="shared" ref="N266:AB266" si="306">N$16</f>
        <v>18</v>
      </c>
      <c r="O266" s="602">
        <f t="shared" si="306"/>
        <v>0</v>
      </c>
      <c r="P266" s="602">
        <f t="shared" si="306"/>
        <v>0</v>
      </c>
      <c r="Q266" s="602">
        <f t="shared" si="306"/>
        <v>0</v>
      </c>
      <c r="R266" s="602">
        <f t="shared" si="306"/>
        <v>0</v>
      </c>
      <c r="S266" s="602">
        <f t="shared" si="306"/>
        <v>0</v>
      </c>
      <c r="T266" s="602">
        <f t="shared" si="306"/>
        <v>0</v>
      </c>
      <c r="U266" s="602">
        <f t="shared" si="306"/>
        <v>0</v>
      </c>
      <c r="V266" s="602">
        <f t="shared" si="306"/>
        <v>0</v>
      </c>
      <c r="W266" s="602">
        <f t="shared" si="306"/>
        <v>0</v>
      </c>
      <c r="X266" s="602">
        <f t="shared" si="306"/>
        <v>0</v>
      </c>
      <c r="Y266" s="602">
        <f t="shared" si="306"/>
        <v>0</v>
      </c>
      <c r="Z266" s="602">
        <f t="shared" si="306"/>
        <v>0</v>
      </c>
      <c r="AA266" s="602">
        <f t="shared" si="306"/>
        <v>0</v>
      </c>
      <c r="AB266" s="602">
        <f t="shared" si="306"/>
        <v>0</v>
      </c>
      <c r="AE266" s="36"/>
      <c r="AF266" s="68"/>
    </row>
    <row r="267" spans="1:64" ht="15" customHeight="1" x14ac:dyDescent="0.3">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8.9600000000000009</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1">
        <f>SUM(AF267:AT267)</f>
        <v>0.17727897600000003</v>
      </c>
      <c r="AF267" s="85">
        <f t="shared" ref="AF267:AT267" si="307">N266*N267*N268/1000</f>
        <v>0.17727897600000003</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3">
      <c r="A268" s="22"/>
      <c r="B268" s="186" t="str">
        <f t="shared" si="305"/>
        <v>TBISHYD100</v>
      </c>
      <c r="C268" s="186"/>
      <c r="D268" s="187"/>
      <c r="E268" s="186"/>
      <c r="F268" s="170"/>
      <c r="G268" s="189"/>
      <c r="H268" s="170"/>
      <c r="I268" s="190">
        <f>$M$3</f>
        <v>2019</v>
      </c>
      <c r="J268" s="191"/>
      <c r="K268" s="191"/>
      <c r="L268" s="211" t="s">
        <v>1064</v>
      </c>
      <c r="M268" s="186" t="s">
        <v>747</v>
      </c>
      <c r="N268" s="686">
        <f>LOOKUP($C$261, T_Stock_Private!$C$74:$C$84, T_Stock_Private!D$74:D$84)*(1+N180)</f>
        <v>1.0992</v>
      </c>
      <c r="O268" s="686">
        <f>LOOKUP($C$261, T_Stock_Private!$C$74:$C$84, T_Stock_Private!E$74:E$84)*(1+O180)</f>
        <v>0</v>
      </c>
      <c r="P268" s="686">
        <f>LOOKUP($C$261, T_Stock_Private!$C$74:$C$84, T_Stock_Private!F$74:F$84)*(1+P180)</f>
        <v>0</v>
      </c>
      <c r="Q268" s="686">
        <f>LOOKUP($C$261, T_Stock_Private!$C$74:$C$84, T_Stock_Private!G$74:G$84)*(1+Q180)</f>
        <v>0</v>
      </c>
      <c r="R268" s="686">
        <f>LOOKUP($C$261, T_Stock_Private!$C$74:$C$84, T_Stock_Private!H$74:H$84)*(1+R180)</f>
        <v>0</v>
      </c>
      <c r="S268" s="686">
        <f>LOOKUP($C$261, T_Stock_Private!$C$74:$C$84, T_Stock_Private!I$74:I$84)*(1+S180)</f>
        <v>0</v>
      </c>
      <c r="T268" s="686">
        <f>LOOKUP($C$261, T_Stock_Private!$C$74:$C$84, T_Stock_Private!J$74:J$84)*(1+T180)</f>
        <v>0</v>
      </c>
      <c r="U268" s="686">
        <f>LOOKUP($C$261, T_Stock_Private!$C$74:$C$84, T_Stock_Private!K$74:K$84)*(1+U180)</f>
        <v>0</v>
      </c>
      <c r="V268" s="686">
        <f>LOOKUP($C$261, T_Stock_Private!$C$74:$C$84, T_Stock_Private!L$74:L$84)*(1+V180)</f>
        <v>0</v>
      </c>
      <c r="W268" s="686">
        <f>LOOKUP($C$261, T_Stock_Private!$C$74:$C$84, T_Stock_Private!M$74:M$84)*(1+W180)</f>
        <v>0</v>
      </c>
      <c r="X268" s="686">
        <f>LOOKUP($C$261, T_Stock_Private!$C$74:$C$84, T_Stock_Private!N$74:N$84)*(1+X180)</f>
        <v>0</v>
      </c>
      <c r="Y268" s="686">
        <f>LOOKUP($C$261, T_Stock_Private!$C$74:$C$84, T_Stock_Private!O$74:O$84)*(1+Y180)</f>
        <v>0</v>
      </c>
      <c r="Z268" s="686">
        <f>LOOKUP($C$261, T_Stock_Private!$C$74:$C$84, T_Stock_Private!P$74:P$84)*(1+Z180)</f>
        <v>0</v>
      </c>
      <c r="AA268" s="686">
        <f>LOOKUP($C$261, T_Stock_Private!$C$74:$C$84, T_Stock_Private!Q$74:Q$84)*(1+AA180)</f>
        <v>0</v>
      </c>
      <c r="AB268" s="686">
        <f>LOOKUP($C$261, T_Stock_Private!$C$74:$C$84, T_Stock_Private!R$74:R$84)*(1+AB180)</f>
        <v>0</v>
      </c>
      <c r="AC268" s="89"/>
    </row>
    <row r="269" spans="1:64" ht="15" customHeight="1" x14ac:dyDescent="0.3">
      <c r="A269" s="22"/>
      <c r="B269" s="186" t="str">
        <f t="shared" si="305"/>
        <v>TBISHYD100</v>
      </c>
      <c r="C269" s="186"/>
      <c r="D269" s="187"/>
      <c r="E269" s="186"/>
      <c r="F269" s="170"/>
      <c r="G269" s="189"/>
      <c r="H269" s="170"/>
      <c r="I269" s="190">
        <f>AF$5</f>
        <v>2020</v>
      </c>
      <c r="J269" s="191"/>
      <c r="K269" s="191"/>
      <c r="L269" s="211" t="s">
        <v>1064</v>
      </c>
      <c r="M269" s="186" t="s">
        <v>747</v>
      </c>
      <c r="N269" s="686">
        <f t="shared" ref="N269:AB269" si="308">N268*LOOKUP($AD261,$AG$4:$AP$4,$AG$5:$AP$5)</f>
        <v>1.0442399999999998</v>
      </c>
      <c r="O269" s="686">
        <f t="shared" si="308"/>
        <v>0</v>
      </c>
      <c r="P269" s="686">
        <f t="shared" si="308"/>
        <v>0</v>
      </c>
      <c r="Q269" s="686">
        <f t="shared" si="308"/>
        <v>0</v>
      </c>
      <c r="R269" s="686">
        <f t="shared" si="308"/>
        <v>0</v>
      </c>
      <c r="S269" s="686">
        <f t="shared" si="308"/>
        <v>0</v>
      </c>
      <c r="T269" s="686">
        <f t="shared" si="308"/>
        <v>0</v>
      </c>
      <c r="U269" s="686">
        <f t="shared" si="308"/>
        <v>0</v>
      </c>
      <c r="V269" s="686">
        <f t="shared" si="308"/>
        <v>0</v>
      </c>
      <c r="W269" s="686">
        <f t="shared" si="308"/>
        <v>0</v>
      </c>
      <c r="X269" s="686">
        <f t="shared" si="308"/>
        <v>0</v>
      </c>
      <c r="Y269" s="686">
        <f t="shared" si="308"/>
        <v>0</v>
      </c>
      <c r="Z269" s="686">
        <f t="shared" si="308"/>
        <v>0</v>
      </c>
      <c r="AA269" s="686">
        <f t="shared" si="308"/>
        <v>0</v>
      </c>
      <c r="AB269" s="686">
        <f t="shared" si="308"/>
        <v>0</v>
      </c>
    </row>
    <row r="270" spans="1:64" ht="15" customHeight="1" x14ac:dyDescent="0.3">
      <c r="A270" s="22"/>
      <c r="B270" s="186" t="str">
        <f t="shared" si="305"/>
        <v>TBISHYD100</v>
      </c>
      <c r="C270" s="186"/>
      <c r="D270" s="187"/>
      <c r="E270" s="186"/>
      <c r="F270" s="170"/>
      <c r="G270" s="189"/>
      <c r="H270" s="170"/>
      <c r="I270" s="190">
        <f>AF$6</f>
        <v>2025</v>
      </c>
      <c r="J270" s="191"/>
      <c r="K270" s="191"/>
      <c r="L270" s="211" t="s">
        <v>1064</v>
      </c>
      <c r="M270" s="186" t="s">
        <v>747</v>
      </c>
      <c r="N270" s="686">
        <f t="shared" ref="N270:AB270" si="309">N268*LOOKUP($AD261,$AG$4:$AP$4,$AG$6:$AP$6)</f>
        <v>0.65952</v>
      </c>
      <c r="O270" s="686">
        <f t="shared" si="309"/>
        <v>0</v>
      </c>
      <c r="P270" s="686">
        <f t="shared" si="309"/>
        <v>0</v>
      </c>
      <c r="Q270" s="686">
        <f t="shared" si="309"/>
        <v>0</v>
      </c>
      <c r="R270" s="686">
        <f t="shared" si="309"/>
        <v>0</v>
      </c>
      <c r="S270" s="686">
        <f t="shared" si="309"/>
        <v>0</v>
      </c>
      <c r="T270" s="686">
        <f t="shared" si="309"/>
        <v>0</v>
      </c>
      <c r="U270" s="686">
        <f t="shared" si="309"/>
        <v>0</v>
      </c>
      <c r="V270" s="686">
        <f t="shared" si="309"/>
        <v>0</v>
      </c>
      <c r="W270" s="686">
        <f t="shared" si="309"/>
        <v>0</v>
      </c>
      <c r="X270" s="686">
        <f t="shared" si="309"/>
        <v>0</v>
      </c>
      <c r="Y270" s="686">
        <f t="shared" si="309"/>
        <v>0</v>
      </c>
      <c r="Z270" s="686">
        <f t="shared" si="309"/>
        <v>0</v>
      </c>
      <c r="AA270" s="686">
        <f t="shared" si="309"/>
        <v>0</v>
      </c>
      <c r="AB270" s="686">
        <f t="shared" si="309"/>
        <v>0</v>
      </c>
    </row>
    <row r="271" spans="1:64" ht="15" customHeight="1" x14ac:dyDescent="0.3">
      <c r="A271" s="22"/>
      <c r="B271" s="186" t="str">
        <f t="shared" si="305"/>
        <v>TBISHYD100</v>
      </c>
      <c r="C271" s="186"/>
      <c r="D271" s="187"/>
      <c r="E271" s="186"/>
      <c r="F271" s="170"/>
      <c r="G271" s="189"/>
      <c r="H271" s="170"/>
      <c r="I271" s="190">
        <f>AF$7</f>
        <v>2030</v>
      </c>
      <c r="J271" s="191"/>
      <c r="K271" s="191"/>
      <c r="L271" s="211" t="s">
        <v>1064</v>
      </c>
      <c r="M271" s="186" t="s">
        <v>747</v>
      </c>
      <c r="N271" s="686">
        <f t="shared" ref="N271:AB271" si="310">N268*LOOKUP($AD261,$AG$4:$AP$4,$AG$7:$AP$7)</f>
        <v>0.10992</v>
      </c>
      <c r="O271" s="686">
        <f t="shared" si="310"/>
        <v>0</v>
      </c>
      <c r="P271" s="686">
        <f t="shared" si="310"/>
        <v>0</v>
      </c>
      <c r="Q271" s="686">
        <f t="shared" si="310"/>
        <v>0</v>
      </c>
      <c r="R271" s="686">
        <f t="shared" si="310"/>
        <v>0</v>
      </c>
      <c r="S271" s="686">
        <f t="shared" si="310"/>
        <v>0</v>
      </c>
      <c r="T271" s="686">
        <f t="shared" si="310"/>
        <v>0</v>
      </c>
      <c r="U271" s="686">
        <f t="shared" si="310"/>
        <v>0</v>
      </c>
      <c r="V271" s="686">
        <f t="shared" si="310"/>
        <v>0</v>
      </c>
      <c r="W271" s="686">
        <f t="shared" si="310"/>
        <v>0</v>
      </c>
      <c r="X271" s="686">
        <f t="shared" si="310"/>
        <v>0</v>
      </c>
      <c r="Y271" s="686">
        <f t="shared" si="310"/>
        <v>0</v>
      </c>
      <c r="Z271" s="686">
        <f t="shared" si="310"/>
        <v>0</v>
      </c>
      <c r="AA271" s="686">
        <f t="shared" si="310"/>
        <v>0</v>
      </c>
      <c r="AB271" s="686">
        <f t="shared" si="310"/>
        <v>0</v>
      </c>
    </row>
    <row r="272" spans="1:64" ht="15" customHeight="1" x14ac:dyDescent="0.3">
      <c r="A272" s="22"/>
      <c r="B272" s="186" t="str">
        <f t="shared" si="305"/>
        <v>TBISHYD100</v>
      </c>
      <c r="C272" s="186"/>
      <c r="D272" s="187"/>
      <c r="E272" s="186"/>
      <c r="F272" s="170"/>
      <c r="G272" s="189"/>
      <c r="H272" s="170"/>
      <c r="I272" s="190">
        <f>AF$8</f>
        <v>2035</v>
      </c>
      <c r="J272" s="191"/>
      <c r="K272" s="191"/>
      <c r="L272" s="211" t="s">
        <v>1064</v>
      </c>
      <c r="M272" s="186" t="s">
        <v>747</v>
      </c>
      <c r="N272" s="686">
        <f t="shared" ref="N272:AB272" si="311">N268*LOOKUP($AD261,$AG$4:$AP$4,$AG$8:$AP$8)</f>
        <v>1.0992E-2</v>
      </c>
      <c r="O272" s="686">
        <f t="shared" si="311"/>
        <v>0</v>
      </c>
      <c r="P272" s="686">
        <f t="shared" si="311"/>
        <v>0</v>
      </c>
      <c r="Q272" s="686">
        <f t="shared" si="311"/>
        <v>0</v>
      </c>
      <c r="R272" s="686">
        <f t="shared" si="311"/>
        <v>0</v>
      </c>
      <c r="S272" s="686">
        <f t="shared" si="311"/>
        <v>0</v>
      </c>
      <c r="T272" s="686">
        <f t="shared" si="311"/>
        <v>0</v>
      </c>
      <c r="U272" s="686">
        <f t="shared" si="311"/>
        <v>0</v>
      </c>
      <c r="V272" s="686">
        <f t="shared" si="311"/>
        <v>0</v>
      </c>
      <c r="W272" s="686">
        <f t="shared" si="311"/>
        <v>0</v>
      </c>
      <c r="X272" s="686">
        <f t="shared" si="311"/>
        <v>0</v>
      </c>
      <c r="Y272" s="686">
        <f t="shared" si="311"/>
        <v>0</v>
      </c>
      <c r="Z272" s="686">
        <f t="shared" si="311"/>
        <v>0</v>
      </c>
      <c r="AA272" s="686">
        <f t="shared" si="311"/>
        <v>0</v>
      </c>
      <c r="AB272" s="686">
        <f t="shared" si="311"/>
        <v>0</v>
      </c>
    </row>
    <row r="273" spans="1:49" ht="15" customHeight="1" x14ac:dyDescent="0.3">
      <c r="A273" s="22"/>
      <c r="B273" s="186" t="str">
        <f t="shared" si="305"/>
        <v>TBISHYD100</v>
      </c>
      <c r="C273" s="186"/>
      <c r="D273" s="187"/>
      <c r="E273" s="186"/>
      <c r="F273" s="170"/>
      <c r="G273" s="189"/>
      <c r="H273" s="170"/>
      <c r="I273" s="190">
        <f>AF$9</f>
        <v>2040</v>
      </c>
      <c r="J273" s="191"/>
      <c r="K273" s="191"/>
      <c r="L273" s="211" t="s">
        <v>1064</v>
      </c>
      <c r="M273" s="186" t="s">
        <v>747</v>
      </c>
      <c r="N273" s="686">
        <f t="shared" ref="N273:AB273" si="312">N268*LOOKUP($AD261,$AG$4:$AP$4,$AG$9:$AP$9)</f>
        <v>0</v>
      </c>
      <c r="O273" s="686">
        <f t="shared" si="312"/>
        <v>0</v>
      </c>
      <c r="P273" s="686">
        <f t="shared" si="312"/>
        <v>0</v>
      </c>
      <c r="Q273" s="686">
        <f t="shared" si="312"/>
        <v>0</v>
      </c>
      <c r="R273" s="686">
        <f t="shared" si="312"/>
        <v>0</v>
      </c>
      <c r="S273" s="686">
        <f t="shared" si="312"/>
        <v>0</v>
      </c>
      <c r="T273" s="686">
        <f t="shared" si="312"/>
        <v>0</v>
      </c>
      <c r="U273" s="686">
        <f t="shared" si="312"/>
        <v>0</v>
      </c>
      <c r="V273" s="686">
        <f t="shared" si="312"/>
        <v>0</v>
      </c>
      <c r="W273" s="686">
        <f t="shared" si="312"/>
        <v>0</v>
      </c>
      <c r="X273" s="686">
        <f t="shared" si="312"/>
        <v>0</v>
      </c>
      <c r="Y273" s="686">
        <f t="shared" si="312"/>
        <v>0</v>
      </c>
      <c r="Z273" s="686">
        <f t="shared" si="312"/>
        <v>0</v>
      </c>
      <c r="AA273" s="686">
        <f t="shared" si="312"/>
        <v>0</v>
      </c>
      <c r="AB273" s="686">
        <f t="shared" si="312"/>
        <v>0</v>
      </c>
    </row>
    <row r="274" spans="1:49" ht="15" customHeight="1" x14ac:dyDescent="0.3">
      <c r="A274" s="22"/>
      <c r="B274" s="193" t="str">
        <f t="shared" si="305"/>
        <v>TBISHYD100</v>
      </c>
      <c r="C274" s="193"/>
      <c r="D274" s="194"/>
      <c r="E274" s="193"/>
      <c r="F274" s="196"/>
      <c r="G274" s="195"/>
      <c r="H274" s="196"/>
      <c r="I274" s="197">
        <f>AF$10</f>
        <v>2050</v>
      </c>
      <c r="J274" s="198"/>
      <c r="K274" s="198"/>
      <c r="L274" s="199" t="s">
        <v>1064</v>
      </c>
      <c r="M274" s="193" t="s">
        <v>747</v>
      </c>
      <c r="N274" s="687">
        <f t="shared" ref="N274:AB274" si="313">N268*LOOKUP($AD261,$AG$4:$AP$4,$AG$10:$AP$10)</f>
        <v>0</v>
      </c>
      <c r="O274" s="687">
        <f t="shared" si="313"/>
        <v>0</v>
      </c>
      <c r="P274" s="687">
        <f t="shared" si="313"/>
        <v>0</v>
      </c>
      <c r="Q274" s="687">
        <f t="shared" si="313"/>
        <v>0</v>
      </c>
      <c r="R274" s="687">
        <f t="shared" si="313"/>
        <v>0</v>
      </c>
      <c r="S274" s="687">
        <f t="shared" si="313"/>
        <v>0</v>
      </c>
      <c r="T274" s="687">
        <f t="shared" si="313"/>
        <v>0</v>
      </c>
      <c r="U274" s="687">
        <f t="shared" si="313"/>
        <v>0</v>
      </c>
      <c r="V274" s="687">
        <f t="shared" si="313"/>
        <v>0</v>
      </c>
      <c r="W274" s="687">
        <f t="shared" si="313"/>
        <v>0</v>
      </c>
      <c r="X274" s="687">
        <f t="shared" si="313"/>
        <v>0</v>
      </c>
      <c r="Y274" s="687">
        <f t="shared" si="313"/>
        <v>0</v>
      </c>
      <c r="Z274" s="687">
        <f t="shared" si="313"/>
        <v>0</v>
      </c>
      <c r="AA274" s="687">
        <f t="shared" si="313"/>
        <v>0</v>
      </c>
      <c r="AB274" s="687">
        <f t="shared" si="313"/>
        <v>0</v>
      </c>
    </row>
    <row r="275" spans="1:49" s="83" customFormat="1" ht="15" customHeight="1" x14ac:dyDescent="0.3">
      <c r="A275" s="82"/>
      <c r="B275" s="178" t="str">
        <f>C275</f>
        <v>TBISHYG100</v>
      </c>
      <c r="C275" s="178" t="s">
        <v>343</v>
      </c>
      <c r="D275" s="179" t="s">
        <v>758</v>
      </c>
      <c r="E275" s="407" t="s">
        <v>1011</v>
      </c>
      <c r="F275" s="182"/>
      <c r="G275" s="181"/>
      <c r="H275" s="182"/>
      <c r="I275" s="183"/>
      <c r="J275" s="184"/>
      <c r="K275" s="184"/>
      <c r="L275" s="203" t="s">
        <v>1106</v>
      </c>
      <c r="M275" s="184" t="s">
        <v>1155</v>
      </c>
      <c r="N275" s="691">
        <f>N$47</f>
        <v>1E-3</v>
      </c>
      <c r="O275" s="691">
        <f t="shared" ref="O275:AB275" si="314">$N275</f>
        <v>1E-3</v>
      </c>
      <c r="P275" s="691">
        <f t="shared" si="314"/>
        <v>1E-3</v>
      </c>
      <c r="Q275" s="691">
        <f t="shared" si="314"/>
        <v>1E-3</v>
      </c>
      <c r="R275" s="691">
        <f t="shared" si="314"/>
        <v>1E-3</v>
      </c>
      <c r="S275" s="691">
        <f t="shared" si="314"/>
        <v>1E-3</v>
      </c>
      <c r="T275" s="691">
        <f t="shared" si="314"/>
        <v>1E-3</v>
      </c>
      <c r="U275" s="691">
        <f t="shared" si="314"/>
        <v>1E-3</v>
      </c>
      <c r="V275" s="691">
        <f t="shared" si="314"/>
        <v>1E-3</v>
      </c>
      <c r="W275" s="691">
        <f t="shared" si="314"/>
        <v>1E-3</v>
      </c>
      <c r="X275" s="691">
        <f t="shared" si="314"/>
        <v>1E-3</v>
      </c>
      <c r="Y275" s="691">
        <f t="shared" si="314"/>
        <v>1E-3</v>
      </c>
      <c r="Z275" s="691">
        <f t="shared" si="314"/>
        <v>1E-3</v>
      </c>
      <c r="AA275" s="691">
        <f t="shared" si="314"/>
        <v>1E-3</v>
      </c>
      <c r="AB275" s="691">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699" t="str">
        <f t="shared" ref="AV275:AV276" si="315">MID(E275,1,7)</f>
        <v>TRAETHM</v>
      </c>
      <c r="AW275" s="567">
        <f t="shared" ref="AW275:AW276" si="316">SUM(AX275:BL275)</f>
        <v>0</v>
      </c>
    </row>
    <row r="276" spans="1:49" ht="15" customHeight="1" x14ac:dyDescent="0.3">
      <c r="A276" s="22"/>
      <c r="B276" s="186" t="str">
        <f>B275</f>
        <v>TBISHYG100</v>
      </c>
      <c r="C276" s="186"/>
      <c r="D276" s="187"/>
      <c r="E276" s="258" t="s">
        <v>1013</v>
      </c>
      <c r="F276" s="170"/>
      <c r="G276" s="189"/>
      <c r="H276" s="170"/>
      <c r="I276" s="190"/>
      <c r="J276" s="191" t="s">
        <v>1126</v>
      </c>
      <c r="K276" s="191"/>
      <c r="L276" s="211" t="s">
        <v>101</v>
      </c>
      <c r="M276" s="186"/>
      <c r="N276" s="674">
        <f>1-N$21</f>
        <v>0.94496029288387329</v>
      </c>
      <c r="O276" s="674">
        <f t="shared" ref="O276:AB276" si="317">1-O$21</f>
        <v>0.94496029288387329</v>
      </c>
      <c r="P276" s="674">
        <f t="shared" si="317"/>
        <v>0.94496029288387329</v>
      </c>
      <c r="Q276" s="674">
        <f t="shared" si="317"/>
        <v>0.94496029288387329</v>
      </c>
      <c r="R276" s="674">
        <f t="shared" si="317"/>
        <v>0.94496029288387329</v>
      </c>
      <c r="S276" s="674">
        <f t="shared" si="317"/>
        <v>0.94496029288387329</v>
      </c>
      <c r="T276" s="674">
        <f t="shared" si="317"/>
        <v>0.94496029288387329</v>
      </c>
      <c r="U276" s="674">
        <f t="shared" si="317"/>
        <v>0.94496029288387329</v>
      </c>
      <c r="V276" s="674">
        <f t="shared" si="317"/>
        <v>0.94496029288387329</v>
      </c>
      <c r="W276" s="674">
        <f t="shared" si="317"/>
        <v>0.94496029288387329</v>
      </c>
      <c r="X276" s="674">
        <f t="shared" si="317"/>
        <v>0.94496029288387329</v>
      </c>
      <c r="Y276" s="674">
        <f t="shared" si="317"/>
        <v>0.94496029288387329</v>
      </c>
      <c r="Z276" s="674">
        <f t="shared" si="317"/>
        <v>0.94496029288387329</v>
      </c>
      <c r="AA276" s="674">
        <f t="shared" si="317"/>
        <v>0.94496029288387329</v>
      </c>
      <c r="AB276" s="674">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699" t="str">
        <f t="shared" si="315"/>
        <v>TRAGSL</v>
      </c>
      <c r="AW276" s="567">
        <f t="shared" si="316"/>
        <v>0</v>
      </c>
    </row>
    <row r="277" spans="1:49" ht="15" customHeight="1" x14ac:dyDescent="0.3">
      <c r="A277" s="22"/>
      <c r="B277" s="186" t="str">
        <f>B276</f>
        <v>TBISHYG100</v>
      </c>
      <c r="C277" s="186"/>
      <c r="D277" s="187"/>
      <c r="E277" s="186"/>
      <c r="F277" s="170"/>
      <c r="G277" s="188" t="s">
        <v>414</v>
      </c>
      <c r="H277" s="170"/>
      <c r="I277" s="190"/>
      <c r="J277" s="191"/>
      <c r="K277" s="191"/>
      <c r="L277" s="191" t="s">
        <v>1125</v>
      </c>
      <c r="M277" s="186" t="s">
        <v>677</v>
      </c>
      <c r="N277" s="689">
        <f>T_CEFF!H144</f>
        <v>5.3269999999999998E-2</v>
      </c>
      <c r="O277" s="689">
        <f>T_CEFF!I144</f>
        <v>5.3269999999999998E-2</v>
      </c>
      <c r="P277" s="689">
        <f>T_CEFF!J144</f>
        <v>5.3269999999999998E-2</v>
      </c>
      <c r="Q277" s="689">
        <f>T_CEFF!K144</f>
        <v>5.3269999999999998E-2</v>
      </c>
      <c r="R277" s="689">
        <f>T_CEFF!L144</f>
        <v>5.3269999999999998E-2</v>
      </c>
      <c r="S277" s="689">
        <f>T_CEFF!M144</f>
        <v>5.3269999999999998E-2</v>
      </c>
      <c r="T277" s="689">
        <f>T_CEFF!N144</f>
        <v>5.3269999999999998E-2</v>
      </c>
      <c r="U277" s="689">
        <f>T_CEFF!O144</f>
        <v>5.3269999999999998E-2</v>
      </c>
      <c r="V277" s="689">
        <f>T_CEFF!P144</f>
        <v>5.3269999999999998E-2</v>
      </c>
      <c r="W277" s="689">
        <f>T_CEFF!Q144</f>
        <v>5.3269999999999998E-2</v>
      </c>
      <c r="X277" s="689">
        <f>T_CEFF!R144</f>
        <v>5.3269999999999998E-2</v>
      </c>
      <c r="Y277" s="689">
        <f>T_CEFF!S144</f>
        <v>5.3269999999999998E-2</v>
      </c>
      <c r="Z277" s="689">
        <f>T_CEFF!T144</f>
        <v>5.3269999999999998E-2</v>
      </c>
      <c r="AA277" s="689">
        <f>T_CEFF!U144</f>
        <v>5.3269999999999998E-2</v>
      </c>
      <c r="AB277" s="689">
        <f>T_CEFF!V144</f>
        <v>5.3269999999999998E-2</v>
      </c>
      <c r="AE277" s="36"/>
      <c r="AF277" s="68"/>
    </row>
    <row r="278" spans="1:49" ht="15" customHeight="1" x14ac:dyDescent="0.3">
      <c r="A278" s="22"/>
      <c r="B278" s="186" t="str">
        <f>B277</f>
        <v>TBISHYG100</v>
      </c>
      <c r="C278" s="186"/>
      <c r="D278" s="187"/>
      <c r="E278" s="186"/>
      <c r="F278" s="170"/>
      <c r="G278" s="188" t="s">
        <v>589</v>
      </c>
      <c r="H278" s="170"/>
      <c r="I278" s="190"/>
      <c r="J278" s="191"/>
      <c r="K278" s="191"/>
      <c r="L278" s="191" t="s">
        <v>1125</v>
      </c>
      <c r="M278" s="186" t="s">
        <v>677</v>
      </c>
      <c r="N278" s="689">
        <f>T_CEFF!H145</f>
        <v>5.3269999999999998E-2</v>
      </c>
      <c r="O278" s="689">
        <f>T_CEFF!I145</f>
        <v>5.3269999999999998E-2</v>
      </c>
      <c r="P278" s="689">
        <f>T_CEFF!J145</f>
        <v>5.3269999999999998E-2</v>
      </c>
      <c r="Q278" s="689">
        <f>T_CEFF!K145</f>
        <v>5.3269999999999998E-2</v>
      </c>
      <c r="R278" s="689">
        <f>T_CEFF!L145</f>
        <v>5.3269999999999998E-2</v>
      </c>
      <c r="S278" s="689">
        <f>T_CEFF!M145</f>
        <v>5.3269999999999998E-2</v>
      </c>
      <c r="T278" s="689">
        <f>T_CEFF!N145</f>
        <v>5.3269999999999998E-2</v>
      </c>
      <c r="U278" s="689">
        <f>T_CEFF!O145</f>
        <v>5.3269999999999998E-2</v>
      </c>
      <c r="V278" s="689">
        <f>T_CEFF!P145</f>
        <v>5.3269999999999998E-2</v>
      </c>
      <c r="W278" s="689">
        <f>T_CEFF!Q145</f>
        <v>5.3269999999999998E-2</v>
      </c>
      <c r="X278" s="689">
        <f>T_CEFF!R145</f>
        <v>5.3269999999999998E-2</v>
      </c>
      <c r="Y278" s="689">
        <f>T_CEFF!S145</f>
        <v>5.3269999999999998E-2</v>
      </c>
      <c r="Z278" s="689">
        <f>T_CEFF!T145</f>
        <v>5.3269999999999998E-2</v>
      </c>
      <c r="AA278" s="689">
        <f>T_CEFF!U145</f>
        <v>5.3269999999999998E-2</v>
      </c>
      <c r="AB278" s="689">
        <f>T_CEFF!V145</f>
        <v>5.3269999999999998E-2</v>
      </c>
      <c r="AE278" s="36"/>
      <c r="AF278" s="68"/>
    </row>
    <row r="279" spans="1:49" ht="15" customHeight="1" x14ac:dyDescent="0.3">
      <c r="A279" s="22"/>
      <c r="B279" s="186" t="str">
        <f t="shared" ref="B279:B287" si="318">B278</f>
        <v>TBISHYG100</v>
      </c>
      <c r="C279" s="186"/>
      <c r="D279" s="187"/>
      <c r="E279" s="186"/>
      <c r="F279" s="170"/>
      <c r="G279" s="189"/>
      <c r="H279" s="170"/>
      <c r="I279" s="190"/>
      <c r="J279" s="191"/>
      <c r="K279" s="191" t="s">
        <v>748</v>
      </c>
      <c r="L279" s="191" t="s">
        <v>1127</v>
      </c>
      <c r="M279" s="186" t="s">
        <v>1158</v>
      </c>
      <c r="N279" s="602">
        <f t="shared" ref="N279:AB279" si="319">N$16</f>
        <v>18</v>
      </c>
      <c r="O279" s="602">
        <f t="shared" si="319"/>
        <v>0</v>
      </c>
      <c r="P279" s="602">
        <f t="shared" si="319"/>
        <v>0</v>
      </c>
      <c r="Q279" s="602">
        <f t="shared" si="319"/>
        <v>0</v>
      </c>
      <c r="R279" s="602">
        <f t="shared" si="319"/>
        <v>0</v>
      </c>
      <c r="S279" s="602">
        <f t="shared" si="319"/>
        <v>0</v>
      </c>
      <c r="T279" s="602">
        <f t="shared" si="319"/>
        <v>0</v>
      </c>
      <c r="U279" s="602">
        <f t="shared" si="319"/>
        <v>0</v>
      </c>
      <c r="V279" s="602">
        <f t="shared" si="319"/>
        <v>0</v>
      </c>
      <c r="W279" s="602">
        <f t="shared" si="319"/>
        <v>0</v>
      </c>
      <c r="X279" s="602">
        <f t="shared" si="319"/>
        <v>0</v>
      </c>
      <c r="Y279" s="602">
        <f t="shared" si="319"/>
        <v>0</v>
      </c>
      <c r="Z279" s="602">
        <f t="shared" si="319"/>
        <v>0</v>
      </c>
      <c r="AA279" s="602">
        <f t="shared" si="319"/>
        <v>0</v>
      </c>
      <c r="AB279" s="602">
        <f t="shared" si="319"/>
        <v>0</v>
      </c>
      <c r="AE279" s="36"/>
      <c r="AF279" s="68"/>
    </row>
    <row r="280" spans="1:49" ht="15" customHeight="1" x14ac:dyDescent="0.3">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8.9600000000000009</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1">
        <f>SUM(AF280:AT280)</f>
        <v>0.17727897600000003</v>
      </c>
      <c r="AF280" s="85">
        <f t="shared" ref="AF280:AT280" si="320">N279*N280*N281/1000</f>
        <v>0.17727897600000003</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3">
      <c r="A281" s="22"/>
      <c r="B281" s="186" t="str">
        <f t="shared" si="318"/>
        <v>TBISHYG100</v>
      </c>
      <c r="C281" s="186"/>
      <c r="D281" s="187"/>
      <c r="E281" s="186"/>
      <c r="F281" s="170"/>
      <c r="G281" s="189"/>
      <c r="H281" s="170"/>
      <c r="I281" s="190">
        <f>$M$3</f>
        <v>2019</v>
      </c>
      <c r="J281" s="191"/>
      <c r="K281" s="191"/>
      <c r="L281" s="211" t="s">
        <v>1064</v>
      </c>
      <c r="M281" s="186" t="s">
        <v>747</v>
      </c>
      <c r="N281" s="686">
        <f>LOOKUP($C$275, T_Stock_Private!$C$74:$C$84, T_Stock_Private!D$74:D$84)*(1+N180)</f>
        <v>1.0992</v>
      </c>
      <c r="O281" s="686">
        <f>LOOKUP($C$275, T_Stock_Private!$C$74:$C$84, T_Stock_Private!E$74:E$84)*(1+O180)</f>
        <v>0</v>
      </c>
      <c r="P281" s="686">
        <f>LOOKUP($C$275, T_Stock_Private!$C$74:$C$84, T_Stock_Private!F$74:F$84)*(1+P180)</f>
        <v>0</v>
      </c>
      <c r="Q281" s="686">
        <f>LOOKUP($C$275, T_Stock_Private!$C$74:$C$84, T_Stock_Private!G$74:G$84)*(1+Q180)</f>
        <v>0</v>
      </c>
      <c r="R281" s="686">
        <f>LOOKUP($C$275, T_Stock_Private!$C$74:$C$84, T_Stock_Private!H$74:H$84)*(1+R180)</f>
        <v>0</v>
      </c>
      <c r="S281" s="686">
        <f>LOOKUP($C$275, T_Stock_Private!$C$74:$C$84, T_Stock_Private!I$74:I$84)*(1+S180)</f>
        <v>0</v>
      </c>
      <c r="T281" s="686">
        <f>LOOKUP($C$275, T_Stock_Private!$C$74:$C$84, T_Stock_Private!J$74:J$84)*(1+T180)</f>
        <v>0</v>
      </c>
      <c r="U281" s="686">
        <f>LOOKUP($C$275, T_Stock_Private!$C$74:$C$84, T_Stock_Private!K$74:K$84)*(1+U180)</f>
        <v>0</v>
      </c>
      <c r="V281" s="686">
        <f>LOOKUP($C$275, T_Stock_Private!$C$74:$C$84, T_Stock_Private!L$74:L$84)*(1+V180)</f>
        <v>0</v>
      </c>
      <c r="W281" s="686">
        <f>LOOKUP($C$275, T_Stock_Private!$C$74:$C$84, T_Stock_Private!M$74:M$84)*(1+W180)</f>
        <v>0</v>
      </c>
      <c r="X281" s="686">
        <f>LOOKUP($C$275, T_Stock_Private!$C$74:$C$84, T_Stock_Private!N$74:N$84)*(1+X180)</f>
        <v>0</v>
      </c>
      <c r="Y281" s="686">
        <f>LOOKUP($C$275, T_Stock_Private!$C$74:$C$84, T_Stock_Private!O$74:O$84)*(1+Y180)</f>
        <v>0</v>
      </c>
      <c r="Z281" s="686">
        <f>LOOKUP($C$275, T_Stock_Private!$C$74:$C$84, T_Stock_Private!P$74:P$84)*(1+Z180)</f>
        <v>0</v>
      </c>
      <c r="AA281" s="686">
        <f>LOOKUP($C$275, T_Stock_Private!$C$74:$C$84, T_Stock_Private!Q$74:Q$84)*(1+AA180)</f>
        <v>0</v>
      </c>
      <c r="AB281" s="686">
        <f>LOOKUP($C$275, T_Stock_Private!$C$74:$C$84, T_Stock_Private!R$74:R$84)*(1+AB180)</f>
        <v>0</v>
      </c>
      <c r="AC281" s="89"/>
    </row>
    <row r="282" spans="1:49" x14ac:dyDescent="0.3">
      <c r="A282" s="22"/>
      <c r="B282" s="186" t="str">
        <f t="shared" si="318"/>
        <v>TBISHYG100</v>
      </c>
      <c r="C282" s="186"/>
      <c r="D282" s="187"/>
      <c r="E282" s="186"/>
      <c r="F282" s="170"/>
      <c r="G282" s="189"/>
      <c r="H282" s="170"/>
      <c r="I282" s="190">
        <f>AF$5</f>
        <v>2020</v>
      </c>
      <c r="J282" s="191"/>
      <c r="K282" s="191"/>
      <c r="L282" s="211" t="s">
        <v>1064</v>
      </c>
      <c r="M282" s="186" t="s">
        <v>747</v>
      </c>
      <c r="N282" s="686">
        <f t="shared" ref="N282:AB282" si="321">N281*LOOKUP($AD275,$AG$4:$AP$4,$AG$5:$AP$5)</f>
        <v>1.0442399999999998</v>
      </c>
      <c r="O282" s="686">
        <f t="shared" si="321"/>
        <v>0</v>
      </c>
      <c r="P282" s="686">
        <f t="shared" si="321"/>
        <v>0</v>
      </c>
      <c r="Q282" s="686">
        <f t="shared" si="321"/>
        <v>0</v>
      </c>
      <c r="R282" s="686">
        <f t="shared" si="321"/>
        <v>0</v>
      </c>
      <c r="S282" s="686">
        <f t="shared" si="321"/>
        <v>0</v>
      </c>
      <c r="T282" s="686">
        <f t="shared" si="321"/>
        <v>0</v>
      </c>
      <c r="U282" s="686">
        <f t="shared" si="321"/>
        <v>0</v>
      </c>
      <c r="V282" s="686">
        <f t="shared" si="321"/>
        <v>0</v>
      </c>
      <c r="W282" s="686">
        <f t="shared" si="321"/>
        <v>0</v>
      </c>
      <c r="X282" s="686">
        <f t="shared" si="321"/>
        <v>0</v>
      </c>
      <c r="Y282" s="686">
        <f t="shared" si="321"/>
        <v>0</v>
      </c>
      <c r="Z282" s="686">
        <f t="shared" si="321"/>
        <v>0</v>
      </c>
      <c r="AA282" s="686">
        <f t="shared" si="321"/>
        <v>0</v>
      </c>
      <c r="AB282" s="686">
        <f t="shared" si="321"/>
        <v>0</v>
      </c>
    </row>
    <row r="283" spans="1:49" x14ac:dyDescent="0.3">
      <c r="A283" s="22"/>
      <c r="B283" s="186" t="str">
        <f t="shared" si="318"/>
        <v>TBISHYG100</v>
      </c>
      <c r="C283" s="186"/>
      <c r="D283" s="187"/>
      <c r="E283" s="186"/>
      <c r="F283" s="170"/>
      <c r="G283" s="189"/>
      <c r="H283" s="170"/>
      <c r="I283" s="190">
        <f>AF$6</f>
        <v>2025</v>
      </c>
      <c r="J283" s="191"/>
      <c r="K283" s="191"/>
      <c r="L283" s="211" t="s">
        <v>1064</v>
      </c>
      <c r="M283" s="186" t="s">
        <v>747</v>
      </c>
      <c r="N283" s="686">
        <f t="shared" ref="N283:AB283" si="322">N281*LOOKUP($AD275,$AG$4:$AP$4,$AG$6:$AP$6)</f>
        <v>0.65952</v>
      </c>
      <c r="O283" s="686">
        <f t="shared" si="322"/>
        <v>0</v>
      </c>
      <c r="P283" s="686">
        <f t="shared" si="322"/>
        <v>0</v>
      </c>
      <c r="Q283" s="686">
        <f t="shared" si="322"/>
        <v>0</v>
      </c>
      <c r="R283" s="686">
        <f t="shared" si="322"/>
        <v>0</v>
      </c>
      <c r="S283" s="686">
        <f t="shared" si="322"/>
        <v>0</v>
      </c>
      <c r="T283" s="686">
        <f t="shared" si="322"/>
        <v>0</v>
      </c>
      <c r="U283" s="686">
        <f t="shared" si="322"/>
        <v>0</v>
      </c>
      <c r="V283" s="686">
        <f t="shared" si="322"/>
        <v>0</v>
      </c>
      <c r="W283" s="686">
        <f t="shared" si="322"/>
        <v>0</v>
      </c>
      <c r="X283" s="686">
        <f t="shared" si="322"/>
        <v>0</v>
      </c>
      <c r="Y283" s="686">
        <f t="shared" si="322"/>
        <v>0</v>
      </c>
      <c r="Z283" s="686">
        <f t="shared" si="322"/>
        <v>0</v>
      </c>
      <c r="AA283" s="686">
        <f t="shared" si="322"/>
        <v>0</v>
      </c>
      <c r="AB283" s="686">
        <f t="shared" si="322"/>
        <v>0</v>
      </c>
    </row>
    <row r="284" spans="1:49" x14ac:dyDescent="0.3">
      <c r="A284" s="22"/>
      <c r="B284" s="186" t="str">
        <f t="shared" si="318"/>
        <v>TBISHYG100</v>
      </c>
      <c r="C284" s="186"/>
      <c r="D284" s="187"/>
      <c r="E284" s="186"/>
      <c r="F284" s="170"/>
      <c r="G284" s="189"/>
      <c r="H284" s="170"/>
      <c r="I284" s="190">
        <f>AF$7</f>
        <v>2030</v>
      </c>
      <c r="J284" s="191"/>
      <c r="K284" s="191"/>
      <c r="L284" s="211" t="s">
        <v>1064</v>
      </c>
      <c r="M284" s="186" t="s">
        <v>747</v>
      </c>
      <c r="N284" s="686">
        <f t="shared" ref="N284:AB284" si="323">N281*LOOKUP($AD275,$AG$4:$AP$4,$AG$7:$AP$7)</f>
        <v>0.10992</v>
      </c>
      <c r="O284" s="686">
        <f t="shared" si="323"/>
        <v>0</v>
      </c>
      <c r="P284" s="686">
        <f t="shared" si="323"/>
        <v>0</v>
      </c>
      <c r="Q284" s="686">
        <f t="shared" si="323"/>
        <v>0</v>
      </c>
      <c r="R284" s="686">
        <f t="shared" si="323"/>
        <v>0</v>
      </c>
      <c r="S284" s="686">
        <f t="shared" si="323"/>
        <v>0</v>
      </c>
      <c r="T284" s="686">
        <f t="shared" si="323"/>
        <v>0</v>
      </c>
      <c r="U284" s="686">
        <f t="shared" si="323"/>
        <v>0</v>
      </c>
      <c r="V284" s="686">
        <f t="shared" si="323"/>
        <v>0</v>
      </c>
      <c r="W284" s="686">
        <f t="shared" si="323"/>
        <v>0</v>
      </c>
      <c r="X284" s="686">
        <f t="shared" si="323"/>
        <v>0</v>
      </c>
      <c r="Y284" s="686">
        <f t="shared" si="323"/>
        <v>0</v>
      </c>
      <c r="Z284" s="686">
        <f t="shared" si="323"/>
        <v>0</v>
      </c>
      <c r="AA284" s="686">
        <f t="shared" si="323"/>
        <v>0</v>
      </c>
      <c r="AB284" s="686">
        <f t="shared" si="323"/>
        <v>0</v>
      </c>
    </row>
    <row r="285" spans="1:49" x14ac:dyDescent="0.3">
      <c r="A285" s="22"/>
      <c r="B285" s="186" t="str">
        <f t="shared" si="318"/>
        <v>TBISHYG100</v>
      </c>
      <c r="C285" s="186"/>
      <c r="D285" s="187"/>
      <c r="E285" s="186"/>
      <c r="F285" s="170"/>
      <c r="G285" s="189"/>
      <c r="H285" s="170"/>
      <c r="I285" s="190">
        <f>AF$8</f>
        <v>2035</v>
      </c>
      <c r="J285" s="191"/>
      <c r="K285" s="191"/>
      <c r="L285" s="211" t="s">
        <v>1064</v>
      </c>
      <c r="M285" s="186" t="s">
        <v>747</v>
      </c>
      <c r="N285" s="686">
        <f t="shared" ref="N285:AB285" si="324">N281*LOOKUP($AD275,$AG$4:$AP$4,$AG$8:$AP$8)</f>
        <v>1.0992E-2</v>
      </c>
      <c r="O285" s="686">
        <f t="shared" si="324"/>
        <v>0</v>
      </c>
      <c r="P285" s="686">
        <f t="shared" si="324"/>
        <v>0</v>
      </c>
      <c r="Q285" s="686">
        <f t="shared" si="324"/>
        <v>0</v>
      </c>
      <c r="R285" s="686">
        <f t="shared" si="324"/>
        <v>0</v>
      </c>
      <c r="S285" s="686">
        <f t="shared" si="324"/>
        <v>0</v>
      </c>
      <c r="T285" s="686">
        <f t="shared" si="324"/>
        <v>0</v>
      </c>
      <c r="U285" s="686">
        <f t="shared" si="324"/>
        <v>0</v>
      </c>
      <c r="V285" s="686">
        <f t="shared" si="324"/>
        <v>0</v>
      </c>
      <c r="W285" s="686">
        <f t="shared" si="324"/>
        <v>0</v>
      </c>
      <c r="X285" s="686">
        <f t="shared" si="324"/>
        <v>0</v>
      </c>
      <c r="Y285" s="686">
        <f t="shared" si="324"/>
        <v>0</v>
      </c>
      <c r="Z285" s="686">
        <f t="shared" si="324"/>
        <v>0</v>
      </c>
      <c r="AA285" s="686">
        <f t="shared" si="324"/>
        <v>0</v>
      </c>
      <c r="AB285" s="686">
        <f t="shared" si="324"/>
        <v>0</v>
      </c>
    </row>
    <row r="286" spans="1:49" x14ac:dyDescent="0.3">
      <c r="A286" s="22"/>
      <c r="B286" s="186" t="str">
        <f t="shared" si="318"/>
        <v>TBISHYG100</v>
      </c>
      <c r="C286" s="186"/>
      <c r="D286" s="187"/>
      <c r="E286" s="186"/>
      <c r="F286" s="170"/>
      <c r="G286" s="189"/>
      <c r="H286" s="170"/>
      <c r="I286" s="190">
        <f>AF$9</f>
        <v>2040</v>
      </c>
      <c r="J286" s="191"/>
      <c r="K286" s="191"/>
      <c r="L286" s="211" t="s">
        <v>1064</v>
      </c>
      <c r="M286" s="186" t="s">
        <v>747</v>
      </c>
      <c r="N286" s="686">
        <f t="shared" ref="N286:AB286" si="325">N281*LOOKUP($AD275,$AG$4:$AP$4,$AG$9:$AP$9)</f>
        <v>0</v>
      </c>
      <c r="O286" s="686">
        <f t="shared" si="325"/>
        <v>0</v>
      </c>
      <c r="P286" s="686">
        <f t="shared" si="325"/>
        <v>0</v>
      </c>
      <c r="Q286" s="686">
        <f t="shared" si="325"/>
        <v>0</v>
      </c>
      <c r="R286" s="686">
        <f t="shared" si="325"/>
        <v>0</v>
      </c>
      <c r="S286" s="686">
        <f t="shared" si="325"/>
        <v>0</v>
      </c>
      <c r="T286" s="686">
        <f t="shared" si="325"/>
        <v>0</v>
      </c>
      <c r="U286" s="686">
        <f t="shared" si="325"/>
        <v>0</v>
      </c>
      <c r="V286" s="686">
        <f t="shared" si="325"/>
        <v>0</v>
      </c>
      <c r="W286" s="686">
        <f t="shared" si="325"/>
        <v>0</v>
      </c>
      <c r="X286" s="686">
        <f t="shared" si="325"/>
        <v>0</v>
      </c>
      <c r="Y286" s="686">
        <f t="shared" si="325"/>
        <v>0</v>
      </c>
      <c r="Z286" s="686">
        <f t="shared" si="325"/>
        <v>0</v>
      </c>
      <c r="AA286" s="686">
        <f t="shared" si="325"/>
        <v>0</v>
      </c>
      <c r="AB286" s="686">
        <f t="shared" si="325"/>
        <v>0</v>
      </c>
    </row>
    <row r="287" spans="1:49" x14ac:dyDescent="0.3">
      <c r="A287" s="22"/>
      <c r="B287" s="193" t="str">
        <f t="shared" si="318"/>
        <v>TBISHYG100</v>
      </c>
      <c r="C287" s="193"/>
      <c r="D287" s="194"/>
      <c r="E287" s="193"/>
      <c r="F287" s="196"/>
      <c r="G287" s="195"/>
      <c r="H287" s="196"/>
      <c r="I287" s="197">
        <f>AF$10</f>
        <v>2050</v>
      </c>
      <c r="J287" s="198"/>
      <c r="K287" s="198"/>
      <c r="L287" s="199" t="s">
        <v>1064</v>
      </c>
      <c r="M287" s="193" t="s">
        <v>747</v>
      </c>
      <c r="N287" s="687">
        <f t="shared" ref="N287:AB287" si="326">N281*LOOKUP($AD275,$AG$4:$AP$4,$AG$10:$AP$10)</f>
        <v>0</v>
      </c>
      <c r="O287" s="687">
        <f t="shared" si="326"/>
        <v>0</v>
      </c>
      <c r="P287" s="687">
        <f t="shared" si="326"/>
        <v>0</v>
      </c>
      <c r="Q287" s="687">
        <f t="shared" si="326"/>
        <v>0</v>
      </c>
      <c r="R287" s="687">
        <f t="shared" si="326"/>
        <v>0</v>
      </c>
      <c r="S287" s="687">
        <f t="shared" si="326"/>
        <v>0</v>
      </c>
      <c r="T287" s="687">
        <f t="shared" si="326"/>
        <v>0</v>
      </c>
      <c r="U287" s="687">
        <f t="shared" si="326"/>
        <v>0</v>
      </c>
      <c r="V287" s="687">
        <f t="shared" si="326"/>
        <v>0</v>
      </c>
      <c r="W287" s="687">
        <f t="shared" si="326"/>
        <v>0</v>
      </c>
      <c r="X287" s="687">
        <f t="shared" si="326"/>
        <v>0</v>
      </c>
      <c r="Y287" s="687">
        <f t="shared" si="326"/>
        <v>0</v>
      </c>
      <c r="Z287" s="687">
        <f t="shared" si="326"/>
        <v>0</v>
      </c>
      <c r="AA287" s="687">
        <f t="shared" si="326"/>
        <v>0</v>
      </c>
      <c r="AB287" s="687">
        <f t="shared" si="326"/>
        <v>0</v>
      </c>
    </row>
    <row r="288" spans="1:49" s="83" customFormat="1" x14ac:dyDescent="0.3">
      <c r="A288" s="82"/>
      <c r="B288" s="178" t="str">
        <f>C288</f>
        <v>TBISLPG100</v>
      </c>
      <c r="C288" s="178" t="s">
        <v>344</v>
      </c>
      <c r="D288" s="179" t="s">
        <v>759</v>
      </c>
      <c r="E288" s="407" t="s">
        <v>1032</v>
      </c>
      <c r="F288" s="182"/>
      <c r="G288" s="181"/>
      <c r="H288" s="182"/>
      <c r="I288" s="183"/>
      <c r="J288" s="184"/>
      <c r="K288" s="184"/>
      <c r="L288" s="203" t="s">
        <v>1106</v>
      </c>
      <c r="M288" s="184" t="s">
        <v>1155</v>
      </c>
      <c r="N288" s="691">
        <f>N$47</f>
        <v>1E-3</v>
      </c>
      <c r="O288" s="691">
        <f t="shared" ref="O288:AB288" si="327">$N288</f>
        <v>1E-3</v>
      </c>
      <c r="P288" s="691">
        <f t="shared" si="327"/>
        <v>1E-3</v>
      </c>
      <c r="Q288" s="691">
        <f t="shared" si="327"/>
        <v>1E-3</v>
      </c>
      <c r="R288" s="691">
        <f t="shared" si="327"/>
        <v>1E-3</v>
      </c>
      <c r="S288" s="691">
        <f t="shared" si="327"/>
        <v>1E-3</v>
      </c>
      <c r="T288" s="691">
        <f t="shared" si="327"/>
        <v>1E-3</v>
      </c>
      <c r="U288" s="691">
        <f t="shared" si="327"/>
        <v>1E-3</v>
      </c>
      <c r="V288" s="691">
        <f t="shared" si="327"/>
        <v>1E-3</v>
      </c>
      <c r="W288" s="691">
        <f t="shared" si="327"/>
        <v>1E-3</v>
      </c>
      <c r="X288" s="691">
        <f t="shared" si="327"/>
        <v>1E-3</v>
      </c>
      <c r="Y288" s="691">
        <f t="shared" si="327"/>
        <v>1E-3</v>
      </c>
      <c r="Z288" s="691">
        <f t="shared" si="327"/>
        <v>1E-3</v>
      </c>
      <c r="AA288" s="691">
        <f t="shared" si="327"/>
        <v>1E-3</v>
      </c>
      <c r="AB288" s="691">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699" t="str">
        <f t="shared" ref="AV288:AV289" si="328">MID(E288,1,7)</f>
        <v>TRALPG</v>
      </c>
      <c r="AW288" s="567">
        <f t="shared" ref="AW288" si="329">SUM(AX288:BL288)</f>
        <v>0</v>
      </c>
    </row>
    <row r="289" spans="1:64" x14ac:dyDescent="0.3">
      <c r="A289" s="22"/>
      <c r="B289" s="186" t="str">
        <f>B288</f>
        <v>TBISLPG100</v>
      </c>
      <c r="C289" s="186"/>
      <c r="D289" s="187"/>
      <c r="E289" s="186"/>
      <c r="F289" s="170"/>
      <c r="G289" s="188" t="s">
        <v>414</v>
      </c>
      <c r="H289" s="170"/>
      <c r="I289" s="190"/>
      <c r="J289" s="191"/>
      <c r="K289" s="191"/>
      <c r="L289" s="191" t="s">
        <v>1125</v>
      </c>
      <c r="M289" s="186" t="s">
        <v>677</v>
      </c>
      <c r="N289" s="689">
        <f>T_CEFF!H146</f>
        <v>5.0610000000000002E-2</v>
      </c>
      <c r="O289" s="689">
        <f>T_CEFF!I146</f>
        <v>5.0610000000000002E-2</v>
      </c>
      <c r="P289" s="689">
        <f>T_CEFF!J146</f>
        <v>5.0610000000000002E-2</v>
      </c>
      <c r="Q289" s="689">
        <f>T_CEFF!K146</f>
        <v>5.0610000000000002E-2</v>
      </c>
      <c r="R289" s="689">
        <f>T_CEFF!L146</f>
        <v>5.0610000000000002E-2</v>
      </c>
      <c r="S289" s="689">
        <f>T_CEFF!M146</f>
        <v>5.0610000000000002E-2</v>
      </c>
      <c r="T289" s="689">
        <f>T_CEFF!N146</f>
        <v>5.0610000000000002E-2</v>
      </c>
      <c r="U289" s="689">
        <f>T_CEFF!O146</f>
        <v>5.0610000000000002E-2</v>
      </c>
      <c r="V289" s="689">
        <f>T_CEFF!P146</f>
        <v>5.0610000000000002E-2</v>
      </c>
      <c r="W289" s="689">
        <f>T_CEFF!Q146</f>
        <v>5.0610000000000002E-2</v>
      </c>
      <c r="X289" s="689">
        <f>T_CEFF!R146</f>
        <v>5.0610000000000002E-2</v>
      </c>
      <c r="Y289" s="689">
        <f>T_CEFF!S146</f>
        <v>5.0610000000000002E-2</v>
      </c>
      <c r="Z289" s="689">
        <f>T_CEFF!T146</f>
        <v>5.0610000000000002E-2</v>
      </c>
      <c r="AA289" s="689">
        <f>T_CEFF!U146</f>
        <v>5.0610000000000002E-2</v>
      </c>
      <c r="AB289" s="689">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699" t="str">
        <f t="shared" si="328"/>
        <v/>
      </c>
      <c r="AW289" s="567"/>
    </row>
    <row r="290" spans="1:64" x14ac:dyDescent="0.3">
      <c r="A290" s="22"/>
      <c r="B290" s="186" t="str">
        <f>B289</f>
        <v>TBISLPG100</v>
      </c>
      <c r="C290" s="186"/>
      <c r="D290" s="187"/>
      <c r="E290" s="186"/>
      <c r="F290" s="170"/>
      <c r="G290" s="188" t="s">
        <v>589</v>
      </c>
      <c r="H290" s="170"/>
      <c r="I290" s="190"/>
      <c r="J290" s="191"/>
      <c r="K290" s="191"/>
      <c r="L290" s="191" t="s">
        <v>1125</v>
      </c>
      <c r="M290" s="186" t="s">
        <v>677</v>
      </c>
      <c r="N290" s="689">
        <f>T_CEFF!H147</f>
        <v>5.0610000000000002E-2</v>
      </c>
      <c r="O290" s="689">
        <f>T_CEFF!I147</f>
        <v>5.0610000000000002E-2</v>
      </c>
      <c r="P290" s="689">
        <f>T_CEFF!J147</f>
        <v>5.0610000000000002E-2</v>
      </c>
      <c r="Q290" s="689">
        <f>T_CEFF!K147</f>
        <v>5.0610000000000002E-2</v>
      </c>
      <c r="R290" s="689">
        <f>T_CEFF!L147</f>
        <v>5.0610000000000002E-2</v>
      </c>
      <c r="S290" s="689">
        <f>T_CEFF!M147</f>
        <v>5.0610000000000002E-2</v>
      </c>
      <c r="T290" s="689">
        <f>T_CEFF!N147</f>
        <v>5.0610000000000002E-2</v>
      </c>
      <c r="U290" s="689">
        <f>T_CEFF!O147</f>
        <v>5.0610000000000002E-2</v>
      </c>
      <c r="V290" s="689">
        <f>T_CEFF!P147</f>
        <v>5.0610000000000002E-2</v>
      </c>
      <c r="W290" s="689">
        <f>T_CEFF!Q147</f>
        <v>5.0610000000000002E-2</v>
      </c>
      <c r="X290" s="689">
        <f>T_CEFF!R147</f>
        <v>5.0610000000000002E-2</v>
      </c>
      <c r="Y290" s="689">
        <f>T_CEFF!S147</f>
        <v>5.0610000000000002E-2</v>
      </c>
      <c r="Z290" s="689">
        <f>T_CEFF!T147</f>
        <v>5.0610000000000002E-2</v>
      </c>
      <c r="AA290" s="689">
        <f>T_CEFF!U147</f>
        <v>5.0610000000000002E-2</v>
      </c>
      <c r="AB290" s="689">
        <f>T_CEFF!V147</f>
        <v>5.0610000000000002E-2</v>
      </c>
      <c r="AE290" s="36"/>
      <c r="AF290" s="68"/>
    </row>
    <row r="291" spans="1:64" x14ac:dyDescent="0.3">
      <c r="A291" s="22"/>
      <c r="B291" s="186" t="str">
        <f t="shared" ref="B291:B299" si="330">B290</f>
        <v>TBISLPG100</v>
      </c>
      <c r="C291" s="186"/>
      <c r="D291" s="187"/>
      <c r="E291" s="186"/>
      <c r="F291" s="170"/>
      <c r="G291" s="189"/>
      <c r="H291" s="170"/>
      <c r="I291" s="190"/>
      <c r="J291" s="191"/>
      <c r="K291" s="191" t="s">
        <v>748</v>
      </c>
      <c r="L291" s="191" t="s">
        <v>1127</v>
      </c>
      <c r="M291" s="186" t="s">
        <v>1158</v>
      </c>
      <c r="N291" s="602">
        <f t="shared" ref="N291:AB291" si="331">N$16</f>
        <v>18</v>
      </c>
      <c r="O291" s="602">
        <f t="shared" si="331"/>
        <v>0</v>
      </c>
      <c r="P291" s="602">
        <f t="shared" si="331"/>
        <v>0</v>
      </c>
      <c r="Q291" s="602">
        <f t="shared" si="331"/>
        <v>0</v>
      </c>
      <c r="R291" s="602">
        <f t="shared" si="331"/>
        <v>0</v>
      </c>
      <c r="S291" s="602">
        <f t="shared" si="331"/>
        <v>0</v>
      </c>
      <c r="T291" s="602">
        <f t="shared" si="331"/>
        <v>0</v>
      </c>
      <c r="U291" s="602">
        <f t="shared" si="331"/>
        <v>0</v>
      </c>
      <c r="V291" s="602">
        <f t="shared" si="331"/>
        <v>0</v>
      </c>
      <c r="W291" s="602">
        <f t="shared" si="331"/>
        <v>0</v>
      </c>
      <c r="X291" s="602">
        <f t="shared" si="331"/>
        <v>0</v>
      </c>
      <c r="Y291" s="602">
        <f t="shared" si="331"/>
        <v>0</v>
      </c>
      <c r="Z291" s="602">
        <f t="shared" si="331"/>
        <v>0</v>
      </c>
      <c r="AA291" s="602">
        <f t="shared" si="331"/>
        <v>0</v>
      </c>
      <c r="AB291" s="602">
        <f t="shared" si="331"/>
        <v>0</v>
      </c>
      <c r="AE291" s="36"/>
      <c r="AF291" s="68"/>
    </row>
    <row r="292" spans="1:64" x14ac:dyDescent="0.3">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1">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3">
      <c r="A293" s="22"/>
      <c r="B293" s="186" t="str">
        <f t="shared" si="330"/>
        <v>TBISLPG100</v>
      </c>
      <c r="C293" s="186"/>
      <c r="D293" s="187"/>
      <c r="E293" s="186"/>
      <c r="F293" s="170"/>
      <c r="G293" s="189"/>
      <c r="H293" s="170"/>
      <c r="I293" s="190">
        <f>$M$3</f>
        <v>2019</v>
      </c>
      <c r="J293" s="191"/>
      <c r="K293" s="191"/>
      <c r="L293" s="211" t="s">
        <v>1064</v>
      </c>
      <c r="M293" s="186" t="s">
        <v>747</v>
      </c>
      <c r="N293" s="686">
        <f>LOOKUP($C$288, T_Stock_Private!$C$74:$C$84, T_Stock_Private!D$74:D$84)*(1+N180)</f>
        <v>0</v>
      </c>
      <c r="O293" s="686">
        <f>LOOKUP($C$288, T_Stock_Private!$C$74:$C$84, T_Stock_Private!E$74:E$84)*(1+O180)</f>
        <v>0</v>
      </c>
      <c r="P293" s="686">
        <f>LOOKUP($C$288, T_Stock_Private!$C$74:$C$84, T_Stock_Private!F$74:F$84)*(1+P180)</f>
        <v>0</v>
      </c>
      <c r="Q293" s="686">
        <f>LOOKUP($C$288, T_Stock_Private!$C$74:$C$84, T_Stock_Private!G$74:G$84)*(1+Q180)</f>
        <v>0</v>
      </c>
      <c r="R293" s="686">
        <f>LOOKUP($C$288, T_Stock_Private!$C$74:$C$84, T_Stock_Private!H$74:H$84)*(1+R180)</f>
        <v>0</v>
      </c>
      <c r="S293" s="686">
        <f>LOOKUP($C$288, T_Stock_Private!$C$74:$C$84, T_Stock_Private!I$74:I$84)*(1+S180)</f>
        <v>0</v>
      </c>
      <c r="T293" s="686">
        <f>LOOKUP($C$288, T_Stock_Private!$C$74:$C$84, T_Stock_Private!J$74:J$84)*(1+T180)</f>
        <v>0</v>
      </c>
      <c r="U293" s="686">
        <f>LOOKUP($C$288, T_Stock_Private!$C$74:$C$84, T_Stock_Private!K$74:K$84)*(1+U180)</f>
        <v>0</v>
      </c>
      <c r="V293" s="686">
        <f>LOOKUP($C$288, T_Stock_Private!$C$74:$C$84, T_Stock_Private!L$74:L$84)*(1+V180)</f>
        <v>0</v>
      </c>
      <c r="W293" s="686">
        <f>LOOKUP($C$288, T_Stock_Private!$C$74:$C$84, T_Stock_Private!M$74:M$84)*(1+W180)</f>
        <v>0</v>
      </c>
      <c r="X293" s="686">
        <f>LOOKUP($C$288, T_Stock_Private!$C$74:$C$84, T_Stock_Private!N$74:N$84)*(1+X180)</f>
        <v>0</v>
      </c>
      <c r="Y293" s="686">
        <f>LOOKUP($C$288, T_Stock_Private!$C$74:$C$84, T_Stock_Private!O$74:O$84)*(1+Y180)</f>
        <v>0</v>
      </c>
      <c r="Z293" s="686">
        <f>LOOKUP($C$288, T_Stock_Private!$C$74:$C$84, T_Stock_Private!P$74:P$84)*(1+Z180)</f>
        <v>0</v>
      </c>
      <c r="AA293" s="686">
        <f>LOOKUP($C$288, T_Stock_Private!$C$74:$C$84, T_Stock_Private!Q$74:Q$84)*(1+AA180)</f>
        <v>0</v>
      </c>
      <c r="AB293" s="686">
        <f>LOOKUP($C$288, T_Stock_Private!$C$74:$C$84, T_Stock_Private!R$74:R$84)*(1+AB180)</f>
        <v>0</v>
      </c>
      <c r="AC293" s="89"/>
    </row>
    <row r="294" spans="1:64" x14ac:dyDescent="0.3">
      <c r="A294" s="22"/>
      <c r="B294" s="186" t="str">
        <f t="shared" si="330"/>
        <v>TBISLPG100</v>
      </c>
      <c r="C294" s="186"/>
      <c r="D294" s="187"/>
      <c r="E294" s="186"/>
      <c r="F294" s="170"/>
      <c r="G294" s="189"/>
      <c r="H294" s="170"/>
      <c r="I294" s="190">
        <f>AF$5</f>
        <v>2020</v>
      </c>
      <c r="J294" s="191"/>
      <c r="K294" s="191"/>
      <c r="L294" s="211" t="s">
        <v>1064</v>
      </c>
      <c r="M294" s="186" t="s">
        <v>747</v>
      </c>
      <c r="N294" s="686">
        <f t="shared" ref="N294:AB294" si="333">N293*LOOKUP($AD288,$AG$4:$AP$4,$AG$5:$AP$5)</f>
        <v>0</v>
      </c>
      <c r="O294" s="686">
        <f t="shared" si="333"/>
        <v>0</v>
      </c>
      <c r="P294" s="686">
        <f t="shared" si="333"/>
        <v>0</v>
      </c>
      <c r="Q294" s="686">
        <f t="shared" si="333"/>
        <v>0</v>
      </c>
      <c r="R294" s="686">
        <f t="shared" si="333"/>
        <v>0</v>
      </c>
      <c r="S294" s="686">
        <f t="shared" si="333"/>
        <v>0</v>
      </c>
      <c r="T294" s="686">
        <f t="shared" si="333"/>
        <v>0</v>
      </c>
      <c r="U294" s="686">
        <f t="shared" si="333"/>
        <v>0</v>
      </c>
      <c r="V294" s="686">
        <f t="shared" si="333"/>
        <v>0</v>
      </c>
      <c r="W294" s="686">
        <f t="shared" si="333"/>
        <v>0</v>
      </c>
      <c r="X294" s="686">
        <f t="shared" si="333"/>
        <v>0</v>
      </c>
      <c r="Y294" s="686">
        <f t="shared" si="333"/>
        <v>0</v>
      </c>
      <c r="Z294" s="686">
        <f t="shared" si="333"/>
        <v>0</v>
      </c>
      <c r="AA294" s="686">
        <f t="shared" si="333"/>
        <v>0</v>
      </c>
      <c r="AB294" s="686">
        <f t="shared" si="333"/>
        <v>0</v>
      </c>
    </row>
    <row r="295" spans="1:64" x14ac:dyDescent="0.3">
      <c r="A295" s="22"/>
      <c r="B295" s="186" t="str">
        <f t="shared" si="330"/>
        <v>TBISLPG100</v>
      </c>
      <c r="C295" s="186"/>
      <c r="D295" s="187"/>
      <c r="E295" s="186"/>
      <c r="F295" s="170"/>
      <c r="G295" s="189"/>
      <c r="H295" s="170"/>
      <c r="I295" s="190">
        <f>AF$6</f>
        <v>2025</v>
      </c>
      <c r="J295" s="191"/>
      <c r="K295" s="191"/>
      <c r="L295" s="211" t="s">
        <v>1064</v>
      </c>
      <c r="M295" s="186" t="s">
        <v>747</v>
      </c>
      <c r="N295" s="686">
        <f t="shared" ref="N295:AB295" si="334">N293*LOOKUP($AD288,$AG$4:$AP$4,$AG$6:$AP$6)</f>
        <v>0</v>
      </c>
      <c r="O295" s="686">
        <f t="shared" si="334"/>
        <v>0</v>
      </c>
      <c r="P295" s="686">
        <f t="shared" si="334"/>
        <v>0</v>
      </c>
      <c r="Q295" s="686">
        <f t="shared" si="334"/>
        <v>0</v>
      </c>
      <c r="R295" s="686">
        <f t="shared" si="334"/>
        <v>0</v>
      </c>
      <c r="S295" s="686">
        <f t="shared" si="334"/>
        <v>0</v>
      </c>
      <c r="T295" s="686">
        <f t="shared" si="334"/>
        <v>0</v>
      </c>
      <c r="U295" s="686">
        <f t="shared" si="334"/>
        <v>0</v>
      </c>
      <c r="V295" s="686">
        <f t="shared" si="334"/>
        <v>0</v>
      </c>
      <c r="W295" s="686">
        <f t="shared" si="334"/>
        <v>0</v>
      </c>
      <c r="X295" s="686">
        <f t="shared" si="334"/>
        <v>0</v>
      </c>
      <c r="Y295" s="686">
        <f t="shared" si="334"/>
        <v>0</v>
      </c>
      <c r="Z295" s="686">
        <f t="shared" si="334"/>
        <v>0</v>
      </c>
      <c r="AA295" s="686">
        <f t="shared" si="334"/>
        <v>0</v>
      </c>
      <c r="AB295" s="686">
        <f t="shared" si="334"/>
        <v>0</v>
      </c>
    </row>
    <row r="296" spans="1:64" x14ac:dyDescent="0.3">
      <c r="A296" s="22"/>
      <c r="B296" s="186" t="str">
        <f t="shared" si="330"/>
        <v>TBISLPG100</v>
      </c>
      <c r="C296" s="186"/>
      <c r="D296" s="187"/>
      <c r="E296" s="186"/>
      <c r="F296" s="170"/>
      <c r="G296" s="189"/>
      <c r="H296" s="170"/>
      <c r="I296" s="190">
        <f>AF$7</f>
        <v>2030</v>
      </c>
      <c r="J296" s="191"/>
      <c r="K296" s="191"/>
      <c r="L296" s="211" t="s">
        <v>1064</v>
      </c>
      <c r="M296" s="186" t="s">
        <v>747</v>
      </c>
      <c r="N296" s="686">
        <f t="shared" ref="N296:AB296" si="335">N293*LOOKUP($AD288,$AG$4:$AP$4,$AG$7:$AP$7)</f>
        <v>0</v>
      </c>
      <c r="O296" s="686">
        <f t="shared" si="335"/>
        <v>0</v>
      </c>
      <c r="P296" s="686">
        <f t="shared" si="335"/>
        <v>0</v>
      </c>
      <c r="Q296" s="686">
        <f t="shared" si="335"/>
        <v>0</v>
      </c>
      <c r="R296" s="686">
        <f t="shared" si="335"/>
        <v>0</v>
      </c>
      <c r="S296" s="686">
        <f t="shared" si="335"/>
        <v>0</v>
      </c>
      <c r="T296" s="686">
        <f t="shared" si="335"/>
        <v>0</v>
      </c>
      <c r="U296" s="686">
        <f t="shared" si="335"/>
        <v>0</v>
      </c>
      <c r="V296" s="686">
        <f t="shared" si="335"/>
        <v>0</v>
      </c>
      <c r="W296" s="686">
        <f t="shared" si="335"/>
        <v>0</v>
      </c>
      <c r="X296" s="686">
        <f t="shared" si="335"/>
        <v>0</v>
      </c>
      <c r="Y296" s="686">
        <f t="shared" si="335"/>
        <v>0</v>
      </c>
      <c r="Z296" s="686">
        <f t="shared" si="335"/>
        <v>0</v>
      </c>
      <c r="AA296" s="686">
        <f t="shared" si="335"/>
        <v>0</v>
      </c>
      <c r="AB296" s="686">
        <f t="shared" si="335"/>
        <v>0</v>
      </c>
    </row>
    <row r="297" spans="1:64" x14ac:dyDescent="0.3">
      <c r="A297" s="22"/>
      <c r="B297" s="186" t="str">
        <f t="shared" si="330"/>
        <v>TBISLPG100</v>
      </c>
      <c r="C297" s="186"/>
      <c r="D297" s="187"/>
      <c r="E297" s="186"/>
      <c r="F297" s="170"/>
      <c r="G297" s="189"/>
      <c r="H297" s="170"/>
      <c r="I297" s="190">
        <f>AF$8</f>
        <v>2035</v>
      </c>
      <c r="J297" s="191"/>
      <c r="K297" s="191"/>
      <c r="L297" s="211" t="s">
        <v>1064</v>
      </c>
      <c r="M297" s="186" t="s">
        <v>747</v>
      </c>
      <c r="N297" s="686">
        <f t="shared" ref="N297:AB297" si="336">N293*LOOKUP($AD288,$AG$4:$AP$4,$AG$8:$AP$8)</f>
        <v>0</v>
      </c>
      <c r="O297" s="686">
        <f t="shared" si="336"/>
        <v>0</v>
      </c>
      <c r="P297" s="686">
        <f t="shared" si="336"/>
        <v>0</v>
      </c>
      <c r="Q297" s="686">
        <f t="shared" si="336"/>
        <v>0</v>
      </c>
      <c r="R297" s="686">
        <f t="shared" si="336"/>
        <v>0</v>
      </c>
      <c r="S297" s="686">
        <f t="shared" si="336"/>
        <v>0</v>
      </c>
      <c r="T297" s="686">
        <f t="shared" si="336"/>
        <v>0</v>
      </c>
      <c r="U297" s="686">
        <f t="shared" si="336"/>
        <v>0</v>
      </c>
      <c r="V297" s="686">
        <f t="shared" si="336"/>
        <v>0</v>
      </c>
      <c r="W297" s="686">
        <f t="shared" si="336"/>
        <v>0</v>
      </c>
      <c r="X297" s="686">
        <f t="shared" si="336"/>
        <v>0</v>
      </c>
      <c r="Y297" s="686">
        <f t="shared" si="336"/>
        <v>0</v>
      </c>
      <c r="Z297" s="686">
        <f t="shared" si="336"/>
        <v>0</v>
      </c>
      <c r="AA297" s="686">
        <f t="shared" si="336"/>
        <v>0</v>
      </c>
      <c r="AB297" s="686">
        <f t="shared" si="336"/>
        <v>0</v>
      </c>
    </row>
    <row r="298" spans="1:64" x14ac:dyDescent="0.3">
      <c r="A298" s="22"/>
      <c r="B298" s="186" t="str">
        <f t="shared" si="330"/>
        <v>TBISLPG100</v>
      </c>
      <c r="C298" s="186"/>
      <c r="D298" s="187"/>
      <c r="E298" s="186"/>
      <c r="F298" s="170"/>
      <c r="G298" s="189"/>
      <c r="H298" s="170"/>
      <c r="I298" s="190">
        <f>AF$9</f>
        <v>2040</v>
      </c>
      <c r="J298" s="191"/>
      <c r="K298" s="191"/>
      <c r="L298" s="211" t="s">
        <v>1064</v>
      </c>
      <c r="M298" s="186" t="s">
        <v>747</v>
      </c>
      <c r="N298" s="686">
        <f t="shared" ref="N298:AB298" si="337">N293*LOOKUP($AD288,$AG$4:$AP$4,$AG$9:$AP$9)</f>
        <v>0</v>
      </c>
      <c r="O298" s="686">
        <f t="shared" si="337"/>
        <v>0</v>
      </c>
      <c r="P298" s="686">
        <f t="shared" si="337"/>
        <v>0</v>
      </c>
      <c r="Q298" s="686">
        <f t="shared" si="337"/>
        <v>0</v>
      </c>
      <c r="R298" s="686">
        <f t="shared" si="337"/>
        <v>0</v>
      </c>
      <c r="S298" s="686">
        <f t="shared" si="337"/>
        <v>0</v>
      </c>
      <c r="T298" s="686">
        <f t="shared" si="337"/>
        <v>0</v>
      </c>
      <c r="U298" s="686">
        <f t="shared" si="337"/>
        <v>0</v>
      </c>
      <c r="V298" s="686">
        <f t="shared" si="337"/>
        <v>0</v>
      </c>
      <c r="W298" s="686">
        <f t="shared" si="337"/>
        <v>0</v>
      </c>
      <c r="X298" s="686">
        <f t="shared" si="337"/>
        <v>0</v>
      </c>
      <c r="Y298" s="686">
        <f t="shared" si="337"/>
        <v>0</v>
      </c>
      <c r="Z298" s="686">
        <f t="shared" si="337"/>
        <v>0</v>
      </c>
      <c r="AA298" s="686">
        <f t="shared" si="337"/>
        <v>0</v>
      </c>
      <c r="AB298" s="686">
        <f t="shared" si="337"/>
        <v>0</v>
      </c>
    </row>
    <row r="299" spans="1:64" x14ac:dyDescent="0.3">
      <c r="A299" s="22"/>
      <c r="B299" s="193" t="str">
        <f t="shared" si="330"/>
        <v>TBISLPG100</v>
      </c>
      <c r="C299" s="193"/>
      <c r="D299" s="194"/>
      <c r="E299" s="193"/>
      <c r="F299" s="196"/>
      <c r="G299" s="195"/>
      <c r="H299" s="196"/>
      <c r="I299" s="197">
        <f>AF$10</f>
        <v>2050</v>
      </c>
      <c r="J299" s="198"/>
      <c r="K299" s="198"/>
      <c r="L299" s="199" t="s">
        <v>1064</v>
      </c>
      <c r="M299" s="193" t="s">
        <v>747</v>
      </c>
      <c r="N299" s="687">
        <f t="shared" ref="N299:AB299" si="338">N293*LOOKUP($AD288,$AG$4:$AP$4,$AG$10:$AP$10)</f>
        <v>0</v>
      </c>
      <c r="O299" s="687">
        <f t="shared" si="338"/>
        <v>0</v>
      </c>
      <c r="P299" s="687">
        <f t="shared" si="338"/>
        <v>0</v>
      </c>
      <c r="Q299" s="687">
        <f t="shared" si="338"/>
        <v>0</v>
      </c>
      <c r="R299" s="687">
        <f t="shared" si="338"/>
        <v>0</v>
      </c>
      <c r="S299" s="687">
        <f t="shared" si="338"/>
        <v>0</v>
      </c>
      <c r="T299" s="687">
        <f t="shared" si="338"/>
        <v>0</v>
      </c>
      <c r="U299" s="687">
        <f t="shared" si="338"/>
        <v>0</v>
      </c>
      <c r="V299" s="687">
        <f t="shared" si="338"/>
        <v>0</v>
      </c>
      <c r="W299" s="687">
        <f t="shared" si="338"/>
        <v>0</v>
      </c>
      <c r="X299" s="687">
        <f t="shared" si="338"/>
        <v>0</v>
      </c>
      <c r="Y299" s="687">
        <f t="shared" si="338"/>
        <v>0</v>
      </c>
      <c r="Z299" s="687">
        <f t="shared" si="338"/>
        <v>0</v>
      </c>
      <c r="AA299" s="687">
        <f t="shared" si="338"/>
        <v>0</v>
      </c>
      <c r="AB299" s="687">
        <f t="shared" si="338"/>
        <v>0</v>
      </c>
    </row>
    <row r="300" spans="1:64" s="83" customFormat="1" ht="15" customHeight="1" x14ac:dyDescent="0.3">
      <c r="A300" s="82"/>
      <c r="B300" s="178" t="str">
        <f>C300</f>
        <v>TBISPYD100</v>
      </c>
      <c r="C300" s="178" t="s">
        <v>345</v>
      </c>
      <c r="D300" s="179" t="s">
        <v>760</v>
      </c>
      <c r="E300" s="407" t="s">
        <v>987</v>
      </c>
      <c r="F300" s="182"/>
      <c r="G300" s="181"/>
      <c r="H300" s="182"/>
      <c r="I300" s="183"/>
      <c r="J300" s="184"/>
      <c r="K300" s="184"/>
      <c r="L300" s="203" t="s">
        <v>1106</v>
      </c>
      <c r="M300" s="184" t="s">
        <v>1155</v>
      </c>
      <c r="N300" s="691">
        <f>N$47</f>
        <v>1E-3</v>
      </c>
      <c r="O300" s="691">
        <f t="shared" ref="O300:AB300" si="339">$N300</f>
        <v>1E-3</v>
      </c>
      <c r="P300" s="691">
        <f t="shared" si="339"/>
        <v>1E-3</v>
      </c>
      <c r="Q300" s="691">
        <f t="shared" si="339"/>
        <v>1E-3</v>
      </c>
      <c r="R300" s="691">
        <f t="shared" si="339"/>
        <v>1E-3</v>
      </c>
      <c r="S300" s="691">
        <f t="shared" si="339"/>
        <v>1E-3</v>
      </c>
      <c r="T300" s="691">
        <f t="shared" si="339"/>
        <v>1E-3</v>
      </c>
      <c r="U300" s="691">
        <f t="shared" si="339"/>
        <v>1E-3</v>
      </c>
      <c r="V300" s="691">
        <f t="shared" si="339"/>
        <v>1E-3</v>
      </c>
      <c r="W300" s="691">
        <f t="shared" si="339"/>
        <v>1E-3</v>
      </c>
      <c r="X300" s="691">
        <f t="shared" si="339"/>
        <v>1E-3</v>
      </c>
      <c r="Y300" s="691">
        <f t="shared" si="339"/>
        <v>1E-3</v>
      </c>
      <c r="Z300" s="691">
        <f t="shared" si="339"/>
        <v>1E-3</v>
      </c>
      <c r="AA300" s="691">
        <f t="shared" si="339"/>
        <v>1E-3</v>
      </c>
      <c r="AB300" s="691">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699" t="str">
        <f t="shared" ref="AV300:AV301" si="340">MID(E300,1,7)</f>
        <v>TRABDL</v>
      </c>
      <c r="AW300" s="567">
        <f t="shared" ref="AW300:AW301" si="341">SUM(AX300:BL300)</f>
        <v>0</v>
      </c>
    </row>
    <row r="301" spans="1:64" ht="15" customHeight="1" x14ac:dyDescent="0.3">
      <c r="A301" s="22"/>
      <c r="B301" s="186" t="str">
        <f>B300</f>
        <v>TBISPYD100</v>
      </c>
      <c r="C301" s="186"/>
      <c r="D301" s="187"/>
      <c r="E301" s="258" t="s">
        <v>185</v>
      </c>
      <c r="F301" s="170"/>
      <c r="G301" s="189"/>
      <c r="H301" s="170"/>
      <c r="I301" s="190"/>
      <c r="J301" s="191" t="str">
        <f>$J$198</f>
        <v>UP</v>
      </c>
      <c r="K301" s="191"/>
      <c r="L301" s="211" t="s">
        <v>101</v>
      </c>
      <c r="M301" s="186"/>
      <c r="N301" s="674">
        <f t="shared" ref="N301:AB301" si="342">1-N21</f>
        <v>0.94496029288387329</v>
      </c>
      <c r="O301" s="674">
        <f t="shared" si="342"/>
        <v>0.94496029288387329</v>
      </c>
      <c r="P301" s="674">
        <f t="shared" si="342"/>
        <v>0.94496029288387329</v>
      </c>
      <c r="Q301" s="674">
        <f t="shared" si="342"/>
        <v>0.94496029288387329</v>
      </c>
      <c r="R301" s="674">
        <f t="shared" si="342"/>
        <v>0.94496029288387329</v>
      </c>
      <c r="S301" s="674">
        <f t="shared" si="342"/>
        <v>0.94496029288387329</v>
      </c>
      <c r="T301" s="674">
        <f t="shared" si="342"/>
        <v>0.94496029288387329</v>
      </c>
      <c r="U301" s="674">
        <f t="shared" si="342"/>
        <v>0.94496029288387329</v>
      </c>
      <c r="V301" s="674">
        <f t="shared" si="342"/>
        <v>0.94496029288387329</v>
      </c>
      <c r="W301" s="674">
        <f t="shared" si="342"/>
        <v>0.94496029288387329</v>
      </c>
      <c r="X301" s="674">
        <f t="shared" si="342"/>
        <v>0.94496029288387329</v>
      </c>
      <c r="Y301" s="674">
        <f t="shared" si="342"/>
        <v>0.94496029288387329</v>
      </c>
      <c r="Z301" s="674">
        <f t="shared" si="342"/>
        <v>0.94496029288387329</v>
      </c>
      <c r="AA301" s="674">
        <f t="shared" si="342"/>
        <v>0.94496029288387329</v>
      </c>
      <c r="AB301" s="674">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699" t="str">
        <f t="shared" si="340"/>
        <v>TRADST</v>
      </c>
      <c r="AW301" s="567">
        <f t="shared" si="341"/>
        <v>0</v>
      </c>
    </row>
    <row r="302" spans="1:64" s="83" customFormat="1" x14ac:dyDescent="0.3">
      <c r="A302" s="82"/>
      <c r="B302" s="178" t="str">
        <f t="shared" ref="B302" si="343">B301</f>
        <v>TBISPYD100</v>
      </c>
      <c r="C302" s="178"/>
      <c r="D302" s="179"/>
      <c r="E302" s="407" t="s">
        <v>989</v>
      </c>
      <c r="F302" s="182"/>
      <c r="G302" s="181"/>
      <c r="H302" s="182"/>
      <c r="I302" s="183"/>
      <c r="J302" s="184" t="s">
        <v>1156</v>
      </c>
      <c r="K302" s="184"/>
      <c r="L302" s="203" t="s">
        <v>101</v>
      </c>
      <c r="M302" s="184"/>
      <c r="N302" s="689">
        <f>N$20</f>
        <v>7.0000000000000007E-2</v>
      </c>
      <c r="O302" s="689">
        <f t="shared" ref="O302:AB302" si="344">O$20</f>
        <v>7.0000000000000007E-2</v>
      </c>
      <c r="P302" s="689">
        <f t="shared" si="344"/>
        <v>7.0000000000000007E-2</v>
      </c>
      <c r="Q302" s="689">
        <f t="shared" si="344"/>
        <v>7.0000000000000007E-2</v>
      </c>
      <c r="R302" s="689">
        <f t="shared" si="344"/>
        <v>7.0000000000000007E-2</v>
      </c>
      <c r="S302" s="689">
        <f t="shared" si="344"/>
        <v>7.0000000000000007E-2</v>
      </c>
      <c r="T302" s="689">
        <f t="shared" si="344"/>
        <v>7.0000000000000007E-2</v>
      </c>
      <c r="U302" s="689">
        <f t="shared" si="344"/>
        <v>7.0000000000000007E-2</v>
      </c>
      <c r="V302" s="689">
        <f t="shared" si="344"/>
        <v>7.0000000000000007E-2</v>
      </c>
      <c r="W302" s="689">
        <f t="shared" si="344"/>
        <v>7.0000000000000007E-2</v>
      </c>
      <c r="X302" s="689">
        <f t="shared" si="344"/>
        <v>7.0000000000000007E-2</v>
      </c>
      <c r="Y302" s="689">
        <f t="shared" si="344"/>
        <v>7.0000000000000007E-2</v>
      </c>
      <c r="Z302" s="689">
        <f t="shared" si="344"/>
        <v>7.0000000000000007E-2</v>
      </c>
      <c r="AA302" s="689">
        <f t="shared" si="344"/>
        <v>7.0000000000000007E-2</v>
      </c>
      <c r="AB302" s="689">
        <f t="shared" si="344"/>
        <v>7.0000000000000007E-2</v>
      </c>
      <c r="AD302" s="408"/>
      <c r="AE302" s="357"/>
      <c r="AF302" s="84"/>
      <c r="AG302" s="84"/>
      <c r="AH302" s="84"/>
      <c r="AI302" s="84"/>
      <c r="AJ302" s="84"/>
      <c r="AK302" s="84"/>
      <c r="AL302" s="84"/>
      <c r="AM302" s="84"/>
      <c r="AN302" s="84"/>
      <c r="AO302" s="84"/>
      <c r="AP302" s="84"/>
      <c r="AQ302" s="84"/>
      <c r="AR302" s="84"/>
      <c r="AS302" s="84"/>
      <c r="AT302" s="84"/>
      <c r="AV302" s="699"/>
      <c r="AW302" s="567"/>
      <c r="AX302" s="707"/>
      <c r="AY302" s="35"/>
      <c r="AZ302" s="35"/>
      <c r="BA302" s="35"/>
      <c r="BB302" s="35"/>
      <c r="BC302" s="35"/>
      <c r="BD302" s="35"/>
      <c r="BE302" s="35"/>
      <c r="BF302" s="35"/>
      <c r="BG302" s="35"/>
      <c r="BH302" s="35"/>
      <c r="BI302" s="35"/>
      <c r="BJ302" s="35"/>
      <c r="BK302" s="35"/>
      <c r="BL302" s="35"/>
    </row>
    <row r="303" spans="1:64" x14ac:dyDescent="0.3">
      <c r="A303" s="22"/>
      <c r="B303" s="186" t="str">
        <f>B301</f>
        <v>TBISPYD100</v>
      </c>
      <c r="C303" s="186"/>
      <c r="D303" s="187"/>
      <c r="E303" s="186"/>
      <c r="F303" s="170"/>
      <c r="G303" s="188" t="s">
        <v>414</v>
      </c>
      <c r="H303" s="170"/>
      <c r="I303" s="190"/>
      <c r="J303" s="191"/>
      <c r="K303" s="191"/>
      <c r="L303" s="191" t="s">
        <v>1125</v>
      </c>
      <c r="M303" s="186" t="s">
        <v>677</v>
      </c>
      <c r="N303" s="689">
        <f>T_CEFF!H148</f>
        <v>9.2590000000000006E-2</v>
      </c>
      <c r="O303" s="689">
        <f>T_CEFF!I148</f>
        <v>9.2590000000000006E-2</v>
      </c>
      <c r="P303" s="689">
        <f>T_CEFF!J148</f>
        <v>9.2590000000000006E-2</v>
      </c>
      <c r="Q303" s="689">
        <f>T_CEFF!K148</f>
        <v>9.2590000000000006E-2</v>
      </c>
      <c r="R303" s="689">
        <f>T_CEFF!L148</f>
        <v>9.2590000000000006E-2</v>
      </c>
      <c r="S303" s="689">
        <f>T_CEFF!M148</f>
        <v>9.2590000000000006E-2</v>
      </c>
      <c r="T303" s="689">
        <f>T_CEFF!N148</f>
        <v>9.2590000000000006E-2</v>
      </c>
      <c r="U303" s="689">
        <f>T_CEFF!O148</f>
        <v>9.2590000000000006E-2</v>
      </c>
      <c r="V303" s="689">
        <f>T_CEFF!P148</f>
        <v>9.2590000000000006E-2</v>
      </c>
      <c r="W303" s="689">
        <f>T_CEFF!Q148</f>
        <v>9.2590000000000006E-2</v>
      </c>
      <c r="X303" s="689">
        <f>T_CEFF!R148</f>
        <v>9.2590000000000006E-2</v>
      </c>
      <c r="Y303" s="689">
        <f>T_CEFF!S148</f>
        <v>9.2590000000000006E-2</v>
      </c>
      <c r="Z303" s="689">
        <f>T_CEFF!T148</f>
        <v>9.2590000000000006E-2</v>
      </c>
      <c r="AA303" s="689">
        <f>T_CEFF!U148</f>
        <v>9.2590000000000006E-2</v>
      </c>
      <c r="AB303" s="689">
        <f>T_CEFF!V148</f>
        <v>9.2590000000000006E-2</v>
      </c>
      <c r="AE303" s="36"/>
      <c r="AF303" s="68"/>
    </row>
    <row r="304" spans="1:64" x14ac:dyDescent="0.3">
      <c r="A304" s="22"/>
      <c r="B304" s="186" t="str">
        <f>B303</f>
        <v>TBISPYD100</v>
      </c>
      <c r="C304" s="186"/>
      <c r="D304" s="187"/>
      <c r="E304" s="186"/>
      <c r="F304" s="170"/>
      <c r="G304" s="188" t="s">
        <v>589</v>
      </c>
      <c r="H304" s="170"/>
      <c r="I304" s="190"/>
      <c r="J304" s="191"/>
      <c r="K304" s="191"/>
      <c r="L304" s="191" t="s">
        <v>1125</v>
      </c>
      <c r="M304" s="186" t="s">
        <v>677</v>
      </c>
      <c r="N304" s="689">
        <f>T_CEFF!H149</f>
        <v>9.2590000000000006E-2</v>
      </c>
      <c r="O304" s="689">
        <f>T_CEFF!I149</f>
        <v>9.2590000000000006E-2</v>
      </c>
      <c r="P304" s="689">
        <f>T_CEFF!J149</f>
        <v>9.2590000000000006E-2</v>
      </c>
      <c r="Q304" s="689">
        <f>T_CEFF!K149</f>
        <v>9.2590000000000006E-2</v>
      </c>
      <c r="R304" s="689">
        <f>T_CEFF!L149</f>
        <v>9.2590000000000006E-2</v>
      </c>
      <c r="S304" s="689">
        <f>T_CEFF!M149</f>
        <v>9.2590000000000006E-2</v>
      </c>
      <c r="T304" s="689">
        <f>T_CEFF!N149</f>
        <v>9.2590000000000006E-2</v>
      </c>
      <c r="U304" s="689">
        <f>T_CEFF!O149</f>
        <v>9.2590000000000006E-2</v>
      </c>
      <c r="V304" s="689">
        <f>T_CEFF!P149</f>
        <v>9.2590000000000006E-2</v>
      </c>
      <c r="W304" s="689">
        <f>T_CEFF!Q149</f>
        <v>9.2590000000000006E-2</v>
      </c>
      <c r="X304" s="689">
        <f>T_CEFF!R149</f>
        <v>9.2590000000000006E-2</v>
      </c>
      <c r="Y304" s="689">
        <f>T_CEFF!S149</f>
        <v>9.2590000000000006E-2</v>
      </c>
      <c r="Z304" s="689">
        <f>T_CEFF!T149</f>
        <v>9.2590000000000006E-2</v>
      </c>
      <c r="AA304" s="689">
        <f>T_CEFF!U149</f>
        <v>9.2590000000000006E-2</v>
      </c>
      <c r="AB304" s="689">
        <f>T_CEFF!V149</f>
        <v>9.2590000000000006E-2</v>
      </c>
      <c r="AE304" s="36"/>
      <c r="AF304" s="68"/>
    </row>
    <row r="305" spans="1:49" x14ac:dyDescent="0.3">
      <c r="A305" s="22"/>
      <c r="B305" s="186" t="str">
        <f t="shared" ref="B305:B313" si="345">B304</f>
        <v>TBISPYD100</v>
      </c>
      <c r="C305" s="186"/>
      <c r="D305" s="187"/>
      <c r="E305" s="186"/>
      <c r="F305" s="170"/>
      <c r="G305" s="189"/>
      <c r="H305" s="170"/>
      <c r="I305" s="190"/>
      <c r="J305" s="191"/>
      <c r="K305" s="191" t="s">
        <v>748</v>
      </c>
      <c r="L305" s="191" t="s">
        <v>1127</v>
      </c>
      <c r="M305" s="186" t="s">
        <v>1158</v>
      </c>
      <c r="N305" s="602">
        <f t="shared" ref="N305:AB305" si="346">N$16</f>
        <v>18</v>
      </c>
      <c r="O305" s="602">
        <f t="shared" si="346"/>
        <v>0</v>
      </c>
      <c r="P305" s="602">
        <f t="shared" si="346"/>
        <v>0</v>
      </c>
      <c r="Q305" s="602">
        <f t="shared" si="346"/>
        <v>0</v>
      </c>
      <c r="R305" s="602">
        <f t="shared" si="346"/>
        <v>0</v>
      </c>
      <c r="S305" s="602">
        <f t="shared" si="346"/>
        <v>0</v>
      </c>
      <c r="T305" s="602">
        <f t="shared" si="346"/>
        <v>0</v>
      </c>
      <c r="U305" s="602">
        <f t="shared" si="346"/>
        <v>0</v>
      </c>
      <c r="V305" s="602">
        <f t="shared" si="346"/>
        <v>0</v>
      </c>
      <c r="W305" s="602">
        <f t="shared" si="346"/>
        <v>0</v>
      </c>
      <c r="X305" s="602">
        <f t="shared" si="346"/>
        <v>0</v>
      </c>
      <c r="Y305" s="602">
        <f t="shared" si="346"/>
        <v>0</v>
      </c>
      <c r="Z305" s="602">
        <f t="shared" si="346"/>
        <v>0</v>
      </c>
      <c r="AA305" s="602">
        <f t="shared" si="346"/>
        <v>0</v>
      </c>
      <c r="AB305" s="602">
        <f t="shared" si="346"/>
        <v>0</v>
      </c>
      <c r="AE305" s="36"/>
      <c r="AF305" s="68"/>
    </row>
    <row r="306" spans="1:49" x14ac:dyDescent="0.3">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8.9600000000000009</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1">
        <f>SUM(AF306:AT306)</f>
        <v>0.17727897600000003</v>
      </c>
      <c r="AF306" s="85">
        <f t="shared" ref="AF306:AT306" si="347">N305*N306*N307/1000</f>
        <v>0.17727897600000003</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3">
      <c r="A307" s="22"/>
      <c r="B307" s="186" t="str">
        <f t="shared" si="345"/>
        <v>TBISPYD100</v>
      </c>
      <c r="C307" s="186"/>
      <c r="D307" s="187"/>
      <c r="E307" s="186"/>
      <c r="F307" s="170"/>
      <c r="G307" s="189"/>
      <c r="H307" s="170"/>
      <c r="I307" s="190">
        <f>$M$3</f>
        <v>2019</v>
      </c>
      <c r="J307" s="191"/>
      <c r="K307" s="191"/>
      <c r="L307" s="211" t="s">
        <v>1064</v>
      </c>
      <c r="M307" s="186" t="s">
        <v>747</v>
      </c>
      <c r="N307" s="686">
        <f>LOOKUP($C$300, T_Stock_Private!$C$74:$C$84, T_Stock_Private!D$74:D$84)*(1+N180)</f>
        <v>1.0992</v>
      </c>
      <c r="O307" s="686">
        <f>LOOKUP($C$300, T_Stock_Private!$C$74:$C$84, T_Stock_Private!E$74:E$84)*(1+O180)</f>
        <v>0</v>
      </c>
      <c r="P307" s="686">
        <f>LOOKUP($C$300, T_Stock_Private!$C$74:$C$84, T_Stock_Private!F$74:F$84)*(1+P180)</f>
        <v>0</v>
      </c>
      <c r="Q307" s="686">
        <f>LOOKUP($C$300, T_Stock_Private!$C$74:$C$84, T_Stock_Private!G$74:G$84)*(1+Q180)</f>
        <v>0</v>
      </c>
      <c r="R307" s="686">
        <f>LOOKUP($C$300, T_Stock_Private!$C$74:$C$84, T_Stock_Private!H$74:H$84)*(1+R180)</f>
        <v>0</v>
      </c>
      <c r="S307" s="686">
        <f>LOOKUP($C$300, T_Stock_Private!$C$74:$C$84, T_Stock_Private!I$74:I$84)*(1+S180)</f>
        <v>0</v>
      </c>
      <c r="T307" s="686">
        <f>LOOKUP($C$300, T_Stock_Private!$C$74:$C$84, T_Stock_Private!J$74:J$84)*(1+T180)</f>
        <v>0</v>
      </c>
      <c r="U307" s="686">
        <f>LOOKUP($C$300, T_Stock_Private!$C$74:$C$84, T_Stock_Private!K$74:K$84)*(1+U180)</f>
        <v>0</v>
      </c>
      <c r="V307" s="686">
        <f>LOOKUP($C$300, T_Stock_Private!$C$74:$C$84, T_Stock_Private!L$74:L$84)*(1+V180)</f>
        <v>0</v>
      </c>
      <c r="W307" s="686">
        <f>LOOKUP($C$300, T_Stock_Private!$C$74:$C$84, T_Stock_Private!M$74:M$84)*(1+W180)</f>
        <v>0</v>
      </c>
      <c r="X307" s="686">
        <f>LOOKUP($C$300, T_Stock_Private!$C$74:$C$84, T_Stock_Private!N$74:N$84)*(1+X180)</f>
        <v>0</v>
      </c>
      <c r="Y307" s="686">
        <f>LOOKUP($C$300, T_Stock_Private!$C$74:$C$84, T_Stock_Private!O$74:O$84)*(1+Y180)</f>
        <v>0</v>
      </c>
      <c r="Z307" s="686">
        <f>LOOKUP($C$300, T_Stock_Private!$C$74:$C$84, T_Stock_Private!P$74:P$84)*(1+Z180)</f>
        <v>0</v>
      </c>
      <c r="AA307" s="686">
        <f>LOOKUP($C$300, T_Stock_Private!$C$74:$C$84, T_Stock_Private!Q$74:Q$84)*(1+AA180)</f>
        <v>0</v>
      </c>
      <c r="AB307" s="686">
        <f>LOOKUP($C$300, T_Stock_Private!$C$74:$C$84, T_Stock_Private!R$74:R$84)*(1+AB180)</f>
        <v>0</v>
      </c>
      <c r="AC307" s="89"/>
    </row>
    <row r="308" spans="1:49" x14ac:dyDescent="0.3">
      <c r="A308" s="22"/>
      <c r="B308" s="186" t="str">
        <f t="shared" si="345"/>
        <v>TBISPYD100</v>
      </c>
      <c r="C308" s="186"/>
      <c r="D308" s="187"/>
      <c r="E308" s="186"/>
      <c r="F308" s="170"/>
      <c r="G308" s="189"/>
      <c r="H308" s="170"/>
      <c r="I308" s="190">
        <f>AF$5</f>
        <v>2020</v>
      </c>
      <c r="J308" s="191"/>
      <c r="K308" s="191"/>
      <c r="L308" s="211" t="s">
        <v>1064</v>
      </c>
      <c r="M308" s="186" t="s">
        <v>747</v>
      </c>
      <c r="N308" s="686">
        <f t="shared" ref="N308:AB308" si="348">N307*LOOKUP($AD300,$AG$4:$AP$4,$AG$5:$AP$5)</f>
        <v>1.0442399999999998</v>
      </c>
      <c r="O308" s="686">
        <f t="shared" si="348"/>
        <v>0</v>
      </c>
      <c r="P308" s="686">
        <f t="shared" si="348"/>
        <v>0</v>
      </c>
      <c r="Q308" s="686">
        <f t="shared" si="348"/>
        <v>0</v>
      </c>
      <c r="R308" s="686">
        <f t="shared" si="348"/>
        <v>0</v>
      </c>
      <c r="S308" s="686">
        <f t="shared" si="348"/>
        <v>0</v>
      </c>
      <c r="T308" s="686">
        <f t="shared" si="348"/>
        <v>0</v>
      </c>
      <c r="U308" s="686">
        <f t="shared" si="348"/>
        <v>0</v>
      </c>
      <c r="V308" s="686">
        <f t="shared" si="348"/>
        <v>0</v>
      </c>
      <c r="W308" s="686">
        <f t="shared" si="348"/>
        <v>0</v>
      </c>
      <c r="X308" s="686">
        <f t="shared" si="348"/>
        <v>0</v>
      </c>
      <c r="Y308" s="686">
        <f t="shared" si="348"/>
        <v>0</v>
      </c>
      <c r="Z308" s="686">
        <f t="shared" si="348"/>
        <v>0</v>
      </c>
      <c r="AA308" s="686">
        <f t="shared" si="348"/>
        <v>0</v>
      </c>
      <c r="AB308" s="686">
        <f t="shared" si="348"/>
        <v>0</v>
      </c>
    </row>
    <row r="309" spans="1:49" x14ac:dyDescent="0.3">
      <c r="A309" s="22"/>
      <c r="B309" s="186" t="str">
        <f t="shared" si="345"/>
        <v>TBISPYD100</v>
      </c>
      <c r="C309" s="186"/>
      <c r="D309" s="187"/>
      <c r="E309" s="186"/>
      <c r="F309" s="170"/>
      <c r="G309" s="189"/>
      <c r="H309" s="170"/>
      <c r="I309" s="190">
        <f>AF$6</f>
        <v>2025</v>
      </c>
      <c r="J309" s="191"/>
      <c r="K309" s="191"/>
      <c r="L309" s="211" t="s">
        <v>1064</v>
      </c>
      <c r="M309" s="186" t="s">
        <v>747</v>
      </c>
      <c r="N309" s="686">
        <f t="shared" ref="N309:AB309" si="349">N307*LOOKUP($AD300,$AG$4:$AP$4,$AG$6:$AP$6)</f>
        <v>0.65952</v>
      </c>
      <c r="O309" s="686">
        <f t="shared" si="349"/>
        <v>0</v>
      </c>
      <c r="P309" s="686">
        <f t="shared" si="349"/>
        <v>0</v>
      </c>
      <c r="Q309" s="686">
        <f t="shared" si="349"/>
        <v>0</v>
      </c>
      <c r="R309" s="686">
        <f t="shared" si="349"/>
        <v>0</v>
      </c>
      <c r="S309" s="686">
        <f t="shared" si="349"/>
        <v>0</v>
      </c>
      <c r="T309" s="686">
        <f t="shared" si="349"/>
        <v>0</v>
      </c>
      <c r="U309" s="686">
        <f t="shared" si="349"/>
        <v>0</v>
      </c>
      <c r="V309" s="686">
        <f t="shared" si="349"/>
        <v>0</v>
      </c>
      <c r="W309" s="686">
        <f t="shared" si="349"/>
        <v>0</v>
      </c>
      <c r="X309" s="686">
        <f t="shared" si="349"/>
        <v>0</v>
      </c>
      <c r="Y309" s="686">
        <f t="shared" si="349"/>
        <v>0</v>
      </c>
      <c r="Z309" s="686">
        <f t="shared" si="349"/>
        <v>0</v>
      </c>
      <c r="AA309" s="686">
        <f t="shared" si="349"/>
        <v>0</v>
      </c>
      <c r="AB309" s="686">
        <f t="shared" si="349"/>
        <v>0</v>
      </c>
    </row>
    <row r="310" spans="1:49" x14ac:dyDescent="0.3">
      <c r="A310" s="22"/>
      <c r="B310" s="186" t="str">
        <f t="shared" si="345"/>
        <v>TBISPYD100</v>
      </c>
      <c r="C310" s="186"/>
      <c r="D310" s="187"/>
      <c r="E310" s="186"/>
      <c r="F310" s="170"/>
      <c r="G310" s="189"/>
      <c r="H310" s="170"/>
      <c r="I310" s="190">
        <f>AF$7</f>
        <v>2030</v>
      </c>
      <c r="J310" s="191"/>
      <c r="K310" s="191"/>
      <c r="L310" s="211" t="s">
        <v>1064</v>
      </c>
      <c r="M310" s="186" t="s">
        <v>747</v>
      </c>
      <c r="N310" s="686">
        <f t="shared" ref="N310:AB310" si="350">N307*LOOKUP($AD300,$AG$4:$AP$4,$AG$7:$AP$7)</f>
        <v>0.10992</v>
      </c>
      <c r="O310" s="686">
        <f t="shared" si="350"/>
        <v>0</v>
      </c>
      <c r="P310" s="686">
        <f t="shared" si="350"/>
        <v>0</v>
      </c>
      <c r="Q310" s="686">
        <f t="shared" si="350"/>
        <v>0</v>
      </c>
      <c r="R310" s="686">
        <f t="shared" si="350"/>
        <v>0</v>
      </c>
      <c r="S310" s="686">
        <f t="shared" si="350"/>
        <v>0</v>
      </c>
      <c r="T310" s="686">
        <f t="shared" si="350"/>
        <v>0</v>
      </c>
      <c r="U310" s="686">
        <f t="shared" si="350"/>
        <v>0</v>
      </c>
      <c r="V310" s="686">
        <f t="shared" si="350"/>
        <v>0</v>
      </c>
      <c r="W310" s="686">
        <f t="shared" si="350"/>
        <v>0</v>
      </c>
      <c r="X310" s="686">
        <f t="shared" si="350"/>
        <v>0</v>
      </c>
      <c r="Y310" s="686">
        <f t="shared" si="350"/>
        <v>0</v>
      </c>
      <c r="Z310" s="686">
        <f t="shared" si="350"/>
        <v>0</v>
      </c>
      <c r="AA310" s="686">
        <f t="shared" si="350"/>
        <v>0</v>
      </c>
      <c r="AB310" s="686">
        <f t="shared" si="350"/>
        <v>0</v>
      </c>
    </row>
    <row r="311" spans="1:49" x14ac:dyDescent="0.3">
      <c r="A311" s="22"/>
      <c r="B311" s="186" t="str">
        <f t="shared" si="345"/>
        <v>TBISPYD100</v>
      </c>
      <c r="C311" s="186"/>
      <c r="D311" s="187"/>
      <c r="E311" s="186"/>
      <c r="F311" s="170"/>
      <c r="G311" s="189"/>
      <c r="H311" s="170"/>
      <c r="I311" s="190">
        <f>AF$8</f>
        <v>2035</v>
      </c>
      <c r="J311" s="191"/>
      <c r="K311" s="191"/>
      <c r="L311" s="211" t="s">
        <v>1064</v>
      </c>
      <c r="M311" s="186" t="s">
        <v>747</v>
      </c>
      <c r="N311" s="686">
        <f t="shared" ref="N311:AB311" si="351">N307*LOOKUP($AD300,$AG$4:$AP$4,$AG$8:$AP$8)</f>
        <v>1.0992E-2</v>
      </c>
      <c r="O311" s="686">
        <f t="shared" si="351"/>
        <v>0</v>
      </c>
      <c r="P311" s="686">
        <f t="shared" si="351"/>
        <v>0</v>
      </c>
      <c r="Q311" s="686">
        <f t="shared" si="351"/>
        <v>0</v>
      </c>
      <c r="R311" s="686">
        <f t="shared" si="351"/>
        <v>0</v>
      </c>
      <c r="S311" s="686">
        <f t="shared" si="351"/>
        <v>0</v>
      </c>
      <c r="T311" s="686">
        <f t="shared" si="351"/>
        <v>0</v>
      </c>
      <c r="U311" s="686">
        <f t="shared" si="351"/>
        <v>0</v>
      </c>
      <c r="V311" s="686">
        <f t="shared" si="351"/>
        <v>0</v>
      </c>
      <c r="W311" s="686">
        <f t="shared" si="351"/>
        <v>0</v>
      </c>
      <c r="X311" s="686">
        <f t="shared" si="351"/>
        <v>0</v>
      </c>
      <c r="Y311" s="686">
        <f t="shared" si="351"/>
        <v>0</v>
      </c>
      <c r="Z311" s="686">
        <f t="shared" si="351"/>
        <v>0</v>
      </c>
      <c r="AA311" s="686">
        <f t="shared" si="351"/>
        <v>0</v>
      </c>
      <c r="AB311" s="686">
        <f t="shared" si="351"/>
        <v>0</v>
      </c>
    </row>
    <row r="312" spans="1:49" x14ac:dyDescent="0.3">
      <c r="A312" s="22"/>
      <c r="B312" s="186" t="str">
        <f t="shared" si="345"/>
        <v>TBISPYD100</v>
      </c>
      <c r="C312" s="186"/>
      <c r="D312" s="187"/>
      <c r="E312" s="186"/>
      <c r="F312" s="170"/>
      <c r="G312" s="189"/>
      <c r="H312" s="170"/>
      <c r="I312" s="190">
        <f>AF$9</f>
        <v>2040</v>
      </c>
      <c r="J312" s="191"/>
      <c r="K312" s="191"/>
      <c r="L312" s="211" t="s">
        <v>1064</v>
      </c>
      <c r="M312" s="186" t="s">
        <v>747</v>
      </c>
      <c r="N312" s="686">
        <f t="shared" ref="N312:AB312" si="352">N307*LOOKUP($AD300,$AG$4:$AP$4,$AG$9:$AP$9)</f>
        <v>0</v>
      </c>
      <c r="O312" s="686">
        <f t="shared" si="352"/>
        <v>0</v>
      </c>
      <c r="P312" s="686">
        <f t="shared" si="352"/>
        <v>0</v>
      </c>
      <c r="Q312" s="686">
        <f t="shared" si="352"/>
        <v>0</v>
      </c>
      <c r="R312" s="686">
        <f t="shared" si="352"/>
        <v>0</v>
      </c>
      <c r="S312" s="686">
        <f t="shared" si="352"/>
        <v>0</v>
      </c>
      <c r="T312" s="686">
        <f t="shared" si="352"/>
        <v>0</v>
      </c>
      <c r="U312" s="686">
        <f t="shared" si="352"/>
        <v>0</v>
      </c>
      <c r="V312" s="686">
        <f t="shared" si="352"/>
        <v>0</v>
      </c>
      <c r="W312" s="686">
        <f t="shared" si="352"/>
        <v>0</v>
      </c>
      <c r="X312" s="686">
        <f t="shared" si="352"/>
        <v>0</v>
      </c>
      <c r="Y312" s="686">
        <f t="shared" si="352"/>
        <v>0</v>
      </c>
      <c r="Z312" s="686">
        <f t="shared" si="352"/>
        <v>0</v>
      </c>
      <c r="AA312" s="686">
        <f t="shared" si="352"/>
        <v>0</v>
      </c>
      <c r="AB312" s="686">
        <f t="shared" si="352"/>
        <v>0</v>
      </c>
    </row>
    <row r="313" spans="1:49" x14ac:dyDescent="0.3">
      <c r="A313" s="22"/>
      <c r="B313" s="193" t="str">
        <f t="shared" si="345"/>
        <v>TBISPYD100</v>
      </c>
      <c r="C313" s="193"/>
      <c r="D313" s="194"/>
      <c r="E313" s="193"/>
      <c r="F313" s="196"/>
      <c r="G313" s="195"/>
      <c r="H313" s="196"/>
      <c r="I313" s="197">
        <f>AF$10</f>
        <v>2050</v>
      </c>
      <c r="J313" s="198"/>
      <c r="K313" s="198"/>
      <c r="L313" s="199" t="s">
        <v>1064</v>
      </c>
      <c r="M313" s="193" t="s">
        <v>747</v>
      </c>
      <c r="N313" s="687">
        <f t="shared" ref="N313:AB313" si="353">N307*LOOKUP($AD300,$AG$4:$AP$4,$AG$10:$AP$10)</f>
        <v>0</v>
      </c>
      <c r="O313" s="687">
        <f t="shared" si="353"/>
        <v>0</v>
      </c>
      <c r="P313" s="687">
        <f t="shared" si="353"/>
        <v>0</v>
      </c>
      <c r="Q313" s="687">
        <f t="shared" si="353"/>
        <v>0</v>
      </c>
      <c r="R313" s="687">
        <f t="shared" si="353"/>
        <v>0</v>
      </c>
      <c r="S313" s="687">
        <f t="shared" si="353"/>
        <v>0</v>
      </c>
      <c r="T313" s="687">
        <f t="shared" si="353"/>
        <v>0</v>
      </c>
      <c r="U313" s="687">
        <f t="shared" si="353"/>
        <v>0</v>
      </c>
      <c r="V313" s="687">
        <f t="shared" si="353"/>
        <v>0</v>
      </c>
      <c r="W313" s="687">
        <f t="shared" si="353"/>
        <v>0</v>
      </c>
      <c r="X313" s="687">
        <f t="shared" si="353"/>
        <v>0</v>
      </c>
      <c r="Y313" s="687">
        <f t="shared" si="353"/>
        <v>0</v>
      </c>
      <c r="Z313" s="687">
        <f t="shared" si="353"/>
        <v>0</v>
      </c>
      <c r="AA313" s="687">
        <f t="shared" si="353"/>
        <v>0</v>
      </c>
      <c r="AB313" s="687">
        <f t="shared" si="353"/>
        <v>0</v>
      </c>
    </row>
    <row r="314" spans="1:49" s="83" customFormat="1" ht="15" customHeight="1" x14ac:dyDescent="0.3">
      <c r="A314" s="82"/>
      <c r="B314" s="178" t="str">
        <f>C314</f>
        <v>TBISPYG100</v>
      </c>
      <c r="C314" s="178" t="s">
        <v>346</v>
      </c>
      <c r="D314" s="179" t="s">
        <v>761</v>
      </c>
      <c r="E314" s="407" t="s">
        <v>1011</v>
      </c>
      <c r="F314" s="182"/>
      <c r="G314" s="181"/>
      <c r="H314" s="182"/>
      <c r="I314" s="183"/>
      <c r="J314" s="184"/>
      <c r="K314" s="184"/>
      <c r="L314" s="203" t="s">
        <v>1106</v>
      </c>
      <c r="M314" s="184" t="s">
        <v>1155</v>
      </c>
      <c r="N314" s="691">
        <f>N$47</f>
        <v>1E-3</v>
      </c>
      <c r="O314" s="691">
        <f t="shared" ref="O314:AB314" si="354">$N314</f>
        <v>1E-3</v>
      </c>
      <c r="P314" s="691">
        <f t="shared" si="354"/>
        <v>1E-3</v>
      </c>
      <c r="Q314" s="691">
        <f t="shared" si="354"/>
        <v>1E-3</v>
      </c>
      <c r="R314" s="691">
        <f t="shared" si="354"/>
        <v>1E-3</v>
      </c>
      <c r="S314" s="691">
        <f t="shared" si="354"/>
        <v>1E-3</v>
      </c>
      <c r="T314" s="691">
        <f t="shared" si="354"/>
        <v>1E-3</v>
      </c>
      <c r="U314" s="691">
        <f t="shared" si="354"/>
        <v>1E-3</v>
      </c>
      <c r="V314" s="691">
        <f t="shared" si="354"/>
        <v>1E-3</v>
      </c>
      <c r="W314" s="691">
        <f t="shared" si="354"/>
        <v>1E-3</v>
      </c>
      <c r="X314" s="691">
        <f t="shared" si="354"/>
        <v>1E-3</v>
      </c>
      <c r="Y314" s="691">
        <f t="shared" si="354"/>
        <v>1E-3</v>
      </c>
      <c r="Z314" s="691">
        <f t="shared" si="354"/>
        <v>1E-3</v>
      </c>
      <c r="AA314" s="691">
        <f t="shared" si="354"/>
        <v>1E-3</v>
      </c>
      <c r="AB314" s="691">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699" t="str">
        <f t="shared" ref="AV314:AV315" si="355">MID(E314,1,7)</f>
        <v>TRAETHM</v>
      </c>
      <c r="AW314" s="567">
        <f t="shared" ref="AW314:AW315" si="356">SUM(AX314:BL314)</f>
        <v>0</v>
      </c>
    </row>
    <row r="315" spans="1:49" x14ac:dyDescent="0.3">
      <c r="A315" s="22"/>
      <c r="B315" s="186" t="str">
        <f>B314</f>
        <v>TBISPYG100</v>
      </c>
      <c r="C315" s="186"/>
      <c r="D315" s="187"/>
      <c r="E315" s="258" t="s">
        <v>1013</v>
      </c>
      <c r="F315" s="170"/>
      <c r="G315" s="189"/>
      <c r="H315" s="170"/>
      <c r="I315" s="190"/>
      <c r="J315" s="191" t="s">
        <v>1126</v>
      </c>
      <c r="K315" s="191"/>
      <c r="L315" s="211" t="s">
        <v>101</v>
      </c>
      <c r="M315" s="186"/>
      <c r="N315" s="674">
        <f>1-N$21</f>
        <v>0.94496029288387329</v>
      </c>
      <c r="O315" s="674">
        <f t="shared" ref="O315:AB315" si="357">1-O$21</f>
        <v>0.94496029288387329</v>
      </c>
      <c r="P315" s="674">
        <f t="shared" si="357"/>
        <v>0.94496029288387329</v>
      </c>
      <c r="Q315" s="674">
        <f t="shared" si="357"/>
        <v>0.94496029288387329</v>
      </c>
      <c r="R315" s="674">
        <f t="shared" si="357"/>
        <v>0.94496029288387329</v>
      </c>
      <c r="S315" s="674">
        <f t="shared" si="357"/>
        <v>0.94496029288387329</v>
      </c>
      <c r="T315" s="674">
        <f t="shared" si="357"/>
        <v>0.94496029288387329</v>
      </c>
      <c r="U315" s="674">
        <f t="shared" si="357"/>
        <v>0.94496029288387329</v>
      </c>
      <c r="V315" s="674">
        <f t="shared" si="357"/>
        <v>0.94496029288387329</v>
      </c>
      <c r="W315" s="674">
        <f t="shared" si="357"/>
        <v>0.94496029288387329</v>
      </c>
      <c r="X315" s="674">
        <f t="shared" si="357"/>
        <v>0.94496029288387329</v>
      </c>
      <c r="Y315" s="674">
        <f t="shared" si="357"/>
        <v>0.94496029288387329</v>
      </c>
      <c r="Z315" s="674">
        <f t="shared" si="357"/>
        <v>0.94496029288387329</v>
      </c>
      <c r="AA315" s="674">
        <f t="shared" si="357"/>
        <v>0.94496029288387329</v>
      </c>
      <c r="AB315" s="674">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699" t="str">
        <f t="shared" si="355"/>
        <v>TRAGSL</v>
      </c>
      <c r="AW315" s="567">
        <f t="shared" si="356"/>
        <v>0</v>
      </c>
    </row>
    <row r="316" spans="1:49" x14ac:dyDescent="0.3">
      <c r="A316" s="22"/>
      <c r="B316" s="186" t="str">
        <f>B315</f>
        <v>TBISPYG100</v>
      </c>
      <c r="C316" s="186"/>
      <c r="D316" s="187"/>
      <c r="E316" s="186"/>
      <c r="F316" s="170"/>
      <c r="G316" s="188" t="s">
        <v>414</v>
      </c>
      <c r="H316" s="170"/>
      <c r="I316" s="190"/>
      <c r="J316" s="191"/>
      <c r="K316" s="191"/>
      <c r="L316" s="191" t="s">
        <v>1125</v>
      </c>
      <c r="M316" s="186" t="s">
        <v>677</v>
      </c>
      <c r="N316" s="689">
        <f>T_CEFF!H150</f>
        <v>5.6230000000000002E-2</v>
      </c>
      <c r="O316" s="689">
        <f>T_CEFF!I150</f>
        <v>5.6230000000000002E-2</v>
      </c>
      <c r="P316" s="689">
        <f>T_CEFF!J150</f>
        <v>5.6230000000000002E-2</v>
      </c>
      <c r="Q316" s="689">
        <f>T_CEFF!K150</f>
        <v>5.6230000000000002E-2</v>
      </c>
      <c r="R316" s="689">
        <f>T_CEFF!L150</f>
        <v>5.6230000000000002E-2</v>
      </c>
      <c r="S316" s="689">
        <f>T_CEFF!M150</f>
        <v>5.6230000000000002E-2</v>
      </c>
      <c r="T316" s="689">
        <f>T_CEFF!N150</f>
        <v>5.6230000000000002E-2</v>
      </c>
      <c r="U316" s="689">
        <f>T_CEFF!O150</f>
        <v>5.6230000000000002E-2</v>
      </c>
      <c r="V316" s="689">
        <f>T_CEFF!P150</f>
        <v>5.6230000000000002E-2</v>
      </c>
      <c r="W316" s="689">
        <f>T_CEFF!Q150</f>
        <v>5.6230000000000002E-2</v>
      </c>
      <c r="X316" s="689">
        <f>T_CEFF!R150</f>
        <v>5.6230000000000002E-2</v>
      </c>
      <c r="Y316" s="689">
        <f>T_CEFF!S150</f>
        <v>5.6230000000000002E-2</v>
      </c>
      <c r="Z316" s="689">
        <f>T_CEFF!T150</f>
        <v>5.6230000000000002E-2</v>
      </c>
      <c r="AA316" s="689">
        <f>T_CEFF!U150</f>
        <v>5.6230000000000002E-2</v>
      </c>
      <c r="AB316" s="689">
        <f>T_CEFF!V150</f>
        <v>5.6230000000000002E-2</v>
      </c>
      <c r="AE316" s="36"/>
      <c r="AF316" s="68"/>
    </row>
    <row r="317" spans="1:49" x14ac:dyDescent="0.3">
      <c r="A317" s="22"/>
      <c r="B317" s="186" t="str">
        <f>B316</f>
        <v>TBISPYG100</v>
      </c>
      <c r="C317" s="186"/>
      <c r="D317" s="187"/>
      <c r="E317" s="186"/>
      <c r="F317" s="170"/>
      <c r="G317" s="188" t="s">
        <v>589</v>
      </c>
      <c r="H317" s="170"/>
      <c r="I317" s="190"/>
      <c r="J317" s="191"/>
      <c r="K317" s="191"/>
      <c r="L317" s="191" t="s">
        <v>1125</v>
      </c>
      <c r="M317" s="186" t="s">
        <v>677</v>
      </c>
      <c r="N317" s="689">
        <f>T_CEFF!H151</f>
        <v>5.6230000000000002E-2</v>
      </c>
      <c r="O317" s="689">
        <f>T_CEFF!I151</f>
        <v>5.6230000000000002E-2</v>
      </c>
      <c r="P317" s="689">
        <f>T_CEFF!J151</f>
        <v>5.6230000000000002E-2</v>
      </c>
      <c r="Q317" s="689">
        <f>T_CEFF!K151</f>
        <v>5.6230000000000002E-2</v>
      </c>
      <c r="R317" s="689">
        <f>T_CEFF!L151</f>
        <v>5.6230000000000002E-2</v>
      </c>
      <c r="S317" s="689">
        <f>T_CEFF!M151</f>
        <v>5.6230000000000002E-2</v>
      </c>
      <c r="T317" s="689">
        <f>T_CEFF!N151</f>
        <v>5.6230000000000002E-2</v>
      </c>
      <c r="U317" s="689">
        <f>T_CEFF!O151</f>
        <v>5.6230000000000002E-2</v>
      </c>
      <c r="V317" s="689">
        <f>T_CEFF!P151</f>
        <v>5.6230000000000002E-2</v>
      </c>
      <c r="W317" s="689">
        <f>T_CEFF!Q151</f>
        <v>5.6230000000000002E-2</v>
      </c>
      <c r="X317" s="689">
        <f>T_CEFF!R151</f>
        <v>5.6230000000000002E-2</v>
      </c>
      <c r="Y317" s="689">
        <f>T_CEFF!S151</f>
        <v>5.6230000000000002E-2</v>
      </c>
      <c r="Z317" s="689">
        <f>T_CEFF!T151</f>
        <v>5.6230000000000002E-2</v>
      </c>
      <c r="AA317" s="689">
        <f>T_CEFF!U151</f>
        <v>5.6230000000000002E-2</v>
      </c>
      <c r="AB317" s="689">
        <f>T_CEFF!V151</f>
        <v>5.6230000000000002E-2</v>
      </c>
      <c r="AE317" s="36"/>
      <c r="AF317" s="68"/>
    </row>
    <row r="318" spans="1:49" x14ac:dyDescent="0.3">
      <c r="A318" s="22"/>
      <c r="B318" s="186" t="str">
        <f t="shared" ref="B318:B326" si="358">B317</f>
        <v>TBISPYG100</v>
      </c>
      <c r="C318" s="186"/>
      <c r="D318" s="187"/>
      <c r="E318" s="186"/>
      <c r="F318" s="170"/>
      <c r="G318" s="189"/>
      <c r="H318" s="170"/>
      <c r="I318" s="190"/>
      <c r="J318" s="191"/>
      <c r="K318" s="191" t="s">
        <v>748</v>
      </c>
      <c r="L318" s="191" t="s">
        <v>1127</v>
      </c>
      <c r="M318" s="186" t="s">
        <v>1158</v>
      </c>
      <c r="N318" s="602">
        <f t="shared" ref="N318:AB318" si="359">N$16</f>
        <v>18</v>
      </c>
      <c r="O318" s="602">
        <f t="shared" si="359"/>
        <v>0</v>
      </c>
      <c r="P318" s="602">
        <f t="shared" si="359"/>
        <v>0</v>
      </c>
      <c r="Q318" s="602">
        <f t="shared" si="359"/>
        <v>0</v>
      </c>
      <c r="R318" s="602">
        <f t="shared" si="359"/>
        <v>0</v>
      </c>
      <c r="S318" s="602">
        <f t="shared" si="359"/>
        <v>0</v>
      </c>
      <c r="T318" s="602">
        <f t="shared" si="359"/>
        <v>0</v>
      </c>
      <c r="U318" s="602">
        <f t="shared" si="359"/>
        <v>0</v>
      </c>
      <c r="V318" s="602">
        <f t="shared" si="359"/>
        <v>0</v>
      </c>
      <c r="W318" s="602">
        <f t="shared" si="359"/>
        <v>0</v>
      </c>
      <c r="X318" s="602">
        <f t="shared" si="359"/>
        <v>0</v>
      </c>
      <c r="Y318" s="602">
        <f t="shared" si="359"/>
        <v>0</v>
      </c>
      <c r="Z318" s="602">
        <f t="shared" si="359"/>
        <v>0</v>
      </c>
      <c r="AA318" s="602">
        <f t="shared" si="359"/>
        <v>0</v>
      </c>
      <c r="AB318" s="602">
        <f t="shared" si="359"/>
        <v>0</v>
      </c>
      <c r="AE318" s="36"/>
      <c r="AF318" s="68"/>
    </row>
    <row r="319" spans="1:49" x14ac:dyDescent="0.3">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8.9600000000000009</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1">
        <f>SUM(AF319:AT319)</f>
        <v>0.17727897600000003</v>
      </c>
      <c r="AF319" s="85">
        <f t="shared" ref="AF319:AT319" si="360">N318*N319*N320/1000</f>
        <v>0.17727897600000003</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3">
      <c r="A320" s="22"/>
      <c r="B320" s="186" t="str">
        <f t="shared" si="358"/>
        <v>TBISPYG100</v>
      </c>
      <c r="C320" s="186"/>
      <c r="D320" s="187"/>
      <c r="E320" s="186"/>
      <c r="F320" s="170"/>
      <c r="G320" s="189"/>
      <c r="H320" s="170"/>
      <c r="I320" s="190">
        <f>$M$3</f>
        <v>2019</v>
      </c>
      <c r="J320" s="191"/>
      <c r="K320" s="191"/>
      <c r="L320" s="211" t="s">
        <v>1064</v>
      </c>
      <c r="M320" s="186" t="s">
        <v>747</v>
      </c>
      <c r="N320" s="686">
        <f>LOOKUP($C$314, T_Stock_Private!$C$74:$C$84, T_Stock_Private!D$74:D$84)*(1+N180)</f>
        <v>1.0992</v>
      </c>
      <c r="O320" s="686">
        <f>LOOKUP($C$314, T_Stock_Private!$C$74:$C$84, T_Stock_Private!E$74:E$84)*(1+O180)</f>
        <v>0</v>
      </c>
      <c r="P320" s="686">
        <f>LOOKUP($C$314, T_Stock_Private!$C$74:$C$84, T_Stock_Private!F$74:F$84)*(1+P180)</f>
        <v>0</v>
      </c>
      <c r="Q320" s="686">
        <f>LOOKUP($C$314, T_Stock_Private!$C$74:$C$84, T_Stock_Private!G$74:G$84)*(1+Q180)</f>
        <v>0</v>
      </c>
      <c r="R320" s="686">
        <f>LOOKUP($C$314, T_Stock_Private!$C$74:$C$84, T_Stock_Private!H$74:H$84)*(1+R180)</f>
        <v>0</v>
      </c>
      <c r="S320" s="686">
        <f>LOOKUP($C$314, T_Stock_Private!$C$74:$C$84, T_Stock_Private!I$74:I$84)*(1+S180)</f>
        <v>0</v>
      </c>
      <c r="T320" s="686">
        <f>LOOKUP($C$314, T_Stock_Private!$C$74:$C$84, T_Stock_Private!J$74:J$84)*(1+T180)</f>
        <v>0</v>
      </c>
      <c r="U320" s="686">
        <f>LOOKUP($C$314, T_Stock_Private!$C$74:$C$84, T_Stock_Private!K$74:K$84)*(1+U180)</f>
        <v>0</v>
      </c>
      <c r="V320" s="686">
        <f>LOOKUP($C$314, T_Stock_Private!$C$74:$C$84, T_Stock_Private!L$74:L$84)*(1+V180)</f>
        <v>0</v>
      </c>
      <c r="W320" s="686">
        <f>LOOKUP($C$314, T_Stock_Private!$C$74:$C$84, T_Stock_Private!M$74:M$84)*(1+W180)</f>
        <v>0</v>
      </c>
      <c r="X320" s="686">
        <f>LOOKUP($C$314, T_Stock_Private!$C$74:$C$84, T_Stock_Private!N$74:N$84)*(1+X180)</f>
        <v>0</v>
      </c>
      <c r="Y320" s="686">
        <f>LOOKUP($C$314, T_Stock_Private!$C$74:$C$84, T_Stock_Private!O$74:O$84)*(1+Y180)</f>
        <v>0</v>
      </c>
      <c r="Z320" s="686">
        <f>LOOKUP($C$314, T_Stock_Private!$C$74:$C$84, T_Stock_Private!P$74:P$84)*(1+Z180)</f>
        <v>0</v>
      </c>
      <c r="AA320" s="686">
        <f>LOOKUP($C$314, T_Stock_Private!$C$74:$C$84, T_Stock_Private!Q$74:Q$84)*(1+AA180)</f>
        <v>0</v>
      </c>
      <c r="AB320" s="686">
        <f>LOOKUP($C$314, T_Stock_Private!$C$74:$C$84, T_Stock_Private!R$74:R$84)*(1+AB180)</f>
        <v>0</v>
      </c>
      <c r="AC320" s="89"/>
    </row>
    <row r="321" spans="1:28" x14ac:dyDescent="0.3">
      <c r="A321" s="22"/>
      <c r="B321" s="186" t="str">
        <f t="shared" si="358"/>
        <v>TBISPYG100</v>
      </c>
      <c r="C321" s="186"/>
      <c r="D321" s="187"/>
      <c r="E321" s="186"/>
      <c r="F321" s="170"/>
      <c r="G321" s="189"/>
      <c r="H321" s="170"/>
      <c r="I321" s="190">
        <f>AF$5</f>
        <v>2020</v>
      </c>
      <c r="J321" s="191"/>
      <c r="K321" s="191"/>
      <c r="L321" s="211" t="s">
        <v>1064</v>
      </c>
      <c r="M321" s="186" t="s">
        <v>747</v>
      </c>
      <c r="N321" s="686">
        <f t="shared" ref="N321:AB321" si="361">N320*LOOKUP($AD314,$AG$4:$AP$4,$AG$5:$AP$5)</f>
        <v>1.0442399999999998</v>
      </c>
      <c r="O321" s="686">
        <f t="shared" si="361"/>
        <v>0</v>
      </c>
      <c r="P321" s="686">
        <f t="shared" si="361"/>
        <v>0</v>
      </c>
      <c r="Q321" s="686">
        <f t="shared" si="361"/>
        <v>0</v>
      </c>
      <c r="R321" s="686">
        <f t="shared" si="361"/>
        <v>0</v>
      </c>
      <c r="S321" s="686">
        <f t="shared" si="361"/>
        <v>0</v>
      </c>
      <c r="T321" s="686">
        <f t="shared" si="361"/>
        <v>0</v>
      </c>
      <c r="U321" s="686">
        <f t="shared" si="361"/>
        <v>0</v>
      </c>
      <c r="V321" s="686">
        <f t="shared" si="361"/>
        <v>0</v>
      </c>
      <c r="W321" s="686">
        <f t="shared" si="361"/>
        <v>0</v>
      </c>
      <c r="X321" s="686">
        <f t="shared" si="361"/>
        <v>0</v>
      </c>
      <c r="Y321" s="686">
        <f t="shared" si="361"/>
        <v>0</v>
      </c>
      <c r="Z321" s="686">
        <f t="shared" si="361"/>
        <v>0</v>
      </c>
      <c r="AA321" s="686">
        <f t="shared" si="361"/>
        <v>0</v>
      </c>
      <c r="AB321" s="686">
        <f t="shared" si="361"/>
        <v>0</v>
      </c>
    </row>
    <row r="322" spans="1:28" x14ac:dyDescent="0.3">
      <c r="A322" s="22"/>
      <c r="B322" s="186" t="str">
        <f t="shared" si="358"/>
        <v>TBISPYG100</v>
      </c>
      <c r="C322" s="186"/>
      <c r="D322" s="187"/>
      <c r="E322" s="186"/>
      <c r="F322" s="170"/>
      <c r="G322" s="189"/>
      <c r="H322" s="170"/>
      <c r="I322" s="190">
        <f>AF$6</f>
        <v>2025</v>
      </c>
      <c r="J322" s="191"/>
      <c r="K322" s="191"/>
      <c r="L322" s="211" t="s">
        <v>1064</v>
      </c>
      <c r="M322" s="186" t="s">
        <v>747</v>
      </c>
      <c r="N322" s="686">
        <f t="shared" ref="N322:AB322" si="362">N320*LOOKUP($AD314,$AG$4:$AP$4,$AG$6:$AP$6)</f>
        <v>0.65952</v>
      </c>
      <c r="O322" s="686">
        <f t="shared" si="362"/>
        <v>0</v>
      </c>
      <c r="P322" s="686">
        <f t="shared" si="362"/>
        <v>0</v>
      </c>
      <c r="Q322" s="686">
        <f t="shared" si="362"/>
        <v>0</v>
      </c>
      <c r="R322" s="686">
        <f t="shared" si="362"/>
        <v>0</v>
      </c>
      <c r="S322" s="686">
        <f t="shared" si="362"/>
        <v>0</v>
      </c>
      <c r="T322" s="686">
        <f t="shared" si="362"/>
        <v>0</v>
      </c>
      <c r="U322" s="686">
        <f t="shared" si="362"/>
        <v>0</v>
      </c>
      <c r="V322" s="686">
        <f t="shared" si="362"/>
        <v>0</v>
      </c>
      <c r="W322" s="686">
        <f t="shared" si="362"/>
        <v>0</v>
      </c>
      <c r="X322" s="686">
        <f t="shared" si="362"/>
        <v>0</v>
      </c>
      <c r="Y322" s="686">
        <f t="shared" si="362"/>
        <v>0</v>
      </c>
      <c r="Z322" s="686">
        <f t="shared" si="362"/>
        <v>0</v>
      </c>
      <c r="AA322" s="686">
        <f t="shared" si="362"/>
        <v>0</v>
      </c>
      <c r="AB322" s="686">
        <f t="shared" si="362"/>
        <v>0</v>
      </c>
    </row>
    <row r="323" spans="1:28" x14ac:dyDescent="0.3">
      <c r="A323" s="22"/>
      <c r="B323" s="186" t="str">
        <f t="shared" si="358"/>
        <v>TBISPYG100</v>
      </c>
      <c r="C323" s="186"/>
      <c r="D323" s="187"/>
      <c r="E323" s="186"/>
      <c r="F323" s="170"/>
      <c r="G323" s="189"/>
      <c r="H323" s="170"/>
      <c r="I323" s="190">
        <f>AF$7</f>
        <v>2030</v>
      </c>
      <c r="J323" s="191"/>
      <c r="K323" s="191"/>
      <c r="L323" s="211" t="s">
        <v>1064</v>
      </c>
      <c r="M323" s="186" t="s">
        <v>747</v>
      </c>
      <c r="N323" s="686">
        <f t="shared" ref="N323:AB323" si="363">N320*LOOKUP($AD314,$AG$4:$AP$4,$AG$7:$AP$7)</f>
        <v>0.10992</v>
      </c>
      <c r="O323" s="686">
        <f t="shared" si="363"/>
        <v>0</v>
      </c>
      <c r="P323" s="686">
        <f t="shared" si="363"/>
        <v>0</v>
      </c>
      <c r="Q323" s="686">
        <f t="shared" si="363"/>
        <v>0</v>
      </c>
      <c r="R323" s="686">
        <f t="shared" si="363"/>
        <v>0</v>
      </c>
      <c r="S323" s="686">
        <f t="shared" si="363"/>
        <v>0</v>
      </c>
      <c r="T323" s="686">
        <f t="shared" si="363"/>
        <v>0</v>
      </c>
      <c r="U323" s="686">
        <f t="shared" si="363"/>
        <v>0</v>
      </c>
      <c r="V323" s="686">
        <f t="shared" si="363"/>
        <v>0</v>
      </c>
      <c r="W323" s="686">
        <f t="shared" si="363"/>
        <v>0</v>
      </c>
      <c r="X323" s="686">
        <f t="shared" si="363"/>
        <v>0</v>
      </c>
      <c r="Y323" s="686">
        <f t="shared" si="363"/>
        <v>0</v>
      </c>
      <c r="Z323" s="686">
        <f t="shared" si="363"/>
        <v>0</v>
      </c>
      <c r="AA323" s="686">
        <f t="shared" si="363"/>
        <v>0</v>
      </c>
      <c r="AB323" s="686">
        <f t="shared" si="363"/>
        <v>0</v>
      </c>
    </row>
    <row r="324" spans="1:28" x14ac:dyDescent="0.3">
      <c r="A324" s="22"/>
      <c r="B324" s="186" t="str">
        <f t="shared" si="358"/>
        <v>TBISPYG100</v>
      </c>
      <c r="C324" s="186"/>
      <c r="D324" s="187"/>
      <c r="E324" s="186"/>
      <c r="F324" s="170"/>
      <c r="G324" s="189"/>
      <c r="H324" s="170"/>
      <c r="I324" s="190">
        <f>AF$8</f>
        <v>2035</v>
      </c>
      <c r="J324" s="191"/>
      <c r="K324" s="191"/>
      <c r="L324" s="211" t="s">
        <v>1064</v>
      </c>
      <c r="M324" s="186" t="s">
        <v>747</v>
      </c>
      <c r="N324" s="686">
        <f t="shared" ref="N324:AB324" si="364">N320*LOOKUP($AD314,$AG$4:$AP$4,$AG$8:$AP$8)</f>
        <v>1.0992E-2</v>
      </c>
      <c r="O324" s="686">
        <f t="shared" si="364"/>
        <v>0</v>
      </c>
      <c r="P324" s="686">
        <f t="shared" si="364"/>
        <v>0</v>
      </c>
      <c r="Q324" s="686">
        <f t="shared" si="364"/>
        <v>0</v>
      </c>
      <c r="R324" s="686">
        <f t="shared" si="364"/>
        <v>0</v>
      </c>
      <c r="S324" s="686">
        <f t="shared" si="364"/>
        <v>0</v>
      </c>
      <c r="T324" s="686">
        <f t="shared" si="364"/>
        <v>0</v>
      </c>
      <c r="U324" s="686">
        <f t="shared" si="364"/>
        <v>0</v>
      </c>
      <c r="V324" s="686">
        <f t="shared" si="364"/>
        <v>0</v>
      </c>
      <c r="W324" s="686">
        <f t="shared" si="364"/>
        <v>0</v>
      </c>
      <c r="X324" s="686">
        <f t="shared" si="364"/>
        <v>0</v>
      </c>
      <c r="Y324" s="686">
        <f t="shared" si="364"/>
        <v>0</v>
      </c>
      <c r="Z324" s="686">
        <f t="shared" si="364"/>
        <v>0</v>
      </c>
      <c r="AA324" s="686">
        <f t="shared" si="364"/>
        <v>0</v>
      </c>
      <c r="AB324" s="686">
        <f t="shared" si="364"/>
        <v>0</v>
      </c>
    </row>
    <row r="325" spans="1:28" x14ac:dyDescent="0.3">
      <c r="A325" s="22"/>
      <c r="B325" s="186" t="str">
        <f t="shared" si="358"/>
        <v>TBISPYG100</v>
      </c>
      <c r="C325" s="186"/>
      <c r="D325" s="187"/>
      <c r="E325" s="186"/>
      <c r="F325" s="170"/>
      <c r="G325" s="189"/>
      <c r="H325" s="170"/>
      <c r="I325" s="190">
        <f>AF$9</f>
        <v>2040</v>
      </c>
      <c r="J325" s="191"/>
      <c r="K325" s="191"/>
      <c r="L325" s="211" t="s">
        <v>1064</v>
      </c>
      <c r="M325" s="186" t="s">
        <v>747</v>
      </c>
      <c r="N325" s="686">
        <f t="shared" ref="N325:AB325" si="365">N320*LOOKUP($AD314,$AG$4:$AP$4,$AG$9:$AP$9)</f>
        <v>0</v>
      </c>
      <c r="O325" s="686">
        <f t="shared" si="365"/>
        <v>0</v>
      </c>
      <c r="P325" s="686">
        <f t="shared" si="365"/>
        <v>0</v>
      </c>
      <c r="Q325" s="686">
        <f t="shared" si="365"/>
        <v>0</v>
      </c>
      <c r="R325" s="686">
        <f t="shared" si="365"/>
        <v>0</v>
      </c>
      <c r="S325" s="686">
        <f t="shared" si="365"/>
        <v>0</v>
      </c>
      <c r="T325" s="686">
        <f t="shared" si="365"/>
        <v>0</v>
      </c>
      <c r="U325" s="686">
        <f t="shared" si="365"/>
        <v>0</v>
      </c>
      <c r="V325" s="686">
        <f t="shared" si="365"/>
        <v>0</v>
      </c>
      <c r="W325" s="686">
        <f t="shared" si="365"/>
        <v>0</v>
      </c>
      <c r="X325" s="686">
        <f t="shared" si="365"/>
        <v>0</v>
      </c>
      <c r="Y325" s="686">
        <f t="shared" si="365"/>
        <v>0</v>
      </c>
      <c r="Z325" s="686">
        <f t="shared" si="365"/>
        <v>0</v>
      </c>
      <c r="AA325" s="686">
        <f t="shared" si="365"/>
        <v>0</v>
      </c>
      <c r="AB325" s="686">
        <f t="shared" si="365"/>
        <v>0</v>
      </c>
    </row>
    <row r="326" spans="1:28" x14ac:dyDescent="0.3">
      <c r="A326" s="22"/>
      <c r="B326" s="193" t="str">
        <f t="shared" si="358"/>
        <v>TBISPYG100</v>
      </c>
      <c r="C326" s="193"/>
      <c r="D326" s="194"/>
      <c r="E326" s="193"/>
      <c r="F326" s="196"/>
      <c r="G326" s="195"/>
      <c r="H326" s="196"/>
      <c r="I326" s="197">
        <f>AF$10</f>
        <v>2050</v>
      </c>
      <c r="J326" s="198"/>
      <c r="K326" s="198"/>
      <c r="L326" s="199" t="s">
        <v>1064</v>
      </c>
      <c r="M326" s="193" t="s">
        <v>747</v>
      </c>
      <c r="N326" s="687">
        <f t="shared" ref="N326:AB326" si="366">N320*LOOKUP($AD314,$AG$4:$AP$4,$AG$10:$AP$10)</f>
        <v>0</v>
      </c>
      <c r="O326" s="687">
        <f t="shared" si="366"/>
        <v>0</v>
      </c>
      <c r="P326" s="687">
        <f t="shared" si="366"/>
        <v>0</v>
      </c>
      <c r="Q326" s="687">
        <f t="shared" si="366"/>
        <v>0</v>
      </c>
      <c r="R326" s="687">
        <f t="shared" si="366"/>
        <v>0</v>
      </c>
      <c r="S326" s="687">
        <f t="shared" si="366"/>
        <v>0</v>
      </c>
      <c r="T326" s="687">
        <f t="shared" si="366"/>
        <v>0</v>
      </c>
      <c r="U326" s="687">
        <f t="shared" si="366"/>
        <v>0</v>
      </c>
      <c r="V326" s="687">
        <f t="shared" si="366"/>
        <v>0</v>
      </c>
      <c r="W326" s="687">
        <f t="shared" si="366"/>
        <v>0</v>
      </c>
      <c r="X326" s="687">
        <f t="shared" si="366"/>
        <v>0</v>
      </c>
      <c r="Y326" s="687">
        <f t="shared" si="366"/>
        <v>0</v>
      </c>
      <c r="Z326" s="687">
        <f t="shared" si="366"/>
        <v>0</v>
      </c>
      <c r="AA326" s="687">
        <f t="shared" si="366"/>
        <v>0</v>
      </c>
      <c r="AB326" s="687">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topLeftCell="A167" zoomScale="75" zoomScaleNormal="75" workbookViewId="0">
      <selection activeCell="AE194" sqref="AE194"/>
    </sheetView>
  </sheetViews>
  <sheetFormatPr defaultColWidth="9.33203125" defaultRowHeight="14.4" x14ac:dyDescent="0.3"/>
  <cols>
    <col min="1" max="1" width="9.33203125" style="35"/>
    <col min="2" max="2" width="18.33203125" style="35" customWidth="1"/>
    <col min="3" max="3" width="12.6640625" style="35" bestFit="1" customWidth="1"/>
    <col min="4" max="4" width="41.33203125"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3.5546875" style="35" customWidth="1"/>
    <col min="11" max="11" width="15.5546875" style="35" customWidth="1"/>
    <col min="12" max="12" width="20" style="35" customWidth="1"/>
    <col min="13" max="13" width="19.33203125" style="70" bestFit="1" customWidth="1"/>
    <col min="14" max="28" width="10.5546875" style="35" customWidth="1"/>
    <col min="29" max="29" width="9.33203125" style="35"/>
    <col min="30" max="30" width="14.6640625" style="35" customWidth="1"/>
    <col min="31" max="31" width="11.44140625" style="35" bestFit="1" customWidth="1"/>
    <col min="32" max="32" width="10.44140625" style="35" customWidth="1"/>
    <col min="33" max="46" width="11.44140625" style="35" bestFit="1" customWidth="1"/>
    <col min="47" max="47" width="2.33203125" style="35" customWidth="1"/>
    <col min="48" max="48" width="16.6640625" style="35" bestFit="1" customWidth="1"/>
    <col min="49" max="16384" width="9.33203125" style="35"/>
  </cols>
  <sheetData>
    <row r="1" spans="1:64" x14ac:dyDescent="0.3">
      <c r="M1" s="120" t="s">
        <v>1110</v>
      </c>
    </row>
    <row r="2" spans="1:64" ht="19.5" customHeight="1" x14ac:dyDescent="0.3">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3">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3">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4"/>
      <c r="AH8" s="554">
        <v>0.15</v>
      </c>
      <c r="AI8" s="554">
        <v>0.15</v>
      </c>
      <c r="AJ8" s="554">
        <v>0.15</v>
      </c>
      <c r="AK8" s="554">
        <v>0.15</v>
      </c>
      <c r="AL8" s="554">
        <v>0.15</v>
      </c>
      <c r="AM8" s="554">
        <v>0.15</v>
      </c>
      <c r="AN8" s="554">
        <v>0.15</v>
      </c>
      <c r="AO8" s="554">
        <v>0.15</v>
      </c>
      <c r="AP8" s="554">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0" t="s">
        <v>85</v>
      </c>
      <c r="AW9" s="700" t="s">
        <v>421</v>
      </c>
      <c r="AX9" s="700" t="str">
        <f t="shared" ref="AX9:BL9" si="3">N$2</f>
        <v>Z01</v>
      </c>
      <c r="AY9" s="700" t="str">
        <f t="shared" si="3"/>
        <v>Z02</v>
      </c>
      <c r="AZ9" s="700" t="str">
        <f t="shared" si="3"/>
        <v>Z03</v>
      </c>
      <c r="BA9" s="700" t="str">
        <f t="shared" si="3"/>
        <v>Z04</v>
      </c>
      <c r="BB9" s="700" t="str">
        <f t="shared" si="3"/>
        <v>Z05</v>
      </c>
      <c r="BC9" s="700" t="str">
        <f t="shared" si="3"/>
        <v>Z06</v>
      </c>
      <c r="BD9" s="700" t="str">
        <f t="shared" si="3"/>
        <v>Z07</v>
      </c>
      <c r="BE9" s="700" t="str">
        <f t="shared" si="3"/>
        <v>Z08</v>
      </c>
      <c r="BF9" s="700" t="str">
        <f t="shared" si="3"/>
        <v>Z09</v>
      </c>
      <c r="BG9" s="700" t="str">
        <f t="shared" si="3"/>
        <v>Z10</v>
      </c>
      <c r="BH9" s="700" t="str">
        <f t="shared" si="3"/>
        <v>Z11</v>
      </c>
      <c r="BI9" s="700" t="str">
        <f t="shared" si="3"/>
        <v>Z12</v>
      </c>
      <c r="BJ9" s="700" t="str">
        <f t="shared" si="3"/>
        <v>Z13</v>
      </c>
      <c r="BK9" s="700" t="str">
        <f t="shared" si="3"/>
        <v>Z14</v>
      </c>
      <c r="BL9" s="700" t="str">
        <f t="shared" si="3"/>
        <v>Z15</v>
      </c>
    </row>
    <row r="10" spans="1:64" s="33" customFormat="1" x14ac:dyDescent="0.3">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40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49">
        <f t="shared" ref="AD10:AD18" si="4">SUM(N10:AB10)</f>
        <v>40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6">
        <f t="shared" ref="AW10:AW29" si="5">SUM(AX10:BL10)</f>
        <v>6837.3511396342728</v>
      </c>
      <c r="AX10" s="717">
        <f t="shared" ref="AX10:BL10" si="6">SUM(AX11:AX29)</f>
        <v>6837.3511396342728</v>
      </c>
      <c r="AY10" s="708">
        <f t="shared" si="6"/>
        <v>0</v>
      </c>
      <c r="AZ10" s="708">
        <f t="shared" si="6"/>
        <v>0</v>
      </c>
      <c r="BA10" s="708">
        <f t="shared" si="6"/>
        <v>0</v>
      </c>
      <c r="BB10" s="708">
        <f t="shared" si="6"/>
        <v>0</v>
      </c>
      <c r="BC10" s="708">
        <f t="shared" si="6"/>
        <v>0</v>
      </c>
      <c r="BD10" s="708">
        <f t="shared" si="6"/>
        <v>0</v>
      </c>
      <c r="BE10" s="708">
        <f t="shared" si="6"/>
        <v>0</v>
      </c>
      <c r="BF10" s="708">
        <f t="shared" si="6"/>
        <v>0</v>
      </c>
      <c r="BG10" s="708">
        <f t="shared" si="6"/>
        <v>0</v>
      </c>
      <c r="BH10" s="708">
        <f t="shared" si="6"/>
        <v>0</v>
      </c>
      <c r="BI10" s="708">
        <f t="shared" si="6"/>
        <v>0</v>
      </c>
      <c r="BJ10" s="708">
        <f t="shared" si="6"/>
        <v>0</v>
      </c>
      <c r="BK10" s="708">
        <f t="shared" si="6"/>
        <v>0</v>
      </c>
      <c r="BL10" s="708">
        <f t="shared" si="6"/>
        <v>0</v>
      </c>
    </row>
    <row r="11" spans="1:64" s="33" customFormat="1" x14ac:dyDescent="0.3">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159</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49">
        <f t="shared" si="4"/>
        <v>159</v>
      </c>
      <c r="AF11" s="35"/>
      <c r="AG11" s="35"/>
      <c r="AH11" s="35"/>
      <c r="AI11" s="35"/>
      <c r="AJ11" s="35"/>
      <c r="AK11" s="35"/>
      <c r="AL11" s="35"/>
      <c r="AM11" s="35"/>
      <c r="AN11" s="35"/>
      <c r="AO11" s="35"/>
      <c r="AP11" s="35"/>
      <c r="AQ11" s="35"/>
      <c r="AR11" s="35"/>
      <c r="AS11" s="35"/>
      <c r="AV11" s="724" t="s">
        <v>987</v>
      </c>
      <c r="AW11" s="934">
        <f t="shared" si="5"/>
        <v>1124.7980695492272</v>
      </c>
      <c r="AX11" s="727">
        <f t="shared" ref="AX11:BL20" si="7">SUMIF($AV$38:$AV$481,$AV11,AX$38:AX$481)</f>
        <v>1124.7980695492272</v>
      </c>
      <c r="AY11" s="722">
        <f t="shared" si="7"/>
        <v>0</v>
      </c>
      <c r="AZ11" s="722">
        <f t="shared" si="7"/>
        <v>0</v>
      </c>
      <c r="BA11" s="722">
        <f t="shared" si="7"/>
        <v>0</v>
      </c>
      <c r="BB11" s="722">
        <f t="shared" si="7"/>
        <v>0</v>
      </c>
      <c r="BC11" s="722">
        <f t="shared" si="7"/>
        <v>0</v>
      </c>
      <c r="BD11" s="722">
        <f t="shared" si="7"/>
        <v>0</v>
      </c>
      <c r="BE11" s="722">
        <f t="shared" si="7"/>
        <v>0</v>
      </c>
      <c r="BF11" s="722">
        <f t="shared" si="7"/>
        <v>0</v>
      </c>
      <c r="BG11" s="722">
        <f t="shared" si="7"/>
        <v>0</v>
      </c>
      <c r="BH11" s="722">
        <f t="shared" si="7"/>
        <v>0</v>
      </c>
      <c r="BI11" s="722">
        <f t="shared" si="7"/>
        <v>0</v>
      </c>
      <c r="BJ11" s="722">
        <f t="shared" si="7"/>
        <v>0</v>
      </c>
      <c r="BK11" s="722">
        <f t="shared" si="7"/>
        <v>0</v>
      </c>
      <c r="BL11" s="722">
        <f t="shared" si="7"/>
        <v>0</v>
      </c>
    </row>
    <row r="12" spans="1:64" s="33" customFormat="1" x14ac:dyDescent="0.3">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49">
        <f t="shared" si="4"/>
        <v>0</v>
      </c>
      <c r="AF12" s="35"/>
      <c r="AG12" s="35"/>
      <c r="AH12" s="35"/>
      <c r="AI12" s="35"/>
      <c r="AJ12" s="35"/>
      <c r="AK12" s="35"/>
      <c r="AL12" s="35"/>
      <c r="AM12" s="35"/>
      <c r="AN12" s="35"/>
      <c r="AO12" s="35"/>
      <c r="AP12" s="35"/>
      <c r="AQ12" s="35"/>
      <c r="AR12" s="35"/>
      <c r="AS12" s="35"/>
      <c r="AV12" s="724" t="s">
        <v>989</v>
      </c>
      <c r="AW12" s="934">
        <f t="shared" si="5"/>
        <v>372.50976116366462</v>
      </c>
      <c r="AX12" s="727">
        <f t="shared" si="7"/>
        <v>372.50976116366462</v>
      </c>
      <c r="AY12" s="722">
        <f t="shared" si="7"/>
        <v>0</v>
      </c>
      <c r="AZ12" s="722">
        <f t="shared" si="7"/>
        <v>0</v>
      </c>
      <c r="BA12" s="722">
        <f t="shared" si="7"/>
        <v>0</v>
      </c>
      <c r="BB12" s="722">
        <f t="shared" si="7"/>
        <v>0</v>
      </c>
      <c r="BC12" s="722">
        <f t="shared" si="7"/>
        <v>0</v>
      </c>
      <c r="BD12" s="722">
        <f t="shared" si="7"/>
        <v>0</v>
      </c>
      <c r="BE12" s="722">
        <f t="shared" si="7"/>
        <v>0</v>
      </c>
      <c r="BF12" s="722">
        <f t="shared" si="7"/>
        <v>0</v>
      </c>
      <c r="BG12" s="722">
        <f t="shared" si="7"/>
        <v>0</v>
      </c>
      <c r="BH12" s="722">
        <f t="shared" si="7"/>
        <v>0</v>
      </c>
      <c r="BI12" s="722">
        <f t="shared" si="7"/>
        <v>0</v>
      </c>
      <c r="BJ12" s="722">
        <f t="shared" si="7"/>
        <v>0</v>
      </c>
      <c r="BK12" s="722">
        <f t="shared" si="7"/>
        <v>0</v>
      </c>
      <c r="BL12" s="722">
        <f t="shared" si="7"/>
        <v>0</v>
      </c>
    </row>
    <row r="13" spans="1:64" s="33" customFormat="1" x14ac:dyDescent="0.3">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49">
        <f t="shared" si="4"/>
        <v>0</v>
      </c>
      <c r="AF13" s="35"/>
      <c r="AG13" s="35"/>
      <c r="AH13" s="35"/>
      <c r="AI13" s="35"/>
      <c r="AJ13" s="35"/>
      <c r="AK13" s="35"/>
      <c r="AL13" s="35"/>
      <c r="AM13" s="35"/>
      <c r="AN13" s="35"/>
      <c r="AO13" s="35"/>
      <c r="AP13" s="35"/>
      <c r="AQ13" s="35"/>
      <c r="AR13" s="35"/>
      <c r="AS13" s="35"/>
      <c r="AV13" s="724" t="s">
        <v>993</v>
      </c>
      <c r="AW13" s="934">
        <f t="shared" si="5"/>
        <v>181.80312134687759</v>
      </c>
      <c r="AX13" s="727">
        <f t="shared" si="7"/>
        <v>181.80312134687759</v>
      </c>
      <c r="AY13" s="722">
        <f t="shared" si="7"/>
        <v>0</v>
      </c>
      <c r="AZ13" s="722">
        <f t="shared" si="7"/>
        <v>0</v>
      </c>
      <c r="BA13" s="722">
        <f t="shared" si="7"/>
        <v>0</v>
      </c>
      <c r="BB13" s="722">
        <f t="shared" si="7"/>
        <v>0</v>
      </c>
      <c r="BC13" s="722">
        <f t="shared" si="7"/>
        <v>0</v>
      </c>
      <c r="BD13" s="722">
        <f t="shared" si="7"/>
        <v>0</v>
      </c>
      <c r="BE13" s="722">
        <f t="shared" si="7"/>
        <v>0</v>
      </c>
      <c r="BF13" s="722">
        <f t="shared" si="7"/>
        <v>0</v>
      </c>
      <c r="BG13" s="722">
        <f t="shared" si="7"/>
        <v>0</v>
      </c>
      <c r="BH13" s="722">
        <f t="shared" si="7"/>
        <v>0</v>
      </c>
      <c r="BI13" s="722">
        <f t="shared" si="7"/>
        <v>0</v>
      </c>
      <c r="BJ13" s="722">
        <f t="shared" si="7"/>
        <v>0</v>
      </c>
      <c r="BK13" s="722">
        <f t="shared" si="7"/>
        <v>0</v>
      </c>
      <c r="BL13" s="722">
        <f t="shared" si="7"/>
        <v>0</v>
      </c>
    </row>
    <row r="14" spans="1:64" s="33" customFormat="1" x14ac:dyDescent="0.3">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1668</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49">
        <f t="shared" si="4"/>
        <v>1668</v>
      </c>
      <c r="AF14" s="35"/>
      <c r="AG14" s="35"/>
      <c r="AH14" s="35"/>
      <c r="AI14" s="35"/>
      <c r="AJ14" s="35"/>
      <c r="AK14" s="35"/>
      <c r="AL14" s="35"/>
      <c r="AM14" s="35"/>
      <c r="AN14" s="35"/>
      <c r="AO14" s="35"/>
      <c r="AQ14" s="35"/>
      <c r="AR14" s="35"/>
      <c r="AS14" s="35"/>
      <c r="AV14" s="724" t="s">
        <v>995</v>
      </c>
      <c r="AW14" s="934">
        <f t="shared" si="5"/>
        <v>0</v>
      </c>
      <c r="AX14" s="727">
        <f t="shared" si="7"/>
        <v>0</v>
      </c>
      <c r="AY14" s="722">
        <f t="shared" si="7"/>
        <v>0</v>
      </c>
      <c r="AZ14" s="722">
        <f t="shared" si="7"/>
        <v>0</v>
      </c>
      <c r="BA14" s="722">
        <f t="shared" si="7"/>
        <v>0</v>
      </c>
      <c r="BB14" s="722">
        <f t="shared" si="7"/>
        <v>0</v>
      </c>
      <c r="BC14" s="722">
        <f t="shared" si="7"/>
        <v>0</v>
      </c>
      <c r="BD14" s="722">
        <f t="shared" si="7"/>
        <v>0</v>
      </c>
      <c r="BE14" s="722">
        <f t="shared" si="7"/>
        <v>0</v>
      </c>
      <c r="BF14" s="722">
        <f t="shared" si="7"/>
        <v>0</v>
      </c>
      <c r="BG14" s="722">
        <f t="shared" si="7"/>
        <v>0</v>
      </c>
      <c r="BH14" s="722">
        <f t="shared" si="7"/>
        <v>0</v>
      </c>
      <c r="BI14" s="722">
        <f t="shared" si="7"/>
        <v>0</v>
      </c>
      <c r="BJ14" s="722">
        <f t="shared" si="7"/>
        <v>0</v>
      </c>
      <c r="BK14" s="722">
        <f t="shared" si="7"/>
        <v>0</v>
      </c>
      <c r="BL14" s="722">
        <f t="shared" si="7"/>
        <v>0</v>
      </c>
    </row>
    <row r="15" spans="1:64" s="33" customFormat="1" x14ac:dyDescent="0.3">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1112</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49">
        <f>SUM(N15:AB15)</f>
        <v>1112</v>
      </c>
      <c r="AF15" s="35"/>
      <c r="AG15" s="35"/>
      <c r="AH15" s="35"/>
      <c r="AI15" s="35"/>
      <c r="AJ15" s="35"/>
      <c r="AK15" s="35"/>
      <c r="AL15" s="35"/>
      <c r="AM15" s="35"/>
      <c r="AN15" s="35"/>
      <c r="AQ15" s="35"/>
      <c r="AR15" s="35"/>
      <c r="AS15" s="35"/>
      <c r="AV15" s="724" t="s">
        <v>997</v>
      </c>
      <c r="AW15" s="934">
        <f t="shared" si="5"/>
        <v>0</v>
      </c>
      <c r="AX15" s="727">
        <f t="shared" si="7"/>
        <v>0</v>
      </c>
      <c r="AY15" s="722">
        <f t="shared" si="7"/>
        <v>0</v>
      </c>
      <c r="AZ15" s="722">
        <f t="shared" si="7"/>
        <v>0</v>
      </c>
      <c r="BA15" s="722">
        <f t="shared" si="7"/>
        <v>0</v>
      </c>
      <c r="BB15" s="722">
        <f t="shared" si="7"/>
        <v>0</v>
      </c>
      <c r="BC15" s="722">
        <f t="shared" si="7"/>
        <v>0</v>
      </c>
      <c r="BD15" s="722">
        <f t="shared" si="7"/>
        <v>0</v>
      </c>
      <c r="BE15" s="722">
        <f t="shared" si="7"/>
        <v>0</v>
      </c>
      <c r="BF15" s="722">
        <f t="shared" si="7"/>
        <v>0</v>
      </c>
      <c r="BG15" s="722">
        <f t="shared" si="7"/>
        <v>0</v>
      </c>
      <c r="BH15" s="722">
        <f t="shared" si="7"/>
        <v>0</v>
      </c>
      <c r="BI15" s="722">
        <f t="shared" si="7"/>
        <v>0</v>
      </c>
      <c r="BJ15" s="722">
        <f t="shared" si="7"/>
        <v>0</v>
      </c>
      <c r="BK15" s="722">
        <f t="shared" si="7"/>
        <v>0</v>
      </c>
      <c r="BL15" s="722">
        <f t="shared" si="7"/>
        <v>0</v>
      </c>
    </row>
    <row r="16" spans="1:64" s="33" customFormat="1" x14ac:dyDescent="0.3">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49">
        <f t="shared" si="4"/>
        <v>0</v>
      </c>
      <c r="AF16" s="35"/>
      <c r="AG16" s="35"/>
      <c r="AH16" s="35"/>
      <c r="AI16" s="35"/>
      <c r="AJ16" s="35"/>
      <c r="AK16" s="35"/>
      <c r="AL16" s="35"/>
      <c r="AM16" s="35"/>
      <c r="AN16" s="35"/>
      <c r="AQ16" s="35"/>
      <c r="AR16" s="35"/>
      <c r="AS16" s="35"/>
      <c r="AV16" s="726" t="s">
        <v>999</v>
      </c>
      <c r="AW16" s="934">
        <f t="shared" si="5"/>
        <v>0</v>
      </c>
      <c r="AX16" s="727">
        <f t="shared" si="7"/>
        <v>0</v>
      </c>
      <c r="AY16" s="722">
        <f t="shared" si="7"/>
        <v>0</v>
      </c>
      <c r="AZ16" s="722">
        <f t="shared" si="7"/>
        <v>0</v>
      </c>
      <c r="BA16" s="722">
        <f t="shared" si="7"/>
        <v>0</v>
      </c>
      <c r="BB16" s="722">
        <f t="shared" si="7"/>
        <v>0</v>
      </c>
      <c r="BC16" s="722">
        <f t="shared" si="7"/>
        <v>0</v>
      </c>
      <c r="BD16" s="722">
        <f t="shared" si="7"/>
        <v>0</v>
      </c>
      <c r="BE16" s="722">
        <f t="shared" si="7"/>
        <v>0</v>
      </c>
      <c r="BF16" s="722">
        <f t="shared" si="7"/>
        <v>0</v>
      </c>
      <c r="BG16" s="722">
        <f t="shared" si="7"/>
        <v>0</v>
      </c>
      <c r="BH16" s="722">
        <f t="shared" si="7"/>
        <v>0</v>
      </c>
      <c r="BI16" s="722">
        <f t="shared" si="7"/>
        <v>0</v>
      </c>
      <c r="BJ16" s="722">
        <f t="shared" si="7"/>
        <v>0</v>
      </c>
      <c r="BK16" s="722">
        <f t="shared" si="7"/>
        <v>0</v>
      </c>
      <c r="BL16" s="722">
        <f t="shared" si="7"/>
        <v>0</v>
      </c>
    </row>
    <row r="17" spans="1:64" s="33" customFormat="1" x14ac:dyDescent="0.3">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49">
        <f t="shared" si="4"/>
        <v>0</v>
      </c>
      <c r="AF17" s="35"/>
      <c r="AG17" s="35"/>
      <c r="AH17" s="35"/>
      <c r="AI17" s="35"/>
      <c r="AJ17" s="35"/>
      <c r="AK17" s="35"/>
      <c r="AL17" s="35"/>
      <c r="AM17" s="35"/>
      <c r="AN17" s="35"/>
      <c r="AQ17" s="35"/>
      <c r="AR17" s="35"/>
      <c r="AS17" s="35"/>
      <c r="AV17" s="727" t="s">
        <v>185</v>
      </c>
      <c r="AW17" s="934">
        <f t="shared" si="5"/>
        <v>4928.9060350076707</v>
      </c>
      <c r="AX17" s="727">
        <f t="shared" si="7"/>
        <v>4928.9060350076707</v>
      </c>
      <c r="AY17" s="722">
        <f t="shared" si="7"/>
        <v>0</v>
      </c>
      <c r="AZ17" s="722">
        <f t="shared" si="7"/>
        <v>0</v>
      </c>
      <c r="BA17" s="722">
        <f t="shared" si="7"/>
        <v>0</v>
      </c>
      <c r="BB17" s="722">
        <f t="shared" si="7"/>
        <v>0</v>
      </c>
      <c r="BC17" s="722">
        <f t="shared" si="7"/>
        <v>0</v>
      </c>
      <c r="BD17" s="722">
        <f t="shared" si="7"/>
        <v>0</v>
      </c>
      <c r="BE17" s="722">
        <f t="shared" si="7"/>
        <v>0</v>
      </c>
      <c r="BF17" s="722">
        <f t="shared" si="7"/>
        <v>0</v>
      </c>
      <c r="BG17" s="722">
        <f t="shared" si="7"/>
        <v>0</v>
      </c>
      <c r="BH17" s="722">
        <f t="shared" si="7"/>
        <v>0</v>
      </c>
      <c r="BI17" s="722">
        <f t="shared" si="7"/>
        <v>0</v>
      </c>
      <c r="BJ17" s="722">
        <f t="shared" si="7"/>
        <v>0</v>
      </c>
      <c r="BK17" s="722">
        <f t="shared" si="7"/>
        <v>0</v>
      </c>
      <c r="BL17" s="722">
        <f t="shared" si="7"/>
        <v>0</v>
      </c>
    </row>
    <row r="18" spans="1:64" s="33" customFormat="1" x14ac:dyDescent="0.3">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49">
        <f t="shared" si="4"/>
        <v>0</v>
      </c>
      <c r="AF18" s="35"/>
      <c r="AG18" s="35"/>
      <c r="AH18" s="35"/>
      <c r="AI18" s="35"/>
      <c r="AJ18" s="35"/>
      <c r="AK18" s="35"/>
      <c r="AL18" s="35"/>
      <c r="AM18" s="35"/>
      <c r="AN18" s="35"/>
      <c r="AQ18" s="35"/>
      <c r="AR18" s="35"/>
      <c r="AS18" s="35"/>
      <c r="AV18" s="727" t="s">
        <v>682</v>
      </c>
      <c r="AW18" s="934">
        <f t="shared" si="5"/>
        <v>9.47853142084392</v>
      </c>
      <c r="AX18" s="727">
        <f t="shared" si="7"/>
        <v>9.47853142084392</v>
      </c>
      <c r="AY18" s="722">
        <f t="shared" si="7"/>
        <v>0</v>
      </c>
      <c r="AZ18" s="722">
        <f t="shared" si="7"/>
        <v>0</v>
      </c>
      <c r="BA18" s="722">
        <f t="shared" si="7"/>
        <v>0</v>
      </c>
      <c r="BB18" s="722">
        <f t="shared" si="7"/>
        <v>0</v>
      </c>
      <c r="BC18" s="722">
        <f t="shared" si="7"/>
        <v>0</v>
      </c>
      <c r="BD18" s="722">
        <f t="shared" si="7"/>
        <v>0</v>
      </c>
      <c r="BE18" s="722">
        <f t="shared" si="7"/>
        <v>0</v>
      </c>
      <c r="BF18" s="722">
        <f t="shared" si="7"/>
        <v>0</v>
      </c>
      <c r="BG18" s="722">
        <f t="shared" si="7"/>
        <v>0</v>
      </c>
      <c r="BH18" s="722">
        <f t="shared" si="7"/>
        <v>0</v>
      </c>
      <c r="BI18" s="722">
        <f t="shared" si="7"/>
        <v>0</v>
      </c>
      <c r="BJ18" s="722">
        <f t="shared" si="7"/>
        <v>0</v>
      </c>
      <c r="BK18" s="722">
        <f t="shared" si="7"/>
        <v>0</v>
      </c>
      <c r="BL18" s="722">
        <f t="shared" si="7"/>
        <v>0</v>
      </c>
    </row>
    <row r="19" spans="1:64" s="33" customFormat="1" x14ac:dyDescent="0.3">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7" t="s">
        <v>1009</v>
      </c>
      <c r="AW19" s="934">
        <f t="shared" si="5"/>
        <v>16.72398745176168</v>
      </c>
      <c r="AX19" s="727">
        <f t="shared" si="7"/>
        <v>16.72398745176168</v>
      </c>
      <c r="AY19" s="722">
        <f t="shared" si="7"/>
        <v>0</v>
      </c>
      <c r="AZ19" s="722">
        <f t="shared" si="7"/>
        <v>0</v>
      </c>
      <c r="BA19" s="722">
        <f t="shared" si="7"/>
        <v>0</v>
      </c>
      <c r="BB19" s="722">
        <f t="shared" si="7"/>
        <v>0</v>
      </c>
      <c r="BC19" s="722">
        <f t="shared" si="7"/>
        <v>0</v>
      </c>
      <c r="BD19" s="722">
        <f t="shared" si="7"/>
        <v>0</v>
      </c>
      <c r="BE19" s="722">
        <f t="shared" si="7"/>
        <v>0</v>
      </c>
      <c r="BF19" s="722">
        <f t="shared" si="7"/>
        <v>0</v>
      </c>
      <c r="BG19" s="722">
        <f t="shared" si="7"/>
        <v>0</v>
      </c>
      <c r="BH19" s="722">
        <f t="shared" si="7"/>
        <v>0</v>
      </c>
      <c r="BI19" s="722">
        <f t="shared" si="7"/>
        <v>0</v>
      </c>
      <c r="BJ19" s="722">
        <f t="shared" si="7"/>
        <v>0</v>
      </c>
      <c r="BK19" s="722">
        <f t="shared" si="7"/>
        <v>0</v>
      </c>
      <c r="BL19" s="722">
        <f t="shared" si="7"/>
        <v>0</v>
      </c>
    </row>
    <row r="20" spans="1:64" s="33" customFormat="1" x14ac:dyDescent="0.3">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7" t="s">
        <v>1011</v>
      </c>
      <c r="AW20" s="934">
        <f t="shared" si="5"/>
        <v>8.7194256327161757</v>
      </c>
      <c r="AX20" s="727">
        <f t="shared" si="7"/>
        <v>8.7194256327161757</v>
      </c>
      <c r="AY20" s="722">
        <f t="shared" si="7"/>
        <v>0</v>
      </c>
      <c r="AZ20" s="722">
        <f t="shared" si="7"/>
        <v>0</v>
      </c>
      <c r="BA20" s="722">
        <f t="shared" si="7"/>
        <v>0</v>
      </c>
      <c r="BB20" s="722">
        <f t="shared" si="7"/>
        <v>0</v>
      </c>
      <c r="BC20" s="722">
        <f t="shared" si="7"/>
        <v>0</v>
      </c>
      <c r="BD20" s="722">
        <f t="shared" si="7"/>
        <v>0</v>
      </c>
      <c r="BE20" s="722">
        <f t="shared" si="7"/>
        <v>0</v>
      </c>
      <c r="BF20" s="722">
        <f t="shared" si="7"/>
        <v>0</v>
      </c>
      <c r="BG20" s="722">
        <f t="shared" si="7"/>
        <v>0</v>
      </c>
      <c r="BH20" s="722">
        <f t="shared" si="7"/>
        <v>0</v>
      </c>
      <c r="BI20" s="722">
        <f t="shared" si="7"/>
        <v>0</v>
      </c>
      <c r="BJ20" s="722">
        <f t="shared" si="7"/>
        <v>0</v>
      </c>
      <c r="BK20" s="722">
        <f t="shared" si="7"/>
        <v>0</v>
      </c>
      <c r="BL20" s="722">
        <f t="shared" si="7"/>
        <v>0</v>
      </c>
    </row>
    <row r="21" spans="1:64" s="33" customFormat="1" x14ac:dyDescent="0.3">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7" t="s">
        <v>1013</v>
      </c>
      <c r="AW21" s="934">
        <f t="shared" si="5"/>
        <v>184.15597602754494</v>
      </c>
      <c r="AX21" s="727">
        <f t="shared" ref="AX21:BL29" si="9">SUMIF($AV$38:$AV$481,$AV21,AX$38:AX$481)</f>
        <v>184.15597602754494</v>
      </c>
      <c r="AY21" s="722">
        <f t="shared" si="9"/>
        <v>0</v>
      </c>
      <c r="AZ21" s="722">
        <f t="shared" si="9"/>
        <v>0</v>
      </c>
      <c r="BA21" s="722">
        <f t="shared" si="9"/>
        <v>0</v>
      </c>
      <c r="BB21" s="722">
        <f t="shared" si="9"/>
        <v>0</v>
      </c>
      <c r="BC21" s="722">
        <f t="shared" si="9"/>
        <v>0</v>
      </c>
      <c r="BD21" s="722">
        <f t="shared" si="9"/>
        <v>0</v>
      </c>
      <c r="BE21" s="722">
        <f t="shared" si="9"/>
        <v>0</v>
      </c>
      <c r="BF21" s="722">
        <f t="shared" si="9"/>
        <v>0</v>
      </c>
      <c r="BG21" s="722">
        <f t="shared" si="9"/>
        <v>0</v>
      </c>
      <c r="BH21" s="722">
        <f t="shared" si="9"/>
        <v>0</v>
      </c>
      <c r="BI21" s="722">
        <f t="shared" si="9"/>
        <v>0</v>
      </c>
      <c r="BJ21" s="722">
        <f t="shared" si="9"/>
        <v>0</v>
      </c>
      <c r="BK21" s="722">
        <f t="shared" si="9"/>
        <v>0</v>
      </c>
      <c r="BL21" s="722">
        <f t="shared" si="9"/>
        <v>0</v>
      </c>
    </row>
    <row r="22" spans="1:64" s="33" customFormat="1" x14ac:dyDescent="0.3">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7" t="s">
        <v>1015</v>
      </c>
      <c r="AW22" s="934">
        <f t="shared" si="5"/>
        <v>0</v>
      </c>
      <c r="AX22" s="727">
        <f t="shared" si="9"/>
        <v>0</v>
      </c>
      <c r="AY22" s="722">
        <f t="shared" si="9"/>
        <v>0</v>
      </c>
      <c r="AZ22" s="722">
        <f t="shared" si="9"/>
        <v>0</v>
      </c>
      <c r="BA22" s="722">
        <f t="shared" si="9"/>
        <v>0</v>
      </c>
      <c r="BB22" s="722">
        <f t="shared" si="9"/>
        <v>0</v>
      </c>
      <c r="BC22" s="722">
        <f t="shared" si="9"/>
        <v>0</v>
      </c>
      <c r="BD22" s="722">
        <f t="shared" si="9"/>
        <v>0</v>
      </c>
      <c r="BE22" s="722">
        <f t="shared" si="9"/>
        <v>0</v>
      </c>
      <c r="BF22" s="722">
        <f t="shared" si="9"/>
        <v>0</v>
      </c>
      <c r="BG22" s="722">
        <f t="shared" si="9"/>
        <v>0</v>
      </c>
      <c r="BH22" s="722">
        <f t="shared" si="9"/>
        <v>0</v>
      </c>
      <c r="BI22" s="722">
        <f t="shared" si="9"/>
        <v>0</v>
      </c>
      <c r="BJ22" s="722">
        <f t="shared" si="9"/>
        <v>0</v>
      </c>
      <c r="BK22" s="722">
        <f t="shared" si="9"/>
        <v>0</v>
      </c>
      <c r="BL22" s="722">
        <f t="shared" si="9"/>
        <v>0</v>
      </c>
    </row>
    <row r="23" spans="1:64" s="33" customFormat="1" x14ac:dyDescent="0.3">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7" t="s">
        <v>1022</v>
      </c>
      <c r="AW23" s="934">
        <f t="shared" si="5"/>
        <v>0</v>
      </c>
      <c r="AX23" s="727">
        <f t="shared" si="9"/>
        <v>0</v>
      </c>
      <c r="AY23" s="722">
        <f t="shared" si="9"/>
        <v>0</v>
      </c>
      <c r="AZ23" s="722">
        <f t="shared" si="9"/>
        <v>0</v>
      </c>
      <c r="BA23" s="722">
        <f t="shared" si="9"/>
        <v>0</v>
      </c>
      <c r="BB23" s="722">
        <f t="shared" si="9"/>
        <v>0</v>
      </c>
      <c r="BC23" s="722">
        <f t="shared" si="9"/>
        <v>0</v>
      </c>
      <c r="BD23" s="722">
        <f t="shared" si="9"/>
        <v>0</v>
      </c>
      <c r="BE23" s="722">
        <f t="shared" si="9"/>
        <v>0</v>
      </c>
      <c r="BF23" s="722">
        <f t="shared" si="9"/>
        <v>0</v>
      </c>
      <c r="BG23" s="722">
        <f t="shared" si="9"/>
        <v>0</v>
      </c>
      <c r="BH23" s="722">
        <f t="shared" si="9"/>
        <v>0</v>
      </c>
      <c r="BI23" s="722">
        <f t="shared" si="9"/>
        <v>0</v>
      </c>
      <c r="BJ23" s="722">
        <f t="shared" si="9"/>
        <v>0</v>
      </c>
      <c r="BK23" s="722">
        <f t="shared" si="9"/>
        <v>0</v>
      </c>
      <c r="BL23" s="722">
        <f t="shared" si="9"/>
        <v>0</v>
      </c>
    </row>
    <row r="24" spans="1:64" s="33" customFormat="1" x14ac:dyDescent="0.3">
      <c r="A24" s="44"/>
      <c r="B24" s="44"/>
      <c r="C24" s="44"/>
      <c r="D24" s="35"/>
      <c r="E24" s="35"/>
      <c r="F24" s="44"/>
      <c r="G24" s="44"/>
      <c r="H24" s="35"/>
      <c r="I24" s="35"/>
      <c r="J24" s="35"/>
      <c r="K24" s="35"/>
      <c r="L24" s="35"/>
      <c r="M24" s="191" t="s">
        <v>503</v>
      </c>
      <c r="N24" s="166" t="e">
        <f>T_ACTFLO!#REF!</f>
        <v>#REF!</v>
      </c>
      <c r="O24" s="166" t="e">
        <f>T_ACTFLO!#REF!</f>
        <v>#REF!</v>
      </c>
      <c r="P24" s="166" t="e">
        <f>T_ACTFLO!#REF!</f>
        <v>#REF!</v>
      </c>
      <c r="Q24" s="166" t="e">
        <f>T_ACTFLO!#REF!</f>
        <v>#REF!</v>
      </c>
      <c r="R24" s="166" t="e">
        <f>T_ACTFLO!#REF!</f>
        <v>#REF!</v>
      </c>
      <c r="S24" s="166" t="e">
        <f>T_ACTFLO!#REF!</f>
        <v>#REF!</v>
      </c>
      <c r="T24" s="166" t="e">
        <f>T_ACTFLO!#REF!</f>
        <v>#REF!</v>
      </c>
      <c r="U24" s="166" t="e">
        <f>T_ACTFLO!#REF!</f>
        <v>#REF!</v>
      </c>
      <c r="V24" s="166" t="e">
        <f>T_ACTFLO!#REF!</f>
        <v>#REF!</v>
      </c>
      <c r="W24" s="166" t="e">
        <f>T_ACTFLO!#REF!</f>
        <v>#REF!</v>
      </c>
      <c r="X24" s="166" t="e">
        <f>T_ACTFLO!#REF!</f>
        <v>#REF!</v>
      </c>
      <c r="Y24" s="166" t="e">
        <f>T_ACTFLO!#REF!</f>
        <v>#REF!</v>
      </c>
      <c r="Z24" s="166" t="e">
        <f>T_ACTFLO!#REF!</f>
        <v>#REF!</v>
      </c>
      <c r="AA24" s="166" t="e">
        <f>T_ACTFLO!#REF!</f>
        <v>#REF!</v>
      </c>
      <c r="AB24" s="166" t="e">
        <f>T_ACTFLO!#REF!</f>
        <v>#REF!</v>
      </c>
      <c r="AE24" s="35"/>
      <c r="AF24" s="35"/>
      <c r="AG24" s="35"/>
      <c r="AH24" s="35"/>
      <c r="AI24" s="35"/>
      <c r="AJ24" s="35"/>
      <c r="AK24" s="35"/>
      <c r="AP24" s="35"/>
      <c r="AQ24" s="35"/>
      <c r="AR24" s="35"/>
      <c r="AS24" s="35"/>
      <c r="AV24" s="724" t="s">
        <v>680</v>
      </c>
      <c r="AW24" s="934">
        <f t="shared" si="5"/>
        <v>0</v>
      </c>
      <c r="AX24" s="727">
        <f t="shared" si="9"/>
        <v>0</v>
      </c>
      <c r="AY24" s="722">
        <f t="shared" si="9"/>
        <v>0</v>
      </c>
      <c r="AZ24" s="722">
        <f t="shared" si="9"/>
        <v>0</v>
      </c>
      <c r="BA24" s="722">
        <f t="shared" si="9"/>
        <v>0</v>
      </c>
      <c r="BB24" s="722">
        <f t="shared" si="9"/>
        <v>0</v>
      </c>
      <c r="BC24" s="722">
        <f t="shared" si="9"/>
        <v>0</v>
      </c>
      <c r="BD24" s="722">
        <f t="shared" si="9"/>
        <v>0</v>
      </c>
      <c r="BE24" s="722">
        <f t="shared" si="9"/>
        <v>0</v>
      </c>
      <c r="BF24" s="722">
        <f t="shared" si="9"/>
        <v>0</v>
      </c>
      <c r="BG24" s="722">
        <f t="shared" si="9"/>
        <v>0</v>
      </c>
      <c r="BH24" s="722">
        <f t="shared" si="9"/>
        <v>0</v>
      </c>
      <c r="BI24" s="722">
        <f t="shared" si="9"/>
        <v>0</v>
      </c>
      <c r="BJ24" s="722">
        <f t="shared" si="9"/>
        <v>0</v>
      </c>
      <c r="BK24" s="722">
        <f t="shared" si="9"/>
        <v>0</v>
      </c>
      <c r="BL24" s="722">
        <f t="shared" si="9"/>
        <v>0</v>
      </c>
    </row>
    <row r="25" spans="1:64" s="33" customFormat="1" x14ac:dyDescent="0.3">
      <c r="A25" s="44"/>
      <c r="B25" s="44"/>
      <c r="C25" s="44"/>
      <c r="D25" s="35"/>
      <c r="E25" s="35"/>
      <c r="F25" s="44"/>
      <c r="G25" s="44"/>
      <c r="H25" s="35"/>
      <c r="I25" s="35"/>
      <c r="J25" s="35"/>
      <c r="K25" s="35"/>
      <c r="L25" s="35"/>
      <c r="M25" s="191" t="s">
        <v>505</v>
      </c>
      <c r="N25" s="166">
        <f>T_ACTFLO!E29</f>
        <v>6.7</v>
      </c>
      <c r="O25" s="166">
        <f>T_ACTFLO!F29</f>
        <v>0</v>
      </c>
      <c r="P25" s="166">
        <f>T_ACTFLO!G29</f>
        <v>0</v>
      </c>
      <c r="Q25" s="166">
        <f>T_ACTFLO!H29</f>
        <v>0</v>
      </c>
      <c r="R25" s="166">
        <f>T_ACTFLO!I29</f>
        <v>0</v>
      </c>
      <c r="S25" s="166">
        <f>T_ACTFLO!J29</f>
        <v>0</v>
      </c>
      <c r="T25" s="166">
        <f>T_ACTFLO!K29</f>
        <v>0</v>
      </c>
      <c r="U25" s="166">
        <f>T_ACTFLO!L29</f>
        <v>0</v>
      </c>
      <c r="V25" s="166">
        <f>T_ACTFLO!M29</f>
        <v>0</v>
      </c>
      <c r="W25" s="166">
        <f>T_ACTFLO!N29</f>
        <v>0</v>
      </c>
      <c r="X25" s="166">
        <f>T_ACTFLO!O29</f>
        <v>0</v>
      </c>
      <c r="Y25" s="166">
        <f>T_ACTFLO!P29</f>
        <v>0</v>
      </c>
      <c r="Z25" s="166">
        <f>T_ACTFLO!Q29</f>
        <v>0</v>
      </c>
      <c r="AA25" s="166">
        <f>T_ACTFLO!R29</f>
        <v>0</v>
      </c>
      <c r="AB25" s="166">
        <f>T_ACTFLO!S29</f>
        <v>0</v>
      </c>
      <c r="AE25" s="35"/>
      <c r="AF25" s="35"/>
      <c r="AG25" s="35"/>
      <c r="AH25" s="35"/>
      <c r="AI25" s="35"/>
      <c r="AJ25" s="35"/>
      <c r="AK25" s="35"/>
      <c r="AP25" s="35"/>
      <c r="AQ25" s="35"/>
      <c r="AR25" s="35"/>
      <c r="AS25" s="35"/>
      <c r="AV25" s="724" t="s">
        <v>1028</v>
      </c>
      <c r="AW25" s="934">
        <f t="shared" si="5"/>
        <v>0</v>
      </c>
      <c r="AX25" s="727">
        <f t="shared" si="9"/>
        <v>0</v>
      </c>
      <c r="AY25" s="722">
        <f t="shared" si="9"/>
        <v>0</v>
      </c>
      <c r="AZ25" s="722">
        <f t="shared" si="9"/>
        <v>0</v>
      </c>
      <c r="BA25" s="722">
        <f t="shared" si="9"/>
        <v>0</v>
      </c>
      <c r="BB25" s="722">
        <f t="shared" si="9"/>
        <v>0</v>
      </c>
      <c r="BC25" s="722">
        <f t="shared" si="9"/>
        <v>0</v>
      </c>
      <c r="BD25" s="722">
        <f t="shared" si="9"/>
        <v>0</v>
      </c>
      <c r="BE25" s="722">
        <f t="shared" si="9"/>
        <v>0</v>
      </c>
      <c r="BF25" s="722">
        <f t="shared" si="9"/>
        <v>0</v>
      </c>
      <c r="BG25" s="722">
        <f t="shared" si="9"/>
        <v>0</v>
      </c>
      <c r="BH25" s="722">
        <f t="shared" si="9"/>
        <v>0</v>
      </c>
      <c r="BI25" s="722">
        <f t="shared" si="9"/>
        <v>0</v>
      </c>
      <c r="BJ25" s="722">
        <f t="shared" si="9"/>
        <v>0</v>
      </c>
      <c r="BK25" s="722">
        <f t="shared" si="9"/>
        <v>0</v>
      </c>
      <c r="BL25" s="722">
        <f t="shared" si="9"/>
        <v>0</v>
      </c>
    </row>
    <row r="26" spans="1:64"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4" t="s">
        <v>1030</v>
      </c>
      <c r="AW26" s="934">
        <f t="shared" si="5"/>
        <v>0</v>
      </c>
      <c r="AX26" s="727">
        <f t="shared" si="9"/>
        <v>0</v>
      </c>
      <c r="AY26" s="722">
        <f t="shared" si="9"/>
        <v>0</v>
      </c>
      <c r="AZ26" s="722">
        <f t="shared" si="9"/>
        <v>0</v>
      </c>
      <c r="BA26" s="722">
        <f t="shared" si="9"/>
        <v>0</v>
      </c>
      <c r="BB26" s="722">
        <f t="shared" si="9"/>
        <v>0</v>
      </c>
      <c r="BC26" s="722">
        <f t="shared" si="9"/>
        <v>0</v>
      </c>
      <c r="BD26" s="722">
        <f t="shared" si="9"/>
        <v>0</v>
      </c>
      <c r="BE26" s="722">
        <f t="shared" si="9"/>
        <v>0</v>
      </c>
      <c r="BF26" s="722">
        <f t="shared" si="9"/>
        <v>0</v>
      </c>
      <c r="BG26" s="722">
        <f t="shared" si="9"/>
        <v>0</v>
      </c>
      <c r="BH26" s="722">
        <f t="shared" si="9"/>
        <v>0</v>
      </c>
      <c r="BI26" s="722">
        <f t="shared" si="9"/>
        <v>0</v>
      </c>
      <c r="BJ26" s="722">
        <f t="shared" si="9"/>
        <v>0</v>
      </c>
      <c r="BK26" s="722">
        <f t="shared" si="9"/>
        <v>0</v>
      </c>
      <c r="BL26" s="722">
        <f t="shared" si="9"/>
        <v>0</v>
      </c>
    </row>
    <row r="27" spans="1:64" s="33" customFormat="1" x14ac:dyDescent="0.3">
      <c r="A27" s="44"/>
      <c r="B27" s="44"/>
      <c r="C27" s="44"/>
      <c r="D27" s="44"/>
      <c r="E27" s="44"/>
      <c r="F27" s="44"/>
      <c r="G27" s="44"/>
      <c r="J27" s="172"/>
      <c r="K27" s="172"/>
      <c r="L27" s="172"/>
      <c r="M27" s="175" t="str">
        <f>STAT_TRA_Shares!B7</f>
        <v>% of biogas in CNG</v>
      </c>
      <c r="N27" s="151">
        <f>STAT_TRA_Shares!C7</f>
        <v>0.95</v>
      </c>
      <c r="O27" s="151">
        <f t="shared" ref="O27:AB35" si="10">$N27</f>
        <v>0.95</v>
      </c>
      <c r="P27" s="151">
        <f t="shared" si="10"/>
        <v>0.95</v>
      </c>
      <c r="Q27" s="151">
        <f t="shared" si="10"/>
        <v>0.95</v>
      </c>
      <c r="R27" s="151">
        <f t="shared" si="10"/>
        <v>0.95</v>
      </c>
      <c r="S27" s="151">
        <f t="shared" si="10"/>
        <v>0.95</v>
      </c>
      <c r="T27" s="151">
        <f t="shared" si="10"/>
        <v>0.95</v>
      </c>
      <c r="U27" s="151">
        <f t="shared" si="10"/>
        <v>0.95</v>
      </c>
      <c r="V27" s="151">
        <f t="shared" si="10"/>
        <v>0.95</v>
      </c>
      <c r="W27" s="151">
        <f t="shared" si="10"/>
        <v>0.95</v>
      </c>
      <c r="X27" s="151">
        <f t="shared" si="10"/>
        <v>0.95</v>
      </c>
      <c r="Y27" s="151">
        <f t="shared" si="10"/>
        <v>0.95</v>
      </c>
      <c r="Z27" s="151">
        <f t="shared" si="10"/>
        <v>0.95</v>
      </c>
      <c r="AA27" s="151">
        <f t="shared" si="10"/>
        <v>0.95</v>
      </c>
      <c r="AB27" s="151">
        <f t="shared" si="10"/>
        <v>0.95</v>
      </c>
      <c r="AE27" s="35"/>
      <c r="AF27" s="35"/>
      <c r="AG27" s="35"/>
      <c r="AH27" s="35"/>
      <c r="AI27" s="35"/>
      <c r="AV27" s="724" t="s">
        <v>1032</v>
      </c>
      <c r="AW27" s="934">
        <f t="shared" si="5"/>
        <v>0</v>
      </c>
      <c r="AX27" s="727">
        <f t="shared" si="9"/>
        <v>0</v>
      </c>
      <c r="AY27" s="722">
        <f t="shared" si="9"/>
        <v>0</v>
      </c>
      <c r="AZ27" s="722">
        <f t="shared" si="9"/>
        <v>0</v>
      </c>
      <c r="BA27" s="722">
        <f t="shared" si="9"/>
        <v>0</v>
      </c>
      <c r="BB27" s="722">
        <f t="shared" si="9"/>
        <v>0</v>
      </c>
      <c r="BC27" s="722">
        <f t="shared" si="9"/>
        <v>0</v>
      </c>
      <c r="BD27" s="722">
        <f t="shared" si="9"/>
        <v>0</v>
      </c>
      <c r="BE27" s="722">
        <f t="shared" si="9"/>
        <v>0</v>
      </c>
      <c r="BF27" s="722">
        <f t="shared" si="9"/>
        <v>0</v>
      </c>
      <c r="BG27" s="722">
        <f t="shared" si="9"/>
        <v>0</v>
      </c>
      <c r="BH27" s="722">
        <f t="shared" si="9"/>
        <v>0</v>
      </c>
      <c r="BI27" s="722">
        <f t="shared" si="9"/>
        <v>0</v>
      </c>
      <c r="BJ27" s="722">
        <f t="shared" si="9"/>
        <v>0</v>
      </c>
      <c r="BK27" s="722">
        <f t="shared" si="9"/>
        <v>0</v>
      </c>
      <c r="BL27" s="722">
        <f t="shared" si="9"/>
        <v>0</v>
      </c>
    </row>
    <row r="28" spans="1:64" s="33" customFormat="1" x14ac:dyDescent="0.3">
      <c r="A28" s="44"/>
      <c r="B28" s="44"/>
      <c r="C28" s="44"/>
      <c r="D28" s="44"/>
      <c r="E28" s="44"/>
      <c r="F28" s="44"/>
      <c r="G28" s="44"/>
      <c r="J28" s="172"/>
      <c r="K28" s="172"/>
      <c r="L28" s="172"/>
      <c r="M28" s="175" t="str">
        <f>STAT_TRA_Shares!B8</f>
        <v>% of FAME in diesel</v>
      </c>
      <c r="N28" s="151">
        <f>STAT_TRA_Shares!C8</f>
        <v>5.8000000000000003E-2</v>
      </c>
      <c r="O28" s="151">
        <f t="shared" si="10"/>
        <v>5.8000000000000003E-2</v>
      </c>
      <c r="P28" s="151">
        <f t="shared" si="10"/>
        <v>5.8000000000000003E-2</v>
      </c>
      <c r="Q28" s="151">
        <f t="shared" si="10"/>
        <v>5.8000000000000003E-2</v>
      </c>
      <c r="R28" s="151">
        <f t="shared" si="10"/>
        <v>5.8000000000000003E-2</v>
      </c>
      <c r="S28" s="151">
        <f t="shared" si="10"/>
        <v>5.8000000000000003E-2</v>
      </c>
      <c r="T28" s="151">
        <f t="shared" si="10"/>
        <v>5.8000000000000003E-2</v>
      </c>
      <c r="U28" s="151">
        <f t="shared" si="10"/>
        <v>5.8000000000000003E-2</v>
      </c>
      <c r="V28" s="151">
        <f t="shared" si="10"/>
        <v>5.8000000000000003E-2</v>
      </c>
      <c r="W28" s="151">
        <f t="shared" si="10"/>
        <v>5.8000000000000003E-2</v>
      </c>
      <c r="X28" s="151">
        <f t="shared" si="10"/>
        <v>5.8000000000000003E-2</v>
      </c>
      <c r="Y28" s="151">
        <f t="shared" si="10"/>
        <v>5.8000000000000003E-2</v>
      </c>
      <c r="Z28" s="151">
        <f t="shared" si="10"/>
        <v>5.8000000000000003E-2</v>
      </c>
      <c r="AA28" s="151">
        <f t="shared" si="10"/>
        <v>5.8000000000000003E-2</v>
      </c>
      <c r="AB28" s="151">
        <f t="shared" si="10"/>
        <v>5.8000000000000003E-2</v>
      </c>
      <c r="AE28" s="35"/>
      <c r="AF28" s="35"/>
      <c r="AG28" s="35"/>
      <c r="AH28" s="35"/>
      <c r="AI28" s="35"/>
      <c r="AV28" s="724" t="s">
        <v>1034</v>
      </c>
      <c r="AW28" s="934">
        <f t="shared" si="5"/>
        <v>0</v>
      </c>
      <c r="AX28" s="727">
        <f t="shared" si="9"/>
        <v>0</v>
      </c>
      <c r="AY28" s="722">
        <f t="shared" si="9"/>
        <v>0</v>
      </c>
      <c r="AZ28" s="722">
        <f t="shared" si="9"/>
        <v>0</v>
      </c>
      <c r="BA28" s="722">
        <f t="shared" si="9"/>
        <v>0</v>
      </c>
      <c r="BB28" s="722">
        <f t="shared" si="9"/>
        <v>0</v>
      </c>
      <c r="BC28" s="722">
        <f t="shared" si="9"/>
        <v>0</v>
      </c>
      <c r="BD28" s="722">
        <f t="shared" si="9"/>
        <v>0</v>
      </c>
      <c r="BE28" s="722">
        <f t="shared" si="9"/>
        <v>0</v>
      </c>
      <c r="BF28" s="722">
        <f t="shared" si="9"/>
        <v>0</v>
      </c>
      <c r="BG28" s="722">
        <f t="shared" si="9"/>
        <v>0</v>
      </c>
      <c r="BH28" s="722">
        <f t="shared" si="9"/>
        <v>0</v>
      </c>
      <c r="BI28" s="722">
        <f t="shared" si="9"/>
        <v>0</v>
      </c>
      <c r="BJ28" s="722">
        <f t="shared" si="9"/>
        <v>0</v>
      </c>
      <c r="BK28" s="722">
        <f t="shared" si="9"/>
        <v>0</v>
      </c>
      <c r="BL28" s="722">
        <f t="shared" si="9"/>
        <v>0</v>
      </c>
    </row>
    <row r="29" spans="1:64" s="33" customFormat="1" x14ac:dyDescent="0.3">
      <c r="A29" s="44"/>
      <c r="B29" s="44"/>
      <c r="C29" s="44"/>
      <c r="D29" s="44"/>
      <c r="E29" s="44"/>
      <c r="F29" s="44"/>
      <c r="G29" s="44"/>
      <c r="J29" s="172"/>
      <c r="K29" s="172"/>
      <c r="L29" s="172"/>
      <c r="M29" s="175" t="str">
        <f>STAT_TRA_Shares!B9</f>
        <v>% of HVO in diesel</v>
      </c>
      <c r="N29" s="152">
        <f>STAT_TRA_Shares!C9</f>
        <v>0.17499999999999999</v>
      </c>
      <c r="O29" s="152">
        <f t="shared" si="10"/>
        <v>0.17499999999999999</v>
      </c>
      <c r="P29" s="152">
        <f t="shared" si="10"/>
        <v>0.17499999999999999</v>
      </c>
      <c r="Q29" s="152">
        <f t="shared" si="10"/>
        <v>0.17499999999999999</v>
      </c>
      <c r="R29" s="152">
        <f t="shared" si="10"/>
        <v>0.17499999999999999</v>
      </c>
      <c r="S29" s="152">
        <f t="shared" si="10"/>
        <v>0.17499999999999999</v>
      </c>
      <c r="T29" s="152">
        <f t="shared" si="10"/>
        <v>0.17499999999999999</v>
      </c>
      <c r="U29" s="152">
        <f t="shared" si="10"/>
        <v>0.17499999999999999</v>
      </c>
      <c r="V29" s="152">
        <f t="shared" si="10"/>
        <v>0.17499999999999999</v>
      </c>
      <c r="W29" s="152">
        <f t="shared" si="10"/>
        <v>0.17499999999999999</v>
      </c>
      <c r="X29" s="152">
        <f t="shared" si="10"/>
        <v>0.17499999999999999</v>
      </c>
      <c r="Y29" s="152">
        <f t="shared" si="10"/>
        <v>0.17499999999999999</v>
      </c>
      <c r="Z29" s="152">
        <f t="shared" si="10"/>
        <v>0.17499999999999999</v>
      </c>
      <c r="AA29" s="152">
        <f t="shared" si="10"/>
        <v>0.17499999999999999</v>
      </c>
      <c r="AB29" s="152">
        <f t="shared" si="10"/>
        <v>0.17499999999999999</v>
      </c>
      <c r="AD29" s="76"/>
      <c r="AE29" s="35"/>
      <c r="AF29" s="35"/>
      <c r="AG29" s="35"/>
      <c r="AH29" s="35"/>
      <c r="AI29" s="35"/>
      <c r="AV29" s="724" t="s">
        <v>1038</v>
      </c>
      <c r="AW29" s="934">
        <f t="shared" si="5"/>
        <v>10.25623203396545</v>
      </c>
      <c r="AX29" s="727">
        <f t="shared" si="9"/>
        <v>10.25623203396545</v>
      </c>
      <c r="AY29" s="722">
        <f t="shared" si="9"/>
        <v>0</v>
      </c>
      <c r="AZ29" s="722">
        <f t="shared" si="9"/>
        <v>0</v>
      </c>
      <c r="BA29" s="722">
        <f t="shared" si="9"/>
        <v>0</v>
      </c>
      <c r="BB29" s="722">
        <f t="shared" si="9"/>
        <v>0</v>
      </c>
      <c r="BC29" s="722">
        <f t="shared" si="9"/>
        <v>0</v>
      </c>
      <c r="BD29" s="722">
        <f t="shared" si="9"/>
        <v>0</v>
      </c>
      <c r="BE29" s="722">
        <f t="shared" si="9"/>
        <v>0</v>
      </c>
      <c r="BF29" s="722">
        <f t="shared" si="9"/>
        <v>0</v>
      </c>
      <c r="BG29" s="722">
        <f t="shared" si="9"/>
        <v>0</v>
      </c>
      <c r="BH29" s="722">
        <f t="shared" si="9"/>
        <v>0</v>
      </c>
      <c r="BI29" s="722">
        <f t="shared" si="9"/>
        <v>0</v>
      </c>
      <c r="BJ29" s="722">
        <f t="shared" si="9"/>
        <v>0</v>
      </c>
      <c r="BK29" s="722">
        <f t="shared" si="9"/>
        <v>0</v>
      </c>
      <c r="BL29" s="722">
        <f t="shared" si="9"/>
        <v>0</v>
      </c>
    </row>
    <row r="30" spans="1:64" s="33" customFormat="1" x14ac:dyDescent="0.3">
      <c r="A30" s="44"/>
      <c r="B30" s="44"/>
      <c r="C30" s="44"/>
      <c r="D30" s="44"/>
      <c r="E30" s="44"/>
      <c r="F30" s="44"/>
      <c r="G30" s="44"/>
      <c r="J30" s="172"/>
      <c r="K30" s="172"/>
      <c r="L30" s="172"/>
      <c r="M30" s="175" t="str">
        <f>STAT_TRA_Shares!B10</f>
        <v>% of low-blend bioethanol in gasoline</v>
      </c>
      <c r="N30" s="151">
        <f>STAT_TRA_Shares!C10</f>
        <v>5.0999999999999997E-2</v>
      </c>
      <c r="O30" s="151">
        <f t="shared" si="10"/>
        <v>5.0999999999999997E-2</v>
      </c>
      <c r="P30" s="151">
        <f t="shared" si="10"/>
        <v>5.0999999999999997E-2</v>
      </c>
      <c r="Q30" s="151">
        <f t="shared" si="10"/>
        <v>5.0999999999999997E-2</v>
      </c>
      <c r="R30" s="151">
        <f t="shared" si="10"/>
        <v>5.0999999999999997E-2</v>
      </c>
      <c r="S30" s="151">
        <f t="shared" si="10"/>
        <v>5.0999999999999997E-2</v>
      </c>
      <c r="T30" s="151">
        <f t="shared" si="10"/>
        <v>5.0999999999999997E-2</v>
      </c>
      <c r="U30" s="151">
        <f t="shared" si="10"/>
        <v>5.0999999999999997E-2</v>
      </c>
      <c r="V30" s="151">
        <f t="shared" si="10"/>
        <v>5.0999999999999997E-2</v>
      </c>
      <c r="W30" s="151">
        <f t="shared" si="10"/>
        <v>5.0999999999999997E-2</v>
      </c>
      <c r="X30" s="151">
        <f t="shared" si="10"/>
        <v>5.0999999999999997E-2</v>
      </c>
      <c r="Y30" s="151">
        <f t="shared" si="10"/>
        <v>5.0999999999999997E-2</v>
      </c>
      <c r="Z30" s="151">
        <f t="shared" si="10"/>
        <v>5.0999999999999997E-2</v>
      </c>
      <c r="AA30" s="151">
        <f t="shared" si="10"/>
        <v>5.0999999999999997E-2</v>
      </c>
      <c r="AB30" s="151">
        <f t="shared" si="10"/>
        <v>5.0999999999999997E-2</v>
      </c>
      <c r="AD30" s="35"/>
      <c r="AE30" s="35"/>
      <c r="AF30" s="35"/>
      <c r="AG30" s="35"/>
      <c r="AH30" s="35"/>
      <c r="AI30" s="35"/>
    </row>
    <row r="31" spans="1:64" s="33" customFormat="1" x14ac:dyDescent="0.3">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3">
      <c r="A32" s="44"/>
      <c r="B32" s="44"/>
      <c r="C32" s="44"/>
      <c r="D32" s="44"/>
      <c r="E32" s="44"/>
      <c r="F32" s="44"/>
      <c r="G32" s="44"/>
      <c r="J32" s="172"/>
      <c r="K32" s="172"/>
      <c r="L32" s="172"/>
      <c r="M32" s="175" t="str">
        <f>STAT_TRA_Shares!B12</f>
        <v>% of bioethanol in E85 (TRAETH)</v>
      </c>
      <c r="N32" s="151">
        <f>STAT_TRA_Shares!C12</f>
        <v>0.82</v>
      </c>
      <c r="O32" s="151">
        <f t="shared" si="10"/>
        <v>0.82</v>
      </c>
      <c r="P32" s="151">
        <f t="shared" si="10"/>
        <v>0.82</v>
      </c>
      <c r="Q32" s="151">
        <f t="shared" si="10"/>
        <v>0.82</v>
      </c>
      <c r="R32" s="151">
        <f t="shared" si="10"/>
        <v>0.82</v>
      </c>
      <c r="S32" s="151">
        <f t="shared" si="10"/>
        <v>0.82</v>
      </c>
      <c r="T32" s="151">
        <f t="shared" si="10"/>
        <v>0.82</v>
      </c>
      <c r="U32" s="151">
        <f t="shared" si="10"/>
        <v>0.82</v>
      </c>
      <c r="V32" s="151">
        <f t="shared" si="10"/>
        <v>0.82</v>
      </c>
      <c r="W32" s="151">
        <f t="shared" si="10"/>
        <v>0.82</v>
      </c>
      <c r="X32" s="151">
        <f t="shared" si="10"/>
        <v>0.82</v>
      </c>
      <c r="Y32" s="151">
        <f t="shared" si="10"/>
        <v>0.82</v>
      </c>
      <c r="Z32" s="151">
        <f t="shared" si="10"/>
        <v>0.82</v>
      </c>
      <c r="AA32" s="151">
        <f t="shared" si="10"/>
        <v>0.82</v>
      </c>
      <c r="AB32" s="151">
        <f t="shared" si="10"/>
        <v>0.82</v>
      </c>
      <c r="AD32" s="76"/>
    </row>
    <row r="33" spans="1:64" s="33" customFormat="1" x14ac:dyDescent="0.3">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3">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3">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3">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3">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3">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3">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3">
      <c r="A40" s="35"/>
      <c r="B40" s="35"/>
      <c r="C40" s="50"/>
      <c r="D40" s="50"/>
      <c r="E40" s="35"/>
      <c r="F40" s="35"/>
      <c r="G40" s="35"/>
      <c r="H40" s="41"/>
      <c r="I40" s="51"/>
      <c r="J40" s="41"/>
      <c r="K40" s="41"/>
      <c r="L40" s="40"/>
      <c r="M40" s="473" t="s">
        <v>1151</v>
      </c>
      <c r="N40" s="481">
        <v>1.3029999999999999E-3</v>
      </c>
      <c r="O40" s="481">
        <v>0</v>
      </c>
      <c r="P40" s="481">
        <v>0</v>
      </c>
      <c r="Q40" s="481">
        <v>0</v>
      </c>
      <c r="R40" s="481">
        <v>0</v>
      </c>
      <c r="S40" s="481">
        <v>0</v>
      </c>
      <c r="T40" s="481">
        <v>0</v>
      </c>
      <c r="U40" s="481">
        <v>0</v>
      </c>
      <c r="V40" s="481">
        <v>0</v>
      </c>
      <c r="W40" s="481">
        <v>0</v>
      </c>
      <c r="X40" s="481">
        <v>0</v>
      </c>
      <c r="Y40" s="481">
        <v>0</v>
      </c>
      <c r="Z40" s="481">
        <v>0</v>
      </c>
      <c r="AA40" s="481">
        <v>0</v>
      </c>
      <c r="AB40" s="481">
        <v>0</v>
      </c>
      <c r="AC40" s="41"/>
      <c r="AD40" s="35"/>
      <c r="AE40" s="330"/>
      <c r="AF40" s="820"/>
      <c r="AG40" s="820"/>
      <c r="AH40" s="820"/>
      <c r="AI40" s="820"/>
      <c r="AJ40" s="820"/>
      <c r="AK40" s="820"/>
      <c r="AL40" s="820"/>
      <c r="AM40" s="820"/>
      <c r="AN40" s="820"/>
      <c r="AO40" s="820"/>
      <c r="AP40" s="820"/>
      <c r="AQ40" s="820"/>
      <c r="AR40" s="820"/>
      <c r="AS40" s="820"/>
      <c r="AT40" s="820"/>
    </row>
    <row r="41" spans="1:64" x14ac:dyDescent="0.3">
      <c r="B41" s="32" t="s">
        <v>1176</v>
      </c>
      <c r="C41" s="88"/>
      <c r="D41" s="26"/>
      <c r="I41" s="36"/>
      <c r="M41" s="473" t="s">
        <v>1153</v>
      </c>
      <c r="N41" s="481">
        <v>0</v>
      </c>
      <c r="O41" s="481">
        <v>0</v>
      </c>
      <c r="P41" s="481">
        <v>0</v>
      </c>
      <c r="Q41" s="481">
        <v>0</v>
      </c>
      <c r="R41" s="481">
        <v>0</v>
      </c>
      <c r="S41" s="481">
        <v>0</v>
      </c>
      <c r="T41" s="481">
        <v>0</v>
      </c>
      <c r="U41" s="481">
        <v>0</v>
      </c>
      <c r="V41" s="481">
        <v>0</v>
      </c>
      <c r="W41" s="481">
        <v>0</v>
      </c>
      <c r="X41" s="481">
        <v>0</v>
      </c>
      <c r="Y41" s="481">
        <v>0</v>
      </c>
      <c r="Z41" s="481">
        <v>0</v>
      </c>
      <c r="AA41" s="481">
        <v>0</v>
      </c>
      <c r="AB41" s="481">
        <v>0</v>
      </c>
      <c r="AF41" s="820">
        <f t="shared" ref="AF41:AT41" si="11">SUM(N10:N11)/AF46-1</f>
        <v>-3.3145260001732346E-4</v>
      </c>
      <c r="AG41" s="820" t="e">
        <f t="shared" si="11"/>
        <v>#DIV/0!</v>
      </c>
      <c r="AH41" s="820" t="e">
        <f t="shared" si="11"/>
        <v>#DIV/0!</v>
      </c>
      <c r="AI41" s="820" t="e">
        <f t="shared" si="11"/>
        <v>#DIV/0!</v>
      </c>
      <c r="AJ41" s="820" t="e">
        <f t="shared" si="11"/>
        <v>#DIV/0!</v>
      </c>
      <c r="AK41" s="820" t="e">
        <f t="shared" si="11"/>
        <v>#DIV/0!</v>
      </c>
      <c r="AL41" s="820" t="e">
        <f t="shared" si="11"/>
        <v>#DIV/0!</v>
      </c>
      <c r="AM41" s="820" t="e">
        <f t="shared" si="11"/>
        <v>#DIV/0!</v>
      </c>
      <c r="AN41" s="820" t="e">
        <f t="shared" si="11"/>
        <v>#DIV/0!</v>
      </c>
      <c r="AO41" s="820" t="e">
        <f t="shared" si="11"/>
        <v>#DIV/0!</v>
      </c>
      <c r="AP41" s="820" t="e">
        <f t="shared" si="11"/>
        <v>#DIV/0!</v>
      </c>
      <c r="AQ41" s="820" t="e">
        <f t="shared" si="11"/>
        <v>#DIV/0!</v>
      </c>
      <c r="AR41" s="820" t="e">
        <f t="shared" si="11"/>
        <v>#DIV/0!</v>
      </c>
      <c r="AS41" s="820" t="e">
        <f t="shared" si="11"/>
        <v>#DIV/0!</v>
      </c>
      <c r="AT41" s="820" t="e">
        <f t="shared" si="11"/>
        <v>#DIV/0!</v>
      </c>
    </row>
    <row r="42" spans="1:64" x14ac:dyDescent="0.3">
      <c r="I42" s="36"/>
      <c r="M42" s="473"/>
      <c r="N42" s="473"/>
      <c r="O42" s="473"/>
      <c r="P42" s="473"/>
      <c r="Q42" s="473"/>
      <c r="R42" s="473"/>
      <c r="S42" s="473"/>
      <c r="T42" s="473"/>
      <c r="U42" s="473"/>
      <c r="V42" s="473"/>
      <c r="W42" s="473"/>
      <c r="X42" s="473"/>
      <c r="Y42" s="473"/>
      <c r="Z42" s="473"/>
      <c r="AA42" s="473"/>
      <c r="AB42" s="473"/>
      <c r="AF42" s="820"/>
      <c r="AG42" s="820"/>
      <c r="AH42" s="820"/>
      <c r="AI42" s="820"/>
      <c r="AJ42" s="820"/>
      <c r="AK42" s="820"/>
      <c r="AL42" s="820"/>
      <c r="AM42" s="820"/>
      <c r="AN42" s="820"/>
      <c r="AO42" s="820"/>
      <c r="AP42" s="820"/>
      <c r="AQ42" s="820"/>
      <c r="AR42" s="820"/>
      <c r="AS42" s="820"/>
      <c r="AT42" s="820"/>
    </row>
    <row r="43" spans="1:64" s="22" customFormat="1" x14ac:dyDescent="0.3">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3">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0" t="s">
        <v>85</v>
      </c>
      <c r="AW44" s="700" t="s">
        <v>421</v>
      </c>
      <c r="AX44" s="700" t="str">
        <f t="shared" ref="AX44:BL44" si="14">N$2</f>
        <v>Z01</v>
      </c>
      <c r="AY44" s="700" t="str">
        <f t="shared" si="14"/>
        <v>Z02</v>
      </c>
      <c r="AZ44" s="700" t="str">
        <f t="shared" si="14"/>
        <v>Z03</v>
      </c>
      <c r="BA44" s="700" t="str">
        <f t="shared" si="14"/>
        <v>Z04</v>
      </c>
      <c r="BB44" s="700" t="str">
        <f t="shared" si="14"/>
        <v>Z05</v>
      </c>
      <c r="BC44" s="700" t="str">
        <f t="shared" si="14"/>
        <v>Z06</v>
      </c>
      <c r="BD44" s="700" t="str">
        <f t="shared" si="14"/>
        <v>Z07</v>
      </c>
      <c r="BE44" s="700" t="str">
        <f t="shared" si="14"/>
        <v>Z08</v>
      </c>
      <c r="BF44" s="700" t="str">
        <f t="shared" si="14"/>
        <v>Z09</v>
      </c>
      <c r="BG44" s="700" t="str">
        <f t="shared" si="14"/>
        <v>Z10</v>
      </c>
      <c r="BH44" s="700" t="str">
        <f t="shared" si="14"/>
        <v>Z11</v>
      </c>
      <c r="BI44" s="700" t="str">
        <f t="shared" si="14"/>
        <v>Z12</v>
      </c>
      <c r="BJ44" s="700" t="str">
        <f t="shared" si="14"/>
        <v>Z13</v>
      </c>
      <c r="BK44" s="700" t="str">
        <f t="shared" si="14"/>
        <v>Z14</v>
      </c>
      <c r="BL44" s="700" t="str">
        <f t="shared" si="14"/>
        <v>Z15</v>
      </c>
    </row>
    <row r="45" spans="1:64" s="22" customFormat="1" x14ac:dyDescent="0.3">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4" t="str">
        <f>IF(AE46-SUM(N10:AB11)&lt;0,"too small",IF(AE46-SUM(N10:AB11)&gt;0.001,"Too big","ok"))</f>
        <v>Too big</v>
      </c>
      <c r="AF45" s="618" t="str">
        <f t="shared" ref="AF45:AT45" si="15">IF(AF46-SUM(N10:N11)&lt;0,"too small",IF(AF46-SUM(N10:N11)&gt;0.0001,"Too big","ok"))</f>
        <v>Too big</v>
      </c>
      <c r="AG45" s="618" t="str">
        <f t="shared" si="15"/>
        <v>ok</v>
      </c>
      <c r="AH45" s="618" t="str">
        <f t="shared" si="15"/>
        <v>ok</v>
      </c>
      <c r="AI45" s="618" t="str">
        <f t="shared" si="15"/>
        <v>ok</v>
      </c>
      <c r="AJ45" s="618" t="str">
        <f t="shared" si="15"/>
        <v>ok</v>
      </c>
      <c r="AK45" s="618" t="str">
        <f t="shared" si="15"/>
        <v>ok</v>
      </c>
      <c r="AL45" s="618" t="str">
        <f t="shared" si="15"/>
        <v>ok</v>
      </c>
      <c r="AM45" s="618" t="str">
        <f t="shared" si="15"/>
        <v>ok</v>
      </c>
      <c r="AN45" s="618" t="str">
        <f t="shared" si="15"/>
        <v>ok</v>
      </c>
      <c r="AO45" s="618" t="str">
        <f t="shared" si="15"/>
        <v>ok</v>
      </c>
      <c r="AP45" s="618" t="str">
        <f t="shared" si="15"/>
        <v>ok</v>
      </c>
      <c r="AQ45" s="618" t="str">
        <f t="shared" si="15"/>
        <v>ok</v>
      </c>
      <c r="AR45" s="618" t="str">
        <f t="shared" si="15"/>
        <v>ok</v>
      </c>
      <c r="AS45" s="618" t="str">
        <f t="shared" si="15"/>
        <v>ok</v>
      </c>
      <c r="AT45" s="618" t="str">
        <f t="shared" si="15"/>
        <v>ok</v>
      </c>
      <c r="AV45" s="398" t="s">
        <v>103</v>
      </c>
      <c r="AW45" s="716">
        <f>SUM(AX45:BL45)</f>
        <v>2686.1217078451641</v>
      </c>
      <c r="AX45" s="717">
        <f>SUM(AX46:AX182)</f>
        <v>2686.1217078451641</v>
      </c>
      <c r="AY45" s="717">
        <f t="shared" ref="AY45:BL45" si="16">SUM(AY46:AY182)</f>
        <v>0</v>
      </c>
      <c r="AZ45" s="717">
        <f t="shared" si="16"/>
        <v>0</v>
      </c>
      <c r="BA45" s="717">
        <f t="shared" si="16"/>
        <v>0</v>
      </c>
      <c r="BB45" s="717">
        <f t="shared" si="16"/>
        <v>0</v>
      </c>
      <c r="BC45" s="717">
        <f t="shared" si="16"/>
        <v>0</v>
      </c>
      <c r="BD45" s="717">
        <f t="shared" si="16"/>
        <v>0</v>
      </c>
      <c r="BE45" s="717">
        <f t="shared" si="16"/>
        <v>0</v>
      </c>
      <c r="BF45" s="717">
        <f t="shared" si="16"/>
        <v>0</v>
      </c>
      <c r="BG45" s="717">
        <f t="shared" si="16"/>
        <v>0</v>
      </c>
      <c r="BH45" s="717">
        <f t="shared" si="16"/>
        <v>0</v>
      </c>
      <c r="BI45" s="717">
        <f t="shared" si="16"/>
        <v>0</v>
      </c>
      <c r="BJ45" s="717">
        <f t="shared" si="16"/>
        <v>0</v>
      </c>
      <c r="BK45" s="717">
        <f t="shared" si="16"/>
        <v>0</v>
      </c>
      <c r="BL45" s="717">
        <f t="shared" si="16"/>
        <v>0</v>
      </c>
    </row>
    <row r="46" spans="1:64" s="83" customFormat="1" x14ac:dyDescent="0.3">
      <c r="A46" s="82"/>
      <c r="B46" s="178" t="str">
        <f>C46</f>
        <v>TFLEBDL100</v>
      </c>
      <c r="C46" s="178" t="s">
        <v>347</v>
      </c>
      <c r="D46" s="179" t="s">
        <v>803</v>
      </c>
      <c r="E46" s="407" t="s">
        <v>987</v>
      </c>
      <c r="F46" s="182"/>
      <c r="G46" s="181"/>
      <c r="H46" s="182"/>
      <c r="I46" s="183"/>
      <c r="J46" s="184"/>
      <c r="K46" s="184"/>
      <c r="L46" s="203" t="s">
        <v>1106</v>
      </c>
      <c r="M46" s="184" t="s">
        <v>1155</v>
      </c>
      <c r="N46" s="566">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1">
        <f>SUM(AF46:AT46)</f>
        <v>199.06598093695655</v>
      </c>
      <c r="AF46" s="585">
        <f>SUM(AF50:AF185)</f>
        <v>199.06598093695655</v>
      </c>
      <c r="AG46" s="585">
        <f t="shared" ref="AG46:AT46" si="18">SUM(AG50:AG185)</f>
        <v>0</v>
      </c>
      <c r="AH46" s="585">
        <f t="shared" si="18"/>
        <v>0</v>
      </c>
      <c r="AI46" s="585">
        <f t="shared" si="18"/>
        <v>0</v>
      </c>
      <c r="AJ46" s="585">
        <f t="shared" si="18"/>
        <v>0</v>
      </c>
      <c r="AK46" s="585">
        <f t="shared" si="18"/>
        <v>0</v>
      </c>
      <c r="AL46" s="585">
        <f t="shared" si="18"/>
        <v>0</v>
      </c>
      <c r="AM46" s="585">
        <f t="shared" si="18"/>
        <v>0</v>
      </c>
      <c r="AN46" s="585">
        <f t="shared" si="18"/>
        <v>0</v>
      </c>
      <c r="AO46" s="585">
        <f t="shared" si="18"/>
        <v>0</v>
      </c>
      <c r="AP46" s="585">
        <f t="shared" si="18"/>
        <v>0</v>
      </c>
      <c r="AQ46" s="585">
        <f t="shared" si="18"/>
        <v>0</v>
      </c>
      <c r="AR46" s="585">
        <f t="shared" si="18"/>
        <v>0</v>
      </c>
      <c r="AS46" s="585">
        <f t="shared" si="18"/>
        <v>0</v>
      </c>
      <c r="AT46" s="585">
        <f t="shared" si="18"/>
        <v>0</v>
      </c>
      <c r="AV46" s="699" t="str">
        <f>MID(E46,1,7)</f>
        <v>TRABDL</v>
      </c>
      <c r="AW46" s="567">
        <f>SUM(AX46:BL46)</f>
        <v>0</v>
      </c>
      <c r="AX46" s="567"/>
      <c r="AY46" s="567"/>
      <c r="AZ46" s="567"/>
      <c r="BA46" s="567"/>
      <c r="BB46" s="567"/>
      <c r="BC46" s="567"/>
      <c r="BD46" s="567"/>
      <c r="BE46" s="567"/>
      <c r="BF46" s="567"/>
      <c r="BG46" s="567"/>
      <c r="BH46" s="567"/>
      <c r="BI46" s="567"/>
      <c r="BJ46" s="567"/>
      <c r="BK46" s="567"/>
      <c r="BL46" s="567"/>
    </row>
    <row r="47" spans="1:64" s="83" customFormat="1" x14ac:dyDescent="0.3">
      <c r="B47" s="178" t="str">
        <f>B46</f>
        <v>TFLEBDL100</v>
      </c>
      <c r="C47" s="178"/>
      <c r="D47" s="179"/>
      <c r="E47" s="178"/>
      <c r="F47" s="182"/>
      <c r="G47" s="173" t="s">
        <v>431</v>
      </c>
      <c r="H47" s="182"/>
      <c r="I47" s="183"/>
      <c r="J47" s="184"/>
      <c r="K47" s="184"/>
      <c r="L47" s="184" t="s">
        <v>1125</v>
      </c>
      <c r="M47" s="184" t="s">
        <v>677</v>
      </c>
      <c r="N47" s="675">
        <f>T_CEFF!H158</f>
        <v>0.42781000000000002</v>
      </c>
      <c r="O47" s="675">
        <f>T_CEFF!I158</f>
        <v>0.42781000000000002</v>
      </c>
      <c r="P47" s="675">
        <f>T_CEFF!J158</f>
        <v>0.42781000000000002</v>
      </c>
      <c r="Q47" s="675">
        <f>T_CEFF!K158</f>
        <v>0.42781000000000002</v>
      </c>
      <c r="R47" s="675">
        <f>T_CEFF!L158</f>
        <v>0.42781000000000002</v>
      </c>
      <c r="S47" s="675">
        <f>T_CEFF!M158</f>
        <v>0.42781000000000002</v>
      </c>
      <c r="T47" s="675">
        <f>T_CEFF!N158</f>
        <v>0.42781000000000002</v>
      </c>
      <c r="U47" s="675">
        <f>T_CEFF!O158</f>
        <v>0.42781000000000002</v>
      </c>
      <c r="V47" s="675">
        <f>T_CEFF!P158</f>
        <v>0.42781000000000002</v>
      </c>
      <c r="W47" s="675">
        <f>T_CEFF!Q158</f>
        <v>0.42781000000000002</v>
      </c>
      <c r="X47" s="675">
        <f>T_CEFF!R158</f>
        <v>0.42781000000000002</v>
      </c>
      <c r="Y47" s="675">
        <f>T_CEFF!S158</f>
        <v>0.42781000000000002</v>
      </c>
      <c r="Z47" s="675">
        <f>T_CEFF!T158</f>
        <v>0.42781000000000002</v>
      </c>
      <c r="AA47" s="675">
        <f>T_CEFF!U158</f>
        <v>0.42781000000000002</v>
      </c>
      <c r="AB47" s="675">
        <f>T_CEFF!V158</f>
        <v>0.42781000000000002</v>
      </c>
      <c r="AD47" s="66" t="str">
        <f>IF(COUNTIF($AG$4:$AP$4,AD46)=1,"ok","MISSING")</f>
        <v>ok</v>
      </c>
      <c r="AE47" s="362"/>
      <c r="AF47" s="89"/>
      <c r="AV47" s="699" t="str">
        <f>MID(E47,1,7)</f>
        <v/>
      </c>
      <c r="AW47" s="567"/>
      <c r="AX47" s="567"/>
      <c r="AY47" s="567"/>
      <c r="AZ47" s="567"/>
      <c r="BA47" s="567"/>
      <c r="BB47" s="567"/>
      <c r="BC47" s="567"/>
      <c r="BD47" s="567"/>
      <c r="BE47" s="567"/>
      <c r="BF47" s="567"/>
      <c r="BG47" s="567"/>
      <c r="BH47" s="567"/>
      <c r="BI47" s="567"/>
      <c r="BJ47" s="567"/>
      <c r="BK47" s="567"/>
      <c r="BL47" s="567"/>
    </row>
    <row r="48" spans="1:64" s="83" customFormat="1" x14ac:dyDescent="0.3">
      <c r="B48" s="178" t="str">
        <f t="shared" ref="B48:B57" si="19">B47</f>
        <v>TFLEBDL100</v>
      </c>
      <c r="C48" s="178"/>
      <c r="D48" s="179"/>
      <c r="E48" s="178"/>
      <c r="F48" s="182"/>
      <c r="G48" s="173" t="s">
        <v>429</v>
      </c>
      <c r="H48" s="182"/>
      <c r="I48" s="183"/>
      <c r="J48" s="184"/>
      <c r="K48" s="184"/>
      <c r="L48" s="184" t="s">
        <v>1125</v>
      </c>
      <c r="M48" s="184" t="s">
        <v>677</v>
      </c>
      <c r="N48" s="675">
        <f>T_CEFF!H159</f>
        <v>0.37558999999999998</v>
      </c>
      <c r="O48" s="675">
        <f>T_CEFF!I159</f>
        <v>0.37558999999999998</v>
      </c>
      <c r="P48" s="675">
        <f>T_CEFF!J159</f>
        <v>0.37558999999999998</v>
      </c>
      <c r="Q48" s="675">
        <f>T_CEFF!K159</f>
        <v>0.37558999999999998</v>
      </c>
      <c r="R48" s="675">
        <f>T_CEFF!L159</f>
        <v>0.37558999999999998</v>
      </c>
      <c r="S48" s="675">
        <f>T_CEFF!M159</f>
        <v>0.37558999999999998</v>
      </c>
      <c r="T48" s="675">
        <f>T_CEFF!N159</f>
        <v>0.37558999999999998</v>
      </c>
      <c r="U48" s="675">
        <f>T_CEFF!O159</f>
        <v>0.37558999999999998</v>
      </c>
      <c r="V48" s="675">
        <f>T_CEFF!P159</f>
        <v>0.37558999999999998</v>
      </c>
      <c r="W48" s="675">
        <f>T_CEFF!Q159</f>
        <v>0.37558999999999998</v>
      </c>
      <c r="X48" s="675">
        <f>T_CEFF!R159</f>
        <v>0.37558999999999998</v>
      </c>
      <c r="Y48" s="675">
        <f>T_CEFF!S159</f>
        <v>0.37558999999999998</v>
      </c>
      <c r="Z48" s="675">
        <f>T_CEFF!T159</f>
        <v>0.37558999999999998</v>
      </c>
      <c r="AA48" s="675">
        <f>T_CEFF!U159</f>
        <v>0.37558999999999998</v>
      </c>
      <c r="AB48" s="675">
        <f>T_CEFF!V159</f>
        <v>0.37558999999999998</v>
      </c>
    </row>
    <row r="49" spans="1:64" s="83" customFormat="1" x14ac:dyDescent="0.3">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3">
      <c r="B50" s="178" t="str">
        <f t="shared" si="19"/>
        <v>TFLEBDL100</v>
      </c>
      <c r="C50" s="178"/>
      <c r="D50" s="179"/>
      <c r="E50" s="178"/>
      <c r="F50" s="182"/>
      <c r="G50" s="181"/>
      <c r="H50" s="182"/>
      <c r="I50" s="183"/>
      <c r="J50" s="184"/>
      <c r="K50" s="184"/>
      <c r="L50" s="203" t="s">
        <v>1129</v>
      </c>
      <c r="M50" s="184" t="s">
        <v>1130</v>
      </c>
      <c r="N50" s="397">
        <f>LOOKUP($C$46, T_NCAP_AF!$C$125:$C$135, T_NCAP_AF!D$125:D$135)*(1+N40)</f>
        <v>15.019545000000001</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1">
        <f>SUM(AF50:AT50)</f>
        <v>94.600933110535522</v>
      </c>
      <c r="AF50" s="85">
        <f t="shared" ref="AF50:AT50" si="21">N49*N50*N51/1000</f>
        <v>94.600933110535522</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3">
      <c r="B51" s="178" t="str">
        <f>B50</f>
        <v>TFLEBDL100</v>
      </c>
      <c r="C51" s="178"/>
      <c r="D51" s="179"/>
      <c r="E51" s="178"/>
      <c r="F51" s="182"/>
      <c r="G51" s="181"/>
      <c r="H51" s="182"/>
      <c r="I51" s="183">
        <f>$M$3</f>
        <v>2019</v>
      </c>
      <c r="J51" s="184"/>
      <c r="K51" s="184"/>
      <c r="L51" s="203" t="s">
        <v>1064</v>
      </c>
      <c r="M51" s="184" t="s">
        <v>747</v>
      </c>
      <c r="N51" s="693">
        <f>LOOKUP($C$46, T_Stock_Private!$C$90:$C$100, T_Stock_Private!D$90:D$100)*(1+N41)</f>
        <v>60621</v>
      </c>
      <c r="O51" s="693">
        <f>LOOKUP($C$46, T_Stock_Private!$C$90:$C$100, T_Stock_Private!E$90:E$100)*(1+O41)</f>
        <v>0</v>
      </c>
      <c r="P51" s="693">
        <f>LOOKUP($C$46, T_Stock_Private!$C$90:$C$100, T_Stock_Private!F$90:F$100)*(1+P41)</f>
        <v>0</v>
      </c>
      <c r="Q51" s="693">
        <f>LOOKUP($C$46, T_Stock_Private!$C$90:$C$100, T_Stock_Private!G$90:G$100)*(1+Q41)</f>
        <v>0</v>
      </c>
      <c r="R51" s="693">
        <f>LOOKUP($C$46, T_Stock_Private!$C$90:$C$100, T_Stock_Private!H$90:H$100)*(1+R41)</f>
        <v>0</v>
      </c>
      <c r="S51" s="693">
        <f>LOOKUP($C$46, T_Stock_Private!$C$90:$C$100, T_Stock_Private!I$90:I$100)*(1+S41)</f>
        <v>0</v>
      </c>
      <c r="T51" s="693">
        <f>LOOKUP($C$46, T_Stock_Private!$C$90:$C$100, T_Stock_Private!J$90:J$100)*(1+T41)</f>
        <v>0</v>
      </c>
      <c r="U51" s="693">
        <f>LOOKUP($C$46, T_Stock_Private!$C$90:$C$100, T_Stock_Private!K$90:K$100)*(1+U41)</f>
        <v>0</v>
      </c>
      <c r="V51" s="693">
        <f>LOOKUP($C$46, T_Stock_Private!$C$90:$C$100, T_Stock_Private!L$90:L$100)*(1+V41)</f>
        <v>0</v>
      </c>
      <c r="W51" s="693">
        <f>LOOKUP($C$46, T_Stock_Private!$C$90:$C$100, T_Stock_Private!M$90:M$100)*(1+W41)</f>
        <v>0</v>
      </c>
      <c r="X51" s="693">
        <f>LOOKUP($C$46, T_Stock_Private!$C$90:$C$100, T_Stock_Private!N$90:N$100)*(1+X41)</f>
        <v>0</v>
      </c>
      <c r="Y51" s="693">
        <f>LOOKUP($C$46, T_Stock_Private!$C$90:$C$100, T_Stock_Private!O$90:O$100)*(1+Y41)</f>
        <v>0</v>
      </c>
      <c r="Z51" s="693">
        <f>LOOKUP($C$46, T_Stock_Private!$C$90:$C$100, T_Stock_Private!P$90:P$100)*(1+Z41)</f>
        <v>0</v>
      </c>
      <c r="AA51" s="693">
        <f>LOOKUP($C$46, T_Stock_Private!$C$90:$C$100, T_Stock_Private!Q$90:Q$100)*(1+AA41)</f>
        <v>0</v>
      </c>
      <c r="AB51" s="693">
        <f>LOOKUP($C$46, T_Stock_Private!$C$90:$C$100, T_Stock_Private!R$90:R$100)*(1+AB41)</f>
        <v>0</v>
      </c>
      <c r="AC51" s="89"/>
    </row>
    <row r="52" spans="1:64" s="83" customFormat="1" x14ac:dyDescent="0.3">
      <c r="B52" s="178" t="str">
        <f t="shared" si="19"/>
        <v>TFLEBDL100</v>
      </c>
      <c r="C52" s="178"/>
      <c r="D52" s="179"/>
      <c r="E52" s="178"/>
      <c r="F52" s="182"/>
      <c r="G52" s="181"/>
      <c r="H52" s="182"/>
      <c r="I52" s="183">
        <f>AF$5</f>
        <v>2020</v>
      </c>
      <c r="J52" s="184"/>
      <c r="K52" s="184"/>
      <c r="L52" s="203" t="s">
        <v>1064</v>
      </c>
      <c r="M52" s="184" t="s">
        <v>747</v>
      </c>
      <c r="N52" s="693">
        <f t="shared" ref="N52:AB52" si="22">N51*LOOKUP($AD46,$AG$4:$AP$4,$AG$5:$AP$5)</f>
        <v>57589.95</v>
      </c>
      <c r="O52" s="693">
        <f t="shared" si="22"/>
        <v>0</v>
      </c>
      <c r="P52" s="693">
        <f t="shared" si="22"/>
        <v>0</v>
      </c>
      <c r="Q52" s="693">
        <f t="shared" si="22"/>
        <v>0</v>
      </c>
      <c r="R52" s="693">
        <f t="shared" si="22"/>
        <v>0</v>
      </c>
      <c r="S52" s="693">
        <f t="shared" si="22"/>
        <v>0</v>
      </c>
      <c r="T52" s="693">
        <f t="shared" si="22"/>
        <v>0</v>
      </c>
      <c r="U52" s="693">
        <f t="shared" si="22"/>
        <v>0</v>
      </c>
      <c r="V52" s="693">
        <f t="shared" si="22"/>
        <v>0</v>
      </c>
      <c r="W52" s="693">
        <f t="shared" si="22"/>
        <v>0</v>
      </c>
      <c r="X52" s="693">
        <f t="shared" si="22"/>
        <v>0</v>
      </c>
      <c r="Y52" s="693">
        <f t="shared" si="22"/>
        <v>0</v>
      </c>
      <c r="Z52" s="693">
        <f t="shared" si="22"/>
        <v>0</v>
      </c>
      <c r="AA52" s="693">
        <f t="shared" si="22"/>
        <v>0</v>
      </c>
      <c r="AB52" s="693">
        <f t="shared" si="22"/>
        <v>0</v>
      </c>
    </row>
    <row r="53" spans="1:64" s="83" customFormat="1" x14ac:dyDescent="0.3">
      <c r="B53" s="178" t="str">
        <f t="shared" si="19"/>
        <v>TFLEBDL100</v>
      </c>
      <c r="C53" s="178"/>
      <c r="D53" s="179"/>
      <c r="E53" s="178"/>
      <c r="F53" s="182"/>
      <c r="G53" s="181"/>
      <c r="H53" s="182"/>
      <c r="I53" s="183">
        <f>AF$6</f>
        <v>2025</v>
      </c>
      <c r="J53" s="184"/>
      <c r="K53" s="184"/>
      <c r="L53" s="203" t="s">
        <v>1064</v>
      </c>
      <c r="M53" s="184" t="s">
        <v>747</v>
      </c>
      <c r="N53" s="693">
        <f t="shared" ref="N53:AB53" si="23">N51*LOOKUP($AD46,$AG$4:$AP$4,$AG$6:$AP$6)</f>
        <v>42434.7</v>
      </c>
      <c r="O53" s="693">
        <f t="shared" si="23"/>
        <v>0</v>
      </c>
      <c r="P53" s="693">
        <f t="shared" si="23"/>
        <v>0</v>
      </c>
      <c r="Q53" s="693">
        <f t="shared" si="23"/>
        <v>0</v>
      </c>
      <c r="R53" s="693">
        <f t="shared" si="23"/>
        <v>0</v>
      </c>
      <c r="S53" s="693">
        <f t="shared" si="23"/>
        <v>0</v>
      </c>
      <c r="T53" s="693">
        <f t="shared" si="23"/>
        <v>0</v>
      </c>
      <c r="U53" s="693">
        <f t="shared" si="23"/>
        <v>0</v>
      </c>
      <c r="V53" s="693">
        <f t="shared" si="23"/>
        <v>0</v>
      </c>
      <c r="W53" s="693">
        <f t="shared" si="23"/>
        <v>0</v>
      </c>
      <c r="X53" s="693">
        <f t="shared" si="23"/>
        <v>0</v>
      </c>
      <c r="Y53" s="693">
        <f t="shared" si="23"/>
        <v>0</v>
      </c>
      <c r="Z53" s="693">
        <f t="shared" si="23"/>
        <v>0</v>
      </c>
      <c r="AA53" s="693">
        <f t="shared" si="23"/>
        <v>0</v>
      </c>
      <c r="AB53" s="693">
        <f t="shared" si="23"/>
        <v>0</v>
      </c>
    </row>
    <row r="54" spans="1:64" s="83" customFormat="1" x14ac:dyDescent="0.3">
      <c r="B54" s="178" t="str">
        <f t="shared" si="19"/>
        <v>TFLEBDL100</v>
      </c>
      <c r="C54" s="178"/>
      <c r="D54" s="179"/>
      <c r="E54" s="178"/>
      <c r="F54" s="182"/>
      <c r="G54" s="181"/>
      <c r="H54" s="182"/>
      <c r="I54" s="183">
        <f>AF$7</f>
        <v>2030</v>
      </c>
      <c r="J54" s="184"/>
      <c r="K54" s="184"/>
      <c r="L54" s="203" t="s">
        <v>1064</v>
      </c>
      <c r="M54" s="184" t="s">
        <v>747</v>
      </c>
      <c r="N54" s="693">
        <f t="shared" ref="N54:AB54" si="24">N51*LOOKUP($AD46,$AG$4:$AP$4,$AG$7:$AP$7)</f>
        <v>24248.400000000001</v>
      </c>
      <c r="O54" s="693">
        <f t="shared" si="24"/>
        <v>0</v>
      </c>
      <c r="P54" s="693">
        <f t="shared" si="24"/>
        <v>0</v>
      </c>
      <c r="Q54" s="693">
        <f t="shared" si="24"/>
        <v>0</v>
      </c>
      <c r="R54" s="693">
        <f t="shared" si="24"/>
        <v>0</v>
      </c>
      <c r="S54" s="693">
        <f t="shared" si="24"/>
        <v>0</v>
      </c>
      <c r="T54" s="693">
        <f t="shared" si="24"/>
        <v>0</v>
      </c>
      <c r="U54" s="693">
        <f t="shared" si="24"/>
        <v>0</v>
      </c>
      <c r="V54" s="693">
        <f t="shared" si="24"/>
        <v>0</v>
      </c>
      <c r="W54" s="693">
        <f t="shared" si="24"/>
        <v>0</v>
      </c>
      <c r="X54" s="693">
        <f t="shared" si="24"/>
        <v>0</v>
      </c>
      <c r="Y54" s="693">
        <f t="shared" si="24"/>
        <v>0</v>
      </c>
      <c r="Z54" s="693">
        <f t="shared" si="24"/>
        <v>0</v>
      </c>
      <c r="AA54" s="693">
        <f t="shared" si="24"/>
        <v>0</v>
      </c>
      <c r="AB54" s="693">
        <f t="shared" si="24"/>
        <v>0</v>
      </c>
    </row>
    <row r="55" spans="1:64" s="83" customFormat="1" x14ac:dyDescent="0.3">
      <c r="B55" s="178" t="str">
        <f t="shared" si="19"/>
        <v>TFLEBDL100</v>
      </c>
      <c r="C55" s="178"/>
      <c r="D55" s="179"/>
      <c r="E55" s="178"/>
      <c r="F55" s="182"/>
      <c r="G55" s="181"/>
      <c r="H55" s="182"/>
      <c r="I55" s="183">
        <f>AF$8</f>
        <v>2035</v>
      </c>
      <c r="J55" s="184"/>
      <c r="K55" s="184"/>
      <c r="L55" s="203" t="s">
        <v>1064</v>
      </c>
      <c r="M55" s="184" t="s">
        <v>747</v>
      </c>
      <c r="N55" s="693">
        <f t="shared" ref="N55:AB55" si="25">N51*LOOKUP($AD46,$AG$4:$AP$4,$AG$8:$AP$8)</f>
        <v>9093.15</v>
      </c>
      <c r="O55" s="693">
        <f t="shared" si="25"/>
        <v>0</v>
      </c>
      <c r="P55" s="693">
        <f t="shared" si="25"/>
        <v>0</v>
      </c>
      <c r="Q55" s="693">
        <f t="shared" si="25"/>
        <v>0</v>
      </c>
      <c r="R55" s="693">
        <f t="shared" si="25"/>
        <v>0</v>
      </c>
      <c r="S55" s="693">
        <f t="shared" si="25"/>
        <v>0</v>
      </c>
      <c r="T55" s="693">
        <f t="shared" si="25"/>
        <v>0</v>
      </c>
      <c r="U55" s="693">
        <f t="shared" si="25"/>
        <v>0</v>
      </c>
      <c r="V55" s="693">
        <f t="shared" si="25"/>
        <v>0</v>
      </c>
      <c r="W55" s="693">
        <f t="shared" si="25"/>
        <v>0</v>
      </c>
      <c r="X55" s="693">
        <f t="shared" si="25"/>
        <v>0</v>
      </c>
      <c r="Y55" s="693">
        <f t="shared" si="25"/>
        <v>0</v>
      </c>
      <c r="Z55" s="693">
        <f t="shared" si="25"/>
        <v>0</v>
      </c>
      <c r="AA55" s="693">
        <f t="shared" si="25"/>
        <v>0</v>
      </c>
      <c r="AB55" s="693">
        <f t="shared" si="25"/>
        <v>0</v>
      </c>
    </row>
    <row r="56" spans="1:64" s="83" customFormat="1" x14ac:dyDescent="0.3">
      <c r="B56" s="178" t="str">
        <f t="shared" si="19"/>
        <v>TFLEBDL100</v>
      </c>
      <c r="C56" s="178"/>
      <c r="D56" s="179"/>
      <c r="E56" s="178"/>
      <c r="F56" s="182"/>
      <c r="G56" s="181"/>
      <c r="H56" s="182"/>
      <c r="I56" s="183">
        <f>AF$9</f>
        <v>2040</v>
      </c>
      <c r="J56" s="184"/>
      <c r="K56" s="184"/>
      <c r="L56" s="203" t="s">
        <v>1064</v>
      </c>
      <c r="M56" s="184" t="s">
        <v>747</v>
      </c>
      <c r="N56" s="693">
        <f t="shared" ref="N56:AB56" si="26">N51*LOOKUP($AD46,$AG$4:$AP$4,$AG$9:$AP$9)</f>
        <v>303.10500000000002</v>
      </c>
      <c r="O56" s="693">
        <f t="shared" si="26"/>
        <v>0</v>
      </c>
      <c r="P56" s="693">
        <f t="shared" si="26"/>
        <v>0</v>
      </c>
      <c r="Q56" s="693">
        <f t="shared" si="26"/>
        <v>0</v>
      </c>
      <c r="R56" s="693">
        <f t="shared" si="26"/>
        <v>0</v>
      </c>
      <c r="S56" s="693">
        <f t="shared" si="26"/>
        <v>0</v>
      </c>
      <c r="T56" s="693">
        <f t="shared" si="26"/>
        <v>0</v>
      </c>
      <c r="U56" s="693">
        <f t="shared" si="26"/>
        <v>0</v>
      </c>
      <c r="V56" s="693">
        <f t="shared" si="26"/>
        <v>0</v>
      </c>
      <c r="W56" s="693">
        <f t="shared" si="26"/>
        <v>0</v>
      </c>
      <c r="X56" s="693">
        <f t="shared" si="26"/>
        <v>0</v>
      </c>
      <c r="Y56" s="693">
        <f t="shared" si="26"/>
        <v>0</v>
      </c>
      <c r="Z56" s="693">
        <f t="shared" si="26"/>
        <v>0</v>
      </c>
      <c r="AA56" s="693">
        <f t="shared" si="26"/>
        <v>0</v>
      </c>
      <c r="AB56" s="693">
        <f t="shared" si="26"/>
        <v>0</v>
      </c>
    </row>
    <row r="57" spans="1:64" s="83" customFormat="1" x14ac:dyDescent="0.3">
      <c r="B57" s="204" t="str">
        <f t="shared" si="19"/>
        <v>TFLEBDL100</v>
      </c>
      <c r="C57" s="204"/>
      <c r="D57" s="205"/>
      <c r="E57" s="204"/>
      <c r="F57" s="206"/>
      <c r="G57" s="207"/>
      <c r="H57" s="206"/>
      <c r="I57" s="208">
        <f>AF$10</f>
        <v>2050</v>
      </c>
      <c r="J57" s="209"/>
      <c r="K57" s="209"/>
      <c r="L57" s="210" t="s">
        <v>1064</v>
      </c>
      <c r="M57" s="209" t="s">
        <v>747</v>
      </c>
      <c r="N57" s="694">
        <f t="shared" ref="N57:AB57" si="27">N51*LOOKUP($AD46,$AG$4:$AP$4,$AG$10:$AP$10)</f>
        <v>0</v>
      </c>
      <c r="O57" s="694">
        <f t="shared" si="27"/>
        <v>0</v>
      </c>
      <c r="P57" s="694">
        <f t="shared" si="27"/>
        <v>0</v>
      </c>
      <c r="Q57" s="694">
        <f t="shared" si="27"/>
        <v>0</v>
      </c>
      <c r="R57" s="694">
        <f t="shared" si="27"/>
        <v>0</v>
      </c>
      <c r="S57" s="694">
        <f t="shared" si="27"/>
        <v>0</v>
      </c>
      <c r="T57" s="694">
        <f t="shared" si="27"/>
        <v>0</v>
      </c>
      <c r="U57" s="694">
        <f t="shared" si="27"/>
        <v>0</v>
      </c>
      <c r="V57" s="694">
        <f t="shared" si="27"/>
        <v>0</v>
      </c>
      <c r="W57" s="694">
        <f t="shared" si="27"/>
        <v>0</v>
      </c>
      <c r="X57" s="694">
        <f t="shared" si="27"/>
        <v>0</v>
      </c>
      <c r="Y57" s="694">
        <f t="shared" si="27"/>
        <v>0</v>
      </c>
      <c r="Z57" s="694">
        <f t="shared" si="27"/>
        <v>0</v>
      </c>
      <c r="AA57" s="694">
        <f t="shared" si="27"/>
        <v>0</v>
      </c>
      <c r="AB57" s="694">
        <f t="shared" si="27"/>
        <v>0</v>
      </c>
      <c r="AD57" s="409"/>
    </row>
    <row r="58" spans="1:64" s="83" customFormat="1" x14ac:dyDescent="0.3">
      <c r="A58" s="82"/>
      <c r="B58" s="178" t="str">
        <f>C58</f>
        <v>TFLEDST100</v>
      </c>
      <c r="C58" s="178" t="s">
        <v>348</v>
      </c>
      <c r="D58" s="179" t="s">
        <v>805</v>
      </c>
      <c r="E58" s="407" t="s">
        <v>987</v>
      </c>
      <c r="F58" s="182"/>
      <c r="G58" s="181"/>
      <c r="H58" s="182"/>
      <c r="I58" s="183"/>
      <c r="J58" s="184"/>
      <c r="K58" s="184"/>
      <c r="L58" s="203" t="s">
        <v>1106</v>
      </c>
      <c r="M58" s="184" t="s">
        <v>1155</v>
      </c>
      <c r="N58" s="566">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699" t="str">
        <f t="shared" ref="AV58:AV61" si="29">MID(E58,1,7)</f>
        <v>TRABDL</v>
      </c>
      <c r="AW58" s="567">
        <f t="shared" ref="AW58:AW59" si="30">SUM(AX58:BL58)</f>
        <v>424.23246506263507</v>
      </c>
      <c r="AX58" s="569">
        <f>N$64*N$65*(1-N59-N60)/N$62/1000</f>
        <v>424.23246506263507</v>
      </c>
      <c r="AY58" s="569">
        <f t="shared" ref="AY58:BL58" si="31">O$64*O$65*(1-O59-O60)/O$62/1000</f>
        <v>0</v>
      </c>
      <c r="AZ58" s="569">
        <f t="shared" si="31"/>
        <v>0</v>
      </c>
      <c r="BA58" s="569">
        <f t="shared" si="31"/>
        <v>0</v>
      </c>
      <c r="BB58" s="569">
        <f t="shared" si="31"/>
        <v>0</v>
      </c>
      <c r="BC58" s="569">
        <f t="shared" si="31"/>
        <v>0</v>
      </c>
      <c r="BD58" s="569">
        <f t="shared" si="31"/>
        <v>0</v>
      </c>
      <c r="BE58" s="569">
        <f t="shared" si="31"/>
        <v>0</v>
      </c>
      <c r="BF58" s="569">
        <f t="shared" si="31"/>
        <v>0</v>
      </c>
      <c r="BG58" s="569">
        <f t="shared" si="31"/>
        <v>0</v>
      </c>
      <c r="BH58" s="569">
        <f t="shared" si="31"/>
        <v>0</v>
      </c>
      <c r="BI58" s="569">
        <f t="shared" si="31"/>
        <v>0</v>
      </c>
      <c r="BJ58" s="569">
        <f t="shared" si="31"/>
        <v>0</v>
      </c>
      <c r="BK58" s="569">
        <f t="shared" si="31"/>
        <v>0</v>
      </c>
      <c r="BL58" s="569">
        <f t="shared" si="31"/>
        <v>0</v>
      </c>
    </row>
    <row r="59" spans="1:64" s="83" customFormat="1" x14ac:dyDescent="0.3">
      <c r="A59" s="82"/>
      <c r="B59" s="178" t="str">
        <f>B58</f>
        <v>TFLEDST100</v>
      </c>
      <c r="C59" s="178"/>
      <c r="D59" s="179"/>
      <c r="E59" s="407" t="s">
        <v>185</v>
      </c>
      <c r="F59" s="182"/>
      <c r="G59" s="181"/>
      <c r="H59" s="182"/>
      <c r="I59" s="183"/>
      <c r="J59" s="184" t="s">
        <v>1156</v>
      </c>
      <c r="K59" s="184"/>
      <c r="L59" s="203" t="s">
        <v>101</v>
      </c>
      <c r="M59" s="184"/>
      <c r="N59" s="390">
        <f>1-N$29-N$28</f>
        <v>0.7669999999999999</v>
      </c>
      <c r="O59" s="390">
        <f t="shared" ref="O59:AB59" si="32">1-O$29-O$28</f>
        <v>0.7669999999999999</v>
      </c>
      <c r="P59" s="390">
        <f t="shared" si="32"/>
        <v>0.7669999999999999</v>
      </c>
      <c r="Q59" s="390">
        <f t="shared" si="32"/>
        <v>0.7669999999999999</v>
      </c>
      <c r="R59" s="390">
        <f t="shared" si="32"/>
        <v>0.7669999999999999</v>
      </c>
      <c r="S59" s="390">
        <f t="shared" si="32"/>
        <v>0.7669999999999999</v>
      </c>
      <c r="T59" s="390">
        <f t="shared" si="32"/>
        <v>0.7669999999999999</v>
      </c>
      <c r="U59" s="390">
        <f t="shared" si="32"/>
        <v>0.7669999999999999</v>
      </c>
      <c r="V59" s="390">
        <f t="shared" si="32"/>
        <v>0.7669999999999999</v>
      </c>
      <c r="W59" s="390">
        <f t="shared" si="32"/>
        <v>0.7669999999999999</v>
      </c>
      <c r="X59" s="390">
        <f t="shared" si="32"/>
        <v>0.7669999999999999</v>
      </c>
      <c r="Y59" s="390">
        <f t="shared" si="32"/>
        <v>0.7669999999999999</v>
      </c>
      <c r="Z59" s="390">
        <f t="shared" si="32"/>
        <v>0.7669999999999999</v>
      </c>
      <c r="AA59" s="390">
        <f t="shared" si="32"/>
        <v>0.7669999999999999</v>
      </c>
      <c r="AB59" s="390">
        <f t="shared" si="32"/>
        <v>0.7669999999999999</v>
      </c>
      <c r="AD59" s="66" t="str">
        <f>IF(COUNTIF($AG$4:$AP$4,AD58)=1,"ok","MISSING")</f>
        <v>ok</v>
      </c>
      <c r="AE59" s="362"/>
      <c r="AF59" s="89"/>
      <c r="AV59" s="699" t="str">
        <f t="shared" si="29"/>
        <v>TRADST</v>
      </c>
      <c r="AW59" s="567">
        <f t="shared" si="30"/>
        <v>1859.3502897316623</v>
      </c>
      <c r="AX59" s="569">
        <f>N$64*N$65*N59/N$62/1000</f>
        <v>1859.3502897316623</v>
      </c>
      <c r="AY59" s="569">
        <f t="shared" ref="AY59:BL59" si="33">O$64*O$65*O59/O$62/1000</f>
        <v>0</v>
      </c>
      <c r="AZ59" s="569">
        <f t="shared" si="33"/>
        <v>0</v>
      </c>
      <c r="BA59" s="569">
        <f t="shared" si="33"/>
        <v>0</v>
      </c>
      <c r="BB59" s="569">
        <f t="shared" si="33"/>
        <v>0</v>
      </c>
      <c r="BC59" s="569">
        <f t="shared" si="33"/>
        <v>0</v>
      </c>
      <c r="BD59" s="569">
        <f t="shared" si="33"/>
        <v>0</v>
      </c>
      <c r="BE59" s="569">
        <f t="shared" si="33"/>
        <v>0</v>
      </c>
      <c r="BF59" s="569">
        <f t="shared" si="33"/>
        <v>0</v>
      </c>
      <c r="BG59" s="569">
        <f t="shared" si="33"/>
        <v>0</v>
      </c>
      <c r="BH59" s="569">
        <f t="shared" si="33"/>
        <v>0</v>
      </c>
      <c r="BI59" s="569">
        <f t="shared" si="33"/>
        <v>0</v>
      </c>
      <c r="BJ59" s="569">
        <f t="shared" si="33"/>
        <v>0</v>
      </c>
      <c r="BK59" s="569">
        <f t="shared" si="33"/>
        <v>0</v>
      </c>
      <c r="BL59" s="569">
        <f t="shared" si="33"/>
        <v>0</v>
      </c>
    </row>
    <row r="60" spans="1:64" s="83" customFormat="1" x14ac:dyDescent="0.3">
      <c r="A60" s="82"/>
      <c r="B60" s="178" t="str">
        <f t="shared" ref="B60" si="34">B59</f>
        <v>TFLEDST100</v>
      </c>
      <c r="C60" s="178"/>
      <c r="D60" s="179"/>
      <c r="E60" s="407" t="s">
        <v>989</v>
      </c>
      <c r="F60" s="182"/>
      <c r="G60" s="181"/>
      <c r="H60" s="182"/>
      <c r="I60" s="183"/>
      <c r="J60" s="184" t="s">
        <v>1156</v>
      </c>
      <c r="K60" s="184"/>
      <c r="L60" s="203" t="s">
        <v>101</v>
      </c>
      <c r="M60" s="184"/>
      <c r="N60" s="689">
        <f>N$28</f>
        <v>5.8000000000000003E-2</v>
      </c>
      <c r="O60" s="689">
        <f t="shared" ref="O60:AB60" si="35">O$28</f>
        <v>5.8000000000000003E-2</v>
      </c>
      <c r="P60" s="689">
        <f t="shared" si="35"/>
        <v>5.8000000000000003E-2</v>
      </c>
      <c r="Q60" s="689">
        <f t="shared" si="35"/>
        <v>5.8000000000000003E-2</v>
      </c>
      <c r="R60" s="689">
        <f t="shared" si="35"/>
        <v>5.8000000000000003E-2</v>
      </c>
      <c r="S60" s="689">
        <f t="shared" si="35"/>
        <v>5.8000000000000003E-2</v>
      </c>
      <c r="T60" s="689">
        <f t="shared" si="35"/>
        <v>5.8000000000000003E-2</v>
      </c>
      <c r="U60" s="689">
        <f t="shared" si="35"/>
        <v>5.8000000000000003E-2</v>
      </c>
      <c r="V60" s="689">
        <f t="shared" si="35"/>
        <v>5.8000000000000003E-2</v>
      </c>
      <c r="W60" s="689">
        <f t="shared" si="35"/>
        <v>5.8000000000000003E-2</v>
      </c>
      <c r="X60" s="689">
        <f t="shared" si="35"/>
        <v>5.8000000000000003E-2</v>
      </c>
      <c r="Y60" s="689">
        <f t="shared" si="35"/>
        <v>5.8000000000000003E-2</v>
      </c>
      <c r="Z60" s="689">
        <f t="shared" si="35"/>
        <v>5.8000000000000003E-2</v>
      </c>
      <c r="AA60" s="689">
        <f t="shared" si="35"/>
        <v>5.8000000000000003E-2</v>
      </c>
      <c r="AB60" s="689">
        <f t="shared" si="35"/>
        <v>5.8000000000000003E-2</v>
      </c>
      <c r="AD60" s="408"/>
      <c r="AE60" s="357"/>
      <c r="AF60" s="84"/>
      <c r="AG60" s="84"/>
      <c r="AH60" s="84"/>
      <c r="AI60" s="84"/>
      <c r="AJ60" s="84"/>
      <c r="AK60" s="84"/>
      <c r="AL60" s="84"/>
      <c r="AM60" s="84"/>
      <c r="AN60" s="84"/>
      <c r="AO60" s="84"/>
      <c r="AP60" s="84"/>
      <c r="AQ60" s="84"/>
      <c r="AR60" s="84"/>
      <c r="AS60" s="84"/>
      <c r="AT60" s="84"/>
      <c r="AV60" s="699" t="str">
        <f t="shared" ref="AV60" si="36">MID(E60,1,7)</f>
        <v>TRABDLM</v>
      </c>
      <c r="AW60" s="567">
        <f t="shared" ref="AW60" si="37">SUM(AX60:BL60)</f>
        <v>140.6027598493304</v>
      </c>
      <c r="AX60" s="569">
        <f>N$64*N$65*N60/N$62/1000</f>
        <v>140.6027598493304</v>
      </c>
      <c r="AY60" s="569">
        <f t="shared" ref="AY60" si="38">O$64*O$65*O60/O$62/1000</f>
        <v>0</v>
      </c>
      <c r="AZ60" s="569">
        <f t="shared" ref="AZ60" si="39">P$64*P$65*P60/P$62/1000</f>
        <v>0</v>
      </c>
      <c r="BA60" s="569">
        <f t="shared" ref="BA60" si="40">Q$64*Q$65*Q60/Q$62/1000</f>
        <v>0</v>
      </c>
      <c r="BB60" s="569">
        <f t="shared" ref="BB60" si="41">R$64*R$65*R60/R$62/1000</f>
        <v>0</v>
      </c>
      <c r="BC60" s="569">
        <f t="shared" ref="BC60" si="42">S$64*S$65*S60/S$62/1000</f>
        <v>0</v>
      </c>
      <c r="BD60" s="569">
        <f t="shared" ref="BD60" si="43">T$64*T$65*T60/T$62/1000</f>
        <v>0</v>
      </c>
      <c r="BE60" s="569">
        <f t="shared" ref="BE60" si="44">U$64*U$65*U60/U$62/1000</f>
        <v>0</v>
      </c>
      <c r="BF60" s="569">
        <f t="shared" ref="BF60" si="45">V$64*V$65*V60/V$62/1000</f>
        <v>0</v>
      </c>
      <c r="BG60" s="569">
        <f t="shared" ref="BG60" si="46">W$64*W$65*W60/W$62/1000</f>
        <v>0</v>
      </c>
      <c r="BH60" s="569">
        <f t="shared" ref="BH60" si="47">X$64*X$65*X60/X$62/1000</f>
        <v>0</v>
      </c>
      <c r="BI60" s="569">
        <f t="shared" ref="BI60" si="48">Y$64*Y$65*Y60/Y$62/1000</f>
        <v>0</v>
      </c>
      <c r="BJ60" s="569">
        <f t="shared" ref="BJ60" si="49">Z$64*Z$65*Z60/Z$62/1000</f>
        <v>0</v>
      </c>
      <c r="BK60" s="569">
        <f t="shared" ref="BK60" si="50">AA$64*AA$65*AA60/AA$62/1000</f>
        <v>0</v>
      </c>
      <c r="BL60" s="569">
        <f t="shared" ref="BL60" si="51">AB$64*AB$65*AB60/AB$62/1000</f>
        <v>0</v>
      </c>
    </row>
    <row r="61" spans="1:64" s="83" customFormat="1" x14ac:dyDescent="0.3">
      <c r="B61" s="178" t="str">
        <f>B59</f>
        <v>TFLEDST100</v>
      </c>
      <c r="C61" s="178"/>
      <c r="D61" s="179"/>
      <c r="E61" s="178"/>
      <c r="F61" s="182"/>
      <c r="G61" s="173" t="s">
        <v>431</v>
      </c>
      <c r="H61" s="182"/>
      <c r="I61" s="183"/>
      <c r="J61" s="184"/>
      <c r="K61" s="184"/>
      <c r="L61" s="184" t="s">
        <v>1125</v>
      </c>
      <c r="M61" s="184" t="s">
        <v>677</v>
      </c>
      <c r="N61" s="675">
        <f>T_CEFF!H160</f>
        <v>0.42781000000000002</v>
      </c>
      <c r="O61" s="675">
        <f>T_CEFF!I160</f>
        <v>0.42781000000000002</v>
      </c>
      <c r="P61" s="675">
        <f>T_CEFF!J160</f>
        <v>0.42781000000000002</v>
      </c>
      <c r="Q61" s="675">
        <f>T_CEFF!K160</f>
        <v>0.42781000000000002</v>
      </c>
      <c r="R61" s="675">
        <f>T_CEFF!L160</f>
        <v>0.42781000000000002</v>
      </c>
      <c r="S61" s="675">
        <f>T_CEFF!M160</f>
        <v>0.42781000000000002</v>
      </c>
      <c r="T61" s="675">
        <f>T_CEFF!N160</f>
        <v>0.42781000000000002</v>
      </c>
      <c r="U61" s="675">
        <f>T_CEFF!O160</f>
        <v>0.42781000000000002</v>
      </c>
      <c r="V61" s="675">
        <f>T_CEFF!P160</f>
        <v>0.42781000000000002</v>
      </c>
      <c r="W61" s="675">
        <f>T_CEFF!Q160</f>
        <v>0.42781000000000002</v>
      </c>
      <c r="X61" s="675">
        <f>T_CEFF!R160</f>
        <v>0.42781000000000002</v>
      </c>
      <c r="Y61" s="675">
        <f>T_CEFF!S160</f>
        <v>0.42781000000000002</v>
      </c>
      <c r="Z61" s="675">
        <f>T_CEFF!T160</f>
        <v>0.42781000000000002</v>
      </c>
      <c r="AA61" s="675">
        <f>T_CEFF!U160</f>
        <v>0.42781000000000002</v>
      </c>
      <c r="AB61" s="675">
        <f>T_CEFF!V160</f>
        <v>0.42781000000000002</v>
      </c>
      <c r="AV61" s="699" t="str">
        <f t="shared" si="29"/>
        <v/>
      </c>
      <c r="AW61" s="567"/>
    </row>
    <row r="62" spans="1:64" s="83" customFormat="1" x14ac:dyDescent="0.3">
      <c r="B62" s="178" t="str">
        <f t="shared" ref="B62:B71" si="52">B61</f>
        <v>TFLEDST100</v>
      </c>
      <c r="C62" s="178"/>
      <c r="D62" s="179"/>
      <c r="E62" s="178"/>
      <c r="F62" s="182"/>
      <c r="G62" s="173" t="s">
        <v>429</v>
      </c>
      <c r="H62" s="182"/>
      <c r="I62" s="183"/>
      <c r="J62" s="184"/>
      <c r="K62" s="184"/>
      <c r="L62" s="184" t="s">
        <v>1125</v>
      </c>
      <c r="M62" s="184" t="s">
        <v>677</v>
      </c>
      <c r="N62" s="675">
        <f>T_CEFF!H161</f>
        <v>0.37558999999999998</v>
      </c>
      <c r="O62" s="675">
        <f>T_CEFF!I161</f>
        <v>0.37558999999999998</v>
      </c>
      <c r="P62" s="675">
        <f>T_CEFF!J161</f>
        <v>0.37558999999999998</v>
      </c>
      <c r="Q62" s="675">
        <f>T_CEFF!K161</f>
        <v>0.37558999999999998</v>
      </c>
      <c r="R62" s="675">
        <f>T_CEFF!L161</f>
        <v>0.37558999999999998</v>
      </c>
      <c r="S62" s="675">
        <f>T_CEFF!M161</f>
        <v>0.37558999999999998</v>
      </c>
      <c r="T62" s="675">
        <f>T_CEFF!N161</f>
        <v>0.37558999999999998</v>
      </c>
      <c r="U62" s="675">
        <f>T_CEFF!O161</f>
        <v>0.37558999999999998</v>
      </c>
      <c r="V62" s="675">
        <f>T_CEFF!P161</f>
        <v>0.37558999999999998</v>
      </c>
      <c r="W62" s="675">
        <f>T_CEFF!Q161</f>
        <v>0.37558999999999998</v>
      </c>
      <c r="X62" s="675">
        <f>T_CEFF!R161</f>
        <v>0.37558999999999998</v>
      </c>
      <c r="Y62" s="675">
        <f>T_CEFF!S161</f>
        <v>0.37558999999999998</v>
      </c>
      <c r="Z62" s="675">
        <f>T_CEFF!T161</f>
        <v>0.37558999999999998</v>
      </c>
      <c r="AA62" s="675">
        <f>T_CEFF!U161</f>
        <v>0.37558999999999998</v>
      </c>
      <c r="AB62" s="675">
        <f>T_CEFF!V161</f>
        <v>0.37558999999999998</v>
      </c>
    </row>
    <row r="63" spans="1:64" s="83" customFormat="1" x14ac:dyDescent="0.3">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3">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1">
        <f>SUM(AF64:AT64)</f>
        <v>94.600933110535522</v>
      </c>
      <c r="AF64" s="85">
        <f t="shared" ref="AF64:AT64" si="54">N63*N64*N65/1000</f>
        <v>94.600933110535522</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3">
      <c r="B65" s="178" t="str">
        <f>B64</f>
        <v>TFLEDST100</v>
      </c>
      <c r="C65" s="178"/>
      <c r="D65" s="179"/>
      <c r="E65" s="178"/>
      <c r="F65" s="182"/>
      <c r="G65" s="181"/>
      <c r="H65" s="182"/>
      <c r="I65" s="183">
        <f>$M$3</f>
        <v>2019</v>
      </c>
      <c r="J65" s="184"/>
      <c r="K65" s="184"/>
      <c r="L65" s="203" t="s">
        <v>1064</v>
      </c>
      <c r="M65" s="184" t="s">
        <v>747</v>
      </c>
      <c r="N65" s="693">
        <f>LOOKUP($C$58, T_Stock_Private!$C$90:$C$100, T_Stock_Private!D$90:D$100)*(1+N41)</f>
        <v>60621</v>
      </c>
      <c r="O65" s="693">
        <f>LOOKUP($C$58, T_Stock_Private!$C$90:$C$100, T_Stock_Private!E$90:E$100)*(1+O41)</f>
        <v>0</v>
      </c>
      <c r="P65" s="693">
        <f>LOOKUP($C$58, T_Stock_Private!$C$90:$C$100, T_Stock_Private!F$90:F$100)*(1+P41)</f>
        <v>0</v>
      </c>
      <c r="Q65" s="693">
        <f>LOOKUP($C$58, T_Stock_Private!$C$90:$C$100, T_Stock_Private!G$90:G$100)*(1+Q41)</f>
        <v>0</v>
      </c>
      <c r="R65" s="693">
        <f>LOOKUP($C$58, T_Stock_Private!$C$90:$C$100, T_Stock_Private!H$90:H$100)*(1+R41)</f>
        <v>0</v>
      </c>
      <c r="S65" s="693">
        <f>LOOKUP($C$58, T_Stock_Private!$C$90:$C$100, T_Stock_Private!I$90:I$100)*(1+S41)</f>
        <v>0</v>
      </c>
      <c r="T65" s="693">
        <f>LOOKUP($C$58, T_Stock_Private!$C$90:$C$100, T_Stock_Private!J$90:J$100)*(1+T41)</f>
        <v>0</v>
      </c>
      <c r="U65" s="693">
        <f>LOOKUP($C$58, T_Stock_Private!$C$90:$C$100, T_Stock_Private!K$90:K$100)*(1+U41)</f>
        <v>0</v>
      </c>
      <c r="V65" s="693">
        <f>LOOKUP($C$58, T_Stock_Private!$C$90:$C$100, T_Stock_Private!L$90:L$100)*(1+V41)</f>
        <v>0</v>
      </c>
      <c r="W65" s="693">
        <f>LOOKUP($C$58, T_Stock_Private!$C$90:$C$100, T_Stock_Private!M$90:M$100)*(1+W41)</f>
        <v>0</v>
      </c>
      <c r="X65" s="693">
        <f>LOOKUP($C$58, T_Stock_Private!$C$90:$C$100, T_Stock_Private!N$90:N$100)*(1+X41)</f>
        <v>0</v>
      </c>
      <c r="Y65" s="693">
        <f>LOOKUP($C$58, T_Stock_Private!$C$90:$C$100, T_Stock_Private!O$90:O$100)*(1+Y41)</f>
        <v>0</v>
      </c>
      <c r="Z65" s="693">
        <f>LOOKUP($C$58, T_Stock_Private!$C$90:$C$100, T_Stock_Private!P$90:P$100)*(1+Z41)</f>
        <v>0</v>
      </c>
      <c r="AA65" s="693">
        <f>LOOKUP($C$58, T_Stock_Private!$C$90:$C$100, T_Stock_Private!Q$90:Q$100)*(1+AA41)</f>
        <v>0</v>
      </c>
      <c r="AB65" s="693">
        <f>LOOKUP($C$58, T_Stock_Private!$C$90:$C$100, T_Stock_Private!R$90:R$100)*(1+AB41)</f>
        <v>0</v>
      </c>
      <c r="AC65" s="89"/>
    </row>
    <row r="66" spans="1:64" s="83" customFormat="1" x14ac:dyDescent="0.3">
      <c r="B66" s="178" t="str">
        <f t="shared" si="52"/>
        <v>TFLEDST100</v>
      </c>
      <c r="C66" s="178"/>
      <c r="D66" s="179"/>
      <c r="E66" s="178"/>
      <c r="F66" s="182"/>
      <c r="G66" s="181"/>
      <c r="H66" s="182"/>
      <c r="I66" s="183">
        <f>AF$5</f>
        <v>2020</v>
      </c>
      <c r="J66" s="184"/>
      <c r="K66" s="184"/>
      <c r="L66" s="203" t="s">
        <v>1064</v>
      </c>
      <c r="M66" s="184" t="s">
        <v>747</v>
      </c>
      <c r="N66" s="693">
        <f t="shared" ref="N66:AB66" si="55">N65*LOOKUP($AD58,$AG$4:$AP$4,$AG$5:$AP$5)</f>
        <v>57589.95</v>
      </c>
      <c r="O66" s="693">
        <f t="shared" si="55"/>
        <v>0</v>
      </c>
      <c r="P66" s="693">
        <f t="shared" si="55"/>
        <v>0</v>
      </c>
      <c r="Q66" s="693">
        <f t="shared" si="55"/>
        <v>0</v>
      </c>
      <c r="R66" s="693">
        <f t="shared" si="55"/>
        <v>0</v>
      </c>
      <c r="S66" s="693">
        <f t="shared" si="55"/>
        <v>0</v>
      </c>
      <c r="T66" s="693">
        <f t="shared" si="55"/>
        <v>0</v>
      </c>
      <c r="U66" s="693">
        <f t="shared" si="55"/>
        <v>0</v>
      </c>
      <c r="V66" s="693">
        <f t="shared" si="55"/>
        <v>0</v>
      </c>
      <c r="W66" s="693">
        <f t="shared" si="55"/>
        <v>0</v>
      </c>
      <c r="X66" s="693">
        <f t="shared" si="55"/>
        <v>0</v>
      </c>
      <c r="Y66" s="693">
        <f t="shared" si="55"/>
        <v>0</v>
      </c>
      <c r="Z66" s="693">
        <f t="shared" si="55"/>
        <v>0</v>
      </c>
      <c r="AA66" s="693">
        <f t="shared" si="55"/>
        <v>0</v>
      </c>
      <c r="AB66" s="693">
        <f t="shared" si="55"/>
        <v>0</v>
      </c>
    </row>
    <row r="67" spans="1:64" s="83" customFormat="1" x14ac:dyDescent="0.3">
      <c r="B67" s="178" t="str">
        <f t="shared" si="52"/>
        <v>TFLEDST100</v>
      </c>
      <c r="C67" s="178"/>
      <c r="D67" s="179"/>
      <c r="E67" s="178"/>
      <c r="F67" s="182"/>
      <c r="G67" s="181"/>
      <c r="H67" s="182"/>
      <c r="I67" s="183">
        <f>AF$6</f>
        <v>2025</v>
      </c>
      <c r="J67" s="184"/>
      <c r="K67" s="184"/>
      <c r="L67" s="203" t="s">
        <v>1064</v>
      </c>
      <c r="M67" s="184" t="s">
        <v>747</v>
      </c>
      <c r="N67" s="693">
        <f t="shared" ref="N67:AB67" si="56">N65*LOOKUP($AD58,$AG$4:$AP$4,$AG$6:$AP$6)</f>
        <v>42434.7</v>
      </c>
      <c r="O67" s="693">
        <f t="shared" si="56"/>
        <v>0</v>
      </c>
      <c r="P67" s="693">
        <f t="shared" si="56"/>
        <v>0</v>
      </c>
      <c r="Q67" s="693">
        <f t="shared" si="56"/>
        <v>0</v>
      </c>
      <c r="R67" s="693">
        <f t="shared" si="56"/>
        <v>0</v>
      </c>
      <c r="S67" s="693">
        <f t="shared" si="56"/>
        <v>0</v>
      </c>
      <c r="T67" s="693">
        <f t="shared" si="56"/>
        <v>0</v>
      </c>
      <c r="U67" s="693">
        <f t="shared" si="56"/>
        <v>0</v>
      </c>
      <c r="V67" s="693">
        <f t="shared" si="56"/>
        <v>0</v>
      </c>
      <c r="W67" s="693">
        <f t="shared" si="56"/>
        <v>0</v>
      </c>
      <c r="X67" s="693">
        <f t="shared" si="56"/>
        <v>0</v>
      </c>
      <c r="Y67" s="693">
        <f t="shared" si="56"/>
        <v>0</v>
      </c>
      <c r="Z67" s="693">
        <f t="shared" si="56"/>
        <v>0</v>
      </c>
      <c r="AA67" s="693">
        <f t="shared" si="56"/>
        <v>0</v>
      </c>
      <c r="AB67" s="693">
        <f t="shared" si="56"/>
        <v>0</v>
      </c>
    </row>
    <row r="68" spans="1:64" s="83" customFormat="1" x14ac:dyDescent="0.3">
      <c r="B68" s="178" t="str">
        <f t="shared" si="52"/>
        <v>TFLEDST100</v>
      </c>
      <c r="C68" s="178"/>
      <c r="D68" s="179"/>
      <c r="E68" s="178"/>
      <c r="F68" s="182"/>
      <c r="G68" s="181"/>
      <c r="H68" s="182"/>
      <c r="I68" s="183">
        <f>AF$7</f>
        <v>2030</v>
      </c>
      <c r="J68" s="184"/>
      <c r="K68" s="184"/>
      <c r="L68" s="203" t="s">
        <v>1064</v>
      </c>
      <c r="M68" s="184" t="s">
        <v>747</v>
      </c>
      <c r="N68" s="693">
        <f t="shared" ref="N68:AB68" si="57">N65*LOOKUP($AD58,$AG$4:$AP$4,$AG$7:$AP$7)</f>
        <v>24248.400000000001</v>
      </c>
      <c r="O68" s="693">
        <f t="shared" si="57"/>
        <v>0</v>
      </c>
      <c r="P68" s="693">
        <f t="shared" si="57"/>
        <v>0</v>
      </c>
      <c r="Q68" s="693">
        <f t="shared" si="57"/>
        <v>0</v>
      </c>
      <c r="R68" s="693">
        <f t="shared" si="57"/>
        <v>0</v>
      </c>
      <c r="S68" s="693">
        <f t="shared" si="57"/>
        <v>0</v>
      </c>
      <c r="T68" s="693">
        <f t="shared" si="57"/>
        <v>0</v>
      </c>
      <c r="U68" s="693">
        <f t="shared" si="57"/>
        <v>0</v>
      </c>
      <c r="V68" s="693">
        <f t="shared" si="57"/>
        <v>0</v>
      </c>
      <c r="W68" s="693">
        <f t="shared" si="57"/>
        <v>0</v>
      </c>
      <c r="X68" s="693">
        <f t="shared" si="57"/>
        <v>0</v>
      </c>
      <c r="Y68" s="693">
        <f t="shared" si="57"/>
        <v>0</v>
      </c>
      <c r="Z68" s="693">
        <f t="shared" si="57"/>
        <v>0</v>
      </c>
      <c r="AA68" s="693">
        <f t="shared" si="57"/>
        <v>0</v>
      </c>
      <c r="AB68" s="693">
        <f t="shared" si="57"/>
        <v>0</v>
      </c>
    </row>
    <row r="69" spans="1:64" s="83" customFormat="1" x14ac:dyDescent="0.3">
      <c r="B69" s="178" t="str">
        <f t="shared" si="52"/>
        <v>TFLEDST100</v>
      </c>
      <c r="C69" s="178"/>
      <c r="D69" s="179"/>
      <c r="E69" s="178"/>
      <c r="F69" s="182"/>
      <c r="G69" s="181"/>
      <c r="H69" s="182"/>
      <c r="I69" s="183">
        <f>AF$8</f>
        <v>2035</v>
      </c>
      <c r="J69" s="184"/>
      <c r="K69" s="184"/>
      <c r="L69" s="203" t="s">
        <v>1064</v>
      </c>
      <c r="M69" s="184" t="s">
        <v>747</v>
      </c>
      <c r="N69" s="693">
        <f t="shared" ref="N69:AB69" si="58">N65*LOOKUP($AD58,$AG$4:$AP$4,$AG$8:$AP$8)</f>
        <v>9093.15</v>
      </c>
      <c r="O69" s="693">
        <f t="shared" si="58"/>
        <v>0</v>
      </c>
      <c r="P69" s="693">
        <f t="shared" si="58"/>
        <v>0</v>
      </c>
      <c r="Q69" s="693">
        <f t="shared" si="58"/>
        <v>0</v>
      </c>
      <c r="R69" s="693">
        <f t="shared" si="58"/>
        <v>0</v>
      </c>
      <c r="S69" s="693">
        <f t="shared" si="58"/>
        <v>0</v>
      </c>
      <c r="T69" s="693">
        <f t="shared" si="58"/>
        <v>0</v>
      </c>
      <c r="U69" s="693">
        <f t="shared" si="58"/>
        <v>0</v>
      </c>
      <c r="V69" s="693">
        <f t="shared" si="58"/>
        <v>0</v>
      </c>
      <c r="W69" s="693">
        <f t="shared" si="58"/>
        <v>0</v>
      </c>
      <c r="X69" s="693">
        <f t="shared" si="58"/>
        <v>0</v>
      </c>
      <c r="Y69" s="693">
        <f t="shared" si="58"/>
        <v>0</v>
      </c>
      <c r="Z69" s="693">
        <f t="shared" si="58"/>
        <v>0</v>
      </c>
      <c r="AA69" s="693">
        <f t="shared" si="58"/>
        <v>0</v>
      </c>
      <c r="AB69" s="693">
        <f t="shared" si="58"/>
        <v>0</v>
      </c>
    </row>
    <row r="70" spans="1:64" s="83" customFormat="1" x14ac:dyDescent="0.3">
      <c r="B70" s="178" t="str">
        <f t="shared" si="52"/>
        <v>TFLEDST100</v>
      </c>
      <c r="C70" s="178"/>
      <c r="D70" s="179"/>
      <c r="E70" s="178"/>
      <c r="F70" s="182"/>
      <c r="G70" s="181"/>
      <c r="H70" s="182"/>
      <c r="I70" s="183">
        <f>AF$9</f>
        <v>2040</v>
      </c>
      <c r="J70" s="184"/>
      <c r="K70" s="184"/>
      <c r="L70" s="203" t="s">
        <v>1064</v>
      </c>
      <c r="M70" s="184" t="s">
        <v>747</v>
      </c>
      <c r="N70" s="693">
        <f t="shared" ref="N70:AB70" si="59">N65*LOOKUP($AD58,$AG$4:$AP$4,$AG$9:$AP$9)</f>
        <v>303.10500000000002</v>
      </c>
      <c r="O70" s="693">
        <f t="shared" si="59"/>
        <v>0</v>
      </c>
      <c r="P70" s="693">
        <f t="shared" si="59"/>
        <v>0</v>
      </c>
      <c r="Q70" s="693">
        <f t="shared" si="59"/>
        <v>0</v>
      </c>
      <c r="R70" s="693">
        <f t="shared" si="59"/>
        <v>0</v>
      </c>
      <c r="S70" s="693">
        <f t="shared" si="59"/>
        <v>0</v>
      </c>
      <c r="T70" s="693">
        <f t="shared" si="59"/>
        <v>0</v>
      </c>
      <c r="U70" s="693">
        <f t="shared" si="59"/>
        <v>0</v>
      </c>
      <c r="V70" s="693">
        <f t="shared" si="59"/>
        <v>0</v>
      </c>
      <c r="W70" s="693">
        <f t="shared" si="59"/>
        <v>0</v>
      </c>
      <c r="X70" s="693">
        <f t="shared" si="59"/>
        <v>0</v>
      </c>
      <c r="Y70" s="693">
        <f t="shared" si="59"/>
        <v>0</v>
      </c>
      <c r="Z70" s="693">
        <f t="shared" si="59"/>
        <v>0</v>
      </c>
      <c r="AA70" s="693">
        <f t="shared" si="59"/>
        <v>0</v>
      </c>
      <c r="AB70" s="693">
        <f t="shared" si="59"/>
        <v>0</v>
      </c>
    </row>
    <row r="71" spans="1:64" s="83" customFormat="1" x14ac:dyDescent="0.3">
      <c r="B71" s="204" t="str">
        <f t="shared" si="52"/>
        <v>TFLEDST100</v>
      </c>
      <c r="C71" s="204"/>
      <c r="D71" s="205"/>
      <c r="E71" s="204"/>
      <c r="F71" s="206"/>
      <c r="G71" s="207"/>
      <c r="H71" s="206"/>
      <c r="I71" s="208">
        <f>AF$10</f>
        <v>2050</v>
      </c>
      <c r="J71" s="209"/>
      <c r="K71" s="209"/>
      <c r="L71" s="210" t="s">
        <v>1064</v>
      </c>
      <c r="M71" s="209" t="s">
        <v>747</v>
      </c>
      <c r="N71" s="694">
        <f t="shared" ref="N71:AB71" si="60">N65*LOOKUP($AD58,$AG$4:$AP$4,$AG$10:$AP$10)</f>
        <v>0</v>
      </c>
      <c r="O71" s="694">
        <f t="shared" si="60"/>
        <v>0</v>
      </c>
      <c r="P71" s="694">
        <f t="shared" si="60"/>
        <v>0</v>
      </c>
      <c r="Q71" s="694">
        <f t="shared" si="60"/>
        <v>0</v>
      </c>
      <c r="R71" s="694">
        <f t="shared" si="60"/>
        <v>0</v>
      </c>
      <c r="S71" s="694">
        <f t="shared" si="60"/>
        <v>0</v>
      </c>
      <c r="T71" s="694">
        <f t="shared" si="60"/>
        <v>0</v>
      </c>
      <c r="U71" s="694">
        <f t="shared" si="60"/>
        <v>0</v>
      </c>
      <c r="V71" s="694">
        <f t="shared" si="60"/>
        <v>0</v>
      </c>
      <c r="W71" s="694">
        <f t="shared" si="60"/>
        <v>0</v>
      </c>
      <c r="X71" s="694">
        <f t="shared" si="60"/>
        <v>0</v>
      </c>
      <c r="Y71" s="694">
        <f t="shared" si="60"/>
        <v>0</v>
      </c>
      <c r="Z71" s="694">
        <f t="shared" si="60"/>
        <v>0</v>
      </c>
      <c r="AA71" s="694">
        <f t="shared" si="60"/>
        <v>0</v>
      </c>
      <c r="AB71" s="694">
        <f t="shared" si="60"/>
        <v>0</v>
      </c>
    </row>
    <row r="72" spans="1:64" s="83" customFormat="1" x14ac:dyDescent="0.3">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699" t="str">
        <f t="shared" ref="AV72:AV74" si="62">MID(E72,1,7)</f>
        <v>TRAELC</v>
      </c>
      <c r="AW72" s="567">
        <f t="shared" ref="AW72" si="63">SUM(AX72:BL72)</f>
        <v>9.47853142084392</v>
      </c>
      <c r="AX72" s="569">
        <f>N76*N77/N73/1000</f>
        <v>9.47853142084392</v>
      </c>
      <c r="AY72" s="569">
        <f t="shared" ref="AY72:BL72" si="64">O76*O77/O73/1000</f>
        <v>0</v>
      </c>
      <c r="AZ72" s="569">
        <f t="shared" si="64"/>
        <v>0</v>
      </c>
      <c r="BA72" s="569">
        <f t="shared" si="64"/>
        <v>0</v>
      </c>
      <c r="BB72" s="569">
        <f t="shared" si="64"/>
        <v>0</v>
      </c>
      <c r="BC72" s="569">
        <f t="shared" si="64"/>
        <v>0</v>
      </c>
      <c r="BD72" s="569">
        <f t="shared" si="64"/>
        <v>0</v>
      </c>
      <c r="BE72" s="569">
        <f t="shared" si="64"/>
        <v>0</v>
      </c>
      <c r="BF72" s="569">
        <f t="shared" si="64"/>
        <v>0</v>
      </c>
      <c r="BG72" s="569">
        <f t="shared" si="64"/>
        <v>0</v>
      </c>
      <c r="BH72" s="569">
        <f t="shared" si="64"/>
        <v>0</v>
      </c>
      <c r="BI72" s="569">
        <f t="shared" si="64"/>
        <v>0</v>
      </c>
      <c r="BJ72" s="569">
        <f t="shared" si="64"/>
        <v>0</v>
      </c>
      <c r="BK72" s="569">
        <f t="shared" si="64"/>
        <v>0</v>
      </c>
      <c r="BL72" s="569">
        <f t="shared" si="64"/>
        <v>0</v>
      </c>
    </row>
    <row r="73" spans="1:64" s="83" customFormat="1" x14ac:dyDescent="0.3">
      <c r="A73" s="82"/>
      <c r="B73" s="178" t="str">
        <f>B72</f>
        <v>TFLEELC100</v>
      </c>
      <c r="C73" s="178"/>
      <c r="D73" s="179"/>
      <c r="E73" s="178"/>
      <c r="F73" s="182"/>
      <c r="G73" s="173" t="s">
        <v>431</v>
      </c>
      <c r="H73" s="182"/>
      <c r="I73" s="183"/>
      <c r="J73" s="184"/>
      <c r="K73" s="184"/>
      <c r="L73" s="184" t="s">
        <v>1125</v>
      </c>
      <c r="M73" s="184" t="s">
        <v>677</v>
      </c>
      <c r="N73" s="675">
        <f>T_CEFF!H162</f>
        <v>1.0389600000000001</v>
      </c>
      <c r="O73" s="675">
        <f>T_CEFF!I162</f>
        <v>1.0389600000000001</v>
      </c>
      <c r="P73" s="675">
        <f>T_CEFF!J162</f>
        <v>1.0389600000000001</v>
      </c>
      <c r="Q73" s="675">
        <f>T_CEFF!K162</f>
        <v>1.0389600000000001</v>
      </c>
      <c r="R73" s="675">
        <f>T_CEFF!L162</f>
        <v>1.0389600000000001</v>
      </c>
      <c r="S73" s="675">
        <f>T_CEFF!M162</f>
        <v>1.0389600000000001</v>
      </c>
      <c r="T73" s="675">
        <f>T_CEFF!N162</f>
        <v>1.0389600000000001</v>
      </c>
      <c r="U73" s="675">
        <f>T_CEFF!O162</f>
        <v>1.0389600000000001</v>
      </c>
      <c r="V73" s="675">
        <f>T_CEFF!P162</f>
        <v>1.0389600000000001</v>
      </c>
      <c r="W73" s="675">
        <f>T_CEFF!Q162</f>
        <v>1.0389600000000001</v>
      </c>
      <c r="X73" s="675">
        <f>T_CEFF!R162</f>
        <v>1.0389600000000001</v>
      </c>
      <c r="Y73" s="675">
        <f>T_CEFF!S162</f>
        <v>1.0389600000000001</v>
      </c>
      <c r="Z73" s="675">
        <f>T_CEFF!T162</f>
        <v>1.0389600000000001</v>
      </c>
      <c r="AA73" s="675">
        <f>T_CEFF!U162</f>
        <v>1.0389600000000001</v>
      </c>
      <c r="AB73" s="675">
        <f>T_CEFF!V162</f>
        <v>1.0389600000000001</v>
      </c>
      <c r="AD73" s="66" t="str">
        <f>IF(COUNTIF($AG$4:$AP$4,AD72)=1,"ok","MISSING")</f>
        <v>ok</v>
      </c>
      <c r="AV73" s="699" t="str">
        <f t="shared" si="62"/>
        <v/>
      </c>
      <c r="AW73" s="567"/>
    </row>
    <row r="74" spans="1:64" s="83" customFormat="1" x14ac:dyDescent="0.3">
      <c r="A74" s="82"/>
      <c r="B74" s="178" t="str">
        <f t="shared" ref="B74:B83" si="65">B73</f>
        <v>TFLEELC100</v>
      </c>
      <c r="C74" s="178"/>
      <c r="D74" s="179"/>
      <c r="E74" s="178"/>
      <c r="F74" s="182"/>
      <c r="G74" s="173" t="s">
        <v>429</v>
      </c>
      <c r="H74" s="182"/>
      <c r="I74" s="183"/>
      <c r="J74" s="184"/>
      <c r="K74" s="184"/>
      <c r="L74" s="184" t="s">
        <v>1125</v>
      </c>
      <c r="M74" s="184" t="s">
        <v>677</v>
      </c>
      <c r="N74" s="675">
        <f>T_CEFF!H163</f>
        <v>1.2903199999999999</v>
      </c>
      <c r="O74" s="675">
        <f>T_CEFF!I163</f>
        <v>1.2903199999999999</v>
      </c>
      <c r="P74" s="675">
        <f>T_CEFF!J163</f>
        <v>1.2903199999999999</v>
      </c>
      <c r="Q74" s="675">
        <f>T_CEFF!K163</f>
        <v>1.2903199999999999</v>
      </c>
      <c r="R74" s="675">
        <f>T_CEFF!L163</f>
        <v>1.2903199999999999</v>
      </c>
      <c r="S74" s="675">
        <f>T_CEFF!M163</f>
        <v>1.2903199999999999</v>
      </c>
      <c r="T74" s="675">
        <f>T_CEFF!N163</f>
        <v>1.2903199999999999</v>
      </c>
      <c r="U74" s="675">
        <f>T_CEFF!O163</f>
        <v>1.2903199999999999</v>
      </c>
      <c r="V74" s="675">
        <f>T_CEFF!P163</f>
        <v>1.2903199999999999</v>
      </c>
      <c r="W74" s="675">
        <f>T_CEFF!Q163</f>
        <v>1.2903199999999999</v>
      </c>
      <c r="X74" s="675">
        <f>T_CEFF!R163</f>
        <v>1.2903199999999999</v>
      </c>
      <c r="Y74" s="675">
        <f>T_CEFF!S163</f>
        <v>1.2903199999999999</v>
      </c>
      <c r="Z74" s="675">
        <f>T_CEFF!T163</f>
        <v>1.2903199999999999</v>
      </c>
      <c r="AA74" s="675">
        <f>T_CEFF!U163</f>
        <v>1.2903199999999999</v>
      </c>
      <c r="AB74" s="675">
        <f>T_CEFF!V163</f>
        <v>1.2903199999999999</v>
      </c>
      <c r="AV74" s="699" t="str">
        <f t="shared" si="62"/>
        <v/>
      </c>
      <c r="AW74" s="567"/>
    </row>
    <row r="75" spans="1:64" s="83" customFormat="1" x14ac:dyDescent="0.3">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3">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1">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3">
      <c r="A77" s="82"/>
      <c r="B77" s="178" t="str">
        <f>B76</f>
        <v>TFLEELC100</v>
      </c>
      <c r="C77" s="178"/>
      <c r="D77" s="179"/>
      <c r="E77" s="178"/>
      <c r="F77" s="182"/>
      <c r="G77" s="181"/>
      <c r="H77" s="182"/>
      <c r="I77" s="183">
        <f>$M$3</f>
        <v>2019</v>
      </c>
      <c r="J77" s="184"/>
      <c r="K77" s="184"/>
      <c r="L77" s="203" t="s">
        <v>1064</v>
      </c>
      <c r="M77" s="184" t="s">
        <v>747</v>
      </c>
      <c r="N77" s="693">
        <f>LOOKUP($C$72, T_Stock_Private!$C$90:$C$100, T_Stock_Private!D$90:D$100)*(1+N41)</f>
        <v>1405</v>
      </c>
      <c r="O77" s="693">
        <f>LOOKUP($C$72, T_Stock_Private!$C$90:$C$100, T_Stock_Private!E$90:E$100)*(1+O41)</f>
        <v>0</v>
      </c>
      <c r="P77" s="693">
        <f>LOOKUP($C$72, T_Stock_Private!$C$90:$C$100, T_Stock_Private!F$90:F$100)*(1+P41)</f>
        <v>0</v>
      </c>
      <c r="Q77" s="693">
        <f>LOOKUP($C$72, T_Stock_Private!$C$90:$C$100, T_Stock_Private!G$90:G$100)*(1+Q41)</f>
        <v>0</v>
      </c>
      <c r="R77" s="693">
        <f>LOOKUP($C$72, T_Stock_Private!$C$90:$C$100, T_Stock_Private!H$90:H$100)*(1+R41)</f>
        <v>0</v>
      </c>
      <c r="S77" s="693">
        <f>LOOKUP($C$72, T_Stock_Private!$C$90:$C$100, T_Stock_Private!I$90:I$100)*(1+S41)</f>
        <v>0</v>
      </c>
      <c r="T77" s="693">
        <f>LOOKUP($C$72, T_Stock_Private!$C$90:$C$100, T_Stock_Private!J$90:J$100)*(1+T41)</f>
        <v>0</v>
      </c>
      <c r="U77" s="693">
        <f>LOOKUP($C$72, T_Stock_Private!$C$90:$C$100, T_Stock_Private!K$90:K$100)*(1+U41)</f>
        <v>0</v>
      </c>
      <c r="V77" s="693">
        <f>LOOKUP($C$72, T_Stock_Private!$C$90:$C$100, T_Stock_Private!L$90:L$100)*(1+V41)</f>
        <v>0</v>
      </c>
      <c r="W77" s="693">
        <f>LOOKUP($C$72, T_Stock_Private!$C$90:$C$100, T_Stock_Private!M$90:M$100)*(1+W41)</f>
        <v>0</v>
      </c>
      <c r="X77" s="693">
        <f>LOOKUP($C$72, T_Stock_Private!$C$90:$C$100, T_Stock_Private!N$90:N$100)*(1+X41)</f>
        <v>0</v>
      </c>
      <c r="Y77" s="693">
        <f>LOOKUP($C$72, T_Stock_Private!$C$90:$C$100, T_Stock_Private!O$90:O$100)*(1+Y41)</f>
        <v>0</v>
      </c>
      <c r="Z77" s="693">
        <f>LOOKUP($C$72, T_Stock_Private!$C$90:$C$100, T_Stock_Private!P$90:P$100)*(1+Z41)</f>
        <v>0</v>
      </c>
      <c r="AA77" s="693">
        <f>LOOKUP($C$72, T_Stock_Private!$C$90:$C$100, T_Stock_Private!Q$90:Q$100)*(1+AA41)</f>
        <v>0</v>
      </c>
      <c r="AB77" s="693">
        <f>LOOKUP($C$72, T_Stock_Private!$C$90:$C$100, T_Stock_Private!R$90:R$100)*(1+AB41)</f>
        <v>0</v>
      </c>
      <c r="AC77" s="89"/>
    </row>
    <row r="78" spans="1:64" s="83" customFormat="1" x14ac:dyDescent="0.3">
      <c r="A78" s="82"/>
      <c r="B78" s="178" t="str">
        <f t="shared" si="65"/>
        <v>TFLEELC100</v>
      </c>
      <c r="C78" s="178"/>
      <c r="D78" s="179"/>
      <c r="E78" s="178"/>
      <c r="F78" s="182"/>
      <c r="G78" s="181"/>
      <c r="H78" s="182"/>
      <c r="I78" s="183">
        <f>AF$5</f>
        <v>2020</v>
      </c>
      <c r="J78" s="184"/>
      <c r="K78" s="184"/>
      <c r="L78" s="203" t="s">
        <v>1064</v>
      </c>
      <c r="M78" s="184" t="s">
        <v>747</v>
      </c>
      <c r="N78" s="693">
        <f t="shared" ref="N78:AB78" si="68">N77*LOOKUP($AD72,$AG$4:$AP$4,$AG$5:$AP$5)</f>
        <v>1390.95</v>
      </c>
      <c r="O78" s="693">
        <f t="shared" si="68"/>
        <v>0</v>
      </c>
      <c r="P78" s="693">
        <f t="shared" si="68"/>
        <v>0</v>
      </c>
      <c r="Q78" s="693">
        <f t="shared" si="68"/>
        <v>0</v>
      </c>
      <c r="R78" s="693">
        <f t="shared" si="68"/>
        <v>0</v>
      </c>
      <c r="S78" s="693">
        <f t="shared" si="68"/>
        <v>0</v>
      </c>
      <c r="T78" s="693">
        <f t="shared" si="68"/>
        <v>0</v>
      </c>
      <c r="U78" s="693">
        <f t="shared" si="68"/>
        <v>0</v>
      </c>
      <c r="V78" s="693">
        <f t="shared" si="68"/>
        <v>0</v>
      </c>
      <c r="W78" s="693">
        <f t="shared" si="68"/>
        <v>0</v>
      </c>
      <c r="X78" s="693">
        <f t="shared" si="68"/>
        <v>0</v>
      </c>
      <c r="Y78" s="693">
        <f t="shared" si="68"/>
        <v>0</v>
      </c>
      <c r="Z78" s="693">
        <f t="shared" si="68"/>
        <v>0</v>
      </c>
      <c r="AA78" s="693">
        <f t="shared" si="68"/>
        <v>0</v>
      </c>
      <c r="AB78" s="693">
        <f t="shared" si="68"/>
        <v>0</v>
      </c>
    </row>
    <row r="79" spans="1:64" s="83" customFormat="1" x14ac:dyDescent="0.3">
      <c r="A79" s="82"/>
      <c r="B79" s="178" t="str">
        <f t="shared" si="65"/>
        <v>TFLEELC100</v>
      </c>
      <c r="C79" s="178"/>
      <c r="D79" s="179"/>
      <c r="E79" s="178"/>
      <c r="F79" s="182"/>
      <c r="G79" s="181"/>
      <c r="H79" s="182"/>
      <c r="I79" s="183">
        <f>AF$6</f>
        <v>2025</v>
      </c>
      <c r="J79" s="184"/>
      <c r="K79" s="184"/>
      <c r="L79" s="203" t="s">
        <v>1064</v>
      </c>
      <c r="M79" s="184" t="s">
        <v>747</v>
      </c>
      <c r="N79" s="693">
        <f t="shared" ref="N79:AB79" si="69">N77*LOOKUP($AD72,$AG$4:$AP$4,$AG$6:$AP$6)</f>
        <v>1053.75</v>
      </c>
      <c r="O79" s="693">
        <f t="shared" si="69"/>
        <v>0</v>
      </c>
      <c r="P79" s="693">
        <f t="shared" si="69"/>
        <v>0</v>
      </c>
      <c r="Q79" s="693">
        <f t="shared" si="69"/>
        <v>0</v>
      </c>
      <c r="R79" s="693">
        <f t="shared" si="69"/>
        <v>0</v>
      </c>
      <c r="S79" s="693">
        <f t="shared" si="69"/>
        <v>0</v>
      </c>
      <c r="T79" s="693">
        <f t="shared" si="69"/>
        <v>0</v>
      </c>
      <c r="U79" s="693">
        <f t="shared" si="69"/>
        <v>0</v>
      </c>
      <c r="V79" s="693">
        <f t="shared" si="69"/>
        <v>0</v>
      </c>
      <c r="W79" s="693">
        <f t="shared" si="69"/>
        <v>0</v>
      </c>
      <c r="X79" s="693">
        <f t="shared" si="69"/>
        <v>0</v>
      </c>
      <c r="Y79" s="693">
        <f t="shared" si="69"/>
        <v>0</v>
      </c>
      <c r="Z79" s="693">
        <f t="shared" si="69"/>
        <v>0</v>
      </c>
      <c r="AA79" s="693">
        <f t="shared" si="69"/>
        <v>0</v>
      </c>
      <c r="AB79" s="693">
        <f t="shared" si="69"/>
        <v>0</v>
      </c>
    </row>
    <row r="80" spans="1:64" s="83" customFormat="1" x14ac:dyDescent="0.3">
      <c r="A80" s="82"/>
      <c r="B80" s="178" t="str">
        <f t="shared" si="65"/>
        <v>TFLEELC100</v>
      </c>
      <c r="C80" s="178"/>
      <c r="D80" s="179"/>
      <c r="E80" s="178"/>
      <c r="F80" s="182"/>
      <c r="G80" s="181"/>
      <c r="H80" s="182"/>
      <c r="I80" s="183">
        <f>AF$7</f>
        <v>2030</v>
      </c>
      <c r="J80" s="184"/>
      <c r="K80" s="184"/>
      <c r="L80" s="203" t="s">
        <v>1064</v>
      </c>
      <c r="M80" s="184" t="s">
        <v>747</v>
      </c>
      <c r="N80" s="693">
        <f t="shared" ref="N80:AB80" si="70">N77*LOOKUP($AD72,$AG$4:$AP$4,$AG$7:$AP$7)</f>
        <v>702.5</v>
      </c>
      <c r="O80" s="693">
        <f t="shared" si="70"/>
        <v>0</v>
      </c>
      <c r="P80" s="693">
        <f t="shared" si="70"/>
        <v>0</v>
      </c>
      <c r="Q80" s="693">
        <f t="shared" si="70"/>
        <v>0</v>
      </c>
      <c r="R80" s="693">
        <f t="shared" si="70"/>
        <v>0</v>
      </c>
      <c r="S80" s="693">
        <f t="shared" si="70"/>
        <v>0</v>
      </c>
      <c r="T80" s="693">
        <f t="shared" si="70"/>
        <v>0</v>
      </c>
      <c r="U80" s="693">
        <f t="shared" si="70"/>
        <v>0</v>
      </c>
      <c r="V80" s="693">
        <f t="shared" si="70"/>
        <v>0</v>
      </c>
      <c r="W80" s="693">
        <f t="shared" si="70"/>
        <v>0</v>
      </c>
      <c r="X80" s="693">
        <f t="shared" si="70"/>
        <v>0</v>
      </c>
      <c r="Y80" s="693">
        <f t="shared" si="70"/>
        <v>0</v>
      </c>
      <c r="Z80" s="693">
        <f t="shared" si="70"/>
        <v>0</v>
      </c>
      <c r="AA80" s="693">
        <f t="shared" si="70"/>
        <v>0</v>
      </c>
      <c r="AB80" s="693">
        <f t="shared" si="70"/>
        <v>0</v>
      </c>
    </row>
    <row r="81" spans="1:64" s="83" customFormat="1" x14ac:dyDescent="0.3">
      <c r="A81" s="82"/>
      <c r="B81" s="178" t="str">
        <f t="shared" si="65"/>
        <v>TFLEELC100</v>
      </c>
      <c r="C81" s="178"/>
      <c r="D81" s="179"/>
      <c r="E81" s="178"/>
      <c r="F81" s="182"/>
      <c r="G81" s="181"/>
      <c r="H81" s="182"/>
      <c r="I81" s="183">
        <f>AF$8</f>
        <v>2035</v>
      </c>
      <c r="J81" s="184"/>
      <c r="K81" s="184"/>
      <c r="L81" s="203" t="s">
        <v>1064</v>
      </c>
      <c r="M81" s="184" t="s">
        <v>747</v>
      </c>
      <c r="N81" s="693">
        <f t="shared" ref="N81:AB81" si="71">N77*LOOKUP($AD72,$AG$4:$AP$4,$AG$8:$AP$8)</f>
        <v>210.75</v>
      </c>
      <c r="O81" s="693">
        <f t="shared" si="71"/>
        <v>0</v>
      </c>
      <c r="P81" s="693">
        <f t="shared" si="71"/>
        <v>0</v>
      </c>
      <c r="Q81" s="693">
        <f t="shared" si="71"/>
        <v>0</v>
      </c>
      <c r="R81" s="693">
        <f t="shared" si="71"/>
        <v>0</v>
      </c>
      <c r="S81" s="693">
        <f t="shared" si="71"/>
        <v>0</v>
      </c>
      <c r="T81" s="693">
        <f t="shared" si="71"/>
        <v>0</v>
      </c>
      <c r="U81" s="693">
        <f t="shared" si="71"/>
        <v>0</v>
      </c>
      <c r="V81" s="693">
        <f t="shared" si="71"/>
        <v>0</v>
      </c>
      <c r="W81" s="693">
        <f t="shared" si="71"/>
        <v>0</v>
      </c>
      <c r="X81" s="693">
        <f t="shared" si="71"/>
        <v>0</v>
      </c>
      <c r="Y81" s="693">
        <f t="shared" si="71"/>
        <v>0</v>
      </c>
      <c r="Z81" s="693">
        <f t="shared" si="71"/>
        <v>0</v>
      </c>
      <c r="AA81" s="693">
        <f t="shared" si="71"/>
        <v>0</v>
      </c>
      <c r="AB81" s="693">
        <f t="shared" si="71"/>
        <v>0</v>
      </c>
    </row>
    <row r="82" spans="1:64" s="83" customFormat="1" x14ac:dyDescent="0.3">
      <c r="A82" s="82"/>
      <c r="B82" s="178" t="str">
        <f t="shared" si="65"/>
        <v>TFLEELC100</v>
      </c>
      <c r="C82" s="178"/>
      <c r="D82" s="179"/>
      <c r="E82" s="178"/>
      <c r="F82" s="182"/>
      <c r="G82" s="181"/>
      <c r="H82" s="182"/>
      <c r="I82" s="183">
        <f>AF$9</f>
        <v>2040</v>
      </c>
      <c r="J82" s="184"/>
      <c r="K82" s="184"/>
      <c r="L82" s="203" t="s">
        <v>1064</v>
      </c>
      <c r="M82" s="184" t="s">
        <v>747</v>
      </c>
      <c r="N82" s="693">
        <f t="shared" ref="N82:AB82" si="72">N77*LOOKUP($AD72,$AG$4:$AP$4,$AG$9:$AP$9)</f>
        <v>7.0250000000000004</v>
      </c>
      <c r="O82" s="693">
        <f t="shared" si="72"/>
        <v>0</v>
      </c>
      <c r="P82" s="693">
        <f t="shared" si="72"/>
        <v>0</v>
      </c>
      <c r="Q82" s="693">
        <f t="shared" si="72"/>
        <v>0</v>
      </c>
      <c r="R82" s="693">
        <f t="shared" si="72"/>
        <v>0</v>
      </c>
      <c r="S82" s="693">
        <f t="shared" si="72"/>
        <v>0</v>
      </c>
      <c r="T82" s="693">
        <f t="shared" si="72"/>
        <v>0</v>
      </c>
      <c r="U82" s="693">
        <f t="shared" si="72"/>
        <v>0</v>
      </c>
      <c r="V82" s="693">
        <f t="shared" si="72"/>
        <v>0</v>
      </c>
      <c r="W82" s="693">
        <f t="shared" si="72"/>
        <v>0</v>
      </c>
      <c r="X82" s="693">
        <f t="shared" si="72"/>
        <v>0</v>
      </c>
      <c r="Y82" s="693">
        <f t="shared" si="72"/>
        <v>0</v>
      </c>
      <c r="Z82" s="693">
        <f t="shared" si="72"/>
        <v>0</v>
      </c>
      <c r="AA82" s="693">
        <f t="shared" si="72"/>
        <v>0</v>
      </c>
      <c r="AB82" s="693">
        <f t="shared" si="72"/>
        <v>0</v>
      </c>
    </row>
    <row r="83" spans="1:64" s="83" customFormat="1" x14ac:dyDescent="0.3">
      <c r="A83" s="82"/>
      <c r="B83" s="204" t="str">
        <f t="shared" si="65"/>
        <v>TFLEELC100</v>
      </c>
      <c r="C83" s="204"/>
      <c r="D83" s="205"/>
      <c r="E83" s="204"/>
      <c r="F83" s="206"/>
      <c r="G83" s="207"/>
      <c r="H83" s="206"/>
      <c r="I83" s="208">
        <f>AF$10</f>
        <v>2050</v>
      </c>
      <c r="J83" s="209"/>
      <c r="K83" s="209"/>
      <c r="L83" s="210" t="s">
        <v>1064</v>
      </c>
      <c r="M83" s="209" t="s">
        <v>747</v>
      </c>
      <c r="N83" s="694">
        <f t="shared" ref="N83:AB83" si="73">N77*LOOKUP($AD72,$AG$4:$AP$4,$AG$10:$AP$10)</f>
        <v>0</v>
      </c>
      <c r="O83" s="694">
        <f t="shared" si="73"/>
        <v>0</v>
      </c>
      <c r="P83" s="694">
        <f t="shared" si="73"/>
        <v>0</v>
      </c>
      <c r="Q83" s="694">
        <f t="shared" si="73"/>
        <v>0</v>
      </c>
      <c r="R83" s="694">
        <f t="shared" si="73"/>
        <v>0</v>
      </c>
      <c r="S83" s="694">
        <f t="shared" si="73"/>
        <v>0</v>
      </c>
      <c r="T83" s="694">
        <f t="shared" si="73"/>
        <v>0</v>
      </c>
      <c r="U83" s="694">
        <f t="shared" si="73"/>
        <v>0</v>
      </c>
      <c r="V83" s="694">
        <f t="shared" si="73"/>
        <v>0</v>
      </c>
      <c r="W83" s="694">
        <f t="shared" si="73"/>
        <v>0</v>
      </c>
      <c r="X83" s="694">
        <f t="shared" si="73"/>
        <v>0</v>
      </c>
      <c r="Y83" s="694">
        <f t="shared" si="73"/>
        <v>0</v>
      </c>
      <c r="Z83" s="694">
        <f t="shared" si="73"/>
        <v>0</v>
      </c>
      <c r="AA83" s="694">
        <f t="shared" si="73"/>
        <v>0</v>
      </c>
      <c r="AB83" s="694">
        <f t="shared" si="73"/>
        <v>0</v>
      </c>
    </row>
    <row r="84" spans="1:64" s="83" customFormat="1" x14ac:dyDescent="0.3">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699" t="str">
        <f t="shared" ref="AV84:AV86" si="75">MID(E84,1,7)</f>
        <v>TRAETH</v>
      </c>
      <c r="AW84" s="567">
        <f t="shared" ref="AW84:AW85" si="76">SUM(AX84:BL84)</f>
        <v>16.72398745176168</v>
      </c>
      <c r="AX84" s="569">
        <f>N$89*N$90*(1-N85)/N$87/1000</f>
        <v>16.72398745176168</v>
      </c>
      <c r="AY84" s="569">
        <f t="shared" ref="AY84:BL84" si="77">O$89*O$90*(1-O85)/O$87/1000</f>
        <v>0</v>
      </c>
      <c r="AZ84" s="569">
        <f t="shared" si="77"/>
        <v>0</v>
      </c>
      <c r="BA84" s="569">
        <f t="shared" si="77"/>
        <v>0</v>
      </c>
      <c r="BB84" s="569">
        <f t="shared" si="77"/>
        <v>0</v>
      </c>
      <c r="BC84" s="569">
        <f t="shared" si="77"/>
        <v>0</v>
      </c>
      <c r="BD84" s="569">
        <f t="shared" si="77"/>
        <v>0</v>
      </c>
      <c r="BE84" s="569">
        <f t="shared" si="77"/>
        <v>0</v>
      </c>
      <c r="BF84" s="569">
        <f t="shared" si="77"/>
        <v>0</v>
      </c>
      <c r="BG84" s="569">
        <f t="shared" si="77"/>
        <v>0</v>
      </c>
      <c r="BH84" s="569">
        <f t="shared" si="77"/>
        <v>0</v>
      </c>
      <c r="BI84" s="569">
        <f t="shared" si="77"/>
        <v>0</v>
      </c>
      <c r="BJ84" s="569">
        <f t="shared" si="77"/>
        <v>0</v>
      </c>
      <c r="BK84" s="569">
        <f t="shared" si="77"/>
        <v>0</v>
      </c>
      <c r="BL84" s="569">
        <f t="shared" si="77"/>
        <v>0</v>
      </c>
    </row>
    <row r="85" spans="1:64" s="83" customFormat="1" x14ac:dyDescent="0.3">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699" t="str">
        <f t="shared" si="75"/>
        <v>TRAGSL</v>
      </c>
      <c r="AW85" s="567">
        <f t="shared" si="76"/>
        <v>5.5746624839205596</v>
      </c>
      <c r="AX85" s="569">
        <f>N$89*N$90*N85/N$87/1000</f>
        <v>5.5746624839205596</v>
      </c>
      <c r="AY85" s="569">
        <f t="shared" ref="AY85:BL85" si="79">O$89*O$90*O85/O$87/1000</f>
        <v>0</v>
      </c>
      <c r="AZ85" s="569">
        <f t="shared" si="79"/>
        <v>0</v>
      </c>
      <c r="BA85" s="569">
        <f t="shared" si="79"/>
        <v>0</v>
      </c>
      <c r="BB85" s="569">
        <f t="shared" si="79"/>
        <v>0</v>
      </c>
      <c r="BC85" s="569">
        <f t="shared" si="79"/>
        <v>0</v>
      </c>
      <c r="BD85" s="569">
        <f t="shared" si="79"/>
        <v>0</v>
      </c>
      <c r="BE85" s="569">
        <f t="shared" si="79"/>
        <v>0</v>
      </c>
      <c r="BF85" s="569">
        <f t="shared" si="79"/>
        <v>0</v>
      </c>
      <c r="BG85" s="569">
        <f t="shared" si="79"/>
        <v>0</v>
      </c>
      <c r="BH85" s="569">
        <f t="shared" si="79"/>
        <v>0</v>
      </c>
      <c r="BI85" s="569">
        <f t="shared" si="79"/>
        <v>0</v>
      </c>
      <c r="BJ85" s="569">
        <f t="shared" si="79"/>
        <v>0</v>
      </c>
      <c r="BK85" s="569">
        <f t="shared" si="79"/>
        <v>0</v>
      </c>
      <c r="BL85" s="569">
        <f t="shared" si="79"/>
        <v>0</v>
      </c>
    </row>
    <row r="86" spans="1:64" s="83" customFormat="1" x14ac:dyDescent="0.3">
      <c r="A86" s="82"/>
      <c r="B86" s="178" t="str">
        <f t="shared" ref="B86:B96" si="80">B85</f>
        <v>TFLEETH100</v>
      </c>
      <c r="C86" s="178"/>
      <c r="D86" s="179"/>
      <c r="E86" s="178"/>
      <c r="F86" s="182"/>
      <c r="G86" s="173" t="s">
        <v>431</v>
      </c>
      <c r="H86" s="182"/>
      <c r="I86" s="183"/>
      <c r="J86" s="184"/>
      <c r="K86" s="184"/>
      <c r="L86" s="184" t="s">
        <v>1125</v>
      </c>
      <c r="M86" s="184" t="s">
        <v>677</v>
      </c>
      <c r="N86" s="675">
        <f>T_CEFF!H164</f>
        <v>0.38646999999999998</v>
      </c>
      <c r="O86" s="675">
        <f>T_CEFF!I164</f>
        <v>0.38646999999999998</v>
      </c>
      <c r="P86" s="675">
        <f>T_CEFF!J164</f>
        <v>0.38646999999999998</v>
      </c>
      <c r="Q86" s="675">
        <f>T_CEFF!K164</f>
        <v>0.38646999999999998</v>
      </c>
      <c r="R86" s="675">
        <f>T_CEFF!L164</f>
        <v>0.38646999999999998</v>
      </c>
      <c r="S86" s="675">
        <f>T_CEFF!M164</f>
        <v>0.38646999999999998</v>
      </c>
      <c r="T86" s="675">
        <f>T_CEFF!N164</f>
        <v>0.38646999999999998</v>
      </c>
      <c r="U86" s="675">
        <f>T_CEFF!O164</f>
        <v>0.38646999999999998</v>
      </c>
      <c r="V86" s="675">
        <f>T_CEFF!P164</f>
        <v>0.38646999999999998</v>
      </c>
      <c r="W86" s="675">
        <f>T_CEFF!Q164</f>
        <v>0.38646999999999998</v>
      </c>
      <c r="X86" s="675">
        <f>T_CEFF!R164</f>
        <v>0.38646999999999998</v>
      </c>
      <c r="Y86" s="675">
        <f>T_CEFF!S164</f>
        <v>0.38646999999999998</v>
      </c>
      <c r="Z86" s="675">
        <f>T_CEFF!T164</f>
        <v>0.38646999999999998</v>
      </c>
      <c r="AA86" s="675">
        <f>T_CEFF!U164</f>
        <v>0.38646999999999998</v>
      </c>
      <c r="AB86" s="675">
        <f>T_CEFF!V164</f>
        <v>0.38646999999999998</v>
      </c>
      <c r="AV86" s="699" t="str">
        <f t="shared" si="75"/>
        <v/>
      </c>
      <c r="AW86" s="567"/>
    </row>
    <row r="87" spans="1:64" s="83" customFormat="1" x14ac:dyDescent="0.3">
      <c r="A87" s="82"/>
      <c r="B87" s="178" t="str">
        <f t="shared" si="80"/>
        <v>TFLEETH100</v>
      </c>
      <c r="C87" s="178"/>
      <c r="D87" s="179"/>
      <c r="E87" s="178"/>
      <c r="F87" s="182"/>
      <c r="G87" s="173" t="s">
        <v>429</v>
      </c>
      <c r="H87" s="182"/>
      <c r="I87" s="183"/>
      <c r="J87" s="184"/>
      <c r="K87" s="184"/>
      <c r="L87" s="184" t="s">
        <v>1125</v>
      </c>
      <c r="M87" s="184" t="s">
        <v>677</v>
      </c>
      <c r="N87" s="675">
        <f>T_CEFF!H165</f>
        <v>0.31873000000000001</v>
      </c>
      <c r="O87" s="675">
        <f>T_CEFF!I165</f>
        <v>0.31873000000000001</v>
      </c>
      <c r="P87" s="675">
        <f>T_CEFF!J165</f>
        <v>0.31873000000000001</v>
      </c>
      <c r="Q87" s="675">
        <f>T_CEFF!K165</f>
        <v>0.31873000000000001</v>
      </c>
      <c r="R87" s="675">
        <f>T_CEFF!L165</f>
        <v>0.31873000000000001</v>
      </c>
      <c r="S87" s="675">
        <f>T_CEFF!M165</f>
        <v>0.31873000000000001</v>
      </c>
      <c r="T87" s="675">
        <f>T_CEFF!N165</f>
        <v>0.31873000000000001</v>
      </c>
      <c r="U87" s="675">
        <f>T_CEFF!O165</f>
        <v>0.31873000000000001</v>
      </c>
      <c r="V87" s="675">
        <f>T_CEFF!P165</f>
        <v>0.31873000000000001</v>
      </c>
      <c r="W87" s="675">
        <f>T_CEFF!Q165</f>
        <v>0.31873000000000001</v>
      </c>
      <c r="X87" s="675">
        <f>T_CEFF!R165</f>
        <v>0.31873000000000001</v>
      </c>
      <c r="Y87" s="675">
        <f>T_CEFF!S165</f>
        <v>0.31873000000000001</v>
      </c>
      <c r="Z87" s="675">
        <f>T_CEFF!T165</f>
        <v>0.31873000000000001</v>
      </c>
      <c r="AA87" s="675">
        <f>T_CEFF!U165</f>
        <v>0.31873000000000001</v>
      </c>
      <c r="AB87" s="675">
        <f>T_CEFF!V165</f>
        <v>0.31873000000000001</v>
      </c>
    </row>
    <row r="88" spans="1:64" s="83" customFormat="1" x14ac:dyDescent="0.3">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3">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1">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3">
      <c r="A90" s="82"/>
      <c r="B90" s="178" t="str">
        <f>B89</f>
        <v>TFLEETH100</v>
      </c>
      <c r="C90" s="178"/>
      <c r="D90" s="179"/>
      <c r="E90" s="178"/>
      <c r="F90" s="182"/>
      <c r="G90" s="181"/>
      <c r="H90" s="182"/>
      <c r="I90" s="183">
        <f>$M$3</f>
        <v>2019</v>
      </c>
      <c r="J90" s="184"/>
      <c r="K90" s="184"/>
      <c r="L90" s="203" t="s">
        <v>1064</v>
      </c>
      <c r="M90" s="184" t="s">
        <v>747</v>
      </c>
      <c r="N90" s="693">
        <f>LOOKUP($C$84, T_Stock_Private!$C$90:$C$100, T_Stock_Private!D$90:D$100)*(1+N41)</f>
        <v>546</v>
      </c>
      <c r="O90" s="693">
        <f>LOOKUP($C$84, T_Stock_Private!$C$90:$C$100, T_Stock_Private!E$90:E$100)*(1+O41)</f>
        <v>0</v>
      </c>
      <c r="P90" s="693">
        <f>LOOKUP($C$84, T_Stock_Private!$C$90:$C$100, T_Stock_Private!F$90:F$100)*(1+P41)</f>
        <v>0</v>
      </c>
      <c r="Q90" s="693">
        <f>LOOKUP($C$84, T_Stock_Private!$C$90:$C$100, T_Stock_Private!G$90:G$100)*(1+Q41)</f>
        <v>0</v>
      </c>
      <c r="R90" s="693">
        <f>LOOKUP($C$84, T_Stock_Private!$C$90:$C$100, T_Stock_Private!H$90:H$100)*(1+R41)</f>
        <v>0</v>
      </c>
      <c r="S90" s="693">
        <f>LOOKUP($C$84, T_Stock_Private!$C$90:$C$100, T_Stock_Private!I$90:I$100)*(1+S41)</f>
        <v>0</v>
      </c>
      <c r="T90" s="693">
        <f>LOOKUP($C$84, T_Stock_Private!$C$90:$C$100, T_Stock_Private!J$90:J$100)*(1+T41)</f>
        <v>0</v>
      </c>
      <c r="U90" s="693">
        <f>LOOKUP($C$84, T_Stock_Private!$C$90:$C$100, T_Stock_Private!K$90:K$100)*(1+U41)</f>
        <v>0</v>
      </c>
      <c r="V90" s="693">
        <f>LOOKUP($C$84, T_Stock_Private!$C$90:$C$100, T_Stock_Private!L$90:L$100)*(1+V41)</f>
        <v>0</v>
      </c>
      <c r="W90" s="693">
        <f>LOOKUP($C$84, T_Stock_Private!$C$90:$C$100, T_Stock_Private!M$90:M$100)*(1+W41)</f>
        <v>0</v>
      </c>
      <c r="X90" s="693">
        <f>LOOKUP($C$84, T_Stock_Private!$C$90:$C$100, T_Stock_Private!N$90:N$100)*(1+X41)</f>
        <v>0</v>
      </c>
      <c r="Y90" s="693">
        <f>LOOKUP($C$84, T_Stock_Private!$C$90:$C$100, T_Stock_Private!O$90:O$100)*(1+Y41)</f>
        <v>0</v>
      </c>
      <c r="Z90" s="693">
        <f>LOOKUP($C$84, T_Stock_Private!$C$90:$C$100, T_Stock_Private!P$90:P$100)*(1+Z41)</f>
        <v>0</v>
      </c>
      <c r="AA90" s="693">
        <f>LOOKUP($C$84, T_Stock_Private!$C$90:$C$100, T_Stock_Private!Q$90:Q$100)*(1+AA41)</f>
        <v>0</v>
      </c>
      <c r="AB90" s="693">
        <f>LOOKUP($C$84, T_Stock_Private!$C$90:$C$100, T_Stock_Private!R$90:R$100)*(1+AB41)</f>
        <v>0</v>
      </c>
      <c r="AC90" s="89"/>
    </row>
    <row r="91" spans="1:64" s="83" customFormat="1" x14ac:dyDescent="0.3">
      <c r="A91" s="82"/>
      <c r="B91" s="178" t="str">
        <f t="shared" si="80"/>
        <v>TFLEETH100</v>
      </c>
      <c r="C91" s="178"/>
      <c r="D91" s="179"/>
      <c r="E91" s="178"/>
      <c r="F91" s="182"/>
      <c r="G91" s="181"/>
      <c r="H91" s="182"/>
      <c r="I91" s="183">
        <f>AF$5</f>
        <v>2020</v>
      </c>
      <c r="J91" s="184"/>
      <c r="K91" s="184"/>
      <c r="L91" s="203" t="s">
        <v>1064</v>
      </c>
      <c r="M91" s="184" t="s">
        <v>747</v>
      </c>
      <c r="N91" s="693">
        <f t="shared" ref="N91:AB91" si="83">N90*LOOKUP($AD84,$AG$4:$AP$4,$AG$5:$AP$5)</f>
        <v>518.69999999999993</v>
      </c>
      <c r="O91" s="693">
        <f t="shared" si="83"/>
        <v>0</v>
      </c>
      <c r="P91" s="693">
        <f t="shared" si="83"/>
        <v>0</v>
      </c>
      <c r="Q91" s="693">
        <f t="shared" si="83"/>
        <v>0</v>
      </c>
      <c r="R91" s="693">
        <f t="shared" si="83"/>
        <v>0</v>
      </c>
      <c r="S91" s="693">
        <f t="shared" si="83"/>
        <v>0</v>
      </c>
      <c r="T91" s="693">
        <f t="shared" si="83"/>
        <v>0</v>
      </c>
      <c r="U91" s="693">
        <f t="shared" si="83"/>
        <v>0</v>
      </c>
      <c r="V91" s="693">
        <f t="shared" si="83"/>
        <v>0</v>
      </c>
      <c r="W91" s="693">
        <f t="shared" si="83"/>
        <v>0</v>
      </c>
      <c r="X91" s="693">
        <f t="shared" si="83"/>
        <v>0</v>
      </c>
      <c r="Y91" s="693">
        <f t="shared" si="83"/>
        <v>0</v>
      </c>
      <c r="Z91" s="693">
        <f t="shared" si="83"/>
        <v>0</v>
      </c>
      <c r="AA91" s="693">
        <f t="shared" si="83"/>
        <v>0</v>
      </c>
      <c r="AB91" s="693">
        <f t="shared" si="83"/>
        <v>0</v>
      </c>
    </row>
    <row r="92" spans="1:64" s="83" customFormat="1" x14ac:dyDescent="0.3">
      <c r="A92" s="82"/>
      <c r="B92" s="178" t="str">
        <f t="shared" si="80"/>
        <v>TFLEETH100</v>
      </c>
      <c r="C92" s="178"/>
      <c r="D92" s="179"/>
      <c r="E92" s="178"/>
      <c r="F92" s="182"/>
      <c r="G92" s="181"/>
      <c r="H92" s="182"/>
      <c r="I92" s="183">
        <f>AF$6</f>
        <v>2025</v>
      </c>
      <c r="J92" s="184"/>
      <c r="K92" s="184"/>
      <c r="L92" s="203" t="s">
        <v>1064</v>
      </c>
      <c r="M92" s="184" t="s">
        <v>747</v>
      </c>
      <c r="N92" s="693">
        <f t="shared" ref="N92:AB92" si="84">N90*LOOKUP($AD84,$AG$4:$AP$4,$AG$6:$AP$6)</f>
        <v>382.2</v>
      </c>
      <c r="O92" s="693">
        <f t="shared" si="84"/>
        <v>0</v>
      </c>
      <c r="P92" s="693">
        <f t="shared" si="84"/>
        <v>0</v>
      </c>
      <c r="Q92" s="693">
        <f t="shared" si="84"/>
        <v>0</v>
      </c>
      <c r="R92" s="693">
        <f t="shared" si="84"/>
        <v>0</v>
      </c>
      <c r="S92" s="693">
        <f t="shared" si="84"/>
        <v>0</v>
      </c>
      <c r="T92" s="693">
        <f t="shared" si="84"/>
        <v>0</v>
      </c>
      <c r="U92" s="693">
        <f t="shared" si="84"/>
        <v>0</v>
      </c>
      <c r="V92" s="693">
        <f t="shared" si="84"/>
        <v>0</v>
      </c>
      <c r="W92" s="693">
        <f t="shared" si="84"/>
        <v>0</v>
      </c>
      <c r="X92" s="693">
        <f t="shared" si="84"/>
        <v>0</v>
      </c>
      <c r="Y92" s="693">
        <f t="shared" si="84"/>
        <v>0</v>
      </c>
      <c r="Z92" s="693">
        <f t="shared" si="84"/>
        <v>0</v>
      </c>
      <c r="AA92" s="693">
        <f t="shared" si="84"/>
        <v>0</v>
      </c>
      <c r="AB92" s="693">
        <f t="shared" si="84"/>
        <v>0</v>
      </c>
    </row>
    <row r="93" spans="1:64" s="83" customFormat="1" x14ac:dyDescent="0.3">
      <c r="A93" s="82"/>
      <c r="B93" s="178" t="str">
        <f t="shared" si="80"/>
        <v>TFLEETH100</v>
      </c>
      <c r="C93" s="178"/>
      <c r="D93" s="179"/>
      <c r="E93" s="178"/>
      <c r="F93" s="182"/>
      <c r="G93" s="181"/>
      <c r="H93" s="182"/>
      <c r="I93" s="183">
        <f>AF$7</f>
        <v>2030</v>
      </c>
      <c r="J93" s="184"/>
      <c r="K93" s="184"/>
      <c r="L93" s="203" t="s">
        <v>1064</v>
      </c>
      <c r="M93" s="184" t="s">
        <v>747</v>
      </c>
      <c r="N93" s="693">
        <f t="shared" ref="N93:AB93" si="85">N90*LOOKUP($AD84,$AG$4:$AP$4,$AG$7:$AP$7)</f>
        <v>218.4</v>
      </c>
      <c r="O93" s="693">
        <f t="shared" si="85"/>
        <v>0</v>
      </c>
      <c r="P93" s="693">
        <f t="shared" si="85"/>
        <v>0</v>
      </c>
      <c r="Q93" s="693">
        <f t="shared" si="85"/>
        <v>0</v>
      </c>
      <c r="R93" s="693">
        <f t="shared" si="85"/>
        <v>0</v>
      </c>
      <c r="S93" s="693">
        <f t="shared" si="85"/>
        <v>0</v>
      </c>
      <c r="T93" s="693">
        <f t="shared" si="85"/>
        <v>0</v>
      </c>
      <c r="U93" s="693">
        <f t="shared" si="85"/>
        <v>0</v>
      </c>
      <c r="V93" s="693">
        <f t="shared" si="85"/>
        <v>0</v>
      </c>
      <c r="W93" s="693">
        <f t="shared" si="85"/>
        <v>0</v>
      </c>
      <c r="X93" s="693">
        <f t="shared" si="85"/>
        <v>0</v>
      </c>
      <c r="Y93" s="693">
        <f t="shared" si="85"/>
        <v>0</v>
      </c>
      <c r="Z93" s="693">
        <f t="shared" si="85"/>
        <v>0</v>
      </c>
      <c r="AA93" s="693">
        <f t="shared" si="85"/>
        <v>0</v>
      </c>
      <c r="AB93" s="693">
        <f t="shared" si="85"/>
        <v>0</v>
      </c>
    </row>
    <row r="94" spans="1:64" s="83" customFormat="1" x14ac:dyDescent="0.3">
      <c r="A94" s="82"/>
      <c r="B94" s="178" t="str">
        <f t="shared" si="80"/>
        <v>TFLEETH100</v>
      </c>
      <c r="C94" s="178"/>
      <c r="D94" s="179"/>
      <c r="E94" s="178"/>
      <c r="F94" s="182"/>
      <c r="G94" s="181"/>
      <c r="H94" s="182"/>
      <c r="I94" s="183">
        <f>AF$8</f>
        <v>2035</v>
      </c>
      <c r="J94" s="184"/>
      <c r="K94" s="184"/>
      <c r="L94" s="203" t="s">
        <v>1064</v>
      </c>
      <c r="M94" s="184" t="s">
        <v>747</v>
      </c>
      <c r="N94" s="693">
        <f t="shared" ref="N94:AB94" si="86">N90*LOOKUP($AD84,$AG$4:$AP$4,$AG$8:$AP$8)</f>
        <v>81.899999999999991</v>
      </c>
      <c r="O94" s="693">
        <f t="shared" si="86"/>
        <v>0</v>
      </c>
      <c r="P94" s="693">
        <f t="shared" si="86"/>
        <v>0</v>
      </c>
      <c r="Q94" s="693">
        <f t="shared" si="86"/>
        <v>0</v>
      </c>
      <c r="R94" s="693">
        <f t="shared" si="86"/>
        <v>0</v>
      </c>
      <c r="S94" s="693">
        <f t="shared" si="86"/>
        <v>0</v>
      </c>
      <c r="T94" s="693">
        <f t="shared" si="86"/>
        <v>0</v>
      </c>
      <c r="U94" s="693">
        <f t="shared" si="86"/>
        <v>0</v>
      </c>
      <c r="V94" s="693">
        <f t="shared" si="86"/>
        <v>0</v>
      </c>
      <c r="W94" s="693">
        <f t="shared" si="86"/>
        <v>0</v>
      </c>
      <c r="X94" s="693">
        <f t="shared" si="86"/>
        <v>0</v>
      </c>
      <c r="Y94" s="693">
        <f t="shared" si="86"/>
        <v>0</v>
      </c>
      <c r="Z94" s="693">
        <f t="shared" si="86"/>
        <v>0</v>
      </c>
      <c r="AA94" s="693">
        <f t="shared" si="86"/>
        <v>0</v>
      </c>
      <c r="AB94" s="693">
        <f t="shared" si="86"/>
        <v>0</v>
      </c>
    </row>
    <row r="95" spans="1:64" s="83" customFormat="1" x14ac:dyDescent="0.3">
      <c r="A95" s="82"/>
      <c r="B95" s="178" t="str">
        <f t="shared" si="80"/>
        <v>TFLEETH100</v>
      </c>
      <c r="C95" s="178"/>
      <c r="D95" s="179"/>
      <c r="E95" s="178"/>
      <c r="F95" s="182"/>
      <c r="G95" s="181"/>
      <c r="H95" s="182"/>
      <c r="I95" s="183">
        <f>AF$9</f>
        <v>2040</v>
      </c>
      <c r="J95" s="184"/>
      <c r="K95" s="184"/>
      <c r="L95" s="203" t="s">
        <v>1064</v>
      </c>
      <c r="M95" s="184" t="s">
        <v>747</v>
      </c>
      <c r="N95" s="693">
        <f t="shared" ref="N95:AB95" si="87">N90*LOOKUP($AD84,$AG$4:$AP$4,$AG$9:$AP$9)</f>
        <v>2.73</v>
      </c>
      <c r="O95" s="693">
        <f t="shared" si="87"/>
        <v>0</v>
      </c>
      <c r="P95" s="693">
        <f t="shared" si="87"/>
        <v>0</v>
      </c>
      <c r="Q95" s="693">
        <f t="shared" si="87"/>
        <v>0</v>
      </c>
      <c r="R95" s="693">
        <f t="shared" si="87"/>
        <v>0</v>
      </c>
      <c r="S95" s="693">
        <f t="shared" si="87"/>
        <v>0</v>
      </c>
      <c r="T95" s="693">
        <f t="shared" si="87"/>
        <v>0</v>
      </c>
      <c r="U95" s="693">
        <f t="shared" si="87"/>
        <v>0</v>
      </c>
      <c r="V95" s="693">
        <f t="shared" si="87"/>
        <v>0</v>
      </c>
      <c r="W95" s="693">
        <f t="shared" si="87"/>
        <v>0</v>
      </c>
      <c r="X95" s="693">
        <f t="shared" si="87"/>
        <v>0</v>
      </c>
      <c r="Y95" s="693">
        <f t="shared" si="87"/>
        <v>0</v>
      </c>
      <c r="Z95" s="693">
        <f t="shared" si="87"/>
        <v>0</v>
      </c>
      <c r="AA95" s="693">
        <f t="shared" si="87"/>
        <v>0</v>
      </c>
      <c r="AB95" s="693">
        <f t="shared" si="87"/>
        <v>0</v>
      </c>
    </row>
    <row r="96" spans="1:64" s="83" customFormat="1" x14ac:dyDescent="0.3">
      <c r="A96" s="82"/>
      <c r="B96" s="204" t="str">
        <f t="shared" si="80"/>
        <v>TFLEETH100</v>
      </c>
      <c r="C96" s="204"/>
      <c r="D96" s="205"/>
      <c r="E96" s="204"/>
      <c r="F96" s="206"/>
      <c r="G96" s="207"/>
      <c r="H96" s="206"/>
      <c r="I96" s="208">
        <f>AF$10</f>
        <v>2050</v>
      </c>
      <c r="J96" s="209"/>
      <c r="K96" s="209"/>
      <c r="L96" s="210" t="s">
        <v>1064</v>
      </c>
      <c r="M96" s="209" t="s">
        <v>747</v>
      </c>
      <c r="N96" s="694">
        <f t="shared" ref="N96:AB96" si="88">N90*LOOKUP($AD84,$AG$4:$AP$4,$AG$10:$AP$10)</f>
        <v>0</v>
      </c>
      <c r="O96" s="694">
        <f t="shared" si="88"/>
        <v>0</v>
      </c>
      <c r="P96" s="694">
        <f t="shared" si="88"/>
        <v>0</v>
      </c>
      <c r="Q96" s="694">
        <f t="shared" si="88"/>
        <v>0</v>
      </c>
      <c r="R96" s="694">
        <f t="shared" si="88"/>
        <v>0</v>
      </c>
      <c r="S96" s="694">
        <f t="shared" si="88"/>
        <v>0</v>
      </c>
      <c r="T96" s="694">
        <f t="shared" si="88"/>
        <v>0</v>
      </c>
      <c r="U96" s="694">
        <f t="shared" si="88"/>
        <v>0</v>
      </c>
      <c r="V96" s="694">
        <f t="shared" si="88"/>
        <v>0</v>
      </c>
      <c r="W96" s="694">
        <f t="shared" si="88"/>
        <v>0</v>
      </c>
      <c r="X96" s="694">
        <f t="shared" si="88"/>
        <v>0</v>
      </c>
      <c r="Y96" s="694">
        <f t="shared" si="88"/>
        <v>0</v>
      </c>
      <c r="Z96" s="694">
        <f t="shared" si="88"/>
        <v>0</v>
      </c>
      <c r="AA96" s="694">
        <f t="shared" si="88"/>
        <v>0</v>
      </c>
      <c r="AB96" s="694">
        <f t="shared" si="88"/>
        <v>0</v>
      </c>
    </row>
    <row r="97" spans="1:64" s="83" customFormat="1" x14ac:dyDescent="0.3">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699" t="str">
        <f t="shared" ref="AV97:AV99" si="90">MID(E97,1,7)</f>
        <v>TRABGS</v>
      </c>
      <c r="AW97" s="567">
        <f t="shared" ref="AW97:AW99" si="91">SUM(AX97:BL97)</f>
        <v>48.9948273692467</v>
      </c>
      <c r="AX97" s="569">
        <f>N$103*N$104*0.6/N$101/1000</f>
        <v>48.9948273692467</v>
      </c>
      <c r="AY97" s="569">
        <f t="shared" ref="AY97:BL97" si="92">O$103*O$104*0.6/O$101/1000</f>
        <v>0</v>
      </c>
      <c r="AZ97" s="569">
        <f t="shared" si="92"/>
        <v>0</v>
      </c>
      <c r="BA97" s="569">
        <f t="shared" si="92"/>
        <v>0</v>
      </c>
      <c r="BB97" s="569">
        <f t="shared" si="92"/>
        <v>0</v>
      </c>
      <c r="BC97" s="569">
        <f t="shared" si="92"/>
        <v>0</v>
      </c>
      <c r="BD97" s="569">
        <f t="shared" si="92"/>
        <v>0</v>
      </c>
      <c r="BE97" s="569">
        <f t="shared" si="92"/>
        <v>0</v>
      </c>
      <c r="BF97" s="569">
        <f t="shared" si="92"/>
        <v>0</v>
      </c>
      <c r="BG97" s="569">
        <f t="shared" si="92"/>
        <v>0</v>
      </c>
      <c r="BH97" s="569">
        <f t="shared" si="92"/>
        <v>0</v>
      </c>
      <c r="BI97" s="569">
        <f t="shared" si="92"/>
        <v>0</v>
      </c>
      <c r="BJ97" s="569">
        <f t="shared" si="92"/>
        <v>0</v>
      </c>
      <c r="BK97" s="569">
        <f t="shared" si="92"/>
        <v>0</v>
      </c>
      <c r="BL97" s="569">
        <f t="shared" si="92"/>
        <v>0</v>
      </c>
    </row>
    <row r="98" spans="1:64" s="83" customFormat="1" x14ac:dyDescent="0.3">
      <c r="A98" s="82"/>
      <c r="B98" s="178" t="str">
        <f>B97</f>
        <v>TFLEGAS100</v>
      </c>
      <c r="C98" s="178"/>
      <c r="D98" s="179"/>
      <c r="E98" s="407" t="s">
        <v>1038</v>
      </c>
      <c r="F98" s="182"/>
      <c r="G98" s="180"/>
      <c r="H98" s="182"/>
      <c r="I98" s="183"/>
      <c r="J98" s="184" t="s">
        <v>1156</v>
      </c>
      <c r="K98" s="184"/>
      <c r="L98" s="203" t="s">
        <v>101</v>
      </c>
      <c r="M98" s="184"/>
      <c r="N98" s="390">
        <f t="shared" ref="N98:AB98" si="93">N33*(1-N27)</f>
        <v>4.0000000000000036E-2</v>
      </c>
      <c r="O98" s="390">
        <f t="shared" si="93"/>
        <v>4.0000000000000036E-2</v>
      </c>
      <c r="P98" s="390">
        <f t="shared" si="93"/>
        <v>4.0000000000000036E-2</v>
      </c>
      <c r="Q98" s="390">
        <f t="shared" si="93"/>
        <v>4.0000000000000036E-2</v>
      </c>
      <c r="R98" s="390">
        <f t="shared" si="93"/>
        <v>4.0000000000000036E-2</v>
      </c>
      <c r="S98" s="390">
        <f t="shared" si="93"/>
        <v>4.0000000000000036E-2</v>
      </c>
      <c r="T98" s="390">
        <f t="shared" si="93"/>
        <v>4.0000000000000036E-2</v>
      </c>
      <c r="U98" s="390">
        <f t="shared" si="93"/>
        <v>4.0000000000000036E-2</v>
      </c>
      <c r="V98" s="390">
        <f t="shared" si="93"/>
        <v>4.0000000000000036E-2</v>
      </c>
      <c r="W98" s="390">
        <f t="shared" si="93"/>
        <v>4.0000000000000036E-2</v>
      </c>
      <c r="X98" s="390">
        <f t="shared" si="93"/>
        <v>4.0000000000000036E-2</v>
      </c>
      <c r="Y98" s="390">
        <f t="shared" si="93"/>
        <v>4.0000000000000036E-2</v>
      </c>
      <c r="Z98" s="390">
        <f t="shared" si="93"/>
        <v>4.0000000000000036E-2</v>
      </c>
      <c r="AA98" s="390">
        <f t="shared" si="93"/>
        <v>4.0000000000000036E-2</v>
      </c>
      <c r="AB98" s="390">
        <f t="shared" si="93"/>
        <v>4.0000000000000036E-2</v>
      </c>
      <c r="AD98" s="66" t="str">
        <f>IF(COUNTIF($AG$4:$AP$4,AD97)=1,"ok","MISSING")</f>
        <v>ok</v>
      </c>
      <c r="AV98" s="699" t="str">
        <f t="shared" si="90"/>
        <v>TRANGS</v>
      </c>
      <c r="AW98" s="567">
        <f t="shared" si="91"/>
        <v>3.2663218246164494</v>
      </c>
      <c r="AX98" s="569">
        <f>N$103*N$104*N98/N$101/1000</f>
        <v>3.2663218246164494</v>
      </c>
      <c r="AY98" s="569">
        <f t="shared" ref="AY98:BL99" si="94">O$103*O$104*O98/O$101/1000</f>
        <v>0</v>
      </c>
      <c r="AZ98" s="569">
        <f t="shared" si="94"/>
        <v>0</v>
      </c>
      <c r="BA98" s="569">
        <f t="shared" si="94"/>
        <v>0</v>
      </c>
      <c r="BB98" s="569">
        <f t="shared" si="94"/>
        <v>0</v>
      </c>
      <c r="BC98" s="569">
        <f t="shared" si="94"/>
        <v>0</v>
      </c>
      <c r="BD98" s="569">
        <f t="shared" si="94"/>
        <v>0</v>
      </c>
      <c r="BE98" s="569">
        <f t="shared" si="94"/>
        <v>0</v>
      </c>
      <c r="BF98" s="569">
        <f t="shared" si="94"/>
        <v>0</v>
      </c>
      <c r="BG98" s="569">
        <f t="shared" si="94"/>
        <v>0</v>
      </c>
      <c r="BH98" s="569">
        <f t="shared" si="94"/>
        <v>0</v>
      </c>
      <c r="BI98" s="569">
        <f t="shared" si="94"/>
        <v>0</v>
      </c>
      <c r="BJ98" s="569">
        <f t="shared" si="94"/>
        <v>0</v>
      </c>
      <c r="BK98" s="569">
        <f t="shared" si="94"/>
        <v>0</v>
      </c>
      <c r="BL98" s="569">
        <f t="shared" si="94"/>
        <v>0</v>
      </c>
    </row>
    <row r="99" spans="1:64" s="83" customFormat="1" x14ac:dyDescent="0.3">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699" t="str">
        <f t="shared" si="90"/>
        <v>TRAGSL</v>
      </c>
      <c r="AW99" s="567">
        <f t="shared" si="91"/>
        <v>16.331609123082234</v>
      </c>
      <c r="AX99" s="569">
        <f>N$103*N$104*N99/N$101/1000</f>
        <v>16.331609123082234</v>
      </c>
      <c r="AY99" s="569">
        <f t="shared" si="94"/>
        <v>0</v>
      </c>
      <c r="AZ99" s="569">
        <f t="shared" si="94"/>
        <v>0</v>
      </c>
      <c r="BA99" s="569">
        <f t="shared" si="94"/>
        <v>0</v>
      </c>
      <c r="BB99" s="569">
        <f t="shared" si="94"/>
        <v>0</v>
      </c>
      <c r="BC99" s="569">
        <f t="shared" si="94"/>
        <v>0</v>
      </c>
      <c r="BD99" s="569">
        <f t="shared" si="94"/>
        <v>0</v>
      </c>
      <c r="BE99" s="569">
        <f t="shared" si="94"/>
        <v>0</v>
      </c>
      <c r="BF99" s="569">
        <f t="shared" si="94"/>
        <v>0</v>
      </c>
      <c r="BG99" s="569">
        <f t="shared" si="94"/>
        <v>0</v>
      </c>
      <c r="BH99" s="569">
        <f t="shared" si="94"/>
        <v>0</v>
      </c>
      <c r="BI99" s="569">
        <f t="shared" si="94"/>
        <v>0</v>
      </c>
      <c r="BJ99" s="569">
        <f t="shared" si="94"/>
        <v>0</v>
      </c>
      <c r="BK99" s="569">
        <f t="shared" si="94"/>
        <v>0</v>
      </c>
      <c r="BL99" s="569">
        <f t="shared" si="94"/>
        <v>0</v>
      </c>
    </row>
    <row r="100" spans="1:64" s="83" customFormat="1" x14ac:dyDescent="0.3">
      <c r="A100" s="82"/>
      <c r="B100" s="178" t="str">
        <f>B99</f>
        <v>TFLEGAS100</v>
      </c>
      <c r="C100" s="178"/>
      <c r="D100" s="179"/>
      <c r="E100" s="178"/>
      <c r="F100" s="182"/>
      <c r="G100" s="173" t="s">
        <v>431</v>
      </c>
      <c r="H100" s="182"/>
      <c r="I100" s="183"/>
      <c r="J100" s="184"/>
      <c r="K100" s="184"/>
      <c r="L100" s="184" t="s">
        <v>1125</v>
      </c>
      <c r="M100" s="184" t="s">
        <v>677</v>
      </c>
      <c r="N100" s="675">
        <f>T_CEFF!H166</f>
        <v>0.38646999999999998</v>
      </c>
      <c r="O100" s="675">
        <f>T_CEFF!I166</f>
        <v>0.38646999999999998</v>
      </c>
      <c r="P100" s="675">
        <f>T_CEFF!J166</f>
        <v>0.38646999999999998</v>
      </c>
      <c r="Q100" s="675">
        <f>T_CEFF!K166</f>
        <v>0.38646999999999998</v>
      </c>
      <c r="R100" s="675">
        <f>T_CEFF!L166</f>
        <v>0.38646999999999998</v>
      </c>
      <c r="S100" s="675">
        <f>T_CEFF!M166</f>
        <v>0.38646999999999998</v>
      </c>
      <c r="T100" s="675">
        <f>T_CEFF!N166</f>
        <v>0.38646999999999998</v>
      </c>
      <c r="U100" s="675">
        <f>T_CEFF!O166</f>
        <v>0.38646999999999998</v>
      </c>
      <c r="V100" s="675">
        <f>T_CEFF!P166</f>
        <v>0.38646999999999998</v>
      </c>
      <c r="W100" s="675">
        <f>T_CEFF!Q166</f>
        <v>0.38646999999999998</v>
      </c>
      <c r="X100" s="675">
        <f>T_CEFF!R166</f>
        <v>0.38646999999999998</v>
      </c>
      <c r="Y100" s="675">
        <f>T_CEFF!S166</f>
        <v>0.38646999999999998</v>
      </c>
      <c r="Z100" s="675">
        <f>T_CEFF!T166</f>
        <v>0.38646999999999998</v>
      </c>
      <c r="AA100" s="675">
        <f>T_CEFF!U166</f>
        <v>0.38646999999999998</v>
      </c>
      <c r="AB100" s="675">
        <f>T_CEFF!V166</f>
        <v>0.38646999999999998</v>
      </c>
    </row>
    <row r="101" spans="1:64" s="83" customFormat="1" x14ac:dyDescent="0.3">
      <c r="A101" s="82"/>
      <c r="B101" s="178" t="str">
        <f t="shared" ref="B101:B110" si="95">B100</f>
        <v>TFLEGAS100</v>
      </c>
      <c r="C101" s="178"/>
      <c r="D101" s="179"/>
      <c r="E101" s="178"/>
      <c r="F101" s="182"/>
      <c r="G101" s="173" t="s">
        <v>429</v>
      </c>
      <c r="H101" s="182"/>
      <c r="I101" s="183"/>
      <c r="J101" s="184"/>
      <c r="K101" s="184"/>
      <c r="L101" s="184" t="s">
        <v>1125</v>
      </c>
      <c r="M101" s="184" t="s">
        <v>677</v>
      </c>
      <c r="N101" s="675">
        <f>T_CEFF!H167</f>
        <v>0.31873000000000001</v>
      </c>
      <c r="O101" s="675">
        <f>T_CEFF!I167</f>
        <v>0.31873000000000001</v>
      </c>
      <c r="P101" s="675">
        <f>T_CEFF!J167</f>
        <v>0.31873000000000001</v>
      </c>
      <c r="Q101" s="675">
        <f>T_CEFF!K167</f>
        <v>0.31873000000000001</v>
      </c>
      <c r="R101" s="675">
        <f>T_CEFF!L167</f>
        <v>0.31873000000000001</v>
      </c>
      <c r="S101" s="675">
        <f>T_CEFF!M167</f>
        <v>0.31873000000000001</v>
      </c>
      <c r="T101" s="675">
        <f>T_CEFF!N167</f>
        <v>0.31873000000000001</v>
      </c>
      <c r="U101" s="675">
        <f>T_CEFF!O167</f>
        <v>0.31873000000000001</v>
      </c>
      <c r="V101" s="675">
        <f>T_CEFF!P167</f>
        <v>0.31873000000000001</v>
      </c>
      <c r="W101" s="675">
        <f>T_CEFF!Q167</f>
        <v>0.31873000000000001</v>
      </c>
      <c r="X101" s="675">
        <f>T_CEFF!R167</f>
        <v>0.31873000000000001</v>
      </c>
      <c r="Y101" s="675">
        <f>T_CEFF!S167</f>
        <v>0.31873000000000001</v>
      </c>
      <c r="Z101" s="675">
        <f>T_CEFF!T167</f>
        <v>0.31873000000000001</v>
      </c>
      <c r="AA101" s="675">
        <f>T_CEFF!U167</f>
        <v>0.31873000000000001</v>
      </c>
      <c r="AB101" s="675">
        <f>T_CEFF!V167</f>
        <v>0.31873000000000001</v>
      </c>
    </row>
    <row r="102" spans="1:64" s="83" customFormat="1" x14ac:dyDescent="0.3">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3">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1">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3">
      <c r="A104" s="82"/>
      <c r="B104" s="178" t="str">
        <f t="shared" si="95"/>
        <v>TFLEGAS100</v>
      </c>
      <c r="C104" s="178"/>
      <c r="D104" s="179"/>
      <c r="E104" s="178"/>
      <c r="F104" s="182"/>
      <c r="G104" s="181"/>
      <c r="H104" s="182"/>
      <c r="I104" s="183">
        <f>$M$3</f>
        <v>2019</v>
      </c>
      <c r="J104" s="184"/>
      <c r="K104" s="184"/>
      <c r="L104" s="203" t="s">
        <v>1064</v>
      </c>
      <c r="M104" s="184" t="s">
        <v>747</v>
      </c>
      <c r="N104" s="693">
        <f>LOOKUP($C$97, T_Stock_Private!$C$90:$C$100, T_Stock_Private!D$90:D$100)*(1+N41)</f>
        <v>2363</v>
      </c>
      <c r="O104" s="693">
        <f>LOOKUP($C$97, T_Stock_Private!$C$90:$C$100, T_Stock_Private!E$90:E$100)*(1+O41)</f>
        <v>0</v>
      </c>
      <c r="P104" s="693">
        <f>LOOKUP($C$97, T_Stock_Private!$C$90:$C$100, T_Stock_Private!F$90:F$100)*(1+P41)</f>
        <v>0</v>
      </c>
      <c r="Q104" s="693">
        <f>LOOKUP($C$97, T_Stock_Private!$C$90:$C$100, T_Stock_Private!G$90:G$100)*(1+Q41)</f>
        <v>0</v>
      </c>
      <c r="R104" s="693">
        <f>LOOKUP($C$97, T_Stock_Private!$C$90:$C$100, T_Stock_Private!H$90:H$100)*(1+R41)</f>
        <v>0</v>
      </c>
      <c r="S104" s="693">
        <f>LOOKUP($C$97, T_Stock_Private!$C$90:$C$100, T_Stock_Private!I$90:I$100)*(1+S41)</f>
        <v>0</v>
      </c>
      <c r="T104" s="693">
        <f>LOOKUP($C$97, T_Stock_Private!$C$90:$C$100, T_Stock_Private!J$90:J$100)*(1+T41)</f>
        <v>0</v>
      </c>
      <c r="U104" s="693">
        <f>LOOKUP($C$97, T_Stock_Private!$C$90:$C$100, T_Stock_Private!K$90:K$100)*(1+U41)</f>
        <v>0</v>
      </c>
      <c r="V104" s="693">
        <f>LOOKUP($C$97, T_Stock_Private!$C$90:$C$100, T_Stock_Private!L$90:L$100)*(1+V41)</f>
        <v>0</v>
      </c>
      <c r="W104" s="693">
        <f>LOOKUP($C$97, T_Stock_Private!$C$90:$C$100, T_Stock_Private!M$90:M$100)*(1+W41)</f>
        <v>0</v>
      </c>
      <c r="X104" s="693">
        <f>LOOKUP($C$97, T_Stock_Private!$C$90:$C$100, T_Stock_Private!N$90:N$100)*(1+X41)</f>
        <v>0</v>
      </c>
      <c r="Y104" s="693">
        <f>LOOKUP($C$97, T_Stock_Private!$C$90:$C$100, T_Stock_Private!O$90:O$100)*(1+Y41)</f>
        <v>0</v>
      </c>
      <c r="Z104" s="693">
        <f>LOOKUP($C$97, T_Stock_Private!$C$90:$C$100, T_Stock_Private!P$90:P$100)*(1+Z41)</f>
        <v>0</v>
      </c>
      <c r="AA104" s="693">
        <f>LOOKUP($C$97, T_Stock_Private!$C$90:$C$100, T_Stock_Private!Q$90:Q$100)*(1+AA41)</f>
        <v>0</v>
      </c>
      <c r="AB104" s="693">
        <f>LOOKUP($C$97, T_Stock_Private!$C$90:$C$100, T_Stock_Private!R$90:R$100)*(1+AB41)</f>
        <v>0</v>
      </c>
      <c r="AC104" s="89"/>
    </row>
    <row r="105" spans="1:64" s="83" customFormat="1" x14ac:dyDescent="0.3">
      <c r="A105" s="82"/>
      <c r="B105" s="178" t="str">
        <f t="shared" si="95"/>
        <v>TFLEGAS100</v>
      </c>
      <c r="C105" s="178"/>
      <c r="D105" s="179"/>
      <c r="E105" s="178"/>
      <c r="F105" s="182"/>
      <c r="G105" s="181"/>
      <c r="H105" s="182"/>
      <c r="I105" s="183">
        <f>AF$5</f>
        <v>2020</v>
      </c>
      <c r="J105" s="184"/>
      <c r="K105" s="184"/>
      <c r="L105" s="203" t="s">
        <v>1064</v>
      </c>
      <c r="M105" s="184" t="s">
        <v>747</v>
      </c>
      <c r="N105" s="693">
        <f t="shared" ref="N105:AB105" si="98">N104*LOOKUP($AD97,$AG$4:$AP$4,$AG$5:$AP$5)</f>
        <v>2244.85</v>
      </c>
      <c r="O105" s="693">
        <f t="shared" si="98"/>
        <v>0</v>
      </c>
      <c r="P105" s="693">
        <f t="shared" si="98"/>
        <v>0</v>
      </c>
      <c r="Q105" s="693">
        <f t="shared" si="98"/>
        <v>0</v>
      </c>
      <c r="R105" s="693">
        <f t="shared" si="98"/>
        <v>0</v>
      </c>
      <c r="S105" s="693">
        <f t="shared" si="98"/>
        <v>0</v>
      </c>
      <c r="T105" s="693">
        <f t="shared" si="98"/>
        <v>0</v>
      </c>
      <c r="U105" s="693">
        <f t="shared" si="98"/>
        <v>0</v>
      </c>
      <c r="V105" s="693">
        <f t="shared" si="98"/>
        <v>0</v>
      </c>
      <c r="W105" s="693">
        <f t="shared" si="98"/>
        <v>0</v>
      </c>
      <c r="X105" s="693">
        <f t="shared" si="98"/>
        <v>0</v>
      </c>
      <c r="Y105" s="693">
        <f t="shared" si="98"/>
        <v>0</v>
      </c>
      <c r="Z105" s="693">
        <f t="shared" si="98"/>
        <v>0</v>
      </c>
      <c r="AA105" s="693">
        <f t="shared" si="98"/>
        <v>0</v>
      </c>
      <c r="AB105" s="693">
        <f t="shared" si="98"/>
        <v>0</v>
      </c>
    </row>
    <row r="106" spans="1:64" s="83" customFormat="1" x14ac:dyDescent="0.3">
      <c r="A106" s="82"/>
      <c r="B106" s="178" t="str">
        <f t="shared" si="95"/>
        <v>TFLEGAS100</v>
      </c>
      <c r="C106" s="178"/>
      <c r="D106" s="179"/>
      <c r="E106" s="178"/>
      <c r="F106" s="182"/>
      <c r="G106" s="181"/>
      <c r="H106" s="182"/>
      <c r="I106" s="183">
        <f>AF$6</f>
        <v>2025</v>
      </c>
      <c r="J106" s="184"/>
      <c r="K106" s="184"/>
      <c r="L106" s="203" t="s">
        <v>1064</v>
      </c>
      <c r="M106" s="184" t="s">
        <v>747</v>
      </c>
      <c r="N106" s="693">
        <f t="shared" ref="N106:AB106" si="99">N104*LOOKUP($AD97,$AG$4:$AP$4,$AG$6:$AP$6)</f>
        <v>1654.1</v>
      </c>
      <c r="O106" s="693">
        <f t="shared" si="99"/>
        <v>0</v>
      </c>
      <c r="P106" s="693">
        <f t="shared" si="99"/>
        <v>0</v>
      </c>
      <c r="Q106" s="693">
        <f t="shared" si="99"/>
        <v>0</v>
      </c>
      <c r="R106" s="693">
        <f t="shared" si="99"/>
        <v>0</v>
      </c>
      <c r="S106" s="693">
        <f t="shared" si="99"/>
        <v>0</v>
      </c>
      <c r="T106" s="693">
        <f t="shared" si="99"/>
        <v>0</v>
      </c>
      <c r="U106" s="693">
        <f t="shared" si="99"/>
        <v>0</v>
      </c>
      <c r="V106" s="693">
        <f t="shared" si="99"/>
        <v>0</v>
      </c>
      <c r="W106" s="693">
        <f t="shared" si="99"/>
        <v>0</v>
      </c>
      <c r="X106" s="693">
        <f t="shared" si="99"/>
        <v>0</v>
      </c>
      <c r="Y106" s="693">
        <f t="shared" si="99"/>
        <v>0</v>
      </c>
      <c r="Z106" s="693">
        <f t="shared" si="99"/>
        <v>0</v>
      </c>
      <c r="AA106" s="693">
        <f t="shared" si="99"/>
        <v>0</v>
      </c>
      <c r="AB106" s="693">
        <f t="shared" si="99"/>
        <v>0</v>
      </c>
    </row>
    <row r="107" spans="1:64" s="83" customFormat="1" x14ac:dyDescent="0.3">
      <c r="A107" s="82"/>
      <c r="B107" s="178" t="str">
        <f t="shared" si="95"/>
        <v>TFLEGAS100</v>
      </c>
      <c r="C107" s="178"/>
      <c r="D107" s="179"/>
      <c r="E107" s="178"/>
      <c r="F107" s="182"/>
      <c r="G107" s="181"/>
      <c r="H107" s="182"/>
      <c r="I107" s="183">
        <f>AF$7</f>
        <v>2030</v>
      </c>
      <c r="J107" s="184"/>
      <c r="K107" s="184"/>
      <c r="L107" s="203" t="s">
        <v>1064</v>
      </c>
      <c r="M107" s="184" t="s">
        <v>747</v>
      </c>
      <c r="N107" s="693">
        <f t="shared" ref="N107:AB107" si="100">N104*LOOKUP($AD97,$AG$4:$AP$4,$AG$7:$AP$7)</f>
        <v>945.2</v>
      </c>
      <c r="O107" s="693">
        <f t="shared" si="100"/>
        <v>0</v>
      </c>
      <c r="P107" s="693">
        <f t="shared" si="100"/>
        <v>0</v>
      </c>
      <c r="Q107" s="693">
        <f t="shared" si="100"/>
        <v>0</v>
      </c>
      <c r="R107" s="693">
        <f t="shared" si="100"/>
        <v>0</v>
      </c>
      <c r="S107" s="693">
        <f t="shared" si="100"/>
        <v>0</v>
      </c>
      <c r="T107" s="693">
        <f t="shared" si="100"/>
        <v>0</v>
      </c>
      <c r="U107" s="693">
        <f t="shared" si="100"/>
        <v>0</v>
      </c>
      <c r="V107" s="693">
        <f t="shared" si="100"/>
        <v>0</v>
      </c>
      <c r="W107" s="693">
        <f t="shared" si="100"/>
        <v>0</v>
      </c>
      <c r="X107" s="693">
        <f t="shared" si="100"/>
        <v>0</v>
      </c>
      <c r="Y107" s="693">
        <f t="shared" si="100"/>
        <v>0</v>
      </c>
      <c r="Z107" s="693">
        <f t="shared" si="100"/>
        <v>0</v>
      </c>
      <c r="AA107" s="693">
        <f t="shared" si="100"/>
        <v>0</v>
      </c>
      <c r="AB107" s="693">
        <f t="shared" si="100"/>
        <v>0</v>
      </c>
    </row>
    <row r="108" spans="1:64" s="83" customFormat="1" x14ac:dyDescent="0.3">
      <c r="A108" s="82"/>
      <c r="B108" s="178" t="str">
        <f t="shared" si="95"/>
        <v>TFLEGAS100</v>
      </c>
      <c r="C108" s="178"/>
      <c r="D108" s="179"/>
      <c r="E108" s="178"/>
      <c r="F108" s="182"/>
      <c r="G108" s="181"/>
      <c r="H108" s="182"/>
      <c r="I108" s="183">
        <f>AF$8</f>
        <v>2035</v>
      </c>
      <c r="J108" s="184"/>
      <c r="K108" s="184"/>
      <c r="L108" s="203" t="s">
        <v>1064</v>
      </c>
      <c r="M108" s="184" t="s">
        <v>747</v>
      </c>
      <c r="N108" s="693">
        <f t="shared" ref="N108:AB108" si="101">N104*LOOKUP($AD97,$AG$4:$AP$4,$AG$8:$AP$8)</f>
        <v>354.45</v>
      </c>
      <c r="O108" s="693">
        <f t="shared" si="101"/>
        <v>0</v>
      </c>
      <c r="P108" s="693">
        <f t="shared" si="101"/>
        <v>0</v>
      </c>
      <c r="Q108" s="693">
        <f t="shared" si="101"/>
        <v>0</v>
      </c>
      <c r="R108" s="693">
        <f t="shared" si="101"/>
        <v>0</v>
      </c>
      <c r="S108" s="693">
        <f t="shared" si="101"/>
        <v>0</v>
      </c>
      <c r="T108" s="693">
        <f t="shared" si="101"/>
        <v>0</v>
      </c>
      <c r="U108" s="693">
        <f t="shared" si="101"/>
        <v>0</v>
      </c>
      <c r="V108" s="693">
        <f t="shared" si="101"/>
        <v>0</v>
      </c>
      <c r="W108" s="693">
        <f t="shared" si="101"/>
        <v>0</v>
      </c>
      <c r="X108" s="693">
        <f t="shared" si="101"/>
        <v>0</v>
      </c>
      <c r="Y108" s="693">
        <f t="shared" si="101"/>
        <v>0</v>
      </c>
      <c r="Z108" s="693">
        <f t="shared" si="101"/>
        <v>0</v>
      </c>
      <c r="AA108" s="693">
        <f t="shared" si="101"/>
        <v>0</v>
      </c>
      <c r="AB108" s="693">
        <f t="shared" si="101"/>
        <v>0</v>
      </c>
    </row>
    <row r="109" spans="1:64" s="83" customFormat="1" x14ac:dyDescent="0.3">
      <c r="A109" s="82"/>
      <c r="B109" s="178" t="str">
        <f t="shared" si="95"/>
        <v>TFLEGAS100</v>
      </c>
      <c r="C109" s="178"/>
      <c r="D109" s="179"/>
      <c r="E109" s="178"/>
      <c r="F109" s="182"/>
      <c r="G109" s="181"/>
      <c r="H109" s="182"/>
      <c r="I109" s="183">
        <f>AF$9</f>
        <v>2040</v>
      </c>
      <c r="J109" s="184"/>
      <c r="K109" s="184"/>
      <c r="L109" s="203" t="s">
        <v>1064</v>
      </c>
      <c r="M109" s="184" t="s">
        <v>747</v>
      </c>
      <c r="N109" s="693">
        <f t="shared" ref="N109:AB109" si="102">N104*LOOKUP($AD97,$AG$4:$AP$4,$AG$9:$AP$9)</f>
        <v>11.815</v>
      </c>
      <c r="O109" s="693">
        <f t="shared" si="102"/>
        <v>0</v>
      </c>
      <c r="P109" s="693">
        <f t="shared" si="102"/>
        <v>0</v>
      </c>
      <c r="Q109" s="693">
        <f t="shared" si="102"/>
        <v>0</v>
      </c>
      <c r="R109" s="693">
        <f t="shared" si="102"/>
        <v>0</v>
      </c>
      <c r="S109" s="693">
        <f t="shared" si="102"/>
        <v>0</v>
      </c>
      <c r="T109" s="693">
        <f t="shared" si="102"/>
        <v>0</v>
      </c>
      <c r="U109" s="693">
        <f t="shared" si="102"/>
        <v>0</v>
      </c>
      <c r="V109" s="693">
        <f t="shared" si="102"/>
        <v>0</v>
      </c>
      <c r="W109" s="693">
        <f t="shared" si="102"/>
        <v>0</v>
      </c>
      <c r="X109" s="693">
        <f t="shared" si="102"/>
        <v>0</v>
      </c>
      <c r="Y109" s="693">
        <f t="shared" si="102"/>
        <v>0</v>
      </c>
      <c r="Z109" s="693">
        <f t="shared" si="102"/>
        <v>0</v>
      </c>
      <c r="AA109" s="693">
        <f t="shared" si="102"/>
        <v>0</v>
      </c>
      <c r="AB109" s="693">
        <f t="shared" si="102"/>
        <v>0</v>
      </c>
    </row>
    <row r="110" spans="1:64" s="83" customFormat="1" x14ac:dyDescent="0.3">
      <c r="A110" s="82"/>
      <c r="B110" s="204" t="str">
        <f t="shared" si="95"/>
        <v>TFLEGAS100</v>
      </c>
      <c r="C110" s="204"/>
      <c r="D110" s="205"/>
      <c r="E110" s="204"/>
      <c r="F110" s="206"/>
      <c r="G110" s="207"/>
      <c r="H110" s="206"/>
      <c r="I110" s="208">
        <f>AF$10</f>
        <v>2050</v>
      </c>
      <c r="J110" s="209"/>
      <c r="K110" s="209"/>
      <c r="L110" s="210" t="s">
        <v>1064</v>
      </c>
      <c r="M110" s="209" t="s">
        <v>747</v>
      </c>
      <c r="N110" s="694">
        <f t="shared" ref="N110:AB110" si="103">N104*LOOKUP($AD97,$AG$4:$AP$4,$AG$10:$AP$10)</f>
        <v>0</v>
      </c>
      <c r="O110" s="694">
        <f t="shared" si="103"/>
        <v>0</v>
      </c>
      <c r="P110" s="694">
        <f t="shared" si="103"/>
        <v>0</v>
      </c>
      <c r="Q110" s="694">
        <f t="shared" si="103"/>
        <v>0</v>
      </c>
      <c r="R110" s="694">
        <f t="shared" si="103"/>
        <v>0</v>
      </c>
      <c r="S110" s="694">
        <f t="shared" si="103"/>
        <v>0</v>
      </c>
      <c r="T110" s="694">
        <f t="shared" si="103"/>
        <v>0</v>
      </c>
      <c r="U110" s="694">
        <f t="shared" si="103"/>
        <v>0</v>
      </c>
      <c r="V110" s="694">
        <f t="shared" si="103"/>
        <v>0</v>
      </c>
      <c r="W110" s="694">
        <f t="shared" si="103"/>
        <v>0</v>
      </c>
      <c r="X110" s="694">
        <f t="shared" si="103"/>
        <v>0</v>
      </c>
      <c r="Y110" s="694">
        <f t="shared" si="103"/>
        <v>0</v>
      </c>
      <c r="Z110" s="694">
        <f t="shared" si="103"/>
        <v>0</v>
      </c>
      <c r="AA110" s="694">
        <f t="shared" si="103"/>
        <v>0</v>
      </c>
      <c r="AB110" s="694">
        <f t="shared" si="103"/>
        <v>0</v>
      </c>
    </row>
    <row r="111" spans="1:64" s="83" customFormat="1" x14ac:dyDescent="0.3">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699" t="str">
        <f t="shared" ref="AV111:AV114" si="105">MID(E111,1,7)</f>
        <v>TRAGSL</v>
      </c>
      <c r="AW111" s="567">
        <f t="shared" ref="AW111:AW113" si="106">SUM(AX111:BL111)</f>
        <v>153.32637459813321</v>
      </c>
      <c r="AX111" s="720">
        <f>N$117*N$118*(1-N112)/N$115/1000</f>
        <v>153.32637459813321</v>
      </c>
      <c r="AY111" s="720">
        <f t="shared" ref="AY111:BL111" si="107">O$117*O$118*(1-O112)/O$115/1000</f>
        <v>0</v>
      </c>
      <c r="AZ111" s="720">
        <f t="shared" si="107"/>
        <v>0</v>
      </c>
      <c r="BA111" s="720">
        <f t="shared" si="107"/>
        <v>0</v>
      </c>
      <c r="BB111" s="720">
        <f t="shared" si="107"/>
        <v>0</v>
      </c>
      <c r="BC111" s="720">
        <f t="shared" si="107"/>
        <v>0</v>
      </c>
      <c r="BD111" s="720">
        <f t="shared" si="107"/>
        <v>0</v>
      </c>
      <c r="BE111" s="720">
        <f t="shared" si="107"/>
        <v>0</v>
      </c>
      <c r="BF111" s="720">
        <f t="shared" si="107"/>
        <v>0</v>
      </c>
      <c r="BG111" s="720">
        <f t="shared" si="107"/>
        <v>0</v>
      </c>
      <c r="BH111" s="720">
        <f t="shared" si="107"/>
        <v>0</v>
      </c>
      <c r="BI111" s="720">
        <f t="shared" si="107"/>
        <v>0</v>
      </c>
      <c r="BJ111" s="720">
        <f t="shared" si="107"/>
        <v>0</v>
      </c>
      <c r="BK111" s="720">
        <f t="shared" si="107"/>
        <v>0</v>
      </c>
      <c r="BL111" s="720">
        <f t="shared" si="107"/>
        <v>0</v>
      </c>
    </row>
    <row r="112" spans="1:64" s="83" customFormat="1" x14ac:dyDescent="0.3">
      <c r="A112" s="82"/>
      <c r="B112" s="178" t="str">
        <f>B111</f>
        <v>TFLEGSL100</v>
      </c>
      <c r="C112" s="178"/>
      <c r="D112" s="179"/>
      <c r="E112" s="407" t="s">
        <v>1011</v>
      </c>
      <c r="F112" s="182"/>
      <c r="G112" s="181"/>
      <c r="H112" s="182"/>
      <c r="I112" s="183"/>
      <c r="J112" s="184" t="s">
        <v>1126</v>
      </c>
      <c r="K112" s="184"/>
      <c r="L112" s="203" t="s">
        <v>101</v>
      </c>
      <c r="M112" s="184"/>
      <c r="N112" s="390">
        <f>N$30</f>
        <v>5.0999999999999997E-2</v>
      </c>
      <c r="O112" s="390">
        <f t="shared" ref="O112:AB112" si="108">O$30</f>
        <v>5.0999999999999997E-2</v>
      </c>
      <c r="P112" s="390">
        <f t="shared" si="108"/>
        <v>5.0999999999999997E-2</v>
      </c>
      <c r="Q112" s="390">
        <f t="shared" si="108"/>
        <v>5.0999999999999997E-2</v>
      </c>
      <c r="R112" s="390">
        <f t="shared" si="108"/>
        <v>5.0999999999999997E-2</v>
      </c>
      <c r="S112" s="390">
        <f t="shared" si="108"/>
        <v>5.0999999999999997E-2</v>
      </c>
      <c r="T112" s="390">
        <f t="shared" si="108"/>
        <v>5.0999999999999997E-2</v>
      </c>
      <c r="U112" s="390">
        <f t="shared" si="108"/>
        <v>5.0999999999999997E-2</v>
      </c>
      <c r="V112" s="390">
        <f t="shared" si="108"/>
        <v>5.0999999999999997E-2</v>
      </c>
      <c r="W112" s="390">
        <f t="shared" si="108"/>
        <v>5.0999999999999997E-2</v>
      </c>
      <c r="X112" s="390">
        <f t="shared" si="108"/>
        <v>5.0999999999999997E-2</v>
      </c>
      <c r="Y112" s="390">
        <f t="shared" si="108"/>
        <v>5.0999999999999997E-2</v>
      </c>
      <c r="Z112" s="390">
        <f t="shared" si="108"/>
        <v>5.0999999999999997E-2</v>
      </c>
      <c r="AA112" s="390">
        <f t="shared" si="108"/>
        <v>5.0999999999999997E-2</v>
      </c>
      <c r="AB112" s="390">
        <f t="shared" si="108"/>
        <v>5.0999999999999997E-2</v>
      </c>
      <c r="AD112" s="66" t="str">
        <f>IF(COUNTIF($AG$4:$AP$4,AD111)=1,"ok","MISSING")</f>
        <v>ok</v>
      </c>
      <c r="AV112" s="699" t="str">
        <f t="shared" si="105"/>
        <v>TRAETHM</v>
      </c>
      <c r="AW112" s="567">
        <f t="shared" si="106"/>
        <v>8.2398789299312902</v>
      </c>
      <c r="AX112" s="720">
        <f>N$117*N$118*N112/N$115/1000</f>
        <v>8.2398789299312902</v>
      </c>
      <c r="AY112" s="720">
        <f t="shared" ref="AY112:BL112" si="109">O$117*O$118*O112/O$115/1000</f>
        <v>0</v>
      </c>
      <c r="AZ112" s="720">
        <f t="shared" si="109"/>
        <v>0</v>
      </c>
      <c r="BA112" s="720">
        <f t="shared" si="109"/>
        <v>0</v>
      </c>
      <c r="BB112" s="720">
        <f t="shared" si="109"/>
        <v>0</v>
      </c>
      <c r="BC112" s="720">
        <f t="shared" si="109"/>
        <v>0</v>
      </c>
      <c r="BD112" s="720">
        <f t="shared" si="109"/>
        <v>0</v>
      </c>
      <c r="BE112" s="720">
        <f t="shared" si="109"/>
        <v>0</v>
      </c>
      <c r="BF112" s="720">
        <f t="shared" si="109"/>
        <v>0</v>
      </c>
      <c r="BG112" s="720">
        <f t="shared" si="109"/>
        <v>0</v>
      </c>
      <c r="BH112" s="720">
        <f t="shared" si="109"/>
        <v>0</v>
      </c>
      <c r="BI112" s="720">
        <f t="shared" si="109"/>
        <v>0</v>
      </c>
      <c r="BJ112" s="720">
        <f t="shared" si="109"/>
        <v>0</v>
      </c>
      <c r="BK112" s="720">
        <f t="shared" si="109"/>
        <v>0</v>
      </c>
      <c r="BL112" s="720">
        <f t="shared" si="109"/>
        <v>0</v>
      </c>
    </row>
    <row r="113" spans="1:64" s="83" customFormat="1" x14ac:dyDescent="0.3">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699" t="str">
        <f>MID(E113,1,8)</f>
        <v>TRABGSLM</v>
      </c>
      <c r="AW113" s="567">
        <f t="shared" si="106"/>
        <v>0</v>
      </c>
      <c r="AX113" s="720"/>
      <c r="AY113" s="720"/>
      <c r="AZ113" s="720"/>
      <c r="BA113" s="720"/>
      <c r="BB113" s="720"/>
      <c r="BC113" s="720"/>
      <c r="BD113" s="720"/>
      <c r="BE113" s="720"/>
      <c r="BF113" s="720"/>
      <c r="BG113" s="720"/>
      <c r="BH113" s="720"/>
      <c r="BI113" s="720"/>
      <c r="BJ113" s="720"/>
      <c r="BK113" s="720"/>
      <c r="BL113" s="720"/>
    </row>
    <row r="114" spans="1:64" s="83" customFormat="1" x14ac:dyDescent="0.3">
      <c r="A114" s="82"/>
      <c r="B114" s="178" t="str">
        <f t="shared" si="110"/>
        <v>TFLEGSL100</v>
      </c>
      <c r="C114" s="178"/>
      <c r="D114" s="179"/>
      <c r="E114" s="178"/>
      <c r="F114" s="182"/>
      <c r="G114" s="173" t="s">
        <v>431</v>
      </c>
      <c r="H114" s="182"/>
      <c r="I114" s="183"/>
      <c r="J114" s="184"/>
      <c r="K114" s="184"/>
      <c r="L114" s="184" t="s">
        <v>1125</v>
      </c>
      <c r="M114" s="184" t="s">
        <v>677</v>
      </c>
      <c r="N114" s="675">
        <f>T_CEFF!H168</f>
        <v>0.38646999999999998</v>
      </c>
      <c r="O114" s="675">
        <f>T_CEFF!I168</f>
        <v>0.38646999999999998</v>
      </c>
      <c r="P114" s="675">
        <f>T_CEFF!J168</f>
        <v>0.38646999999999998</v>
      </c>
      <c r="Q114" s="675">
        <f>T_CEFF!K168</f>
        <v>0.38646999999999998</v>
      </c>
      <c r="R114" s="675">
        <f>T_CEFF!L168</f>
        <v>0.38646999999999998</v>
      </c>
      <c r="S114" s="675">
        <f>T_CEFF!M168</f>
        <v>0.38646999999999998</v>
      </c>
      <c r="T114" s="675">
        <f>T_CEFF!N168</f>
        <v>0.38646999999999998</v>
      </c>
      <c r="U114" s="675">
        <f>T_CEFF!O168</f>
        <v>0.38646999999999998</v>
      </c>
      <c r="V114" s="675">
        <f>T_CEFF!P168</f>
        <v>0.38646999999999998</v>
      </c>
      <c r="W114" s="675">
        <f>T_CEFF!Q168</f>
        <v>0.38646999999999998</v>
      </c>
      <c r="X114" s="675">
        <f>T_CEFF!R168</f>
        <v>0.38646999999999998</v>
      </c>
      <c r="Y114" s="675">
        <f>T_CEFF!S168</f>
        <v>0.38646999999999998</v>
      </c>
      <c r="Z114" s="675">
        <f>T_CEFF!T168</f>
        <v>0.38646999999999998</v>
      </c>
      <c r="AA114" s="675">
        <f>T_CEFF!U168</f>
        <v>0.38646999999999998</v>
      </c>
      <c r="AB114" s="675">
        <f>T_CEFF!V168</f>
        <v>0.38646999999999998</v>
      </c>
      <c r="AV114" s="699" t="str">
        <f t="shared" si="105"/>
        <v/>
      </c>
      <c r="AW114" s="567"/>
    </row>
    <row r="115" spans="1:64" s="83" customFormat="1" x14ac:dyDescent="0.3">
      <c r="A115" s="82"/>
      <c r="B115" s="178" t="str">
        <f t="shared" si="110"/>
        <v>TFLEGSL100</v>
      </c>
      <c r="C115" s="178"/>
      <c r="D115" s="179"/>
      <c r="E115" s="178"/>
      <c r="F115" s="182"/>
      <c r="G115" s="173" t="s">
        <v>429</v>
      </c>
      <c r="H115" s="182"/>
      <c r="I115" s="183"/>
      <c r="J115" s="184"/>
      <c r="K115" s="184"/>
      <c r="L115" s="184" t="s">
        <v>1125</v>
      </c>
      <c r="M115" s="184" t="s">
        <v>677</v>
      </c>
      <c r="N115" s="675">
        <f>T_CEFF!H169</f>
        <v>0.31873000000000001</v>
      </c>
      <c r="O115" s="675">
        <f>T_CEFF!I169</f>
        <v>0.31873000000000001</v>
      </c>
      <c r="P115" s="675">
        <f>T_CEFF!J169</f>
        <v>0.31873000000000001</v>
      </c>
      <c r="Q115" s="675">
        <f>T_CEFF!K169</f>
        <v>0.31873000000000001</v>
      </c>
      <c r="R115" s="675">
        <f>T_CEFF!L169</f>
        <v>0.31873000000000001</v>
      </c>
      <c r="S115" s="675">
        <f>T_CEFF!M169</f>
        <v>0.31873000000000001</v>
      </c>
      <c r="T115" s="675">
        <f>T_CEFF!N169</f>
        <v>0.31873000000000001</v>
      </c>
      <c r="U115" s="675">
        <f>T_CEFF!O169</f>
        <v>0.31873000000000001</v>
      </c>
      <c r="V115" s="675">
        <f>T_CEFF!P169</f>
        <v>0.31873000000000001</v>
      </c>
      <c r="W115" s="675">
        <f>T_CEFF!Q169</f>
        <v>0.31873000000000001</v>
      </c>
      <c r="X115" s="675">
        <f>T_CEFF!R169</f>
        <v>0.31873000000000001</v>
      </c>
      <c r="Y115" s="675">
        <f>T_CEFF!S169</f>
        <v>0.31873000000000001</v>
      </c>
      <c r="Z115" s="675">
        <f>T_CEFF!T169</f>
        <v>0.31873000000000001</v>
      </c>
      <c r="AA115" s="675">
        <f>T_CEFF!U169</f>
        <v>0.31873000000000001</v>
      </c>
      <c r="AB115" s="675">
        <f>T_CEFF!V169</f>
        <v>0.31873000000000001</v>
      </c>
    </row>
    <row r="116" spans="1:64" s="83" customFormat="1" x14ac:dyDescent="0.3">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3">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1">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3">
      <c r="A118" s="82"/>
      <c r="B118" s="178" t="str">
        <f t="shared" si="110"/>
        <v>TFLEGSL100</v>
      </c>
      <c r="C118" s="178"/>
      <c r="D118" s="179"/>
      <c r="E118" s="178"/>
      <c r="F118" s="182"/>
      <c r="G118" s="181"/>
      <c r="H118" s="182"/>
      <c r="I118" s="183">
        <f>$M$3</f>
        <v>2019</v>
      </c>
      <c r="J118" s="184"/>
      <c r="K118" s="184"/>
      <c r="L118" s="203" t="s">
        <v>1064</v>
      </c>
      <c r="M118" s="184" t="s">
        <v>747</v>
      </c>
      <c r="N118" s="693">
        <f>LOOKUP($C$111, T_Stock_Private!$C$90:$C$100, T_Stock_Private!D$90:D$100)*(1+N41)</f>
        <v>7347</v>
      </c>
      <c r="O118" s="693">
        <f>LOOKUP($C$111, T_Stock_Private!$C$90:$C$100, T_Stock_Private!E$90:E$100)*(1+O41)</f>
        <v>0</v>
      </c>
      <c r="P118" s="693">
        <f>LOOKUP($C$111, T_Stock_Private!$C$90:$C$100, T_Stock_Private!F$90:F$100)*(1+P41)</f>
        <v>0</v>
      </c>
      <c r="Q118" s="693">
        <f>LOOKUP($C$111, T_Stock_Private!$C$90:$C$100, T_Stock_Private!G$90:G$100)*(1+Q41)</f>
        <v>0</v>
      </c>
      <c r="R118" s="693">
        <f>LOOKUP($C$111, T_Stock_Private!$C$90:$C$100, T_Stock_Private!H$90:H$100)*(1+R41)</f>
        <v>0</v>
      </c>
      <c r="S118" s="693">
        <f>LOOKUP($C$111, T_Stock_Private!$C$90:$C$100, T_Stock_Private!I$90:I$100)*(1+S41)</f>
        <v>0</v>
      </c>
      <c r="T118" s="693">
        <f>LOOKUP($C$111, T_Stock_Private!$C$90:$C$100, T_Stock_Private!J$90:J$100)*(1+T41)</f>
        <v>0</v>
      </c>
      <c r="U118" s="693">
        <f>LOOKUP($C$111, T_Stock_Private!$C$90:$C$100, T_Stock_Private!K$90:K$100)*(1+U41)</f>
        <v>0</v>
      </c>
      <c r="V118" s="693">
        <f>LOOKUP($C$111, T_Stock_Private!$C$90:$C$100, T_Stock_Private!L$90:L$100)*(1+V41)</f>
        <v>0</v>
      </c>
      <c r="W118" s="693">
        <f>LOOKUP($C$111, T_Stock_Private!$C$90:$C$100, T_Stock_Private!M$90:M$100)*(1+W41)</f>
        <v>0</v>
      </c>
      <c r="X118" s="693">
        <f>LOOKUP($C$111, T_Stock_Private!$C$90:$C$100, T_Stock_Private!N$90:N$100)*(1+X41)</f>
        <v>0</v>
      </c>
      <c r="Y118" s="693">
        <f>LOOKUP($C$111, T_Stock_Private!$C$90:$C$100, T_Stock_Private!O$90:O$100)*(1+Y41)</f>
        <v>0</v>
      </c>
      <c r="Z118" s="693">
        <f>LOOKUP($C$111, T_Stock_Private!$C$90:$C$100, T_Stock_Private!P$90:P$100)*(1+Z41)</f>
        <v>0</v>
      </c>
      <c r="AA118" s="693">
        <f>LOOKUP($C$111, T_Stock_Private!$C$90:$C$100, T_Stock_Private!Q$90:Q$100)*(1+AA41)</f>
        <v>0</v>
      </c>
      <c r="AB118" s="693">
        <f>LOOKUP($C$111, T_Stock_Private!$C$90:$C$100, T_Stock_Private!R$90:R$100)*(1+AB41)</f>
        <v>0</v>
      </c>
      <c r="AC118" s="89"/>
      <c r="AD118" s="35"/>
    </row>
    <row r="119" spans="1:64" s="83" customFormat="1" x14ac:dyDescent="0.3">
      <c r="A119" s="82"/>
      <c r="B119" s="178" t="str">
        <f t="shared" si="110"/>
        <v>TFLEGSL100</v>
      </c>
      <c r="C119" s="178"/>
      <c r="D119" s="179"/>
      <c r="E119" s="178"/>
      <c r="F119" s="182"/>
      <c r="G119" s="181"/>
      <c r="H119" s="182"/>
      <c r="I119" s="183">
        <f>AF$5</f>
        <v>2020</v>
      </c>
      <c r="J119" s="184"/>
      <c r="K119" s="184"/>
      <c r="L119" s="203" t="s">
        <v>1064</v>
      </c>
      <c r="M119" s="184" t="s">
        <v>747</v>
      </c>
      <c r="N119" s="693">
        <f t="shared" ref="N119:AB119" si="114">N118*LOOKUP($AD111,$AG$4:$AP$4,$AG$5:$AP$5)</f>
        <v>6979.65</v>
      </c>
      <c r="O119" s="693">
        <f t="shared" si="114"/>
        <v>0</v>
      </c>
      <c r="P119" s="693">
        <f t="shared" si="114"/>
        <v>0</v>
      </c>
      <c r="Q119" s="693">
        <f t="shared" si="114"/>
        <v>0</v>
      </c>
      <c r="R119" s="693">
        <f t="shared" si="114"/>
        <v>0</v>
      </c>
      <c r="S119" s="693">
        <f t="shared" si="114"/>
        <v>0</v>
      </c>
      <c r="T119" s="693">
        <f t="shared" si="114"/>
        <v>0</v>
      </c>
      <c r="U119" s="693">
        <f t="shared" si="114"/>
        <v>0</v>
      </c>
      <c r="V119" s="693">
        <f t="shared" si="114"/>
        <v>0</v>
      </c>
      <c r="W119" s="693">
        <f t="shared" si="114"/>
        <v>0</v>
      </c>
      <c r="X119" s="693">
        <f t="shared" si="114"/>
        <v>0</v>
      </c>
      <c r="Y119" s="693">
        <f t="shared" si="114"/>
        <v>0</v>
      </c>
      <c r="Z119" s="693">
        <f t="shared" si="114"/>
        <v>0</v>
      </c>
      <c r="AA119" s="693">
        <f t="shared" si="114"/>
        <v>0</v>
      </c>
      <c r="AB119" s="693">
        <f t="shared" si="114"/>
        <v>0</v>
      </c>
      <c r="AD119" s="35"/>
    </row>
    <row r="120" spans="1:64" s="83" customFormat="1" x14ac:dyDescent="0.3">
      <c r="A120" s="82"/>
      <c r="B120" s="178" t="str">
        <f t="shared" si="110"/>
        <v>TFLEGSL100</v>
      </c>
      <c r="C120" s="178"/>
      <c r="D120" s="179"/>
      <c r="E120" s="178"/>
      <c r="F120" s="182"/>
      <c r="G120" s="181"/>
      <c r="H120" s="182"/>
      <c r="I120" s="183">
        <f>AF$6</f>
        <v>2025</v>
      </c>
      <c r="J120" s="184"/>
      <c r="K120" s="184"/>
      <c r="L120" s="203" t="s">
        <v>1064</v>
      </c>
      <c r="M120" s="184" t="s">
        <v>747</v>
      </c>
      <c r="N120" s="693">
        <f t="shared" ref="N120:AB120" si="115">N118*LOOKUP($AD111,$AG$4:$AP$4,$AG$6:$AP$6)</f>
        <v>5142.8999999999996</v>
      </c>
      <c r="O120" s="693">
        <f t="shared" si="115"/>
        <v>0</v>
      </c>
      <c r="P120" s="693">
        <f t="shared" si="115"/>
        <v>0</v>
      </c>
      <c r="Q120" s="693">
        <f t="shared" si="115"/>
        <v>0</v>
      </c>
      <c r="R120" s="693">
        <f t="shared" si="115"/>
        <v>0</v>
      </c>
      <c r="S120" s="693">
        <f t="shared" si="115"/>
        <v>0</v>
      </c>
      <c r="T120" s="693">
        <f t="shared" si="115"/>
        <v>0</v>
      </c>
      <c r="U120" s="693">
        <f t="shared" si="115"/>
        <v>0</v>
      </c>
      <c r="V120" s="693">
        <f t="shared" si="115"/>
        <v>0</v>
      </c>
      <c r="W120" s="693">
        <f t="shared" si="115"/>
        <v>0</v>
      </c>
      <c r="X120" s="693">
        <f t="shared" si="115"/>
        <v>0</v>
      </c>
      <c r="Y120" s="693">
        <f t="shared" si="115"/>
        <v>0</v>
      </c>
      <c r="Z120" s="693">
        <f t="shared" si="115"/>
        <v>0</v>
      </c>
      <c r="AA120" s="693">
        <f t="shared" si="115"/>
        <v>0</v>
      </c>
      <c r="AB120" s="693">
        <f t="shared" si="115"/>
        <v>0</v>
      </c>
      <c r="AD120" s="35"/>
    </row>
    <row r="121" spans="1:64" s="83" customFormat="1" x14ac:dyDescent="0.3">
      <c r="A121" s="82"/>
      <c r="B121" s="178" t="str">
        <f t="shared" si="110"/>
        <v>TFLEGSL100</v>
      </c>
      <c r="C121" s="178"/>
      <c r="D121" s="179"/>
      <c r="E121" s="178"/>
      <c r="F121" s="182"/>
      <c r="G121" s="181"/>
      <c r="H121" s="182"/>
      <c r="I121" s="183">
        <f>AF$7</f>
        <v>2030</v>
      </c>
      <c r="J121" s="184"/>
      <c r="K121" s="184"/>
      <c r="L121" s="203" t="s">
        <v>1064</v>
      </c>
      <c r="M121" s="184" t="s">
        <v>747</v>
      </c>
      <c r="N121" s="693">
        <f t="shared" ref="N121:AB121" si="116">N118*LOOKUP($AD111,$AG$4:$AP$4,$AG$7:$AP$7)</f>
        <v>2938.8</v>
      </c>
      <c r="O121" s="693">
        <f t="shared" si="116"/>
        <v>0</v>
      </c>
      <c r="P121" s="693">
        <f t="shared" si="116"/>
        <v>0</v>
      </c>
      <c r="Q121" s="693">
        <f t="shared" si="116"/>
        <v>0</v>
      </c>
      <c r="R121" s="693">
        <f t="shared" si="116"/>
        <v>0</v>
      </c>
      <c r="S121" s="693">
        <f t="shared" si="116"/>
        <v>0</v>
      </c>
      <c r="T121" s="693">
        <f t="shared" si="116"/>
        <v>0</v>
      </c>
      <c r="U121" s="693">
        <f t="shared" si="116"/>
        <v>0</v>
      </c>
      <c r="V121" s="693">
        <f t="shared" si="116"/>
        <v>0</v>
      </c>
      <c r="W121" s="693">
        <f t="shared" si="116"/>
        <v>0</v>
      </c>
      <c r="X121" s="693">
        <f t="shared" si="116"/>
        <v>0</v>
      </c>
      <c r="Y121" s="693">
        <f t="shared" si="116"/>
        <v>0</v>
      </c>
      <c r="Z121" s="693">
        <f t="shared" si="116"/>
        <v>0</v>
      </c>
      <c r="AA121" s="693">
        <f t="shared" si="116"/>
        <v>0</v>
      </c>
      <c r="AB121" s="693">
        <f t="shared" si="116"/>
        <v>0</v>
      </c>
      <c r="AD121" s="35"/>
    </row>
    <row r="122" spans="1:64" s="83" customFormat="1" x14ac:dyDescent="0.3">
      <c r="A122" s="82"/>
      <c r="B122" s="178" t="str">
        <f t="shared" si="110"/>
        <v>TFLEGSL100</v>
      </c>
      <c r="C122" s="178"/>
      <c r="D122" s="179"/>
      <c r="E122" s="178"/>
      <c r="F122" s="182"/>
      <c r="G122" s="181"/>
      <c r="H122" s="182"/>
      <c r="I122" s="183">
        <f>AF$8</f>
        <v>2035</v>
      </c>
      <c r="J122" s="184"/>
      <c r="K122" s="184"/>
      <c r="L122" s="203" t="s">
        <v>1064</v>
      </c>
      <c r="M122" s="184" t="s">
        <v>747</v>
      </c>
      <c r="N122" s="693">
        <f t="shared" ref="N122:AB122" si="117">N118*LOOKUP($AD111,$AG$4:$AP$4,$AG$8:$AP$8)</f>
        <v>1102.05</v>
      </c>
      <c r="O122" s="693">
        <f t="shared" si="117"/>
        <v>0</v>
      </c>
      <c r="P122" s="693">
        <f t="shared" si="117"/>
        <v>0</v>
      </c>
      <c r="Q122" s="693">
        <f t="shared" si="117"/>
        <v>0</v>
      </c>
      <c r="R122" s="693">
        <f t="shared" si="117"/>
        <v>0</v>
      </c>
      <c r="S122" s="693">
        <f t="shared" si="117"/>
        <v>0</v>
      </c>
      <c r="T122" s="693">
        <f t="shared" si="117"/>
        <v>0</v>
      </c>
      <c r="U122" s="693">
        <f t="shared" si="117"/>
        <v>0</v>
      </c>
      <c r="V122" s="693">
        <f t="shared" si="117"/>
        <v>0</v>
      </c>
      <c r="W122" s="693">
        <f t="shared" si="117"/>
        <v>0</v>
      </c>
      <c r="X122" s="693">
        <f t="shared" si="117"/>
        <v>0</v>
      </c>
      <c r="Y122" s="693">
        <f t="shared" si="117"/>
        <v>0</v>
      </c>
      <c r="Z122" s="693">
        <f t="shared" si="117"/>
        <v>0</v>
      </c>
      <c r="AA122" s="693">
        <f t="shared" si="117"/>
        <v>0</v>
      </c>
      <c r="AB122" s="693">
        <f t="shared" si="117"/>
        <v>0</v>
      </c>
      <c r="AD122" s="35"/>
    </row>
    <row r="123" spans="1:64" s="83" customFormat="1" x14ac:dyDescent="0.3">
      <c r="A123" s="82"/>
      <c r="B123" s="178" t="str">
        <f t="shared" si="110"/>
        <v>TFLEGSL100</v>
      </c>
      <c r="C123" s="178"/>
      <c r="D123" s="179"/>
      <c r="E123" s="178"/>
      <c r="F123" s="182"/>
      <c r="G123" s="181"/>
      <c r="H123" s="182"/>
      <c r="I123" s="183">
        <f>AF$9</f>
        <v>2040</v>
      </c>
      <c r="J123" s="184"/>
      <c r="K123" s="184"/>
      <c r="L123" s="203" t="s">
        <v>1064</v>
      </c>
      <c r="M123" s="184" t="s">
        <v>747</v>
      </c>
      <c r="N123" s="693">
        <f t="shared" ref="N123:AB123" si="118">N118*LOOKUP($AD111,$AG$4:$AP$4,$AG$9:$AP$9)</f>
        <v>36.734999999999999</v>
      </c>
      <c r="O123" s="693">
        <f t="shared" si="118"/>
        <v>0</v>
      </c>
      <c r="P123" s="693">
        <f t="shared" si="118"/>
        <v>0</v>
      </c>
      <c r="Q123" s="693">
        <f t="shared" si="118"/>
        <v>0</v>
      </c>
      <c r="R123" s="693">
        <f t="shared" si="118"/>
        <v>0</v>
      </c>
      <c r="S123" s="693">
        <f t="shared" si="118"/>
        <v>0</v>
      </c>
      <c r="T123" s="693">
        <f t="shared" si="118"/>
        <v>0</v>
      </c>
      <c r="U123" s="693">
        <f t="shared" si="118"/>
        <v>0</v>
      </c>
      <c r="V123" s="693">
        <f t="shared" si="118"/>
        <v>0</v>
      </c>
      <c r="W123" s="693">
        <f t="shared" si="118"/>
        <v>0</v>
      </c>
      <c r="X123" s="693">
        <f t="shared" si="118"/>
        <v>0</v>
      </c>
      <c r="Y123" s="693">
        <f t="shared" si="118"/>
        <v>0</v>
      </c>
      <c r="Z123" s="693">
        <f t="shared" si="118"/>
        <v>0</v>
      </c>
      <c r="AA123" s="693">
        <f t="shared" si="118"/>
        <v>0</v>
      </c>
      <c r="AB123" s="693">
        <f t="shared" si="118"/>
        <v>0</v>
      </c>
      <c r="AD123" s="35"/>
    </row>
    <row r="124" spans="1:64" s="83" customFormat="1" x14ac:dyDescent="0.3">
      <c r="A124" s="82"/>
      <c r="B124" s="204" t="str">
        <f t="shared" si="110"/>
        <v>TFLEGSL100</v>
      </c>
      <c r="C124" s="204"/>
      <c r="D124" s="205"/>
      <c r="E124" s="204"/>
      <c r="F124" s="206"/>
      <c r="G124" s="207"/>
      <c r="H124" s="206"/>
      <c r="I124" s="208">
        <f>AF$10</f>
        <v>2050</v>
      </c>
      <c r="J124" s="209"/>
      <c r="K124" s="209"/>
      <c r="L124" s="210" t="s">
        <v>1064</v>
      </c>
      <c r="M124" s="209" t="s">
        <v>747</v>
      </c>
      <c r="N124" s="694">
        <f t="shared" ref="N124:AB124" si="119">N118*LOOKUP($AD111,$AG$4:$AP$4,$AG$10:$AP$10)</f>
        <v>0</v>
      </c>
      <c r="O124" s="694">
        <f t="shared" si="119"/>
        <v>0</v>
      </c>
      <c r="P124" s="694">
        <f t="shared" si="119"/>
        <v>0</v>
      </c>
      <c r="Q124" s="694">
        <f t="shared" si="119"/>
        <v>0</v>
      </c>
      <c r="R124" s="694">
        <f t="shared" si="119"/>
        <v>0</v>
      </c>
      <c r="S124" s="694">
        <f t="shared" si="119"/>
        <v>0</v>
      </c>
      <c r="T124" s="694">
        <f t="shared" si="119"/>
        <v>0</v>
      </c>
      <c r="U124" s="694">
        <f t="shared" si="119"/>
        <v>0</v>
      </c>
      <c r="V124" s="694">
        <f t="shared" si="119"/>
        <v>0</v>
      </c>
      <c r="W124" s="694">
        <f t="shared" si="119"/>
        <v>0</v>
      </c>
      <c r="X124" s="694">
        <f t="shared" si="119"/>
        <v>0</v>
      </c>
      <c r="Y124" s="694">
        <f t="shared" si="119"/>
        <v>0</v>
      </c>
      <c r="Z124" s="694">
        <f t="shared" si="119"/>
        <v>0</v>
      </c>
      <c r="AA124" s="694">
        <f t="shared" si="119"/>
        <v>0</v>
      </c>
      <c r="AB124" s="694">
        <f t="shared" si="119"/>
        <v>0</v>
      </c>
    </row>
    <row r="125" spans="1:64" s="83" customFormat="1" x14ac:dyDescent="0.3">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699" t="str">
        <f t="shared" ref="AV125:AV128" si="121">MID(E125,1,7)</f>
        <v>TRABDL</v>
      </c>
      <c r="AW125" s="567">
        <f t="shared" ref="AW125:AW127" si="122">SUM(AX125:BL125)</f>
        <v>0</v>
      </c>
      <c r="AX125" s="569"/>
      <c r="AY125" s="569"/>
      <c r="AZ125" s="569"/>
      <c r="BA125" s="569"/>
      <c r="BB125" s="569"/>
      <c r="BC125" s="569"/>
      <c r="BD125" s="569"/>
      <c r="BE125" s="569"/>
      <c r="BF125" s="569"/>
      <c r="BG125" s="569"/>
      <c r="BH125" s="569"/>
      <c r="BI125" s="569"/>
      <c r="BJ125" s="569"/>
      <c r="BK125" s="569"/>
      <c r="BL125" s="569"/>
    </row>
    <row r="126" spans="1:64" s="83" customFormat="1" x14ac:dyDescent="0.3">
      <c r="A126" s="82"/>
      <c r="B126" s="178" t="str">
        <f>B125</f>
        <v>TFLEHYD100</v>
      </c>
      <c r="C126" s="178"/>
      <c r="D126" s="179"/>
      <c r="E126" s="407" t="s">
        <v>185</v>
      </c>
      <c r="F126" s="182"/>
      <c r="G126" s="181"/>
      <c r="H126" s="182"/>
      <c r="I126" s="183"/>
      <c r="J126" s="184" t="str">
        <f>$J$59</f>
        <v>UP</v>
      </c>
      <c r="K126" s="184"/>
      <c r="L126" s="203" t="s">
        <v>101</v>
      </c>
      <c r="M126" s="184"/>
      <c r="N126" s="390">
        <f>1-N$29-N$28</f>
        <v>0.7669999999999999</v>
      </c>
      <c r="O126" s="390">
        <f t="shared" ref="O126:AB126" si="123">1-O$29-O$28</f>
        <v>0.7669999999999999</v>
      </c>
      <c r="P126" s="390">
        <f t="shared" si="123"/>
        <v>0.7669999999999999</v>
      </c>
      <c r="Q126" s="390">
        <f t="shared" si="123"/>
        <v>0.7669999999999999</v>
      </c>
      <c r="R126" s="390">
        <f t="shared" si="123"/>
        <v>0.7669999999999999</v>
      </c>
      <c r="S126" s="390">
        <f t="shared" si="123"/>
        <v>0.7669999999999999</v>
      </c>
      <c r="T126" s="390">
        <f t="shared" si="123"/>
        <v>0.7669999999999999</v>
      </c>
      <c r="U126" s="390">
        <f t="shared" si="123"/>
        <v>0.7669999999999999</v>
      </c>
      <c r="V126" s="390">
        <f t="shared" si="123"/>
        <v>0.7669999999999999</v>
      </c>
      <c r="W126" s="390">
        <f t="shared" si="123"/>
        <v>0.7669999999999999</v>
      </c>
      <c r="X126" s="390">
        <f t="shared" si="123"/>
        <v>0.7669999999999999</v>
      </c>
      <c r="Y126" s="390">
        <f t="shared" si="123"/>
        <v>0.7669999999999999</v>
      </c>
      <c r="Z126" s="390">
        <f t="shared" si="123"/>
        <v>0.7669999999999999</v>
      </c>
      <c r="AA126" s="390">
        <f t="shared" si="123"/>
        <v>0.7669999999999999</v>
      </c>
      <c r="AB126" s="390">
        <f t="shared" si="123"/>
        <v>0.7669999999999999</v>
      </c>
      <c r="AD126" s="66" t="str">
        <f>IF(COUNTIF($AG$4:$AP$4,AD125)=1,"ok","MISSING")</f>
        <v>ok</v>
      </c>
      <c r="AV126" s="699" t="str">
        <f t="shared" si="121"/>
        <v>TRADST</v>
      </c>
      <c r="AW126" s="567">
        <f t="shared" si="122"/>
        <v>0</v>
      </c>
      <c r="AX126" s="569"/>
      <c r="AY126" s="569"/>
      <c r="AZ126" s="569"/>
      <c r="BA126" s="569"/>
      <c r="BB126" s="569"/>
      <c r="BC126" s="569"/>
      <c r="BD126" s="569"/>
      <c r="BE126" s="569"/>
      <c r="BF126" s="569"/>
      <c r="BG126" s="569"/>
      <c r="BH126" s="569"/>
      <c r="BI126" s="569"/>
      <c r="BJ126" s="569"/>
      <c r="BK126" s="569"/>
      <c r="BL126" s="569"/>
    </row>
    <row r="127" spans="1:64" s="83" customFormat="1" x14ac:dyDescent="0.3">
      <c r="A127" s="82"/>
      <c r="B127" s="178" t="str">
        <f t="shared" ref="B127" si="124">B126</f>
        <v>TFLEHYD100</v>
      </c>
      <c r="C127" s="178"/>
      <c r="D127" s="179"/>
      <c r="E127" s="407" t="s">
        <v>989</v>
      </c>
      <c r="F127" s="182"/>
      <c r="G127" s="181"/>
      <c r="H127" s="182"/>
      <c r="I127" s="183"/>
      <c r="J127" s="184" t="s">
        <v>1156</v>
      </c>
      <c r="K127" s="184"/>
      <c r="L127" s="203" t="s">
        <v>101</v>
      </c>
      <c r="M127" s="184"/>
      <c r="N127" s="689">
        <f>N$28</f>
        <v>5.8000000000000003E-2</v>
      </c>
      <c r="O127" s="689">
        <f t="shared" ref="O127:AB127" si="125">O$28</f>
        <v>5.8000000000000003E-2</v>
      </c>
      <c r="P127" s="689">
        <f t="shared" si="125"/>
        <v>5.8000000000000003E-2</v>
      </c>
      <c r="Q127" s="689">
        <f t="shared" si="125"/>
        <v>5.8000000000000003E-2</v>
      </c>
      <c r="R127" s="689">
        <f t="shared" si="125"/>
        <v>5.8000000000000003E-2</v>
      </c>
      <c r="S127" s="689">
        <f t="shared" si="125"/>
        <v>5.8000000000000003E-2</v>
      </c>
      <c r="T127" s="689">
        <f t="shared" si="125"/>
        <v>5.8000000000000003E-2</v>
      </c>
      <c r="U127" s="689">
        <f t="shared" si="125"/>
        <v>5.8000000000000003E-2</v>
      </c>
      <c r="V127" s="689">
        <f t="shared" si="125"/>
        <v>5.8000000000000003E-2</v>
      </c>
      <c r="W127" s="689">
        <f t="shared" si="125"/>
        <v>5.8000000000000003E-2</v>
      </c>
      <c r="X127" s="689">
        <f t="shared" si="125"/>
        <v>5.8000000000000003E-2</v>
      </c>
      <c r="Y127" s="689">
        <f t="shared" si="125"/>
        <v>5.8000000000000003E-2</v>
      </c>
      <c r="Z127" s="689">
        <f t="shared" si="125"/>
        <v>5.8000000000000003E-2</v>
      </c>
      <c r="AA127" s="689">
        <f t="shared" si="125"/>
        <v>5.8000000000000003E-2</v>
      </c>
      <c r="AB127" s="689">
        <f t="shared" si="125"/>
        <v>5.8000000000000003E-2</v>
      </c>
      <c r="AD127" s="408"/>
      <c r="AE127" s="357"/>
      <c r="AF127" s="84"/>
      <c r="AG127" s="84"/>
      <c r="AH127" s="84"/>
      <c r="AI127" s="84"/>
      <c r="AJ127" s="84"/>
      <c r="AK127" s="84"/>
      <c r="AL127" s="84"/>
      <c r="AM127" s="84"/>
      <c r="AN127" s="84"/>
      <c r="AO127" s="84"/>
      <c r="AP127" s="84"/>
      <c r="AQ127" s="84"/>
      <c r="AR127" s="84"/>
      <c r="AS127" s="84"/>
      <c r="AT127" s="84"/>
      <c r="AV127" s="699" t="str">
        <f t="shared" si="121"/>
        <v>TRABDLM</v>
      </c>
      <c r="AW127" s="567">
        <f t="shared" si="122"/>
        <v>0</v>
      </c>
      <c r="AX127" s="569"/>
      <c r="AY127" s="569"/>
      <c r="AZ127" s="569"/>
      <c r="BA127" s="569"/>
      <c r="BB127" s="569"/>
      <c r="BC127" s="569"/>
      <c r="BD127" s="569"/>
      <c r="BE127" s="569"/>
      <c r="BF127" s="569"/>
      <c r="BG127" s="569"/>
      <c r="BH127" s="569"/>
      <c r="BI127" s="569"/>
      <c r="BJ127" s="569"/>
      <c r="BK127" s="569"/>
      <c r="BL127" s="569"/>
    </row>
    <row r="128" spans="1:64" s="83" customFormat="1" x14ac:dyDescent="0.3">
      <c r="A128" s="82"/>
      <c r="B128" s="178" t="str">
        <f>B126</f>
        <v>TFLEHYD100</v>
      </c>
      <c r="C128" s="178"/>
      <c r="D128" s="179"/>
      <c r="E128" s="178"/>
      <c r="F128" s="182"/>
      <c r="G128" s="173" t="s">
        <v>431</v>
      </c>
      <c r="H128" s="182"/>
      <c r="I128" s="183"/>
      <c r="J128" s="184"/>
      <c r="K128" s="184"/>
      <c r="L128" s="184" t="s">
        <v>1125</v>
      </c>
      <c r="M128" s="184" t="s">
        <v>677</v>
      </c>
      <c r="N128" s="675">
        <f>T_CEFF!H170</f>
        <v>0.53332999999999997</v>
      </c>
      <c r="O128" s="675">
        <f>T_CEFF!I170</f>
        <v>0.53332999999999997</v>
      </c>
      <c r="P128" s="675">
        <f>T_CEFF!J170</f>
        <v>0.53332999999999997</v>
      </c>
      <c r="Q128" s="675">
        <f>T_CEFF!K170</f>
        <v>0.53332999999999997</v>
      </c>
      <c r="R128" s="675">
        <f>T_CEFF!L170</f>
        <v>0.53332999999999997</v>
      </c>
      <c r="S128" s="675">
        <f>T_CEFF!M170</f>
        <v>0.53332999999999997</v>
      </c>
      <c r="T128" s="675">
        <f>T_CEFF!N170</f>
        <v>0.53332999999999997</v>
      </c>
      <c r="U128" s="675">
        <f>T_CEFF!O170</f>
        <v>0.53332999999999997</v>
      </c>
      <c r="V128" s="675">
        <f>T_CEFF!P170</f>
        <v>0.53332999999999997</v>
      </c>
      <c r="W128" s="675">
        <f>T_CEFF!Q170</f>
        <v>0.53332999999999997</v>
      </c>
      <c r="X128" s="675">
        <f>T_CEFF!R170</f>
        <v>0.53332999999999997</v>
      </c>
      <c r="Y128" s="675">
        <f>T_CEFF!S170</f>
        <v>0.53332999999999997</v>
      </c>
      <c r="Z128" s="675">
        <f>T_CEFF!T170</f>
        <v>0.53332999999999997</v>
      </c>
      <c r="AA128" s="675">
        <f>T_CEFF!U170</f>
        <v>0.53332999999999997</v>
      </c>
      <c r="AB128" s="675">
        <f>T_CEFF!V170</f>
        <v>0.53332999999999997</v>
      </c>
      <c r="AV128" s="699" t="str">
        <f t="shared" si="121"/>
        <v/>
      </c>
      <c r="AW128" s="567"/>
    </row>
    <row r="129" spans="1:64" s="83" customFormat="1" x14ac:dyDescent="0.3">
      <c r="A129" s="82"/>
      <c r="B129" s="178" t="str">
        <f>B128</f>
        <v>TFLEHYD100</v>
      </c>
      <c r="C129" s="178"/>
      <c r="D129" s="179"/>
      <c r="E129" s="178"/>
      <c r="F129" s="182"/>
      <c r="G129" s="173" t="s">
        <v>429</v>
      </c>
      <c r="H129" s="182"/>
      <c r="I129" s="183"/>
      <c r="J129" s="184"/>
      <c r="K129" s="184"/>
      <c r="L129" s="184" t="s">
        <v>1125</v>
      </c>
      <c r="M129" s="184" t="s">
        <v>677</v>
      </c>
      <c r="N129" s="675">
        <f>T_CEFF!H171</f>
        <v>0.47059000000000001</v>
      </c>
      <c r="O129" s="675">
        <f>T_CEFF!I171</f>
        <v>0.47059000000000001</v>
      </c>
      <c r="P129" s="675">
        <f>T_CEFF!J171</f>
        <v>0.47059000000000001</v>
      </c>
      <c r="Q129" s="675">
        <f>T_CEFF!K171</f>
        <v>0.47059000000000001</v>
      </c>
      <c r="R129" s="675">
        <f>T_CEFF!L171</f>
        <v>0.47059000000000001</v>
      </c>
      <c r="S129" s="675">
        <f>T_CEFF!M171</f>
        <v>0.47059000000000001</v>
      </c>
      <c r="T129" s="675">
        <f>T_CEFF!N171</f>
        <v>0.47059000000000001</v>
      </c>
      <c r="U129" s="675">
        <f>T_CEFF!O171</f>
        <v>0.47059000000000001</v>
      </c>
      <c r="V129" s="675">
        <f>T_CEFF!P171</f>
        <v>0.47059000000000001</v>
      </c>
      <c r="W129" s="675">
        <f>T_CEFF!Q171</f>
        <v>0.47059000000000001</v>
      </c>
      <c r="X129" s="675">
        <f>T_CEFF!R171</f>
        <v>0.47059000000000001</v>
      </c>
      <c r="Y129" s="675">
        <f>T_CEFF!S171</f>
        <v>0.47059000000000001</v>
      </c>
      <c r="Z129" s="675">
        <f>T_CEFF!T171</f>
        <v>0.47059000000000001</v>
      </c>
      <c r="AA129" s="675">
        <f>T_CEFF!U171</f>
        <v>0.47059000000000001</v>
      </c>
      <c r="AB129" s="675">
        <f>T_CEFF!V171</f>
        <v>0.47059000000000001</v>
      </c>
    </row>
    <row r="130" spans="1:64" s="83" customFormat="1" x14ac:dyDescent="0.3">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3">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1">
        <f>SUM(AF131:AT131)</f>
        <v>2.3407960882500002E-2</v>
      </c>
      <c r="AF131" s="85">
        <f t="shared" ref="AF131:AT131" si="128">N130*N131*N132/1000</f>
        <v>2.3407960882500002E-2</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3">
      <c r="A132" s="82"/>
      <c r="B132" s="178" t="str">
        <f t="shared" si="126"/>
        <v>TFLEHYD100</v>
      </c>
      <c r="C132" s="178"/>
      <c r="D132" s="179"/>
      <c r="E132" s="178"/>
      <c r="F132" s="182"/>
      <c r="G132" s="181"/>
      <c r="H132" s="182"/>
      <c r="I132" s="183">
        <f>$M$3</f>
        <v>2019</v>
      </c>
      <c r="J132" s="184"/>
      <c r="K132" s="184"/>
      <c r="L132" s="203" t="s">
        <v>1064</v>
      </c>
      <c r="M132" s="184" t="s">
        <v>747</v>
      </c>
      <c r="N132" s="693">
        <f>LOOKUP($C$125, T_Stock_Private!$C$90:$C$100, T_Stock_Private!D$90:D$100)*(1+N41)</f>
        <v>15</v>
      </c>
      <c r="O132" s="693">
        <f>LOOKUP($C$125, T_Stock_Private!$C$90:$C$100, T_Stock_Private!E$90:E$100)*(1+O41)</f>
        <v>0</v>
      </c>
      <c r="P132" s="693">
        <f>LOOKUP($C$125, T_Stock_Private!$C$90:$C$100, T_Stock_Private!F$90:F$100)*(1+P41)</f>
        <v>0</v>
      </c>
      <c r="Q132" s="693">
        <f>LOOKUP($C$125, T_Stock_Private!$C$90:$C$100, T_Stock_Private!G$90:G$100)*(1+Q41)</f>
        <v>0</v>
      </c>
      <c r="R132" s="693">
        <f>LOOKUP($C$125, T_Stock_Private!$C$90:$C$100, T_Stock_Private!H$90:H$100)*(1+R41)</f>
        <v>0</v>
      </c>
      <c r="S132" s="693">
        <f>LOOKUP($C$125, T_Stock_Private!$C$90:$C$100, T_Stock_Private!I$90:I$100)*(1+S41)</f>
        <v>0</v>
      </c>
      <c r="T132" s="693">
        <f>LOOKUP($C$125, T_Stock_Private!$C$90:$C$100, T_Stock_Private!J$90:J$100)*(1+T41)</f>
        <v>0</v>
      </c>
      <c r="U132" s="693">
        <f>LOOKUP($C$125, T_Stock_Private!$C$90:$C$100, T_Stock_Private!K$90:K$100)*(1+U41)</f>
        <v>0</v>
      </c>
      <c r="V132" s="693">
        <f>LOOKUP($C$125, T_Stock_Private!$C$90:$C$100, T_Stock_Private!L$90:L$100)*(1+V41)</f>
        <v>0</v>
      </c>
      <c r="W132" s="693">
        <f>LOOKUP($C$125, T_Stock_Private!$C$90:$C$100, T_Stock_Private!M$90:M$100)*(1+W41)</f>
        <v>0</v>
      </c>
      <c r="X132" s="693">
        <f>LOOKUP($C$125, T_Stock_Private!$C$90:$C$100, T_Stock_Private!N$90:N$100)*(1+X41)</f>
        <v>0</v>
      </c>
      <c r="Y132" s="693">
        <f>LOOKUP($C$125, T_Stock_Private!$C$90:$C$100, T_Stock_Private!O$90:O$100)*(1+Y41)</f>
        <v>0</v>
      </c>
      <c r="Z132" s="693">
        <f>LOOKUP($C$125, T_Stock_Private!$C$90:$C$100, T_Stock_Private!P$90:P$100)*(1+Z41)</f>
        <v>0</v>
      </c>
      <c r="AA132" s="693">
        <f>LOOKUP($C$125, T_Stock_Private!$C$90:$C$100, T_Stock_Private!Q$90:Q$100)*(1+AA41)</f>
        <v>0</v>
      </c>
      <c r="AB132" s="693">
        <f>LOOKUP($C$125, T_Stock_Private!$C$90:$C$100, T_Stock_Private!R$90:R$100)*(1+AB41)</f>
        <v>0</v>
      </c>
      <c r="AC132" s="89"/>
      <c r="AD132" s="35"/>
    </row>
    <row r="133" spans="1:64" s="83" customFormat="1" x14ac:dyDescent="0.3">
      <c r="A133" s="82"/>
      <c r="B133" s="178" t="str">
        <f t="shared" si="126"/>
        <v>TFLEHYD100</v>
      </c>
      <c r="C133" s="178"/>
      <c r="D133" s="179"/>
      <c r="E133" s="178"/>
      <c r="F133" s="182"/>
      <c r="G133" s="181"/>
      <c r="H133" s="182"/>
      <c r="I133" s="183">
        <f>AF$5</f>
        <v>2020</v>
      </c>
      <c r="J133" s="184"/>
      <c r="K133" s="184"/>
      <c r="L133" s="203" t="s">
        <v>1064</v>
      </c>
      <c r="M133" s="184" t="s">
        <v>747</v>
      </c>
      <c r="N133" s="693">
        <f t="shared" ref="N133:AB133" si="129">N132*LOOKUP($AD125,$AG$4:$AP$4,$AG$5:$AP$5)</f>
        <v>14.85</v>
      </c>
      <c r="O133" s="693">
        <f t="shared" si="129"/>
        <v>0</v>
      </c>
      <c r="P133" s="693">
        <f t="shared" si="129"/>
        <v>0</v>
      </c>
      <c r="Q133" s="693">
        <f t="shared" si="129"/>
        <v>0</v>
      </c>
      <c r="R133" s="693">
        <f t="shared" si="129"/>
        <v>0</v>
      </c>
      <c r="S133" s="693">
        <f t="shared" si="129"/>
        <v>0</v>
      </c>
      <c r="T133" s="693">
        <f t="shared" si="129"/>
        <v>0</v>
      </c>
      <c r="U133" s="693">
        <f t="shared" si="129"/>
        <v>0</v>
      </c>
      <c r="V133" s="693">
        <f t="shared" si="129"/>
        <v>0</v>
      </c>
      <c r="W133" s="693">
        <f t="shared" si="129"/>
        <v>0</v>
      </c>
      <c r="X133" s="693">
        <f t="shared" si="129"/>
        <v>0</v>
      </c>
      <c r="Y133" s="693">
        <f t="shared" si="129"/>
        <v>0</v>
      </c>
      <c r="Z133" s="693">
        <f t="shared" si="129"/>
        <v>0</v>
      </c>
      <c r="AA133" s="693">
        <f t="shared" si="129"/>
        <v>0</v>
      </c>
      <c r="AB133" s="693">
        <f t="shared" si="129"/>
        <v>0</v>
      </c>
      <c r="AD133" s="35"/>
    </row>
    <row r="134" spans="1:64" s="83" customFormat="1" x14ac:dyDescent="0.3">
      <c r="A134" s="82"/>
      <c r="B134" s="178" t="str">
        <f t="shared" si="126"/>
        <v>TFLEHYD100</v>
      </c>
      <c r="C134" s="178"/>
      <c r="D134" s="179"/>
      <c r="E134" s="178"/>
      <c r="F134" s="182"/>
      <c r="G134" s="181"/>
      <c r="H134" s="182"/>
      <c r="I134" s="183">
        <f>AF$6</f>
        <v>2025</v>
      </c>
      <c r="J134" s="184"/>
      <c r="K134" s="184"/>
      <c r="L134" s="203" t="s">
        <v>1064</v>
      </c>
      <c r="M134" s="184" t="s">
        <v>747</v>
      </c>
      <c r="N134" s="693">
        <f t="shared" ref="N134:AB134" si="130">N132*LOOKUP($AD125,$AG$4:$AP$4,$AG$6:$AP$6)</f>
        <v>11.25</v>
      </c>
      <c r="O134" s="693">
        <f t="shared" si="130"/>
        <v>0</v>
      </c>
      <c r="P134" s="693">
        <f t="shared" si="130"/>
        <v>0</v>
      </c>
      <c r="Q134" s="693">
        <f t="shared" si="130"/>
        <v>0</v>
      </c>
      <c r="R134" s="693">
        <f t="shared" si="130"/>
        <v>0</v>
      </c>
      <c r="S134" s="693">
        <f t="shared" si="130"/>
        <v>0</v>
      </c>
      <c r="T134" s="693">
        <f t="shared" si="130"/>
        <v>0</v>
      </c>
      <c r="U134" s="693">
        <f t="shared" si="130"/>
        <v>0</v>
      </c>
      <c r="V134" s="693">
        <f t="shared" si="130"/>
        <v>0</v>
      </c>
      <c r="W134" s="693">
        <f t="shared" si="130"/>
        <v>0</v>
      </c>
      <c r="X134" s="693">
        <f t="shared" si="130"/>
        <v>0</v>
      </c>
      <c r="Y134" s="693">
        <f t="shared" si="130"/>
        <v>0</v>
      </c>
      <c r="Z134" s="693">
        <f t="shared" si="130"/>
        <v>0</v>
      </c>
      <c r="AA134" s="693">
        <f t="shared" si="130"/>
        <v>0</v>
      </c>
      <c r="AB134" s="693">
        <f t="shared" si="130"/>
        <v>0</v>
      </c>
      <c r="AD134" s="35"/>
    </row>
    <row r="135" spans="1:64" s="83" customFormat="1" x14ac:dyDescent="0.3">
      <c r="A135" s="82"/>
      <c r="B135" s="178" t="str">
        <f t="shared" si="126"/>
        <v>TFLEHYD100</v>
      </c>
      <c r="C135" s="178"/>
      <c r="D135" s="179"/>
      <c r="E135" s="178"/>
      <c r="F135" s="182"/>
      <c r="G135" s="181"/>
      <c r="H135" s="182"/>
      <c r="I135" s="183">
        <f>AF$7</f>
        <v>2030</v>
      </c>
      <c r="J135" s="184"/>
      <c r="K135" s="184"/>
      <c r="L135" s="203" t="s">
        <v>1064</v>
      </c>
      <c r="M135" s="184" t="s">
        <v>747</v>
      </c>
      <c r="N135" s="693">
        <f t="shared" ref="N135:AB135" si="131">N132*LOOKUP($AD125,$AG$4:$AP$4,$AG$7:$AP$7)</f>
        <v>7.5</v>
      </c>
      <c r="O135" s="693">
        <f t="shared" si="131"/>
        <v>0</v>
      </c>
      <c r="P135" s="693">
        <f t="shared" si="131"/>
        <v>0</v>
      </c>
      <c r="Q135" s="693">
        <f t="shared" si="131"/>
        <v>0</v>
      </c>
      <c r="R135" s="693">
        <f t="shared" si="131"/>
        <v>0</v>
      </c>
      <c r="S135" s="693">
        <f t="shared" si="131"/>
        <v>0</v>
      </c>
      <c r="T135" s="693">
        <f t="shared" si="131"/>
        <v>0</v>
      </c>
      <c r="U135" s="693">
        <f t="shared" si="131"/>
        <v>0</v>
      </c>
      <c r="V135" s="693">
        <f t="shared" si="131"/>
        <v>0</v>
      </c>
      <c r="W135" s="693">
        <f t="shared" si="131"/>
        <v>0</v>
      </c>
      <c r="X135" s="693">
        <f t="shared" si="131"/>
        <v>0</v>
      </c>
      <c r="Y135" s="693">
        <f t="shared" si="131"/>
        <v>0</v>
      </c>
      <c r="Z135" s="693">
        <f t="shared" si="131"/>
        <v>0</v>
      </c>
      <c r="AA135" s="693">
        <f t="shared" si="131"/>
        <v>0</v>
      </c>
      <c r="AB135" s="693">
        <f t="shared" si="131"/>
        <v>0</v>
      </c>
      <c r="AD135" s="35"/>
    </row>
    <row r="136" spans="1:64" s="83" customFormat="1" x14ac:dyDescent="0.3">
      <c r="A136" s="82"/>
      <c r="B136" s="178" t="str">
        <f t="shared" si="126"/>
        <v>TFLEHYD100</v>
      </c>
      <c r="C136" s="178"/>
      <c r="D136" s="179"/>
      <c r="E136" s="178"/>
      <c r="F136" s="182"/>
      <c r="G136" s="181"/>
      <c r="H136" s="182"/>
      <c r="I136" s="183">
        <f>AF$8</f>
        <v>2035</v>
      </c>
      <c r="J136" s="184"/>
      <c r="K136" s="184"/>
      <c r="L136" s="203" t="s">
        <v>1064</v>
      </c>
      <c r="M136" s="184" t="s">
        <v>747</v>
      </c>
      <c r="N136" s="693">
        <f t="shared" ref="N136:AB136" si="132">N132*LOOKUP($AD125,$AG$4:$AP$4,$AG$8:$AP$8)</f>
        <v>2.25</v>
      </c>
      <c r="O136" s="693">
        <f t="shared" si="132"/>
        <v>0</v>
      </c>
      <c r="P136" s="693">
        <f t="shared" si="132"/>
        <v>0</v>
      </c>
      <c r="Q136" s="693">
        <f t="shared" si="132"/>
        <v>0</v>
      </c>
      <c r="R136" s="693">
        <f t="shared" si="132"/>
        <v>0</v>
      </c>
      <c r="S136" s="693">
        <f t="shared" si="132"/>
        <v>0</v>
      </c>
      <c r="T136" s="693">
        <f t="shared" si="132"/>
        <v>0</v>
      </c>
      <c r="U136" s="693">
        <f t="shared" si="132"/>
        <v>0</v>
      </c>
      <c r="V136" s="693">
        <f t="shared" si="132"/>
        <v>0</v>
      </c>
      <c r="W136" s="693">
        <f t="shared" si="132"/>
        <v>0</v>
      </c>
      <c r="X136" s="693">
        <f t="shared" si="132"/>
        <v>0</v>
      </c>
      <c r="Y136" s="693">
        <f t="shared" si="132"/>
        <v>0</v>
      </c>
      <c r="Z136" s="693">
        <f t="shared" si="132"/>
        <v>0</v>
      </c>
      <c r="AA136" s="693">
        <f t="shared" si="132"/>
        <v>0</v>
      </c>
      <c r="AB136" s="693">
        <f t="shared" si="132"/>
        <v>0</v>
      </c>
      <c r="AD136" s="35"/>
    </row>
    <row r="137" spans="1:64" s="83" customFormat="1" x14ac:dyDescent="0.3">
      <c r="A137" s="82"/>
      <c r="B137" s="178" t="str">
        <f t="shared" si="126"/>
        <v>TFLEHYD100</v>
      </c>
      <c r="C137" s="178"/>
      <c r="D137" s="179"/>
      <c r="E137" s="178"/>
      <c r="F137" s="182"/>
      <c r="G137" s="181"/>
      <c r="H137" s="182"/>
      <c r="I137" s="183">
        <f>AF$9</f>
        <v>2040</v>
      </c>
      <c r="J137" s="184"/>
      <c r="K137" s="184"/>
      <c r="L137" s="203" t="s">
        <v>1064</v>
      </c>
      <c r="M137" s="184" t="s">
        <v>747</v>
      </c>
      <c r="N137" s="693">
        <f t="shared" ref="N137:AB137" si="133">N132*LOOKUP($AD125,$AG$4:$AP$4,$AG$9:$AP$9)</f>
        <v>7.4999999999999997E-2</v>
      </c>
      <c r="O137" s="693">
        <f t="shared" si="133"/>
        <v>0</v>
      </c>
      <c r="P137" s="693">
        <f t="shared" si="133"/>
        <v>0</v>
      </c>
      <c r="Q137" s="693">
        <f t="shared" si="133"/>
        <v>0</v>
      </c>
      <c r="R137" s="693">
        <f t="shared" si="133"/>
        <v>0</v>
      </c>
      <c r="S137" s="693">
        <f t="shared" si="133"/>
        <v>0</v>
      </c>
      <c r="T137" s="693">
        <f t="shared" si="133"/>
        <v>0</v>
      </c>
      <c r="U137" s="693">
        <f t="shared" si="133"/>
        <v>0</v>
      </c>
      <c r="V137" s="693">
        <f t="shared" si="133"/>
        <v>0</v>
      </c>
      <c r="W137" s="693">
        <f t="shared" si="133"/>
        <v>0</v>
      </c>
      <c r="X137" s="693">
        <f t="shared" si="133"/>
        <v>0</v>
      </c>
      <c r="Y137" s="693">
        <f t="shared" si="133"/>
        <v>0</v>
      </c>
      <c r="Z137" s="693">
        <f t="shared" si="133"/>
        <v>0</v>
      </c>
      <c r="AA137" s="693">
        <f t="shared" si="133"/>
        <v>0</v>
      </c>
      <c r="AB137" s="693">
        <f t="shared" si="133"/>
        <v>0</v>
      </c>
      <c r="AD137" s="35"/>
    </row>
    <row r="138" spans="1:64" s="83" customFormat="1" x14ac:dyDescent="0.3">
      <c r="A138" s="82"/>
      <c r="B138" s="204" t="str">
        <f t="shared" si="126"/>
        <v>TFLEHYD100</v>
      </c>
      <c r="C138" s="204"/>
      <c r="D138" s="205"/>
      <c r="E138" s="204"/>
      <c r="F138" s="206"/>
      <c r="G138" s="207"/>
      <c r="H138" s="206"/>
      <c r="I138" s="208">
        <f>AF$10</f>
        <v>2050</v>
      </c>
      <c r="J138" s="209"/>
      <c r="K138" s="209"/>
      <c r="L138" s="210" t="s">
        <v>1064</v>
      </c>
      <c r="M138" s="209" t="s">
        <v>747</v>
      </c>
      <c r="N138" s="694">
        <f t="shared" ref="N138:AB138" si="134">N132*LOOKUP($AD125,$AG$4:$AP$4,$AG$10:$AP$10)</f>
        <v>0</v>
      </c>
      <c r="O138" s="694">
        <f t="shared" si="134"/>
        <v>0</v>
      </c>
      <c r="P138" s="694">
        <f t="shared" si="134"/>
        <v>0</v>
      </c>
      <c r="Q138" s="694">
        <f t="shared" si="134"/>
        <v>0</v>
      </c>
      <c r="R138" s="694">
        <f t="shared" si="134"/>
        <v>0</v>
      </c>
      <c r="S138" s="694">
        <f t="shared" si="134"/>
        <v>0</v>
      </c>
      <c r="T138" s="694">
        <f t="shared" si="134"/>
        <v>0</v>
      </c>
      <c r="U138" s="694">
        <f t="shared" si="134"/>
        <v>0</v>
      </c>
      <c r="V138" s="694">
        <f t="shared" si="134"/>
        <v>0</v>
      </c>
      <c r="W138" s="694">
        <f t="shared" si="134"/>
        <v>0</v>
      </c>
      <c r="X138" s="694">
        <f t="shared" si="134"/>
        <v>0</v>
      </c>
      <c r="Y138" s="694">
        <f t="shared" si="134"/>
        <v>0</v>
      </c>
      <c r="Z138" s="694">
        <f t="shared" si="134"/>
        <v>0</v>
      </c>
      <c r="AA138" s="694">
        <f t="shared" si="134"/>
        <v>0</v>
      </c>
      <c r="AB138" s="694">
        <f t="shared" si="134"/>
        <v>0</v>
      </c>
    </row>
    <row r="139" spans="1:64" s="83" customFormat="1" x14ac:dyDescent="0.3">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699" t="str">
        <f t="shared" ref="AV139:AV142" si="136">MID(E139,1,7)</f>
        <v>TRAGSL</v>
      </c>
      <c r="AW139" s="567">
        <f t="shared" ref="AW139:AW141" si="137">SUM(AX139:BL139)</f>
        <v>0</v>
      </c>
    </row>
    <row r="140" spans="1:64" s="83" customFormat="1" x14ac:dyDescent="0.3">
      <c r="A140" s="82"/>
      <c r="B140" s="178" t="str">
        <f>B139</f>
        <v>TFLEHYG100</v>
      </c>
      <c r="C140" s="178"/>
      <c r="D140" s="179"/>
      <c r="E140" s="407" t="s">
        <v>1011</v>
      </c>
      <c r="F140" s="182"/>
      <c r="G140" s="181"/>
      <c r="H140" s="182"/>
      <c r="I140" s="183"/>
      <c r="J140" s="184" t="s">
        <v>1126</v>
      </c>
      <c r="K140" s="184"/>
      <c r="L140" s="203" t="s">
        <v>101</v>
      </c>
      <c r="M140" s="184"/>
      <c r="N140" s="390">
        <f>N$30</f>
        <v>5.0999999999999997E-2</v>
      </c>
      <c r="O140" s="390">
        <f t="shared" ref="O140:AB140" si="138">O$30</f>
        <v>5.0999999999999997E-2</v>
      </c>
      <c r="P140" s="390">
        <f t="shared" si="138"/>
        <v>5.0999999999999997E-2</v>
      </c>
      <c r="Q140" s="390">
        <f t="shared" si="138"/>
        <v>5.0999999999999997E-2</v>
      </c>
      <c r="R140" s="390">
        <f t="shared" si="138"/>
        <v>5.0999999999999997E-2</v>
      </c>
      <c r="S140" s="390">
        <f t="shared" si="138"/>
        <v>5.0999999999999997E-2</v>
      </c>
      <c r="T140" s="390">
        <f t="shared" si="138"/>
        <v>5.0999999999999997E-2</v>
      </c>
      <c r="U140" s="390">
        <f t="shared" si="138"/>
        <v>5.0999999999999997E-2</v>
      </c>
      <c r="V140" s="390">
        <f t="shared" si="138"/>
        <v>5.0999999999999997E-2</v>
      </c>
      <c r="W140" s="390">
        <f t="shared" si="138"/>
        <v>5.0999999999999997E-2</v>
      </c>
      <c r="X140" s="390">
        <f t="shared" si="138"/>
        <v>5.0999999999999997E-2</v>
      </c>
      <c r="Y140" s="390">
        <f t="shared" si="138"/>
        <v>5.0999999999999997E-2</v>
      </c>
      <c r="Z140" s="390">
        <f t="shared" si="138"/>
        <v>5.0999999999999997E-2</v>
      </c>
      <c r="AA140" s="390">
        <f t="shared" si="138"/>
        <v>5.0999999999999997E-2</v>
      </c>
      <c r="AB140" s="390">
        <f t="shared" si="138"/>
        <v>5.0999999999999997E-2</v>
      </c>
      <c r="AD140" s="66" t="str">
        <f>IF(COUNTIF($AG$4:$AP$4,AD139)=1,"ok","MISSING")</f>
        <v>ok</v>
      </c>
      <c r="AV140" s="699" t="str">
        <f t="shared" si="136"/>
        <v>TRAETHM</v>
      </c>
      <c r="AW140" s="567">
        <f t="shared" si="137"/>
        <v>0</v>
      </c>
    </row>
    <row r="141" spans="1:64" s="83" customFormat="1" x14ac:dyDescent="0.3">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699" t="str">
        <f>MID(E141,1,8)</f>
        <v>TRABGSLM</v>
      </c>
      <c r="AW141" s="567">
        <f t="shared" si="137"/>
        <v>0</v>
      </c>
      <c r="AX141" s="720"/>
      <c r="AY141" s="720"/>
      <c r="AZ141" s="720"/>
      <c r="BA141" s="720"/>
      <c r="BB141" s="720"/>
      <c r="BC141" s="720"/>
      <c r="BD141" s="720"/>
      <c r="BE141" s="720"/>
      <c r="BF141" s="720"/>
      <c r="BG141" s="720"/>
      <c r="BH141" s="720"/>
      <c r="BI141" s="720"/>
      <c r="BJ141" s="720"/>
      <c r="BK141" s="720"/>
      <c r="BL141" s="720"/>
    </row>
    <row r="142" spans="1:64" s="83" customFormat="1" x14ac:dyDescent="0.3">
      <c r="A142" s="82"/>
      <c r="B142" s="178" t="str">
        <f>B140</f>
        <v>TFLEHYG100</v>
      </c>
      <c r="C142" s="178"/>
      <c r="D142" s="179"/>
      <c r="E142" s="178"/>
      <c r="F142" s="182"/>
      <c r="G142" s="173" t="s">
        <v>431</v>
      </c>
      <c r="H142" s="182"/>
      <c r="I142" s="183"/>
      <c r="J142" s="184"/>
      <c r="K142" s="184"/>
      <c r="L142" s="184" t="s">
        <v>1125</v>
      </c>
      <c r="M142" s="184" t="s">
        <v>677</v>
      </c>
      <c r="N142" s="675">
        <f>T_CEFF!H172</f>
        <v>0.47904000000000002</v>
      </c>
      <c r="O142" s="675">
        <f>T_CEFF!I172</f>
        <v>0.47904000000000002</v>
      </c>
      <c r="P142" s="675">
        <f>T_CEFF!J172</f>
        <v>0.47904000000000002</v>
      </c>
      <c r="Q142" s="675">
        <f>T_CEFF!K172</f>
        <v>0.47904000000000002</v>
      </c>
      <c r="R142" s="675">
        <f>T_CEFF!L172</f>
        <v>0.47904000000000002</v>
      </c>
      <c r="S142" s="675">
        <f>T_CEFF!M172</f>
        <v>0.47904000000000002</v>
      </c>
      <c r="T142" s="675">
        <f>T_CEFF!N172</f>
        <v>0.47904000000000002</v>
      </c>
      <c r="U142" s="675">
        <f>T_CEFF!O172</f>
        <v>0.47904000000000002</v>
      </c>
      <c r="V142" s="675">
        <f>T_CEFF!P172</f>
        <v>0.47904000000000002</v>
      </c>
      <c r="W142" s="675">
        <f>T_CEFF!Q172</f>
        <v>0.47904000000000002</v>
      </c>
      <c r="X142" s="675">
        <f>T_CEFF!R172</f>
        <v>0.47904000000000002</v>
      </c>
      <c r="Y142" s="675">
        <f>T_CEFF!S172</f>
        <v>0.47904000000000002</v>
      </c>
      <c r="Z142" s="675">
        <f>T_CEFF!T172</f>
        <v>0.47904000000000002</v>
      </c>
      <c r="AA142" s="675">
        <f>T_CEFF!U172</f>
        <v>0.47904000000000002</v>
      </c>
      <c r="AB142" s="675">
        <f>T_CEFF!V172</f>
        <v>0.47904000000000002</v>
      </c>
      <c r="AV142" s="699" t="str">
        <f t="shared" si="136"/>
        <v/>
      </c>
      <c r="AW142" s="567"/>
    </row>
    <row r="143" spans="1:64" s="83" customFormat="1" x14ac:dyDescent="0.3">
      <c r="A143" s="82"/>
      <c r="B143" s="178" t="str">
        <f>B142</f>
        <v>TFLEHYG100</v>
      </c>
      <c r="C143" s="178"/>
      <c r="D143" s="179"/>
      <c r="E143" s="178"/>
      <c r="F143" s="182"/>
      <c r="G143" s="173" t="s">
        <v>429</v>
      </c>
      <c r="H143" s="182"/>
      <c r="I143" s="183"/>
      <c r="J143" s="184"/>
      <c r="K143" s="184"/>
      <c r="L143" s="184" t="s">
        <v>1125</v>
      </c>
      <c r="M143" s="184" t="s">
        <v>677</v>
      </c>
      <c r="N143" s="675">
        <f>T_CEFF!H173</f>
        <v>0.39604</v>
      </c>
      <c r="O143" s="675">
        <f>T_CEFF!I173</f>
        <v>0.39604</v>
      </c>
      <c r="P143" s="675">
        <f>T_CEFF!J173</f>
        <v>0.39604</v>
      </c>
      <c r="Q143" s="675">
        <f>T_CEFF!K173</f>
        <v>0.39604</v>
      </c>
      <c r="R143" s="675">
        <f>T_CEFF!L173</f>
        <v>0.39604</v>
      </c>
      <c r="S143" s="675">
        <f>T_CEFF!M173</f>
        <v>0.39604</v>
      </c>
      <c r="T143" s="675">
        <f>T_CEFF!N173</f>
        <v>0.39604</v>
      </c>
      <c r="U143" s="675">
        <f>T_CEFF!O173</f>
        <v>0.39604</v>
      </c>
      <c r="V143" s="675">
        <f>T_CEFF!P173</f>
        <v>0.39604</v>
      </c>
      <c r="W143" s="675">
        <f>T_CEFF!Q173</f>
        <v>0.39604</v>
      </c>
      <c r="X143" s="675">
        <f>T_CEFF!R173</f>
        <v>0.39604</v>
      </c>
      <c r="Y143" s="675">
        <f>T_CEFF!S173</f>
        <v>0.39604</v>
      </c>
      <c r="Z143" s="675">
        <f>T_CEFF!T173</f>
        <v>0.39604</v>
      </c>
      <c r="AA143" s="675">
        <f>T_CEFF!U173</f>
        <v>0.39604</v>
      </c>
      <c r="AB143" s="675">
        <f>T_CEFF!V173</f>
        <v>0.39604</v>
      </c>
    </row>
    <row r="144" spans="1:64" s="83" customFormat="1" x14ac:dyDescent="0.3">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3">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1">
        <f>SUM(AF145:AT145)</f>
        <v>2.3407960882500002E-2</v>
      </c>
      <c r="AF145" s="85">
        <f t="shared" ref="AF145:AT145" si="143">N144*N145*N146/1000</f>
        <v>2.3407960882500002E-2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3">
      <c r="A146" s="82"/>
      <c r="B146" s="178" t="str">
        <f t="shared" si="141"/>
        <v>TFLEHYG100</v>
      </c>
      <c r="C146" s="178"/>
      <c r="D146" s="179"/>
      <c r="E146" s="178"/>
      <c r="F146" s="182"/>
      <c r="G146" s="181"/>
      <c r="H146" s="182"/>
      <c r="I146" s="183">
        <f>$M$3</f>
        <v>2019</v>
      </c>
      <c r="J146" s="184"/>
      <c r="K146" s="184"/>
      <c r="L146" s="203" t="s">
        <v>1064</v>
      </c>
      <c r="M146" s="184" t="s">
        <v>747</v>
      </c>
      <c r="N146" s="693">
        <f>LOOKUP($C$139, T_Stock_Private!$C$90:$C$100, T_Stock_Private!D$90:D$100)*(1+N41)</f>
        <v>15</v>
      </c>
      <c r="O146" s="693">
        <f>LOOKUP($C$139, T_Stock_Private!$C$90:$C$100, T_Stock_Private!E$90:E$100)*(1+O41)</f>
        <v>0</v>
      </c>
      <c r="P146" s="693">
        <f>LOOKUP($C$139, T_Stock_Private!$C$90:$C$100, T_Stock_Private!F$90:F$100)*(1+P41)</f>
        <v>0</v>
      </c>
      <c r="Q146" s="693">
        <f>LOOKUP($C$139, T_Stock_Private!$C$90:$C$100, T_Stock_Private!G$90:G$100)*(1+Q41)</f>
        <v>0</v>
      </c>
      <c r="R146" s="693">
        <f>LOOKUP($C$139, T_Stock_Private!$C$90:$C$100, T_Stock_Private!H$90:H$100)*(1+R41)</f>
        <v>0</v>
      </c>
      <c r="S146" s="693">
        <f>LOOKUP($C$139, T_Stock_Private!$C$90:$C$100, T_Stock_Private!I$90:I$100)*(1+S41)</f>
        <v>0</v>
      </c>
      <c r="T146" s="693">
        <f>LOOKUP($C$139, T_Stock_Private!$C$90:$C$100, T_Stock_Private!J$90:J$100)*(1+T41)</f>
        <v>0</v>
      </c>
      <c r="U146" s="693">
        <f>LOOKUP($C$139, T_Stock_Private!$C$90:$C$100, T_Stock_Private!K$90:K$100)*(1+U41)</f>
        <v>0</v>
      </c>
      <c r="V146" s="693">
        <f>LOOKUP($C$139, T_Stock_Private!$C$90:$C$100, T_Stock_Private!L$90:L$100)*(1+V41)</f>
        <v>0</v>
      </c>
      <c r="W146" s="693">
        <f>LOOKUP($C$139, T_Stock_Private!$C$90:$C$100, T_Stock_Private!M$90:M$100)*(1+W41)</f>
        <v>0</v>
      </c>
      <c r="X146" s="693">
        <f>LOOKUP($C$139, T_Stock_Private!$C$90:$C$100, T_Stock_Private!N$90:N$100)*(1+X41)</f>
        <v>0</v>
      </c>
      <c r="Y146" s="693">
        <f>LOOKUP($C$139, T_Stock_Private!$C$90:$C$100, T_Stock_Private!O$90:O$100)*(1+Y41)</f>
        <v>0</v>
      </c>
      <c r="Z146" s="693">
        <f>LOOKUP($C$139, T_Stock_Private!$C$90:$C$100, T_Stock_Private!P$90:P$100)*(1+Z41)</f>
        <v>0</v>
      </c>
      <c r="AA146" s="693">
        <f>LOOKUP($C$139, T_Stock_Private!$C$90:$C$100, T_Stock_Private!Q$90:Q$100)*(1+AA41)</f>
        <v>0</v>
      </c>
      <c r="AB146" s="693">
        <f>LOOKUP($C$139, T_Stock_Private!$C$90:$C$100, T_Stock_Private!R$90:R$100)*(1+AB41)</f>
        <v>0</v>
      </c>
      <c r="AC146" s="89"/>
      <c r="AD146" s="35"/>
    </row>
    <row r="147" spans="1:49" s="83" customFormat="1" x14ac:dyDescent="0.3">
      <c r="A147" s="82"/>
      <c r="B147" s="178" t="str">
        <f t="shared" si="141"/>
        <v>TFLEHYG100</v>
      </c>
      <c r="C147" s="178"/>
      <c r="D147" s="179"/>
      <c r="E147" s="178"/>
      <c r="F147" s="182"/>
      <c r="G147" s="181"/>
      <c r="H147" s="182"/>
      <c r="I147" s="183">
        <f>AF$5</f>
        <v>2020</v>
      </c>
      <c r="J147" s="184"/>
      <c r="K147" s="184"/>
      <c r="L147" s="203" t="s">
        <v>1064</v>
      </c>
      <c r="M147" s="184" t="s">
        <v>747</v>
      </c>
      <c r="N147" s="693">
        <f t="shared" ref="N147:AB147" si="144">N146*LOOKUP($AD139,$AG$4:$AP$4,$AG$5:$AP$5)</f>
        <v>14.85</v>
      </c>
      <c r="O147" s="693">
        <f t="shared" si="144"/>
        <v>0</v>
      </c>
      <c r="P147" s="693">
        <f t="shared" si="144"/>
        <v>0</v>
      </c>
      <c r="Q147" s="693">
        <f t="shared" si="144"/>
        <v>0</v>
      </c>
      <c r="R147" s="693">
        <f t="shared" si="144"/>
        <v>0</v>
      </c>
      <c r="S147" s="693">
        <f t="shared" si="144"/>
        <v>0</v>
      </c>
      <c r="T147" s="693">
        <f t="shared" si="144"/>
        <v>0</v>
      </c>
      <c r="U147" s="693">
        <f t="shared" si="144"/>
        <v>0</v>
      </c>
      <c r="V147" s="693">
        <f t="shared" si="144"/>
        <v>0</v>
      </c>
      <c r="W147" s="693">
        <f t="shared" si="144"/>
        <v>0</v>
      </c>
      <c r="X147" s="693">
        <f t="shared" si="144"/>
        <v>0</v>
      </c>
      <c r="Y147" s="693">
        <f t="shared" si="144"/>
        <v>0</v>
      </c>
      <c r="Z147" s="693">
        <f t="shared" si="144"/>
        <v>0</v>
      </c>
      <c r="AA147" s="693">
        <f t="shared" si="144"/>
        <v>0</v>
      </c>
      <c r="AB147" s="693">
        <f t="shared" si="144"/>
        <v>0</v>
      </c>
      <c r="AD147" s="35"/>
    </row>
    <row r="148" spans="1:49" s="83" customFormat="1" x14ac:dyDescent="0.3">
      <c r="A148" s="82"/>
      <c r="B148" s="178" t="str">
        <f t="shared" si="141"/>
        <v>TFLEHYG100</v>
      </c>
      <c r="C148" s="178"/>
      <c r="D148" s="179"/>
      <c r="E148" s="178"/>
      <c r="F148" s="182"/>
      <c r="G148" s="181"/>
      <c r="H148" s="182"/>
      <c r="I148" s="183">
        <f>AF$6</f>
        <v>2025</v>
      </c>
      <c r="J148" s="184"/>
      <c r="K148" s="184"/>
      <c r="L148" s="203" t="s">
        <v>1064</v>
      </c>
      <c r="M148" s="184" t="s">
        <v>747</v>
      </c>
      <c r="N148" s="693">
        <f t="shared" ref="N148:AB148" si="145">N146*LOOKUP($AD139,$AG$4:$AP$4,$AG$6:$AP$6)</f>
        <v>11.25</v>
      </c>
      <c r="O148" s="693">
        <f t="shared" si="145"/>
        <v>0</v>
      </c>
      <c r="P148" s="693">
        <f t="shared" si="145"/>
        <v>0</v>
      </c>
      <c r="Q148" s="693">
        <f t="shared" si="145"/>
        <v>0</v>
      </c>
      <c r="R148" s="693">
        <f t="shared" si="145"/>
        <v>0</v>
      </c>
      <c r="S148" s="693">
        <f t="shared" si="145"/>
        <v>0</v>
      </c>
      <c r="T148" s="693">
        <f t="shared" si="145"/>
        <v>0</v>
      </c>
      <c r="U148" s="693">
        <f t="shared" si="145"/>
        <v>0</v>
      </c>
      <c r="V148" s="693">
        <f t="shared" si="145"/>
        <v>0</v>
      </c>
      <c r="W148" s="693">
        <f t="shared" si="145"/>
        <v>0</v>
      </c>
      <c r="X148" s="693">
        <f t="shared" si="145"/>
        <v>0</v>
      </c>
      <c r="Y148" s="693">
        <f t="shared" si="145"/>
        <v>0</v>
      </c>
      <c r="Z148" s="693">
        <f t="shared" si="145"/>
        <v>0</v>
      </c>
      <c r="AA148" s="693">
        <f t="shared" si="145"/>
        <v>0</v>
      </c>
      <c r="AB148" s="693">
        <f t="shared" si="145"/>
        <v>0</v>
      </c>
      <c r="AD148" s="35"/>
    </row>
    <row r="149" spans="1:49" s="83" customFormat="1" x14ac:dyDescent="0.3">
      <c r="A149" s="82"/>
      <c r="B149" s="178" t="str">
        <f t="shared" si="141"/>
        <v>TFLEHYG100</v>
      </c>
      <c r="C149" s="178"/>
      <c r="D149" s="179"/>
      <c r="E149" s="178"/>
      <c r="F149" s="182"/>
      <c r="G149" s="181"/>
      <c r="H149" s="182"/>
      <c r="I149" s="183">
        <f>AF$7</f>
        <v>2030</v>
      </c>
      <c r="J149" s="184"/>
      <c r="K149" s="184"/>
      <c r="L149" s="203" t="s">
        <v>1064</v>
      </c>
      <c r="M149" s="184" t="s">
        <v>747</v>
      </c>
      <c r="N149" s="693">
        <f t="shared" ref="N149:AB149" si="146">N146*LOOKUP($AD139,$AG$4:$AP$4,$AG$7:$AP$7)</f>
        <v>7.5</v>
      </c>
      <c r="O149" s="693">
        <f t="shared" si="146"/>
        <v>0</v>
      </c>
      <c r="P149" s="693">
        <f t="shared" si="146"/>
        <v>0</v>
      </c>
      <c r="Q149" s="693">
        <f t="shared" si="146"/>
        <v>0</v>
      </c>
      <c r="R149" s="693">
        <f t="shared" si="146"/>
        <v>0</v>
      </c>
      <c r="S149" s="693">
        <f t="shared" si="146"/>
        <v>0</v>
      </c>
      <c r="T149" s="693">
        <f t="shared" si="146"/>
        <v>0</v>
      </c>
      <c r="U149" s="693">
        <f t="shared" si="146"/>
        <v>0</v>
      </c>
      <c r="V149" s="693">
        <f t="shared" si="146"/>
        <v>0</v>
      </c>
      <c r="W149" s="693">
        <f t="shared" si="146"/>
        <v>0</v>
      </c>
      <c r="X149" s="693">
        <f t="shared" si="146"/>
        <v>0</v>
      </c>
      <c r="Y149" s="693">
        <f t="shared" si="146"/>
        <v>0</v>
      </c>
      <c r="Z149" s="693">
        <f t="shared" si="146"/>
        <v>0</v>
      </c>
      <c r="AA149" s="693">
        <f t="shared" si="146"/>
        <v>0</v>
      </c>
      <c r="AB149" s="693">
        <f t="shared" si="146"/>
        <v>0</v>
      </c>
      <c r="AD149" s="35"/>
    </row>
    <row r="150" spans="1:49" s="83" customFormat="1" x14ac:dyDescent="0.3">
      <c r="A150" s="82"/>
      <c r="B150" s="178" t="str">
        <f t="shared" si="141"/>
        <v>TFLEHYG100</v>
      </c>
      <c r="C150" s="178"/>
      <c r="D150" s="179"/>
      <c r="E150" s="178"/>
      <c r="F150" s="182"/>
      <c r="G150" s="181"/>
      <c r="H150" s="182"/>
      <c r="I150" s="183">
        <f>AF$8</f>
        <v>2035</v>
      </c>
      <c r="J150" s="184"/>
      <c r="K150" s="184"/>
      <c r="L150" s="203" t="s">
        <v>1064</v>
      </c>
      <c r="M150" s="184" t="s">
        <v>747</v>
      </c>
      <c r="N150" s="693">
        <f t="shared" ref="N150:AB150" si="147">N146*LOOKUP($AD139,$AG$4:$AP$4,$AG$8:$AP$8)</f>
        <v>2.25</v>
      </c>
      <c r="O150" s="693">
        <f t="shared" si="147"/>
        <v>0</v>
      </c>
      <c r="P150" s="693">
        <f t="shared" si="147"/>
        <v>0</v>
      </c>
      <c r="Q150" s="693">
        <f t="shared" si="147"/>
        <v>0</v>
      </c>
      <c r="R150" s="693">
        <f t="shared" si="147"/>
        <v>0</v>
      </c>
      <c r="S150" s="693">
        <f t="shared" si="147"/>
        <v>0</v>
      </c>
      <c r="T150" s="693">
        <f t="shared" si="147"/>
        <v>0</v>
      </c>
      <c r="U150" s="693">
        <f t="shared" si="147"/>
        <v>0</v>
      </c>
      <c r="V150" s="693">
        <f t="shared" si="147"/>
        <v>0</v>
      </c>
      <c r="W150" s="693">
        <f t="shared" si="147"/>
        <v>0</v>
      </c>
      <c r="X150" s="693">
        <f t="shared" si="147"/>
        <v>0</v>
      </c>
      <c r="Y150" s="693">
        <f t="shared" si="147"/>
        <v>0</v>
      </c>
      <c r="Z150" s="693">
        <f t="shared" si="147"/>
        <v>0</v>
      </c>
      <c r="AA150" s="693">
        <f t="shared" si="147"/>
        <v>0</v>
      </c>
      <c r="AB150" s="693">
        <f t="shared" si="147"/>
        <v>0</v>
      </c>
      <c r="AD150" s="35"/>
    </row>
    <row r="151" spans="1:49" s="83" customFormat="1" x14ac:dyDescent="0.3">
      <c r="A151" s="82"/>
      <c r="B151" s="178" t="str">
        <f t="shared" si="141"/>
        <v>TFLEHYG100</v>
      </c>
      <c r="C151" s="178"/>
      <c r="D151" s="179"/>
      <c r="E151" s="178"/>
      <c r="F151" s="182"/>
      <c r="G151" s="181"/>
      <c r="H151" s="182"/>
      <c r="I151" s="183">
        <f>AF$9</f>
        <v>2040</v>
      </c>
      <c r="J151" s="184"/>
      <c r="K151" s="184"/>
      <c r="L151" s="203" t="s">
        <v>1064</v>
      </c>
      <c r="M151" s="184" t="s">
        <v>747</v>
      </c>
      <c r="N151" s="693">
        <f t="shared" ref="N151:AB151" si="148">N146*LOOKUP($AD139,$AG$4:$AP$4,$AG$9:$AP$9)</f>
        <v>7.4999999999999997E-2</v>
      </c>
      <c r="O151" s="693">
        <f t="shared" si="148"/>
        <v>0</v>
      </c>
      <c r="P151" s="693">
        <f t="shared" si="148"/>
        <v>0</v>
      </c>
      <c r="Q151" s="693">
        <f t="shared" si="148"/>
        <v>0</v>
      </c>
      <c r="R151" s="693">
        <f t="shared" si="148"/>
        <v>0</v>
      </c>
      <c r="S151" s="693">
        <f t="shared" si="148"/>
        <v>0</v>
      </c>
      <c r="T151" s="693">
        <f t="shared" si="148"/>
        <v>0</v>
      </c>
      <c r="U151" s="693">
        <f t="shared" si="148"/>
        <v>0</v>
      </c>
      <c r="V151" s="693">
        <f t="shared" si="148"/>
        <v>0</v>
      </c>
      <c r="W151" s="693">
        <f t="shared" si="148"/>
        <v>0</v>
      </c>
      <c r="X151" s="693">
        <f t="shared" si="148"/>
        <v>0</v>
      </c>
      <c r="Y151" s="693">
        <f t="shared" si="148"/>
        <v>0</v>
      </c>
      <c r="Z151" s="693">
        <f t="shared" si="148"/>
        <v>0</v>
      </c>
      <c r="AA151" s="693">
        <f t="shared" si="148"/>
        <v>0</v>
      </c>
      <c r="AB151" s="693">
        <f t="shared" si="148"/>
        <v>0</v>
      </c>
      <c r="AD151" s="35"/>
    </row>
    <row r="152" spans="1:49" s="83" customFormat="1" x14ac:dyDescent="0.3">
      <c r="A152" s="82"/>
      <c r="B152" s="204" t="str">
        <f t="shared" si="141"/>
        <v>TFLEHYG100</v>
      </c>
      <c r="C152" s="204"/>
      <c r="D152" s="205"/>
      <c r="E152" s="204"/>
      <c r="F152" s="206"/>
      <c r="G152" s="207"/>
      <c r="H152" s="206"/>
      <c r="I152" s="208">
        <f>AF$10</f>
        <v>2050</v>
      </c>
      <c r="J152" s="209"/>
      <c r="K152" s="209"/>
      <c r="L152" s="210" t="s">
        <v>1064</v>
      </c>
      <c r="M152" s="209" t="s">
        <v>747</v>
      </c>
      <c r="N152" s="694">
        <f t="shared" ref="N152:AB152" si="149">N146*LOOKUP($AD139,$AG$4:$AP$4,$AG$10:$AP$10)</f>
        <v>0</v>
      </c>
      <c r="O152" s="694">
        <f t="shared" si="149"/>
        <v>0</v>
      </c>
      <c r="P152" s="694">
        <f t="shared" si="149"/>
        <v>0</v>
      </c>
      <c r="Q152" s="694">
        <f t="shared" si="149"/>
        <v>0</v>
      </c>
      <c r="R152" s="694">
        <f t="shared" si="149"/>
        <v>0</v>
      </c>
      <c r="S152" s="694">
        <f t="shared" si="149"/>
        <v>0</v>
      </c>
      <c r="T152" s="694">
        <f t="shared" si="149"/>
        <v>0</v>
      </c>
      <c r="U152" s="694">
        <f t="shared" si="149"/>
        <v>0</v>
      </c>
      <c r="V152" s="694">
        <f t="shared" si="149"/>
        <v>0</v>
      </c>
      <c r="W152" s="694">
        <f t="shared" si="149"/>
        <v>0</v>
      </c>
      <c r="X152" s="694">
        <f t="shared" si="149"/>
        <v>0</v>
      </c>
      <c r="Y152" s="694">
        <f t="shared" si="149"/>
        <v>0</v>
      </c>
      <c r="Z152" s="694">
        <f t="shared" si="149"/>
        <v>0</v>
      </c>
      <c r="AA152" s="694">
        <f t="shared" si="149"/>
        <v>0</v>
      </c>
      <c r="AB152" s="694">
        <f t="shared" si="149"/>
        <v>0</v>
      </c>
    </row>
    <row r="153" spans="1:49" s="83" customFormat="1" x14ac:dyDescent="0.3">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699" t="str">
        <f t="shared" ref="AV153:AV155" si="151">MID(E153,1,7)</f>
        <v>TRALPG</v>
      </c>
      <c r="AW153" s="567">
        <f t="shared" ref="AW153" si="152">SUM(AX153:BL153)</f>
        <v>0</v>
      </c>
    </row>
    <row r="154" spans="1:49" x14ac:dyDescent="0.3">
      <c r="A154" s="22"/>
      <c r="B154" s="186" t="str">
        <f t="shared" ref="B154:B164" si="153">B153</f>
        <v>TFLELPG100</v>
      </c>
      <c r="C154" s="186"/>
      <c r="D154" s="187"/>
      <c r="E154" s="186"/>
      <c r="F154" s="170"/>
      <c r="G154" s="173" t="s">
        <v>431</v>
      </c>
      <c r="H154" s="170"/>
      <c r="I154" s="190"/>
      <c r="J154" s="191"/>
      <c r="K154" s="191"/>
      <c r="L154" s="191" t="s">
        <v>1125</v>
      </c>
      <c r="M154" s="191" t="s">
        <v>677</v>
      </c>
      <c r="N154" s="675">
        <f>T_CEFF!H174</f>
        <v>0.38646999999999998</v>
      </c>
      <c r="O154" s="675">
        <f>T_CEFF!I174</f>
        <v>0.38646999999999998</v>
      </c>
      <c r="P154" s="675">
        <f>T_CEFF!J174</f>
        <v>0.38646999999999998</v>
      </c>
      <c r="Q154" s="675">
        <f>T_CEFF!K174</f>
        <v>0.38646999999999998</v>
      </c>
      <c r="R154" s="675">
        <f>T_CEFF!L174</f>
        <v>0.38646999999999998</v>
      </c>
      <c r="S154" s="675">
        <f>T_CEFF!M174</f>
        <v>0.38646999999999998</v>
      </c>
      <c r="T154" s="675">
        <f>T_CEFF!N174</f>
        <v>0.38646999999999998</v>
      </c>
      <c r="U154" s="675">
        <f>T_CEFF!O174</f>
        <v>0.38646999999999998</v>
      </c>
      <c r="V154" s="675">
        <f>T_CEFF!P174</f>
        <v>0.38646999999999998</v>
      </c>
      <c r="W154" s="675">
        <f>T_CEFF!Q174</f>
        <v>0.38646999999999998</v>
      </c>
      <c r="X154" s="675">
        <f>T_CEFF!R174</f>
        <v>0.38646999999999998</v>
      </c>
      <c r="Y154" s="675">
        <f>T_CEFF!S174</f>
        <v>0.38646999999999998</v>
      </c>
      <c r="Z154" s="675">
        <f>T_CEFF!T174</f>
        <v>0.38646999999999998</v>
      </c>
      <c r="AA154" s="675">
        <f>T_CEFF!U174</f>
        <v>0.38646999999999998</v>
      </c>
      <c r="AB154" s="675">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699" t="str">
        <f t="shared" si="151"/>
        <v/>
      </c>
      <c r="AW154" s="567"/>
    </row>
    <row r="155" spans="1:49" x14ac:dyDescent="0.3">
      <c r="A155" s="22"/>
      <c r="B155" s="186" t="str">
        <f t="shared" si="153"/>
        <v>TFLELPG100</v>
      </c>
      <c r="C155" s="186"/>
      <c r="D155" s="187"/>
      <c r="E155" s="186"/>
      <c r="F155" s="170"/>
      <c r="G155" s="173" t="s">
        <v>429</v>
      </c>
      <c r="H155" s="170"/>
      <c r="I155" s="190"/>
      <c r="J155" s="191"/>
      <c r="K155" s="191"/>
      <c r="L155" s="191" t="s">
        <v>1125</v>
      </c>
      <c r="M155" s="191" t="s">
        <v>677</v>
      </c>
      <c r="N155" s="675">
        <f>T_CEFF!H175</f>
        <v>0.31873000000000001</v>
      </c>
      <c r="O155" s="675">
        <f>T_CEFF!I175</f>
        <v>0.31873000000000001</v>
      </c>
      <c r="P155" s="675">
        <f>T_CEFF!J175</f>
        <v>0.31873000000000001</v>
      </c>
      <c r="Q155" s="675">
        <f>T_CEFF!K175</f>
        <v>0.31873000000000001</v>
      </c>
      <c r="R155" s="675">
        <f>T_CEFF!L175</f>
        <v>0.31873000000000001</v>
      </c>
      <c r="S155" s="675">
        <f>T_CEFF!M175</f>
        <v>0.31873000000000001</v>
      </c>
      <c r="T155" s="675">
        <f>T_CEFF!N175</f>
        <v>0.31873000000000001</v>
      </c>
      <c r="U155" s="675">
        <f>T_CEFF!O175</f>
        <v>0.31873000000000001</v>
      </c>
      <c r="V155" s="675">
        <f>T_CEFF!P175</f>
        <v>0.31873000000000001</v>
      </c>
      <c r="W155" s="675">
        <f>T_CEFF!Q175</f>
        <v>0.31873000000000001</v>
      </c>
      <c r="X155" s="675">
        <f>T_CEFF!R175</f>
        <v>0.31873000000000001</v>
      </c>
      <c r="Y155" s="675">
        <f>T_CEFF!S175</f>
        <v>0.31873000000000001</v>
      </c>
      <c r="Z155" s="675">
        <f>T_CEFF!T175</f>
        <v>0.31873000000000001</v>
      </c>
      <c r="AA155" s="675">
        <f>T_CEFF!U175</f>
        <v>0.31873000000000001</v>
      </c>
      <c r="AB155" s="675">
        <f>T_CEFF!V175</f>
        <v>0.31873000000000001</v>
      </c>
      <c r="AV155" s="699" t="str">
        <f t="shared" si="151"/>
        <v/>
      </c>
      <c r="AW155" s="567"/>
    </row>
    <row r="156" spans="1:49" x14ac:dyDescent="0.3">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3">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0</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1">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3">
      <c r="A158" s="22"/>
      <c r="B158" s="186" t="str">
        <f t="shared" si="153"/>
        <v>TFLELPG100</v>
      </c>
      <c r="C158" s="186"/>
      <c r="D158" s="187"/>
      <c r="E158" s="186"/>
      <c r="F158" s="170"/>
      <c r="G158" s="189"/>
      <c r="H158" s="170"/>
      <c r="I158" s="190">
        <f>$M$3</f>
        <v>2019</v>
      </c>
      <c r="J158" s="191"/>
      <c r="K158" s="191"/>
      <c r="L158" s="211" t="s">
        <v>1064</v>
      </c>
      <c r="M158" s="191" t="s">
        <v>747</v>
      </c>
      <c r="N158" s="693">
        <f>LOOKUP($C$153, T_Stock_Private!$C$90:$C$100, T_Stock_Private!D$90:D$100)*(1+N41)</f>
        <v>0</v>
      </c>
      <c r="O158" s="693">
        <f>LOOKUP($C$153, T_Stock_Private!$C$90:$C$100, T_Stock_Private!E$90:E$100)*(1+O41)</f>
        <v>0</v>
      </c>
      <c r="P158" s="693">
        <f>LOOKUP($C$153, T_Stock_Private!$C$90:$C$100, T_Stock_Private!F$90:F$100)*(1+P41)</f>
        <v>0</v>
      </c>
      <c r="Q158" s="693">
        <f>LOOKUP($C$153, T_Stock_Private!$C$90:$C$100, T_Stock_Private!G$90:G$100)*(1+Q41)</f>
        <v>0</v>
      </c>
      <c r="R158" s="693">
        <f>LOOKUP($C$153, T_Stock_Private!$C$90:$C$100, T_Stock_Private!H$90:H$100)*(1+R41)</f>
        <v>0</v>
      </c>
      <c r="S158" s="693">
        <f>LOOKUP($C$153, T_Stock_Private!$C$90:$C$100, T_Stock_Private!I$90:I$100)*(1+S41)</f>
        <v>0</v>
      </c>
      <c r="T158" s="693">
        <f>LOOKUP($C$153, T_Stock_Private!$C$90:$C$100, T_Stock_Private!J$90:J$100)*(1+T41)</f>
        <v>0</v>
      </c>
      <c r="U158" s="693">
        <f>LOOKUP($C$153, T_Stock_Private!$C$90:$C$100, T_Stock_Private!K$90:K$100)*(1+U41)</f>
        <v>0</v>
      </c>
      <c r="V158" s="693">
        <f>LOOKUP($C$153, T_Stock_Private!$C$90:$C$100, T_Stock_Private!L$90:L$100)*(1+V41)</f>
        <v>0</v>
      </c>
      <c r="W158" s="693">
        <f>LOOKUP($C$153, T_Stock_Private!$C$90:$C$100, T_Stock_Private!M$90:M$100)*(1+W41)</f>
        <v>0</v>
      </c>
      <c r="X158" s="693">
        <f>LOOKUP($C$153, T_Stock_Private!$C$90:$C$100, T_Stock_Private!N$90:N$100)*(1+X41)</f>
        <v>0</v>
      </c>
      <c r="Y158" s="693">
        <f>LOOKUP($C$153, T_Stock_Private!$C$90:$C$100, T_Stock_Private!O$90:O$100)*(1+Y41)</f>
        <v>0</v>
      </c>
      <c r="Z158" s="693">
        <f>LOOKUP($C$153, T_Stock_Private!$C$90:$C$100, T_Stock_Private!P$90:P$100)*(1+Z41)</f>
        <v>0</v>
      </c>
      <c r="AA158" s="693">
        <f>LOOKUP($C$153, T_Stock_Private!$C$90:$C$100, T_Stock_Private!Q$90:Q$100)*(1+AA41)</f>
        <v>0</v>
      </c>
      <c r="AB158" s="693">
        <f>LOOKUP($C$153, T_Stock_Private!$C$90:$C$100, T_Stock_Private!R$90:R$100)*(1+AB41)</f>
        <v>0</v>
      </c>
      <c r="AC158" s="89"/>
    </row>
    <row r="159" spans="1:49" x14ac:dyDescent="0.3">
      <c r="A159" s="22"/>
      <c r="B159" s="186" t="str">
        <f t="shared" si="153"/>
        <v>TFLELPG100</v>
      </c>
      <c r="C159" s="186"/>
      <c r="D159" s="187"/>
      <c r="E159" s="186"/>
      <c r="F159" s="170"/>
      <c r="G159" s="189"/>
      <c r="H159" s="170"/>
      <c r="I159" s="190">
        <f>AF$5</f>
        <v>2020</v>
      </c>
      <c r="J159" s="191"/>
      <c r="K159" s="191"/>
      <c r="L159" s="211" t="s">
        <v>1064</v>
      </c>
      <c r="M159" s="191" t="s">
        <v>747</v>
      </c>
      <c r="N159" s="693">
        <f t="shared" ref="N159:AB159" si="156">N158*LOOKUP($AD153,$AG$4:$AP$4,$AG$5:$AP$5)</f>
        <v>0</v>
      </c>
      <c r="O159" s="693">
        <f t="shared" si="156"/>
        <v>0</v>
      </c>
      <c r="P159" s="693">
        <f t="shared" si="156"/>
        <v>0</v>
      </c>
      <c r="Q159" s="693">
        <f t="shared" si="156"/>
        <v>0</v>
      </c>
      <c r="R159" s="693">
        <f t="shared" si="156"/>
        <v>0</v>
      </c>
      <c r="S159" s="693">
        <f t="shared" si="156"/>
        <v>0</v>
      </c>
      <c r="T159" s="693">
        <f t="shared" si="156"/>
        <v>0</v>
      </c>
      <c r="U159" s="693">
        <f t="shared" si="156"/>
        <v>0</v>
      </c>
      <c r="V159" s="693">
        <f t="shared" si="156"/>
        <v>0</v>
      </c>
      <c r="W159" s="693">
        <f t="shared" si="156"/>
        <v>0</v>
      </c>
      <c r="X159" s="693">
        <f t="shared" si="156"/>
        <v>0</v>
      </c>
      <c r="Y159" s="693">
        <f t="shared" si="156"/>
        <v>0</v>
      </c>
      <c r="Z159" s="693">
        <f t="shared" si="156"/>
        <v>0</v>
      </c>
      <c r="AA159" s="693">
        <f t="shared" si="156"/>
        <v>0</v>
      </c>
      <c r="AB159" s="693">
        <f t="shared" si="156"/>
        <v>0</v>
      </c>
    </row>
    <row r="160" spans="1:49" x14ac:dyDescent="0.3">
      <c r="A160" s="22"/>
      <c r="B160" s="186" t="str">
        <f t="shared" si="153"/>
        <v>TFLELPG100</v>
      </c>
      <c r="C160" s="186"/>
      <c r="D160" s="187"/>
      <c r="E160" s="186"/>
      <c r="F160" s="170"/>
      <c r="G160" s="189"/>
      <c r="H160" s="170"/>
      <c r="I160" s="190">
        <f>AF$6</f>
        <v>2025</v>
      </c>
      <c r="J160" s="191"/>
      <c r="K160" s="191"/>
      <c r="L160" s="211" t="s">
        <v>1064</v>
      </c>
      <c r="M160" s="191" t="s">
        <v>747</v>
      </c>
      <c r="N160" s="693">
        <f t="shared" ref="N160:AB160" si="157">N158*LOOKUP($AD153,$AG$4:$AP$4,$AG$6:$AP$6)</f>
        <v>0</v>
      </c>
      <c r="O160" s="693">
        <f t="shared" si="157"/>
        <v>0</v>
      </c>
      <c r="P160" s="693">
        <f t="shared" si="157"/>
        <v>0</v>
      </c>
      <c r="Q160" s="693">
        <f t="shared" si="157"/>
        <v>0</v>
      </c>
      <c r="R160" s="693">
        <f t="shared" si="157"/>
        <v>0</v>
      </c>
      <c r="S160" s="693">
        <f t="shared" si="157"/>
        <v>0</v>
      </c>
      <c r="T160" s="693">
        <f t="shared" si="157"/>
        <v>0</v>
      </c>
      <c r="U160" s="693">
        <f t="shared" si="157"/>
        <v>0</v>
      </c>
      <c r="V160" s="693">
        <f t="shared" si="157"/>
        <v>0</v>
      </c>
      <c r="W160" s="693">
        <f t="shared" si="157"/>
        <v>0</v>
      </c>
      <c r="X160" s="693">
        <f t="shared" si="157"/>
        <v>0</v>
      </c>
      <c r="Y160" s="693">
        <f t="shared" si="157"/>
        <v>0</v>
      </c>
      <c r="Z160" s="693">
        <f t="shared" si="157"/>
        <v>0</v>
      </c>
      <c r="AA160" s="693">
        <f t="shared" si="157"/>
        <v>0</v>
      </c>
      <c r="AB160" s="693">
        <f t="shared" si="157"/>
        <v>0</v>
      </c>
    </row>
    <row r="161" spans="1:64" x14ac:dyDescent="0.3">
      <c r="A161" s="22"/>
      <c r="B161" s="186" t="str">
        <f t="shared" si="153"/>
        <v>TFLELPG100</v>
      </c>
      <c r="C161" s="186"/>
      <c r="D161" s="187"/>
      <c r="E161" s="186"/>
      <c r="F161" s="170"/>
      <c r="G161" s="189"/>
      <c r="H161" s="170"/>
      <c r="I161" s="190">
        <f>AF$7</f>
        <v>2030</v>
      </c>
      <c r="J161" s="191"/>
      <c r="K161" s="191"/>
      <c r="L161" s="211" t="s">
        <v>1064</v>
      </c>
      <c r="M161" s="191" t="s">
        <v>747</v>
      </c>
      <c r="N161" s="693">
        <f t="shared" ref="N161:AB161" si="158">N158*LOOKUP($AD153,$AG$4:$AP$4,$AG$7:$AP$7)</f>
        <v>0</v>
      </c>
      <c r="O161" s="693">
        <f t="shared" si="158"/>
        <v>0</v>
      </c>
      <c r="P161" s="693">
        <f t="shared" si="158"/>
        <v>0</v>
      </c>
      <c r="Q161" s="693">
        <f t="shared" si="158"/>
        <v>0</v>
      </c>
      <c r="R161" s="693">
        <f t="shared" si="158"/>
        <v>0</v>
      </c>
      <c r="S161" s="693">
        <f t="shared" si="158"/>
        <v>0</v>
      </c>
      <c r="T161" s="693">
        <f t="shared" si="158"/>
        <v>0</v>
      </c>
      <c r="U161" s="693">
        <f t="shared" si="158"/>
        <v>0</v>
      </c>
      <c r="V161" s="693">
        <f t="shared" si="158"/>
        <v>0</v>
      </c>
      <c r="W161" s="693">
        <f t="shared" si="158"/>
        <v>0</v>
      </c>
      <c r="X161" s="693">
        <f t="shared" si="158"/>
        <v>0</v>
      </c>
      <c r="Y161" s="693">
        <f t="shared" si="158"/>
        <v>0</v>
      </c>
      <c r="Z161" s="693">
        <f t="shared" si="158"/>
        <v>0</v>
      </c>
      <c r="AA161" s="693">
        <f t="shared" si="158"/>
        <v>0</v>
      </c>
      <c r="AB161" s="693">
        <f t="shared" si="158"/>
        <v>0</v>
      </c>
    </row>
    <row r="162" spans="1:64" x14ac:dyDescent="0.3">
      <c r="A162" s="22"/>
      <c r="B162" s="186" t="str">
        <f t="shared" si="153"/>
        <v>TFLELPG100</v>
      </c>
      <c r="C162" s="186"/>
      <c r="D162" s="187"/>
      <c r="E162" s="186"/>
      <c r="F162" s="170"/>
      <c r="G162" s="189"/>
      <c r="H162" s="170"/>
      <c r="I162" s="190">
        <f>AF$8</f>
        <v>2035</v>
      </c>
      <c r="J162" s="191"/>
      <c r="K162" s="191"/>
      <c r="L162" s="211" t="s">
        <v>1064</v>
      </c>
      <c r="M162" s="191" t="s">
        <v>747</v>
      </c>
      <c r="N162" s="693">
        <f t="shared" ref="N162:AB162" si="159">N158*LOOKUP($AD153,$AG$4:$AP$4,$AG$8:$AP$8)</f>
        <v>0</v>
      </c>
      <c r="O162" s="693">
        <f t="shared" si="159"/>
        <v>0</v>
      </c>
      <c r="P162" s="693">
        <f t="shared" si="159"/>
        <v>0</v>
      </c>
      <c r="Q162" s="693">
        <f t="shared" si="159"/>
        <v>0</v>
      </c>
      <c r="R162" s="693">
        <f t="shared" si="159"/>
        <v>0</v>
      </c>
      <c r="S162" s="693">
        <f t="shared" si="159"/>
        <v>0</v>
      </c>
      <c r="T162" s="693">
        <f t="shared" si="159"/>
        <v>0</v>
      </c>
      <c r="U162" s="693">
        <f t="shared" si="159"/>
        <v>0</v>
      </c>
      <c r="V162" s="693">
        <f t="shared" si="159"/>
        <v>0</v>
      </c>
      <c r="W162" s="693">
        <f t="shared" si="159"/>
        <v>0</v>
      </c>
      <c r="X162" s="693">
        <f t="shared" si="159"/>
        <v>0</v>
      </c>
      <c r="Y162" s="693">
        <f t="shared" si="159"/>
        <v>0</v>
      </c>
      <c r="Z162" s="693">
        <f t="shared" si="159"/>
        <v>0</v>
      </c>
      <c r="AA162" s="693">
        <f t="shared" si="159"/>
        <v>0</v>
      </c>
      <c r="AB162" s="693">
        <f t="shared" si="159"/>
        <v>0</v>
      </c>
    </row>
    <row r="163" spans="1:64" x14ac:dyDescent="0.3">
      <c r="A163" s="22"/>
      <c r="B163" s="186" t="str">
        <f t="shared" si="153"/>
        <v>TFLELPG100</v>
      </c>
      <c r="C163" s="186"/>
      <c r="D163" s="187"/>
      <c r="E163" s="186"/>
      <c r="F163" s="170"/>
      <c r="G163" s="189"/>
      <c r="H163" s="170"/>
      <c r="I163" s="190">
        <f>AF$9</f>
        <v>2040</v>
      </c>
      <c r="J163" s="191"/>
      <c r="K163" s="191"/>
      <c r="L163" s="211" t="s">
        <v>1064</v>
      </c>
      <c r="M163" s="191" t="s">
        <v>747</v>
      </c>
      <c r="N163" s="693">
        <f t="shared" ref="N163:AB163" si="160">N158*LOOKUP($AD153,$AG$4:$AP$4,$AG$9:$AP$9)</f>
        <v>0</v>
      </c>
      <c r="O163" s="693">
        <f t="shared" si="160"/>
        <v>0</v>
      </c>
      <c r="P163" s="693">
        <f t="shared" si="160"/>
        <v>0</v>
      </c>
      <c r="Q163" s="693">
        <f t="shared" si="160"/>
        <v>0</v>
      </c>
      <c r="R163" s="693">
        <f t="shared" si="160"/>
        <v>0</v>
      </c>
      <c r="S163" s="693">
        <f t="shared" si="160"/>
        <v>0</v>
      </c>
      <c r="T163" s="693">
        <f t="shared" si="160"/>
        <v>0</v>
      </c>
      <c r="U163" s="693">
        <f t="shared" si="160"/>
        <v>0</v>
      </c>
      <c r="V163" s="693">
        <f t="shared" si="160"/>
        <v>0</v>
      </c>
      <c r="W163" s="693">
        <f t="shared" si="160"/>
        <v>0</v>
      </c>
      <c r="X163" s="693">
        <f t="shared" si="160"/>
        <v>0</v>
      </c>
      <c r="Y163" s="693">
        <f t="shared" si="160"/>
        <v>0</v>
      </c>
      <c r="Z163" s="693">
        <f t="shared" si="160"/>
        <v>0</v>
      </c>
      <c r="AA163" s="693">
        <f t="shared" si="160"/>
        <v>0</v>
      </c>
      <c r="AB163" s="693">
        <f t="shared" si="160"/>
        <v>0</v>
      </c>
    </row>
    <row r="164" spans="1:64" x14ac:dyDescent="0.3">
      <c r="A164" s="22"/>
      <c r="B164" s="193" t="str">
        <f t="shared" si="153"/>
        <v>TFLELPG100</v>
      </c>
      <c r="C164" s="193"/>
      <c r="D164" s="194"/>
      <c r="E164" s="193"/>
      <c r="F164" s="196"/>
      <c r="G164" s="195"/>
      <c r="H164" s="196"/>
      <c r="I164" s="197">
        <f>AF$10</f>
        <v>2050</v>
      </c>
      <c r="J164" s="198"/>
      <c r="K164" s="198"/>
      <c r="L164" s="212" t="s">
        <v>1064</v>
      </c>
      <c r="M164" s="198" t="s">
        <v>747</v>
      </c>
      <c r="N164" s="694">
        <f t="shared" ref="N164:AB164" si="161">N158*LOOKUP($AD153,$AG$4:$AP$4,$AG$10:$AP$10)</f>
        <v>0</v>
      </c>
      <c r="O164" s="694">
        <f t="shared" si="161"/>
        <v>0</v>
      </c>
      <c r="P164" s="694">
        <f t="shared" si="161"/>
        <v>0</v>
      </c>
      <c r="Q164" s="694">
        <f t="shared" si="161"/>
        <v>0</v>
      </c>
      <c r="R164" s="694">
        <f t="shared" si="161"/>
        <v>0</v>
      </c>
      <c r="S164" s="694">
        <f t="shared" si="161"/>
        <v>0</v>
      </c>
      <c r="T164" s="694">
        <f t="shared" si="161"/>
        <v>0</v>
      </c>
      <c r="U164" s="694">
        <f t="shared" si="161"/>
        <v>0</v>
      </c>
      <c r="V164" s="694">
        <f t="shared" si="161"/>
        <v>0</v>
      </c>
      <c r="W164" s="694">
        <f t="shared" si="161"/>
        <v>0</v>
      </c>
      <c r="X164" s="694">
        <f t="shared" si="161"/>
        <v>0</v>
      </c>
      <c r="Y164" s="694">
        <f t="shared" si="161"/>
        <v>0</v>
      </c>
      <c r="Z164" s="694">
        <f t="shared" si="161"/>
        <v>0</v>
      </c>
      <c r="AA164" s="694">
        <f t="shared" si="161"/>
        <v>0</v>
      </c>
      <c r="AB164" s="694">
        <f t="shared" si="161"/>
        <v>0</v>
      </c>
    </row>
    <row r="165" spans="1:64" s="83" customFormat="1" x14ac:dyDescent="0.3">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699" t="str">
        <f t="shared" ref="AV165:AV168" si="163">MID(E165,1,7)</f>
        <v>TRABDL</v>
      </c>
      <c r="AW165" s="567">
        <f t="shared" ref="AW165:AW166" si="164">SUM(AX165:BL165)</f>
        <v>0</v>
      </c>
    </row>
    <row r="166" spans="1:64" s="83" customFormat="1" x14ac:dyDescent="0.3">
      <c r="A166" s="82"/>
      <c r="B166" s="178" t="str">
        <f>B165</f>
        <v>TFLEPYD100</v>
      </c>
      <c r="C166" s="178"/>
      <c r="D166" s="179"/>
      <c r="E166" s="407" t="s">
        <v>185</v>
      </c>
      <c r="F166" s="182"/>
      <c r="G166" s="181"/>
      <c r="H166" s="182"/>
      <c r="I166" s="183"/>
      <c r="J166" s="184" t="str">
        <f>$J$59</f>
        <v>UP</v>
      </c>
      <c r="K166" s="184"/>
      <c r="L166" s="203" t="s">
        <v>101</v>
      </c>
      <c r="M166" s="184"/>
      <c r="N166" s="390">
        <f>1-N$29-N$28</f>
        <v>0.7669999999999999</v>
      </c>
      <c r="O166" s="390">
        <f t="shared" ref="O166:AB166" si="165">1-O$29-O$28</f>
        <v>0.7669999999999999</v>
      </c>
      <c r="P166" s="390">
        <f t="shared" si="165"/>
        <v>0.7669999999999999</v>
      </c>
      <c r="Q166" s="390">
        <f t="shared" si="165"/>
        <v>0.7669999999999999</v>
      </c>
      <c r="R166" s="390">
        <f t="shared" si="165"/>
        <v>0.7669999999999999</v>
      </c>
      <c r="S166" s="390">
        <f t="shared" si="165"/>
        <v>0.7669999999999999</v>
      </c>
      <c r="T166" s="390">
        <f t="shared" si="165"/>
        <v>0.7669999999999999</v>
      </c>
      <c r="U166" s="390">
        <f t="shared" si="165"/>
        <v>0.7669999999999999</v>
      </c>
      <c r="V166" s="390">
        <f t="shared" si="165"/>
        <v>0.7669999999999999</v>
      </c>
      <c r="W166" s="390">
        <f t="shared" si="165"/>
        <v>0.7669999999999999</v>
      </c>
      <c r="X166" s="390">
        <f t="shared" si="165"/>
        <v>0.7669999999999999</v>
      </c>
      <c r="Y166" s="390">
        <f t="shared" si="165"/>
        <v>0.7669999999999999</v>
      </c>
      <c r="Z166" s="390">
        <f t="shared" si="165"/>
        <v>0.7669999999999999</v>
      </c>
      <c r="AA166" s="390">
        <f t="shared" si="165"/>
        <v>0.7669999999999999</v>
      </c>
      <c r="AB166" s="390">
        <f t="shared" si="165"/>
        <v>0.7669999999999999</v>
      </c>
      <c r="AD166" s="66" t="str">
        <f>IF(COUNTIF($AG$4:$AP$4,AD165)=1,"ok","MISSING")</f>
        <v>ok</v>
      </c>
      <c r="AV166" s="699" t="str">
        <f t="shared" si="163"/>
        <v>TRADST</v>
      </c>
      <c r="AW166" s="567">
        <f t="shared" si="164"/>
        <v>0</v>
      </c>
    </row>
    <row r="167" spans="1:64" s="83" customFormat="1" x14ac:dyDescent="0.3">
      <c r="A167" s="82"/>
      <c r="B167" s="178" t="str">
        <f t="shared" ref="B167" si="166">B166</f>
        <v>TFLEPYD100</v>
      </c>
      <c r="C167" s="178"/>
      <c r="D167" s="179"/>
      <c r="E167" s="407" t="s">
        <v>989</v>
      </c>
      <c r="F167" s="182"/>
      <c r="G167" s="181"/>
      <c r="H167" s="182"/>
      <c r="I167" s="183"/>
      <c r="J167" s="184" t="s">
        <v>1156</v>
      </c>
      <c r="K167" s="184"/>
      <c r="L167" s="203" t="s">
        <v>101</v>
      </c>
      <c r="M167" s="184"/>
      <c r="N167" s="689">
        <f>N$28</f>
        <v>5.8000000000000003E-2</v>
      </c>
      <c r="O167" s="689">
        <f t="shared" ref="O167:AB167" si="167">O$28</f>
        <v>5.8000000000000003E-2</v>
      </c>
      <c r="P167" s="689">
        <f t="shared" si="167"/>
        <v>5.8000000000000003E-2</v>
      </c>
      <c r="Q167" s="689">
        <f t="shared" si="167"/>
        <v>5.8000000000000003E-2</v>
      </c>
      <c r="R167" s="689">
        <f t="shared" si="167"/>
        <v>5.8000000000000003E-2</v>
      </c>
      <c r="S167" s="689">
        <f t="shared" si="167"/>
        <v>5.8000000000000003E-2</v>
      </c>
      <c r="T167" s="689">
        <f t="shared" si="167"/>
        <v>5.8000000000000003E-2</v>
      </c>
      <c r="U167" s="689">
        <f t="shared" si="167"/>
        <v>5.8000000000000003E-2</v>
      </c>
      <c r="V167" s="689">
        <f t="shared" si="167"/>
        <v>5.8000000000000003E-2</v>
      </c>
      <c r="W167" s="689">
        <f t="shared" si="167"/>
        <v>5.8000000000000003E-2</v>
      </c>
      <c r="X167" s="689">
        <f t="shared" si="167"/>
        <v>5.8000000000000003E-2</v>
      </c>
      <c r="Y167" s="689">
        <f t="shared" si="167"/>
        <v>5.8000000000000003E-2</v>
      </c>
      <c r="Z167" s="689">
        <f t="shared" si="167"/>
        <v>5.8000000000000003E-2</v>
      </c>
      <c r="AA167" s="689">
        <f t="shared" si="167"/>
        <v>5.8000000000000003E-2</v>
      </c>
      <c r="AB167" s="689">
        <f t="shared" si="167"/>
        <v>5.8000000000000003E-2</v>
      </c>
      <c r="AD167" s="408"/>
      <c r="AE167" s="357"/>
      <c r="AF167" s="84"/>
      <c r="AG167" s="84"/>
      <c r="AH167" s="84"/>
      <c r="AI167" s="84"/>
      <c r="AJ167" s="84"/>
      <c r="AK167" s="84"/>
      <c r="AL167" s="84"/>
      <c r="AM167" s="84"/>
      <c r="AN167" s="84"/>
      <c r="AO167" s="84"/>
      <c r="AP167" s="84"/>
      <c r="AQ167" s="84"/>
      <c r="AR167" s="84"/>
      <c r="AS167" s="84"/>
      <c r="AT167" s="84"/>
      <c r="AV167" s="699"/>
      <c r="AW167" s="567"/>
      <c r="AX167" s="707"/>
      <c r="AY167" s="35"/>
      <c r="AZ167" s="35"/>
      <c r="BA167" s="35"/>
      <c r="BB167" s="35"/>
      <c r="BC167" s="35"/>
      <c r="BD167" s="35"/>
      <c r="BE167" s="35"/>
      <c r="BF167" s="35"/>
      <c r="BG167" s="35"/>
      <c r="BH167" s="35"/>
      <c r="BI167" s="35"/>
      <c r="BJ167" s="35"/>
      <c r="BK167" s="35"/>
      <c r="BL167" s="35"/>
    </row>
    <row r="168" spans="1:64" s="83" customFormat="1" x14ac:dyDescent="0.3">
      <c r="A168" s="82"/>
      <c r="B168" s="178" t="str">
        <f>B166</f>
        <v>TFLEPYD100</v>
      </c>
      <c r="C168" s="178"/>
      <c r="D168" s="179"/>
      <c r="E168" s="178"/>
      <c r="F168" s="182"/>
      <c r="G168" s="173" t="s">
        <v>431</v>
      </c>
      <c r="H168" s="182"/>
      <c r="I168" s="183"/>
      <c r="J168" s="184"/>
      <c r="K168" s="184"/>
      <c r="L168" s="184" t="s">
        <v>1125</v>
      </c>
      <c r="M168" s="184" t="s">
        <v>677</v>
      </c>
      <c r="N168" s="675">
        <f>T_CEFF!H176</f>
        <v>0.68376000000000003</v>
      </c>
      <c r="O168" s="675">
        <f>T_CEFF!I176</f>
        <v>0.68376000000000003</v>
      </c>
      <c r="P168" s="675">
        <f>T_CEFF!J176</f>
        <v>0.68376000000000003</v>
      </c>
      <c r="Q168" s="675">
        <f>T_CEFF!K176</f>
        <v>0.68376000000000003</v>
      </c>
      <c r="R168" s="675">
        <f>T_CEFF!L176</f>
        <v>0.68376000000000003</v>
      </c>
      <c r="S168" s="675">
        <f>T_CEFF!M176</f>
        <v>0.68376000000000003</v>
      </c>
      <c r="T168" s="675">
        <f>T_CEFF!N176</f>
        <v>0.68376000000000003</v>
      </c>
      <c r="U168" s="675">
        <f>T_CEFF!O176</f>
        <v>0.68376000000000003</v>
      </c>
      <c r="V168" s="675">
        <f>T_CEFF!P176</f>
        <v>0.68376000000000003</v>
      </c>
      <c r="W168" s="675">
        <f>T_CEFF!Q176</f>
        <v>0.68376000000000003</v>
      </c>
      <c r="X168" s="675">
        <f>T_CEFF!R176</f>
        <v>0.68376000000000003</v>
      </c>
      <c r="Y168" s="675">
        <f>T_CEFF!S176</f>
        <v>0.68376000000000003</v>
      </c>
      <c r="Z168" s="675">
        <f>T_CEFF!T176</f>
        <v>0.68376000000000003</v>
      </c>
      <c r="AA168" s="675">
        <f>T_CEFF!U176</f>
        <v>0.68376000000000003</v>
      </c>
      <c r="AB168" s="675">
        <f>T_CEFF!V176</f>
        <v>0.68376000000000003</v>
      </c>
      <c r="AV168" s="699" t="str">
        <f t="shared" si="163"/>
        <v/>
      </c>
      <c r="AW168" s="567"/>
    </row>
    <row r="169" spans="1:64" s="83" customFormat="1" x14ac:dyDescent="0.3">
      <c r="A169" s="82"/>
      <c r="B169" s="178" t="str">
        <f>B168</f>
        <v>TFLEPYD100</v>
      </c>
      <c r="C169" s="178"/>
      <c r="D169" s="179"/>
      <c r="E169" s="178"/>
      <c r="F169" s="182"/>
      <c r="G169" s="173" t="s">
        <v>429</v>
      </c>
      <c r="H169" s="182"/>
      <c r="I169" s="183"/>
      <c r="J169" s="184"/>
      <c r="K169" s="184"/>
      <c r="L169" s="184" t="s">
        <v>1125</v>
      </c>
      <c r="M169" s="184" t="s">
        <v>677</v>
      </c>
      <c r="N169" s="675">
        <f>T_CEFF!H177</f>
        <v>0.87912000000000001</v>
      </c>
      <c r="O169" s="675">
        <f>T_CEFF!I177</f>
        <v>0.87912000000000001</v>
      </c>
      <c r="P169" s="675">
        <f>T_CEFF!J177</f>
        <v>0.87912000000000001</v>
      </c>
      <c r="Q169" s="675">
        <f>T_CEFF!K177</f>
        <v>0.87912000000000001</v>
      </c>
      <c r="R169" s="675">
        <f>T_CEFF!L177</f>
        <v>0.87912000000000001</v>
      </c>
      <c r="S169" s="675">
        <f>T_CEFF!M177</f>
        <v>0.87912000000000001</v>
      </c>
      <c r="T169" s="675">
        <f>T_CEFF!N177</f>
        <v>0.87912000000000001</v>
      </c>
      <c r="U169" s="675">
        <f>T_CEFF!O177</f>
        <v>0.87912000000000001</v>
      </c>
      <c r="V169" s="675">
        <f>T_CEFF!P177</f>
        <v>0.87912000000000001</v>
      </c>
      <c r="W169" s="675">
        <f>T_CEFF!Q177</f>
        <v>0.87912000000000001</v>
      </c>
      <c r="X169" s="675">
        <f>T_CEFF!R177</f>
        <v>0.87912000000000001</v>
      </c>
      <c r="Y169" s="675">
        <f>T_CEFF!S177</f>
        <v>0.87912000000000001</v>
      </c>
      <c r="Z169" s="675">
        <f>T_CEFF!T177</f>
        <v>0.87912000000000001</v>
      </c>
      <c r="AA169" s="675">
        <f>T_CEFF!U177</f>
        <v>0.87912000000000001</v>
      </c>
      <c r="AB169" s="675">
        <f>T_CEFF!V177</f>
        <v>0.87912000000000001</v>
      </c>
    </row>
    <row r="170" spans="1:64" s="83" customFormat="1" x14ac:dyDescent="0.3">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3">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10.013030000000001</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1">
        <f>SUM(AF171:AT171)</f>
        <v>1.0403538170000001E-3</v>
      </c>
      <c r="AF171" s="85">
        <f t="shared" ref="AF171:AT171" si="170">N170*N171*N172/1000</f>
        <v>1.0403538170000001E-3</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3">
      <c r="A172" s="82"/>
      <c r="B172" s="178" t="str">
        <f t="shared" si="168"/>
        <v>TFLEPYD100</v>
      </c>
      <c r="C172" s="178"/>
      <c r="D172" s="179"/>
      <c r="E172" s="178"/>
      <c r="F172" s="182"/>
      <c r="G172" s="181"/>
      <c r="H172" s="182"/>
      <c r="I172" s="183">
        <f>$M$3</f>
        <v>2019</v>
      </c>
      <c r="J172" s="184"/>
      <c r="K172" s="184"/>
      <c r="L172" s="203" t="s">
        <v>1064</v>
      </c>
      <c r="M172" s="184" t="s">
        <v>747</v>
      </c>
      <c r="N172" s="693">
        <f>LOOKUP($C$165, T_Stock_Private!$C$90:$C$100, T_Stock_Private!D$90:D$100)*(1+N41)</f>
        <v>1</v>
      </c>
      <c r="O172" s="693">
        <f>LOOKUP($C$165, T_Stock_Private!$C$90:$C$100, T_Stock_Private!E$90:E$100)*(1+O41)</f>
        <v>0</v>
      </c>
      <c r="P172" s="693">
        <f>LOOKUP($C$165, T_Stock_Private!$C$90:$C$100, T_Stock_Private!F$90:F$100)*(1+P41)</f>
        <v>0</v>
      </c>
      <c r="Q172" s="693">
        <f>LOOKUP($C$165, T_Stock_Private!$C$90:$C$100, T_Stock_Private!G$90:G$100)*(1+Q41)</f>
        <v>0</v>
      </c>
      <c r="R172" s="693">
        <f>LOOKUP($C$165, T_Stock_Private!$C$90:$C$100, T_Stock_Private!H$90:H$100)*(1+R41)</f>
        <v>0</v>
      </c>
      <c r="S172" s="693">
        <f>LOOKUP($C$165, T_Stock_Private!$C$90:$C$100, T_Stock_Private!I$90:I$100)*(1+S41)</f>
        <v>0</v>
      </c>
      <c r="T172" s="693">
        <f>LOOKUP($C$165, T_Stock_Private!$C$90:$C$100, T_Stock_Private!J$90:J$100)*(1+T41)</f>
        <v>0</v>
      </c>
      <c r="U172" s="693">
        <f>LOOKUP($C$165, T_Stock_Private!$C$90:$C$100, T_Stock_Private!K$90:K$100)*(1+U41)</f>
        <v>0</v>
      </c>
      <c r="V172" s="693">
        <f>LOOKUP($C$165, T_Stock_Private!$C$90:$C$100, T_Stock_Private!L$90:L$100)*(1+V41)</f>
        <v>0</v>
      </c>
      <c r="W172" s="693">
        <f>LOOKUP($C$165, T_Stock_Private!$C$90:$C$100, T_Stock_Private!M$90:M$100)*(1+W41)</f>
        <v>0</v>
      </c>
      <c r="X172" s="693">
        <f>LOOKUP($C$165, T_Stock_Private!$C$90:$C$100, T_Stock_Private!N$90:N$100)*(1+X41)</f>
        <v>0</v>
      </c>
      <c r="Y172" s="693">
        <f>LOOKUP($C$165, T_Stock_Private!$C$90:$C$100, T_Stock_Private!O$90:O$100)*(1+Y41)</f>
        <v>0</v>
      </c>
      <c r="Z172" s="693">
        <f>LOOKUP($C$165, T_Stock_Private!$C$90:$C$100, T_Stock_Private!P$90:P$100)*(1+Z41)</f>
        <v>0</v>
      </c>
      <c r="AA172" s="693">
        <f>LOOKUP($C$165, T_Stock_Private!$C$90:$C$100, T_Stock_Private!Q$90:Q$100)*(1+AA41)</f>
        <v>0</v>
      </c>
      <c r="AB172" s="693">
        <f>LOOKUP($C$165, T_Stock_Private!$C$90:$C$100, T_Stock_Private!R$90:R$100)*(1+AB41)</f>
        <v>0</v>
      </c>
      <c r="AC172" s="89"/>
      <c r="AD172" s="35"/>
    </row>
    <row r="173" spans="1:64" s="83" customFormat="1" x14ac:dyDescent="0.3">
      <c r="A173" s="82"/>
      <c r="B173" s="178" t="str">
        <f t="shared" si="168"/>
        <v>TFLEPYD100</v>
      </c>
      <c r="C173" s="178"/>
      <c r="D173" s="179"/>
      <c r="E173" s="178"/>
      <c r="F173" s="182"/>
      <c r="G173" s="181"/>
      <c r="H173" s="182"/>
      <c r="I173" s="183">
        <f>AF$5</f>
        <v>2020</v>
      </c>
      <c r="J173" s="184"/>
      <c r="K173" s="184"/>
      <c r="L173" s="203" t="s">
        <v>1064</v>
      </c>
      <c r="M173" s="184" t="s">
        <v>747</v>
      </c>
      <c r="N173" s="693">
        <f t="shared" ref="N173:AB173" si="171">N172*LOOKUP($AD165,$AG$4:$AP$4,$AG$5:$AP$5)</f>
        <v>0.99</v>
      </c>
      <c r="O173" s="693">
        <f t="shared" si="171"/>
        <v>0</v>
      </c>
      <c r="P173" s="693">
        <f t="shared" si="171"/>
        <v>0</v>
      </c>
      <c r="Q173" s="693">
        <f t="shared" si="171"/>
        <v>0</v>
      </c>
      <c r="R173" s="693">
        <f t="shared" si="171"/>
        <v>0</v>
      </c>
      <c r="S173" s="693">
        <f t="shared" si="171"/>
        <v>0</v>
      </c>
      <c r="T173" s="693">
        <f t="shared" si="171"/>
        <v>0</v>
      </c>
      <c r="U173" s="693">
        <f t="shared" si="171"/>
        <v>0</v>
      </c>
      <c r="V173" s="693">
        <f t="shared" si="171"/>
        <v>0</v>
      </c>
      <c r="W173" s="693">
        <f t="shared" si="171"/>
        <v>0</v>
      </c>
      <c r="X173" s="693">
        <f t="shared" si="171"/>
        <v>0</v>
      </c>
      <c r="Y173" s="693">
        <f t="shared" si="171"/>
        <v>0</v>
      </c>
      <c r="Z173" s="693">
        <f t="shared" si="171"/>
        <v>0</v>
      </c>
      <c r="AA173" s="693">
        <f t="shared" si="171"/>
        <v>0</v>
      </c>
      <c r="AB173" s="693">
        <f t="shared" si="171"/>
        <v>0</v>
      </c>
      <c r="AD173" s="35"/>
    </row>
    <row r="174" spans="1:64" s="83" customFormat="1" x14ac:dyDescent="0.3">
      <c r="A174" s="82"/>
      <c r="B174" s="178" t="str">
        <f t="shared" si="168"/>
        <v>TFLEPYD100</v>
      </c>
      <c r="C174" s="178"/>
      <c r="D174" s="179"/>
      <c r="E174" s="178"/>
      <c r="F174" s="182"/>
      <c r="G174" s="181"/>
      <c r="H174" s="182"/>
      <c r="I174" s="183">
        <f>AF$6</f>
        <v>2025</v>
      </c>
      <c r="J174" s="184"/>
      <c r="K174" s="184"/>
      <c r="L174" s="203" t="s">
        <v>1064</v>
      </c>
      <c r="M174" s="184" t="s">
        <v>747</v>
      </c>
      <c r="N174" s="693">
        <f t="shared" ref="N174:AB174" si="172">N172*LOOKUP($AD165,$AG$4:$AP$4,$AG$6:$AP$6)</f>
        <v>0.75</v>
      </c>
      <c r="O174" s="693">
        <f t="shared" si="172"/>
        <v>0</v>
      </c>
      <c r="P174" s="693">
        <f t="shared" si="172"/>
        <v>0</v>
      </c>
      <c r="Q174" s="693">
        <f t="shared" si="172"/>
        <v>0</v>
      </c>
      <c r="R174" s="693">
        <f t="shared" si="172"/>
        <v>0</v>
      </c>
      <c r="S174" s="693">
        <f t="shared" si="172"/>
        <v>0</v>
      </c>
      <c r="T174" s="693">
        <f t="shared" si="172"/>
        <v>0</v>
      </c>
      <c r="U174" s="693">
        <f t="shared" si="172"/>
        <v>0</v>
      </c>
      <c r="V174" s="693">
        <f t="shared" si="172"/>
        <v>0</v>
      </c>
      <c r="W174" s="693">
        <f t="shared" si="172"/>
        <v>0</v>
      </c>
      <c r="X174" s="693">
        <f t="shared" si="172"/>
        <v>0</v>
      </c>
      <c r="Y174" s="693">
        <f t="shared" si="172"/>
        <v>0</v>
      </c>
      <c r="Z174" s="693">
        <f t="shared" si="172"/>
        <v>0</v>
      </c>
      <c r="AA174" s="693">
        <f t="shared" si="172"/>
        <v>0</v>
      </c>
      <c r="AB174" s="693">
        <f t="shared" si="172"/>
        <v>0</v>
      </c>
      <c r="AD174" s="35"/>
    </row>
    <row r="175" spans="1:64" s="83" customFormat="1" x14ac:dyDescent="0.3">
      <c r="A175" s="82"/>
      <c r="B175" s="178" t="str">
        <f t="shared" si="168"/>
        <v>TFLEPYD100</v>
      </c>
      <c r="C175" s="178"/>
      <c r="D175" s="179"/>
      <c r="E175" s="178"/>
      <c r="F175" s="182"/>
      <c r="G175" s="181"/>
      <c r="H175" s="182"/>
      <c r="I175" s="183">
        <f>AF$7</f>
        <v>2030</v>
      </c>
      <c r="J175" s="184"/>
      <c r="K175" s="184"/>
      <c r="L175" s="203" t="s">
        <v>1064</v>
      </c>
      <c r="M175" s="184" t="s">
        <v>747</v>
      </c>
      <c r="N175" s="693">
        <f t="shared" ref="N175:AB175" si="173">N172*LOOKUP($AD165,$AG$4:$AP$4,$AG$7:$AP$7)</f>
        <v>0.5</v>
      </c>
      <c r="O175" s="693">
        <f t="shared" si="173"/>
        <v>0</v>
      </c>
      <c r="P175" s="693">
        <f t="shared" si="173"/>
        <v>0</v>
      </c>
      <c r="Q175" s="693">
        <f t="shared" si="173"/>
        <v>0</v>
      </c>
      <c r="R175" s="693">
        <f t="shared" si="173"/>
        <v>0</v>
      </c>
      <c r="S175" s="693">
        <f t="shared" si="173"/>
        <v>0</v>
      </c>
      <c r="T175" s="693">
        <f t="shared" si="173"/>
        <v>0</v>
      </c>
      <c r="U175" s="693">
        <f t="shared" si="173"/>
        <v>0</v>
      </c>
      <c r="V175" s="693">
        <f t="shared" si="173"/>
        <v>0</v>
      </c>
      <c r="W175" s="693">
        <f t="shared" si="173"/>
        <v>0</v>
      </c>
      <c r="X175" s="693">
        <f t="shared" si="173"/>
        <v>0</v>
      </c>
      <c r="Y175" s="693">
        <f t="shared" si="173"/>
        <v>0</v>
      </c>
      <c r="Z175" s="693">
        <f t="shared" si="173"/>
        <v>0</v>
      </c>
      <c r="AA175" s="693">
        <f t="shared" si="173"/>
        <v>0</v>
      </c>
      <c r="AB175" s="693">
        <f t="shared" si="173"/>
        <v>0</v>
      </c>
      <c r="AD175" s="35"/>
    </row>
    <row r="176" spans="1:64" s="83" customFormat="1" x14ac:dyDescent="0.3">
      <c r="A176" s="82"/>
      <c r="B176" s="178" t="str">
        <f t="shared" si="168"/>
        <v>TFLEPYD100</v>
      </c>
      <c r="C176" s="178"/>
      <c r="D176" s="179"/>
      <c r="E176" s="178"/>
      <c r="F176" s="182"/>
      <c r="G176" s="181"/>
      <c r="H176" s="182"/>
      <c r="I176" s="183">
        <f>AF$8</f>
        <v>2035</v>
      </c>
      <c r="J176" s="184"/>
      <c r="K176" s="184"/>
      <c r="L176" s="203" t="s">
        <v>1064</v>
      </c>
      <c r="M176" s="184" t="s">
        <v>747</v>
      </c>
      <c r="N176" s="693">
        <f t="shared" ref="N176:AB176" si="174">N172*LOOKUP($AD165,$AG$4:$AP$4,$AG$8:$AP$8)</f>
        <v>0.15</v>
      </c>
      <c r="O176" s="693">
        <f t="shared" si="174"/>
        <v>0</v>
      </c>
      <c r="P176" s="693">
        <f t="shared" si="174"/>
        <v>0</v>
      </c>
      <c r="Q176" s="693">
        <f t="shared" si="174"/>
        <v>0</v>
      </c>
      <c r="R176" s="693">
        <f t="shared" si="174"/>
        <v>0</v>
      </c>
      <c r="S176" s="693">
        <f t="shared" si="174"/>
        <v>0</v>
      </c>
      <c r="T176" s="693">
        <f t="shared" si="174"/>
        <v>0</v>
      </c>
      <c r="U176" s="693">
        <f t="shared" si="174"/>
        <v>0</v>
      </c>
      <c r="V176" s="693">
        <f t="shared" si="174"/>
        <v>0</v>
      </c>
      <c r="W176" s="693">
        <f t="shared" si="174"/>
        <v>0</v>
      </c>
      <c r="X176" s="693">
        <f t="shared" si="174"/>
        <v>0</v>
      </c>
      <c r="Y176" s="693">
        <f t="shared" si="174"/>
        <v>0</v>
      </c>
      <c r="Z176" s="693">
        <f t="shared" si="174"/>
        <v>0</v>
      </c>
      <c r="AA176" s="693">
        <f t="shared" si="174"/>
        <v>0</v>
      </c>
      <c r="AB176" s="693">
        <f t="shared" si="174"/>
        <v>0</v>
      </c>
      <c r="AD176" s="35"/>
    </row>
    <row r="177" spans="1:64" s="83" customFormat="1" x14ac:dyDescent="0.3">
      <c r="A177" s="82"/>
      <c r="B177" s="178" t="str">
        <f t="shared" si="168"/>
        <v>TFLEPYD100</v>
      </c>
      <c r="C177" s="178"/>
      <c r="D177" s="179"/>
      <c r="E177" s="178"/>
      <c r="F177" s="182"/>
      <c r="G177" s="181"/>
      <c r="H177" s="182"/>
      <c r="I177" s="183">
        <f>AF$9</f>
        <v>2040</v>
      </c>
      <c r="J177" s="184"/>
      <c r="K177" s="184"/>
      <c r="L177" s="203" t="s">
        <v>1064</v>
      </c>
      <c r="M177" s="184" t="s">
        <v>747</v>
      </c>
      <c r="N177" s="693">
        <f t="shared" ref="N177:AB177" si="175">N172*LOOKUP($AD165,$AG$4:$AP$4,$AG$9:$AP$9)</f>
        <v>5.0000000000000001E-3</v>
      </c>
      <c r="O177" s="693">
        <f t="shared" si="175"/>
        <v>0</v>
      </c>
      <c r="P177" s="693">
        <f t="shared" si="175"/>
        <v>0</v>
      </c>
      <c r="Q177" s="693">
        <f t="shared" si="175"/>
        <v>0</v>
      </c>
      <c r="R177" s="693">
        <f t="shared" si="175"/>
        <v>0</v>
      </c>
      <c r="S177" s="693">
        <f t="shared" si="175"/>
        <v>0</v>
      </c>
      <c r="T177" s="693">
        <f t="shared" si="175"/>
        <v>0</v>
      </c>
      <c r="U177" s="693">
        <f t="shared" si="175"/>
        <v>0</v>
      </c>
      <c r="V177" s="693">
        <f t="shared" si="175"/>
        <v>0</v>
      </c>
      <c r="W177" s="693">
        <f t="shared" si="175"/>
        <v>0</v>
      </c>
      <c r="X177" s="693">
        <f t="shared" si="175"/>
        <v>0</v>
      </c>
      <c r="Y177" s="693">
        <f t="shared" si="175"/>
        <v>0</v>
      </c>
      <c r="Z177" s="693">
        <f t="shared" si="175"/>
        <v>0</v>
      </c>
      <c r="AA177" s="693">
        <f t="shared" si="175"/>
        <v>0</v>
      </c>
      <c r="AB177" s="693">
        <f t="shared" si="175"/>
        <v>0</v>
      </c>
      <c r="AD177" s="35"/>
    </row>
    <row r="178" spans="1:64" s="83" customFormat="1" x14ac:dyDescent="0.3">
      <c r="A178" s="82"/>
      <c r="B178" s="204" t="str">
        <f t="shared" si="168"/>
        <v>TFLEPYD100</v>
      </c>
      <c r="C178" s="204"/>
      <c r="D178" s="205"/>
      <c r="E178" s="204"/>
      <c r="F178" s="206"/>
      <c r="G178" s="207"/>
      <c r="H178" s="206"/>
      <c r="I178" s="208">
        <f>AF$10</f>
        <v>2050</v>
      </c>
      <c r="J178" s="209"/>
      <c r="K178" s="209"/>
      <c r="L178" s="210" t="s">
        <v>1064</v>
      </c>
      <c r="M178" s="209" t="s">
        <v>747</v>
      </c>
      <c r="N178" s="694">
        <f t="shared" ref="N178:AB178" si="176">N172*LOOKUP($AD165,$AG$4:$AP$4,$AG$10:$AP$10)</f>
        <v>0</v>
      </c>
      <c r="O178" s="694">
        <f t="shared" si="176"/>
        <v>0</v>
      </c>
      <c r="P178" s="694">
        <f t="shared" si="176"/>
        <v>0</v>
      </c>
      <c r="Q178" s="694">
        <f t="shared" si="176"/>
        <v>0</v>
      </c>
      <c r="R178" s="694">
        <f t="shared" si="176"/>
        <v>0</v>
      </c>
      <c r="S178" s="694">
        <f t="shared" si="176"/>
        <v>0</v>
      </c>
      <c r="T178" s="694">
        <f t="shared" si="176"/>
        <v>0</v>
      </c>
      <c r="U178" s="694">
        <f t="shared" si="176"/>
        <v>0</v>
      </c>
      <c r="V178" s="694">
        <f t="shared" si="176"/>
        <v>0</v>
      </c>
      <c r="W178" s="694">
        <f t="shared" si="176"/>
        <v>0</v>
      </c>
      <c r="X178" s="694">
        <f t="shared" si="176"/>
        <v>0</v>
      </c>
      <c r="Y178" s="694">
        <f t="shared" si="176"/>
        <v>0</v>
      </c>
      <c r="Z178" s="694">
        <f t="shared" si="176"/>
        <v>0</v>
      </c>
      <c r="AA178" s="694">
        <f t="shared" si="176"/>
        <v>0</v>
      </c>
      <c r="AB178" s="694">
        <f t="shared" si="176"/>
        <v>0</v>
      </c>
    </row>
    <row r="179" spans="1:64" s="83" customFormat="1" x14ac:dyDescent="0.3">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699" t="str">
        <f t="shared" ref="AV179:AV182" si="178">MID(E179,1,7)</f>
        <v>TRAGSL</v>
      </c>
      <c r="AW179" s="567">
        <f t="shared" ref="AW179:AW181" si="179">SUM(AX179:BL179)</f>
        <v>0</v>
      </c>
    </row>
    <row r="180" spans="1:64" s="83" customFormat="1" x14ac:dyDescent="0.3">
      <c r="A180" s="82"/>
      <c r="B180" s="178" t="str">
        <f>B179</f>
        <v>TFLEPYG100</v>
      </c>
      <c r="C180" s="178"/>
      <c r="D180" s="179"/>
      <c r="E180" s="407" t="s">
        <v>1011</v>
      </c>
      <c r="F180" s="182"/>
      <c r="G180" s="181"/>
      <c r="H180" s="182"/>
      <c r="I180" s="183"/>
      <c r="J180" s="184" t="s">
        <v>1126</v>
      </c>
      <c r="K180" s="184"/>
      <c r="L180" s="203" t="s">
        <v>101</v>
      </c>
      <c r="M180" s="184"/>
      <c r="N180" s="390">
        <f>N$30</f>
        <v>5.0999999999999997E-2</v>
      </c>
      <c r="O180" s="390">
        <f t="shared" ref="O180:AB180" si="180">O$30</f>
        <v>5.0999999999999997E-2</v>
      </c>
      <c r="P180" s="390">
        <f t="shared" si="180"/>
        <v>5.0999999999999997E-2</v>
      </c>
      <c r="Q180" s="390">
        <f t="shared" si="180"/>
        <v>5.0999999999999997E-2</v>
      </c>
      <c r="R180" s="390">
        <f t="shared" si="180"/>
        <v>5.0999999999999997E-2</v>
      </c>
      <c r="S180" s="390">
        <f t="shared" si="180"/>
        <v>5.0999999999999997E-2</v>
      </c>
      <c r="T180" s="390">
        <f t="shared" si="180"/>
        <v>5.0999999999999997E-2</v>
      </c>
      <c r="U180" s="390">
        <f t="shared" si="180"/>
        <v>5.0999999999999997E-2</v>
      </c>
      <c r="V180" s="390">
        <f t="shared" si="180"/>
        <v>5.0999999999999997E-2</v>
      </c>
      <c r="W180" s="390">
        <f t="shared" si="180"/>
        <v>5.0999999999999997E-2</v>
      </c>
      <c r="X180" s="390">
        <f t="shared" si="180"/>
        <v>5.0999999999999997E-2</v>
      </c>
      <c r="Y180" s="390">
        <f t="shared" si="180"/>
        <v>5.0999999999999997E-2</v>
      </c>
      <c r="Z180" s="390">
        <f t="shared" si="180"/>
        <v>5.0999999999999997E-2</v>
      </c>
      <c r="AA180" s="390">
        <f t="shared" si="180"/>
        <v>5.0999999999999997E-2</v>
      </c>
      <c r="AB180" s="390">
        <f t="shared" si="180"/>
        <v>5.0999999999999997E-2</v>
      </c>
      <c r="AD180" s="66" t="str">
        <f>IF(COUNTIF($AG$4:$AP$4,AD179)=1,"ok","MISSING")</f>
        <v>ok</v>
      </c>
      <c r="AV180" s="699" t="str">
        <f t="shared" si="178"/>
        <v>TRAETHM</v>
      </c>
      <c r="AW180" s="567">
        <f t="shared" si="179"/>
        <v>0</v>
      </c>
    </row>
    <row r="181" spans="1:64" s="83" customFormat="1" x14ac:dyDescent="0.3">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699" t="str">
        <f>MID(E181,1,8)</f>
        <v>TRABGSLM</v>
      </c>
      <c r="AW181" s="567">
        <f t="shared" si="179"/>
        <v>0</v>
      </c>
      <c r="AX181" s="720"/>
      <c r="AY181" s="720"/>
      <c r="AZ181" s="720"/>
      <c r="BA181" s="720"/>
      <c r="BB181" s="720"/>
      <c r="BC181" s="720"/>
      <c r="BD181" s="720"/>
      <c r="BE181" s="720"/>
      <c r="BF181" s="720"/>
      <c r="BG181" s="720"/>
      <c r="BH181" s="720"/>
      <c r="BI181" s="720"/>
      <c r="BJ181" s="720"/>
      <c r="BK181" s="720"/>
      <c r="BL181" s="720"/>
    </row>
    <row r="182" spans="1:64" s="83" customFormat="1" x14ac:dyDescent="0.3">
      <c r="A182" s="82"/>
      <c r="B182" s="178" t="str">
        <f>B180</f>
        <v>TFLEPYG100</v>
      </c>
      <c r="C182" s="178"/>
      <c r="D182" s="179"/>
      <c r="E182" s="178"/>
      <c r="F182" s="182"/>
      <c r="G182" s="173" t="s">
        <v>431</v>
      </c>
      <c r="H182" s="182"/>
      <c r="I182" s="183"/>
      <c r="J182" s="184"/>
      <c r="K182" s="184"/>
      <c r="L182" s="184" t="s">
        <v>1125</v>
      </c>
      <c r="M182" s="184" t="s">
        <v>677</v>
      </c>
      <c r="N182" s="675">
        <f>T_CEFF!H178</f>
        <v>0.72726999999999997</v>
      </c>
      <c r="O182" s="675">
        <f>T_CEFF!I178</f>
        <v>0.72726999999999997</v>
      </c>
      <c r="P182" s="675">
        <f>T_CEFF!J178</f>
        <v>0.72726999999999997</v>
      </c>
      <c r="Q182" s="675">
        <f>T_CEFF!K178</f>
        <v>0.72726999999999997</v>
      </c>
      <c r="R182" s="675">
        <f>T_CEFF!L178</f>
        <v>0.72726999999999997</v>
      </c>
      <c r="S182" s="675">
        <f>T_CEFF!M178</f>
        <v>0.72726999999999997</v>
      </c>
      <c r="T182" s="675">
        <f>T_CEFF!N178</f>
        <v>0.72726999999999997</v>
      </c>
      <c r="U182" s="675">
        <f>T_CEFF!O178</f>
        <v>0.72726999999999997</v>
      </c>
      <c r="V182" s="675">
        <f>T_CEFF!P178</f>
        <v>0.72726999999999997</v>
      </c>
      <c r="W182" s="675">
        <f>T_CEFF!Q178</f>
        <v>0.72726999999999997</v>
      </c>
      <c r="X182" s="675">
        <f>T_CEFF!R178</f>
        <v>0.72726999999999997</v>
      </c>
      <c r="Y182" s="675">
        <f>T_CEFF!S178</f>
        <v>0.72726999999999997</v>
      </c>
      <c r="Z182" s="675">
        <f>T_CEFF!T178</f>
        <v>0.72726999999999997</v>
      </c>
      <c r="AA182" s="675">
        <f>T_CEFF!U178</f>
        <v>0.72726999999999997</v>
      </c>
      <c r="AB182" s="675">
        <f>T_CEFF!V178</f>
        <v>0.72726999999999997</v>
      </c>
      <c r="AV182" s="699" t="str">
        <f t="shared" si="178"/>
        <v/>
      </c>
      <c r="AW182" s="567"/>
    </row>
    <row r="183" spans="1:64" s="83" customFormat="1" x14ac:dyDescent="0.3">
      <c r="A183" s="82"/>
      <c r="B183" s="178" t="str">
        <f>B182</f>
        <v>TFLEPYG100</v>
      </c>
      <c r="C183" s="178"/>
      <c r="D183" s="179"/>
      <c r="E183" s="178"/>
      <c r="F183" s="182"/>
      <c r="G183" s="173" t="s">
        <v>429</v>
      </c>
      <c r="H183" s="182"/>
      <c r="I183" s="183"/>
      <c r="J183" s="184"/>
      <c r="K183" s="184"/>
      <c r="L183" s="184" t="s">
        <v>1125</v>
      </c>
      <c r="M183" s="184" t="s">
        <v>677</v>
      </c>
      <c r="N183" s="675">
        <f>T_CEFF!H179</f>
        <v>0.82474000000000003</v>
      </c>
      <c r="O183" s="675">
        <f>T_CEFF!I179</f>
        <v>0.82474000000000003</v>
      </c>
      <c r="P183" s="675">
        <f>T_CEFF!J179</f>
        <v>0.82474000000000003</v>
      </c>
      <c r="Q183" s="675">
        <f>T_CEFF!K179</f>
        <v>0.82474000000000003</v>
      </c>
      <c r="R183" s="675">
        <f>T_CEFF!L179</f>
        <v>0.82474000000000003</v>
      </c>
      <c r="S183" s="675">
        <f>T_CEFF!M179</f>
        <v>0.82474000000000003</v>
      </c>
      <c r="T183" s="675">
        <f>T_CEFF!N179</f>
        <v>0.82474000000000003</v>
      </c>
      <c r="U183" s="675">
        <f>T_CEFF!O179</f>
        <v>0.82474000000000003</v>
      </c>
      <c r="V183" s="675">
        <f>T_CEFF!P179</f>
        <v>0.82474000000000003</v>
      </c>
      <c r="W183" s="675">
        <f>T_CEFF!Q179</f>
        <v>0.82474000000000003</v>
      </c>
      <c r="X183" s="675">
        <f>T_CEFF!R179</f>
        <v>0.82474000000000003</v>
      </c>
      <c r="Y183" s="675">
        <f>T_CEFF!S179</f>
        <v>0.82474000000000003</v>
      </c>
      <c r="Z183" s="675">
        <f>T_CEFF!T179</f>
        <v>0.82474000000000003</v>
      </c>
      <c r="AA183" s="675">
        <f>T_CEFF!U179</f>
        <v>0.82474000000000003</v>
      </c>
      <c r="AB183" s="675">
        <f>T_CEFF!V179</f>
        <v>0.82474000000000003</v>
      </c>
    </row>
    <row r="184" spans="1:64" s="83" customFormat="1" x14ac:dyDescent="0.3">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3">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10.013030000000001</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1">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3">
      <c r="A186" s="82"/>
      <c r="B186" s="178" t="str">
        <f t="shared" si="183"/>
        <v>TFLEPYG100</v>
      </c>
      <c r="C186" s="178"/>
      <c r="D186" s="179"/>
      <c r="E186" s="178"/>
      <c r="F186" s="182"/>
      <c r="G186" s="181"/>
      <c r="H186" s="182"/>
      <c r="I186" s="183">
        <f>$M$3</f>
        <v>2019</v>
      </c>
      <c r="J186" s="184"/>
      <c r="K186" s="184"/>
      <c r="L186" s="203" t="s">
        <v>1064</v>
      </c>
      <c r="M186" s="184" t="s">
        <v>747</v>
      </c>
      <c r="N186" s="693">
        <f>LOOKUP($C$179, T_Stock_Private!$C$90:$C$100, T_Stock_Private!D$90:D$100)*(1+N41)</f>
        <v>0</v>
      </c>
      <c r="O186" s="693">
        <f>LOOKUP($C$179, T_Stock_Private!$C$90:$C$100, T_Stock_Private!E$90:E$100)*(1+O41)</f>
        <v>0</v>
      </c>
      <c r="P186" s="693">
        <f>LOOKUP($C$179, T_Stock_Private!$C$90:$C$100, T_Stock_Private!F$90:F$100)*(1+P41)</f>
        <v>0</v>
      </c>
      <c r="Q186" s="693">
        <f>LOOKUP($C$179, T_Stock_Private!$C$90:$C$100, T_Stock_Private!G$90:G$100)*(1+Q41)</f>
        <v>0</v>
      </c>
      <c r="R186" s="693">
        <f>LOOKUP($C$179, T_Stock_Private!$C$90:$C$100, T_Stock_Private!H$90:H$100)*(1+R41)</f>
        <v>0</v>
      </c>
      <c r="S186" s="693">
        <f>LOOKUP($C$179, T_Stock_Private!$C$90:$C$100, T_Stock_Private!I$90:I$100)*(1+S41)</f>
        <v>0</v>
      </c>
      <c r="T186" s="693">
        <f>LOOKUP($C$179, T_Stock_Private!$C$90:$C$100, T_Stock_Private!J$90:J$100)*(1+T41)</f>
        <v>0</v>
      </c>
      <c r="U186" s="693">
        <f>LOOKUP($C$179, T_Stock_Private!$C$90:$C$100, T_Stock_Private!K$90:K$100)*(1+U41)</f>
        <v>0</v>
      </c>
      <c r="V186" s="693">
        <f>LOOKUP($C$179, T_Stock_Private!$C$90:$C$100, T_Stock_Private!L$90:L$100)*(1+V41)</f>
        <v>0</v>
      </c>
      <c r="W186" s="693">
        <f>LOOKUP($C$179, T_Stock_Private!$C$90:$C$100, T_Stock_Private!M$90:M$100)*(1+W41)</f>
        <v>0</v>
      </c>
      <c r="X186" s="693">
        <f>LOOKUP($C$179, T_Stock_Private!$C$90:$C$100, T_Stock_Private!N$90:N$100)*(1+X41)</f>
        <v>0</v>
      </c>
      <c r="Y186" s="693">
        <f>LOOKUP($C$179, T_Stock_Private!$C$90:$C$100, T_Stock_Private!O$90:O$100)*(1+Y41)</f>
        <v>0</v>
      </c>
      <c r="Z186" s="693">
        <f>LOOKUP($C$179, T_Stock_Private!$C$90:$C$100, T_Stock_Private!P$90:P$100)*(1+Z41)</f>
        <v>0</v>
      </c>
      <c r="AA186" s="693">
        <f>LOOKUP($C$179, T_Stock_Private!$C$90:$C$100, T_Stock_Private!Q$90:Q$100)*(1+AA41)</f>
        <v>0</v>
      </c>
      <c r="AB186" s="693">
        <f>LOOKUP($C$179, T_Stock_Private!$C$90:$C$100, T_Stock_Private!R$90:R$100)*(1+AB41)</f>
        <v>0</v>
      </c>
      <c r="AC186" s="89"/>
      <c r="AD186" s="35"/>
    </row>
    <row r="187" spans="1:64" s="83" customFormat="1" x14ac:dyDescent="0.3">
      <c r="A187" s="82"/>
      <c r="B187" s="178" t="str">
        <f t="shared" si="183"/>
        <v>TFLEPYG100</v>
      </c>
      <c r="C187" s="178"/>
      <c r="D187" s="179"/>
      <c r="E187" s="178"/>
      <c r="F187" s="182"/>
      <c r="G187" s="181"/>
      <c r="H187" s="182"/>
      <c r="I187" s="183">
        <f>AF$5</f>
        <v>2020</v>
      </c>
      <c r="J187" s="184"/>
      <c r="K187" s="184"/>
      <c r="L187" s="203" t="s">
        <v>1064</v>
      </c>
      <c r="M187" s="184" t="s">
        <v>747</v>
      </c>
      <c r="N187" s="693">
        <f t="shared" ref="N187:AB187" si="186">N186*LOOKUP($AD179,$AG$4:$AP$4,$AG$5:$AP$5)</f>
        <v>0</v>
      </c>
      <c r="O187" s="693">
        <f t="shared" si="186"/>
        <v>0</v>
      </c>
      <c r="P187" s="693">
        <f t="shared" si="186"/>
        <v>0</v>
      </c>
      <c r="Q187" s="693">
        <f t="shared" si="186"/>
        <v>0</v>
      </c>
      <c r="R187" s="693">
        <f t="shared" si="186"/>
        <v>0</v>
      </c>
      <c r="S187" s="693">
        <f t="shared" si="186"/>
        <v>0</v>
      </c>
      <c r="T187" s="693">
        <f t="shared" si="186"/>
        <v>0</v>
      </c>
      <c r="U187" s="693">
        <f t="shared" si="186"/>
        <v>0</v>
      </c>
      <c r="V187" s="693">
        <f t="shared" si="186"/>
        <v>0</v>
      </c>
      <c r="W187" s="693">
        <f t="shared" si="186"/>
        <v>0</v>
      </c>
      <c r="X187" s="693">
        <f t="shared" si="186"/>
        <v>0</v>
      </c>
      <c r="Y187" s="693">
        <f t="shared" si="186"/>
        <v>0</v>
      </c>
      <c r="Z187" s="693">
        <f t="shared" si="186"/>
        <v>0</v>
      </c>
      <c r="AA187" s="693">
        <f t="shared" si="186"/>
        <v>0</v>
      </c>
      <c r="AB187" s="693">
        <f t="shared" si="186"/>
        <v>0</v>
      </c>
      <c r="AD187" s="35"/>
    </row>
    <row r="188" spans="1:64" s="83" customFormat="1" x14ac:dyDescent="0.3">
      <c r="A188" s="82"/>
      <c r="B188" s="178" t="str">
        <f t="shared" si="183"/>
        <v>TFLEPYG100</v>
      </c>
      <c r="C188" s="178"/>
      <c r="D188" s="179"/>
      <c r="E188" s="178"/>
      <c r="F188" s="182"/>
      <c r="G188" s="181"/>
      <c r="H188" s="182"/>
      <c r="I188" s="183">
        <f>AF$6</f>
        <v>2025</v>
      </c>
      <c r="J188" s="184"/>
      <c r="K188" s="184"/>
      <c r="L188" s="203" t="s">
        <v>1064</v>
      </c>
      <c r="M188" s="184" t="s">
        <v>747</v>
      </c>
      <c r="N188" s="693">
        <f t="shared" ref="N188:AB188" si="187">N186*LOOKUP($AD179,$AG$4:$AP$4,$AG$6:$AP$6)</f>
        <v>0</v>
      </c>
      <c r="O188" s="693">
        <f t="shared" si="187"/>
        <v>0</v>
      </c>
      <c r="P188" s="693">
        <f t="shared" si="187"/>
        <v>0</v>
      </c>
      <c r="Q188" s="693">
        <f t="shared" si="187"/>
        <v>0</v>
      </c>
      <c r="R188" s="693">
        <f t="shared" si="187"/>
        <v>0</v>
      </c>
      <c r="S188" s="693">
        <f t="shared" si="187"/>
        <v>0</v>
      </c>
      <c r="T188" s="693">
        <f t="shared" si="187"/>
        <v>0</v>
      </c>
      <c r="U188" s="693">
        <f t="shared" si="187"/>
        <v>0</v>
      </c>
      <c r="V188" s="693">
        <f t="shared" si="187"/>
        <v>0</v>
      </c>
      <c r="W188" s="693">
        <f t="shared" si="187"/>
        <v>0</v>
      </c>
      <c r="X188" s="693">
        <f t="shared" si="187"/>
        <v>0</v>
      </c>
      <c r="Y188" s="693">
        <f t="shared" si="187"/>
        <v>0</v>
      </c>
      <c r="Z188" s="693">
        <f t="shared" si="187"/>
        <v>0</v>
      </c>
      <c r="AA188" s="693">
        <f t="shared" si="187"/>
        <v>0</v>
      </c>
      <c r="AB188" s="693">
        <f t="shared" si="187"/>
        <v>0</v>
      </c>
      <c r="AD188" s="35"/>
    </row>
    <row r="189" spans="1:64" s="83" customFormat="1" x14ac:dyDescent="0.3">
      <c r="A189" s="82"/>
      <c r="B189" s="178" t="str">
        <f t="shared" si="183"/>
        <v>TFLEPYG100</v>
      </c>
      <c r="C189" s="178"/>
      <c r="D189" s="179"/>
      <c r="E189" s="178"/>
      <c r="F189" s="182"/>
      <c r="G189" s="181"/>
      <c r="H189" s="182"/>
      <c r="I189" s="183">
        <f>AF$7</f>
        <v>2030</v>
      </c>
      <c r="J189" s="184"/>
      <c r="K189" s="184"/>
      <c r="L189" s="203" t="s">
        <v>1064</v>
      </c>
      <c r="M189" s="184" t="s">
        <v>747</v>
      </c>
      <c r="N189" s="693">
        <f t="shared" ref="N189:AB189" si="188">N186*LOOKUP($AD179,$AG$4:$AP$4,$AG$7:$AP$7)</f>
        <v>0</v>
      </c>
      <c r="O189" s="693">
        <f t="shared" si="188"/>
        <v>0</v>
      </c>
      <c r="P189" s="693">
        <f t="shared" si="188"/>
        <v>0</v>
      </c>
      <c r="Q189" s="693">
        <f t="shared" si="188"/>
        <v>0</v>
      </c>
      <c r="R189" s="693">
        <f t="shared" si="188"/>
        <v>0</v>
      </c>
      <c r="S189" s="693">
        <f t="shared" si="188"/>
        <v>0</v>
      </c>
      <c r="T189" s="693">
        <f t="shared" si="188"/>
        <v>0</v>
      </c>
      <c r="U189" s="693">
        <f t="shared" si="188"/>
        <v>0</v>
      </c>
      <c r="V189" s="693">
        <f t="shared" si="188"/>
        <v>0</v>
      </c>
      <c r="W189" s="693">
        <f t="shared" si="188"/>
        <v>0</v>
      </c>
      <c r="X189" s="693">
        <f t="shared" si="188"/>
        <v>0</v>
      </c>
      <c r="Y189" s="693">
        <f t="shared" si="188"/>
        <v>0</v>
      </c>
      <c r="Z189" s="693">
        <f t="shared" si="188"/>
        <v>0</v>
      </c>
      <c r="AA189" s="693">
        <f t="shared" si="188"/>
        <v>0</v>
      </c>
      <c r="AB189" s="693">
        <f t="shared" si="188"/>
        <v>0</v>
      </c>
      <c r="AD189" s="35"/>
    </row>
    <row r="190" spans="1:64" s="83" customFormat="1" x14ac:dyDescent="0.3">
      <c r="A190" s="82"/>
      <c r="B190" s="178" t="str">
        <f t="shared" si="183"/>
        <v>TFLEPYG100</v>
      </c>
      <c r="C190" s="178"/>
      <c r="D190" s="179"/>
      <c r="E190" s="178"/>
      <c r="F190" s="182"/>
      <c r="G190" s="181"/>
      <c r="H190" s="182"/>
      <c r="I190" s="183">
        <f>AF$8</f>
        <v>2035</v>
      </c>
      <c r="J190" s="184"/>
      <c r="K190" s="184"/>
      <c r="L190" s="203" t="s">
        <v>1064</v>
      </c>
      <c r="M190" s="184" t="s">
        <v>747</v>
      </c>
      <c r="N190" s="693">
        <f t="shared" ref="N190:AB190" si="189">N186*LOOKUP($AD179,$AG$4:$AP$4,$AG$8:$AP$8)</f>
        <v>0</v>
      </c>
      <c r="O190" s="693">
        <f t="shared" si="189"/>
        <v>0</v>
      </c>
      <c r="P190" s="693">
        <f t="shared" si="189"/>
        <v>0</v>
      </c>
      <c r="Q190" s="693">
        <f t="shared" si="189"/>
        <v>0</v>
      </c>
      <c r="R190" s="693">
        <f t="shared" si="189"/>
        <v>0</v>
      </c>
      <c r="S190" s="693">
        <f t="shared" si="189"/>
        <v>0</v>
      </c>
      <c r="T190" s="693">
        <f t="shared" si="189"/>
        <v>0</v>
      </c>
      <c r="U190" s="693">
        <f t="shared" si="189"/>
        <v>0</v>
      </c>
      <c r="V190" s="693">
        <f t="shared" si="189"/>
        <v>0</v>
      </c>
      <c r="W190" s="693">
        <f t="shared" si="189"/>
        <v>0</v>
      </c>
      <c r="X190" s="693">
        <f t="shared" si="189"/>
        <v>0</v>
      </c>
      <c r="Y190" s="693">
        <f t="shared" si="189"/>
        <v>0</v>
      </c>
      <c r="Z190" s="693">
        <f t="shared" si="189"/>
        <v>0</v>
      </c>
      <c r="AA190" s="693">
        <f t="shared" si="189"/>
        <v>0</v>
      </c>
      <c r="AB190" s="693">
        <f t="shared" si="189"/>
        <v>0</v>
      </c>
      <c r="AD190" s="35"/>
    </row>
    <row r="191" spans="1:64" s="83" customFormat="1" x14ac:dyDescent="0.3">
      <c r="A191" s="82"/>
      <c r="B191" s="178" t="str">
        <f t="shared" si="183"/>
        <v>TFLEPYG100</v>
      </c>
      <c r="C191" s="178"/>
      <c r="D191" s="179"/>
      <c r="E191" s="178"/>
      <c r="F191" s="182"/>
      <c r="G191" s="181"/>
      <c r="H191" s="182"/>
      <c r="I191" s="183">
        <f>AF$9</f>
        <v>2040</v>
      </c>
      <c r="J191" s="184"/>
      <c r="K191" s="184"/>
      <c r="L191" s="203" t="s">
        <v>1064</v>
      </c>
      <c r="M191" s="184" t="s">
        <v>747</v>
      </c>
      <c r="N191" s="693">
        <f t="shared" ref="N191:AB191" si="190">N186*LOOKUP($AD179,$AG$4:$AP$4,$AG$9:$AP$9)</f>
        <v>0</v>
      </c>
      <c r="O191" s="693">
        <f t="shared" si="190"/>
        <v>0</v>
      </c>
      <c r="P191" s="693">
        <f t="shared" si="190"/>
        <v>0</v>
      </c>
      <c r="Q191" s="693">
        <f t="shared" si="190"/>
        <v>0</v>
      </c>
      <c r="R191" s="693">
        <f t="shared" si="190"/>
        <v>0</v>
      </c>
      <c r="S191" s="693">
        <f t="shared" si="190"/>
        <v>0</v>
      </c>
      <c r="T191" s="693">
        <f t="shared" si="190"/>
        <v>0</v>
      </c>
      <c r="U191" s="693">
        <f t="shared" si="190"/>
        <v>0</v>
      </c>
      <c r="V191" s="693">
        <f t="shared" si="190"/>
        <v>0</v>
      </c>
      <c r="W191" s="693">
        <f t="shared" si="190"/>
        <v>0</v>
      </c>
      <c r="X191" s="693">
        <f t="shared" si="190"/>
        <v>0</v>
      </c>
      <c r="Y191" s="693">
        <f t="shared" si="190"/>
        <v>0</v>
      </c>
      <c r="Z191" s="693">
        <f t="shared" si="190"/>
        <v>0</v>
      </c>
      <c r="AA191" s="693">
        <f t="shared" si="190"/>
        <v>0</v>
      </c>
      <c r="AB191" s="693">
        <f t="shared" si="190"/>
        <v>0</v>
      </c>
      <c r="AD191" s="35"/>
    </row>
    <row r="192" spans="1:64" s="83" customFormat="1" x14ac:dyDescent="0.3">
      <c r="A192" s="82"/>
      <c r="B192" s="204" t="str">
        <f t="shared" si="183"/>
        <v>TFLEPYG100</v>
      </c>
      <c r="C192" s="204"/>
      <c r="D192" s="205"/>
      <c r="E192" s="204"/>
      <c r="F192" s="206"/>
      <c r="G192" s="207"/>
      <c r="H192" s="206"/>
      <c r="I192" s="208">
        <f>AF$10</f>
        <v>2050</v>
      </c>
      <c r="J192" s="209"/>
      <c r="K192" s="209"/>
      <c r="L192" s="210" t="s">
        <v>1064</v>
      </c>
      <c r="M192" s="209" t="s">
        <v>747</v>
      </c>
      <c r="N192" s="694">
        <f t="shared" ref="N192:AB192" si="191">N186*LOOKUP($AD179,$AG$4:$AP$4,$AG$10:$AP$10)</f>
        <v>0</v>
      </c>
      <c r="O192" s="694">
        <f t="shared" si="191"/>
        <v>0</v>
      </c>
      <c r="P192" s="694">
        <f t="shared" si="191"/>
        <v>0</v>
      </c>
      <c r="Q192" s="694">
        <f t="shared" si="191"/>
        <v>0</v>
      </c>
      <c r="R192" s="694">
        <f t="shared" si="191"/>
        <v>0</v>
      </c>
      <c r="S192" s="694">
        <f t="shared" si="191"/>
        <v>0</v>
      </c>
      <c r="T192" s="694">
        <f t="shared" si="191"/>
        <v>0</v>
      </c>
      <c r="U192" s="694">
        <f t="shared" si="191"/>
        <v>0</v>
      </c>
      <c r="V192" s="694">
        <f t="shared" si="191"/>
        <v>0</v>
      </c>
      <c r="W192" s="694">
        <f t="shared" si="191"/>
        <v>0</v>
      </c>
      <c r="X192" s="694">
        <f t="shared" si="191"/>
        <v>0</v>
      </c>
      <c r="Y192" s="694">
        <f t="shared" si="191"/>
        <v>0</v>
      </c>
      <c r="Z192" s="694">
        <f t="shared" si="191"/>
        <v>0</v>
      </c>
      <c r="AA192" s="694">
        <f t="shared" si="191"/>
        <v>0</v>
      </c>
      <c r="AB192" s="694">
        <f t="shared" si="191"/>
        <v>0</v>
      </c>
    </row>
    <row r="195" spans="1:64" hidden="1" x14ac:dyDescent="0.3">
      <c r="M195" s="473" t="s">
        <v>1151</v>
      </c>
      <c r="N195" s="481">
        <v>0</v>
      </c>
      <c r="O195" s="481">
        <f>N195</f>
        <v>0</v>
      </c>
      <c r="P195" s="481">
        <f>O195</f>
        <v>0</v>
      </c>
      <c r="Q195" s="481">
        <f t="shared" ref="Q195:AB195" si="192">P195</f>
        <v>0</v>
      </c>
      <c r="R195" s="481">
        <f t="shared" si="192"/>
        <v>0</v>
      </c>
      <c r="S195" s="481">
        <f t="shared" si="192"/>
        <v>0</v>
      </c>
      <c r="T195" s="481">
        <f t="shared" si="192"/>
        <v>0</v>
      </c>
      <c r="U195" s="481">
        <f t="shared" si="192"/>
        <v>0</v>
      </c>
      <c r="V195" s="481">
        <f t="shared" si="192"/>
        <v>0</v>
      </c>
      <c r="W195" s="481">
        <f t="shared" si="192"/>
        <v>0</v>
      </c>
      <c r="X195" s="481">
        <f t="shared" si="192"/>
        <v>0</v>
      </c>
      <c r="Y195" s="481">
        <f t="shared" si="192"/>
        <v>0</v>
      </c>
      <c r="Z195" s="481">
        <f t="shared" si="192"/>
        <v>0</v>
      </c>
      <c r="AA195" s="481">
        <f t="shared" si="192"/>
        <v>0</v>
      </c>
      <c r="AB195" s="481">
        <f t="shared" si="192"/>
        <v>0</v>
      </c>
    </row>
    <row r="196" spans="1:64" hidden="1" x14ac:dyDescent="0.3">
      <c r="B196" s="32" t="s">
        <v>1177</v>
      </c>
      <c r="C196" s="88"/>
      <c r="D196" s="26"/>
      <c r="I196" s="36"/>
      <c r="M196" s="473" t="s">
        <v>1153</v>
      </c>
      <c r="N196" s="481">
        <v>0</v>
      </c>
      <c r="O196" s="481">
        <f>N196</f>
        <v>0</v>
      </c>
      <c r="P196" s="481">
        <f t="shared" ref="P196:AB196" si="193">O196</f>
        <v>0</v>
      </c>
      <c r="Q196" s="481">
        <f t="shared" si="193"/>
        <v>0</v>
      </c>
      <c r="R196" s="481">
        <f t="shared" si="193"/>
        <v>0</v>
      </c>
      <c r="S196" s="481">
        <f t="shared" si="193"/>
        <v>0</v>
      </c>
      <c r="T196" s="481">
        <f t="shared" si="193"/>
        <v>0</v>
      </c>
      <c r="U196" s="481">
        <f t="shared" si="193"/>
        <v>0</v>
      </c>
      <c r="V196" s="481">
        <f t="shared" si="193"/>
        <v>0</v>
      </c>
      <c r="W196" s="481">
        <f t="shared" si="193"/>
        <v>0</v>
      </c>
      <c r="X196" s="481">
        <f t="shared" si="193"/>
        <v>0</v>
      </c>
      <c r="Y196" s="481">
        <f t="shared" si="193"/>
        <v>0</v>
      </c>
      <c r="Z196" s="481">
        <f t="shared" si="193"/>
        <v>0</v>
      </c>
      <c r="AA196" s="481">
        <f t="shared" si="193"/>
        <v>0</v>
      </c>
      <c r="AB196" s="481">
        <f t="shared" si="193"/>
        <v>0</v>
      </c>
    </row>
    <row r="197" spans="1:64" hidden="1" x14ac:dyDescent="0.3">
      <c r="I197" s="36"/>
      <c r="M197" s="473"/>
      <c r="N197" s="473"/>
      <c r="O197" s="473"/>
      <c r="P197" s="473"/>
      <c r="Q197" s="473"/>
      <c r="R197" s="473"/>
      <c r="S197" s="473"/>
      <c r="T197" s="473"/>
      <c r="U197" s="473"/>
      <c r="V197" s="473"/>
      <c r="W197" s="473"/>
      <c r="X197" s="473"/>
      <c r="Y197" s="473"/>
      <c r="Z197" s="473"/>
      <c r="AA197" s="473"/>
      <c r="AB197" s="473"/>
    </row>
    <row r="198" spans="1:64" s="22" customFormat="1" hidden="1" x14ac:dyDescent="0.3">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hidden="1" x14ac:dyDescent="0.3">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0" t="s">
        <v>85</v>
      </c>
      <c r="AW199" s="700" t="s">
        <v>421</v>
      </c>
      <c r="AX199" s="700" t="str">
        <f t="shared" ref="AX199:BL199" si="196">N$2</f>
        <v>Z01</v>
      </c>
      <c r="AY199" s="700" t="str">
        <f t="shared" si="196"/>
        <v>Z02</v>
      </c>
      <c r="AZ199" s="700" t="str">
        <f t="shared" si="196"/>
        <v>Z03</v>
      </c>
      <c r="BA199" s="700" t="str">
        <f t="shared" si="196"/>
        <v>Z04</v>
      </c>
      <c r="BB199" s="700" t="str">
        <f t="shared" si="196"/>
        <v>Z05</v>
      </c>
      <c r="BC199" s="700" t="str">
        <f t="shared" si="196"/>
        <v>Z06</v>
      </c>
      <c r="BD199" s="700" t="str">
        <f t="shared" si="196"/>
        <v>Z07</v>
      </c>
      <c r="BE199" s="700" t="str">
        <f t="shared" si="196"/>
        <v>Z08</v>
      </c>
      <c r="BF199" s="700" t="str">
        <f t="shared" si="196"/>
        <v>Z09</v>
      </c>
      <c r="BG199" s="700" t="str">
        <f t="shared" si="196"/>
        <v>Z10</v>
      </c>
      <c r="BH199" s="700" t="str">
        <f t="shared" si="196"/>
        <v>Z11</v>
      </c>
      <c r="BI199" s="700" t="str">
        <f t="shared" si="196"/>
        <v>Z12</v>
      </c>
      <c r="BJ199" s="700" t="str">
        <f t="shared" si="196"/>
        <v>Z13</v>
      </c>
      <c r="BK199" s="700" t="str">
        <f t="shared" si="196"/>
        <v>Z14</v>
      </c>
      <c r="BL199" s="700" t="str">
        <f t="shared" si="196"/>
        <v>Z15</v>
      </c>
    </row>
    <row r="200" spans="1:64" s="22" customFormat="1" hidden="1" x14ac:dyDescent="0.3">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4" t="e">
        <f>IF(AE201-SUM(N12:AB13)&lt;0,"too small",IF(AE201-SUM(N12:AB13)&gt;0.001,"Too big","ok"))</f>
        <v>#REF!</v>
      </c>
      <c r="AF200" s="618" t="e">
        <f t="shared" ref="AF200:AT200" si="197">IF(AF201-SUM(N12:N13)&lt;0,"too small",IF(AF201-SUM(N12:N13)&gt;0.001,"Too big","ok"))</f>
        <v>#REF!</v>
      </c>
      <c r="AG200" s="618" t="e">
        <f t="shared" si="197"/>
        <v>#REF!</v>
      </c>
      <c r="AH200" s="618" t="e">
        <f t="shared" si="197"/>
        <v>#REF!</v>
      </c>
      <c r="AI200" s="618" t="e">
        <f t="shared" si="197"/>
        <v>#REF!</v>
      </c>
      <c r="AJ200" s="618" t="e">
        <f t="shared" si="197"/>
        <v>#REF!</v>
      </c>
      <c r="AK200" s="618" t="e">
        <f t="shared" si="197"/>
        <v>#REF!</v>
      </c>
      <c r="AL200" s="618" t="e">
        <f t="shared" si="197"/>
        <v>#REF!</v>
      </c>
      <c r="AM200" s="618" t="e">
        <f t="shared" si="197"/>
        <v>#REF!</v>
      </c>
      <c r="AN200" s="618" t="e">
        <f t="shared" si="197"/>
        <v>#REF!</v>
      </c>
      <c r="AO200" s="618" t="e">
        <f t="shared" si="197"/>
        <v>#REF!</v>
      </c>
      <c r="AP200" s="618" t="e">
        <f t="shared" si="197"/>
        <v>#REF!</v>
      </c>
      <c r="AQ200" s="618" t="e">
        <f t="shared" si="197"/>
        <v>#REF!</v>
      </c>
      <c r="AR200" s="618" t="e">
        <f t="shared" si="197"/>
        <v>#REF!</v>
      </c>
      <c r="AS200" s="618" t="e">
        <f t="shared" si="197"/>
        <v>#REF!</v>
      </c>
      <c r="AT200" s="618" t="e">
        <f t="shared" si="197"/>
        <v>#REF!</v>
      </c>
      <c r="AV200" s="398" t="s">
        <v>103</v>
      </c>
      <c r="AW200" s="716">
        <f>SUM(AX200:BL200)</f>
        <v>0</v>
      </c>
      <c r="AX200" s="717">
        <f>SUM(AX201:AX333)</f>
        <v>0</v>
      </c>
      <c r="AY200" s="717">
        <f t="shared" ref="AY200" si="198">SUM(AY201:AY333)</f>
        <v>0</v>
      </c>
      <c r="AZ200" s="717">
        <f t="shared" ref="AZ200" si="199">SUM(AZ201:AZ333)</f>
        <v>0</v>
      </c>
      <c r="BA200" s="717">
        <f t="shared" ref="BA200" si="200">SUM(BA201:BA333)</f>
        <v>0</v>
      </c>
      <c r="BB200" s="717">
        <f t="shared" ref="BB200" si="201">SUM(BB201:BB333)</f>
        <v>0</v>
      </c>
      <c r="BC200" s="717">
        <f t="shared" ref="BC200" si="202">SUM(BC201:BC333)</f>
        <v>0</v>
      </c>
      <c r="BD200" s="717">
        <f t="shared" ref="BD200" si="203">SUM(BD201:BD333)</f>
        <v>0</v>
      </c>
      <c r="BE200" s="717">
        <f t="shared" ref="BE200" si="204">SUM(BE201:BE333)</f>
        <v>0</v>
      </c>
      <c r="BF200" s="717">
        <f t="shared" ref="BF200" si="205">SUM(BF201:BF333)</f>
        <v>0</v>
      </c>
      <c r="BG200" s="717">
        <f t="shared" ref="BG200" si="206">SUM(BG201:BG333)</f>
        <v>0</v>
      </c>
      <c r="BH200" s="717">
        <f t="shared" ref="BH200" si="207">SUM(BH201:BH333)</f>
        <v>0</v>
      </c>
      <c r="BI200" s="717">
        <f t="shared" ref="BI200" si="208">SUM(BI201:BI333)</f>
        <v>0</v>
      </c>
      <c r="BJ200" s="717">
        <f t="shared" ref="BJ200" si="209">SUM(BJ201:BJ333)</f>
        <v>0</v>
      </c>
      <c r="BK200" s="717">
        <f t="shared" ref="BK200" si="210">SUM(BK201:BK333)</f>
        <v>0</v>
      </c>
      <c r="BL200" s="717">
        <f t="shared" ref="BL200" si="211">SUM(BL201:BL333)</f>
        <v>0</v>
      </c>
    </row>
    <row r="201" spans="1:64" s="83" customFormat="1" hidden="1" x14ac:dyDescent="0.3">
      <c r="A201" s="82"/>
      <c r="B201" s="178" t="str">
        <f>C201</f>
        <v>TFMEBDL100</v>
      </c>
      <c r="C201" s="178" t="s">
        <v>358</v>
      </c>
      <c r="D201" s="179" t="s">
        <v>825</v>
      </c>
      <c r="E201" s="407" t="s">
        <v>987</v>
      </c>
      <c r="F201" s="182"/>
      <c r="G201" s="181"/>
      <c r="H201" s="182"/>
      <c r="I201" s="183"/>
      <c r="J201" s="184"/>
      <c r="K201" s="184"/>
      <c r="L201" s="203" t="s">
        <v>1106</v>
      </c>
      <c r="M201" s="184" t="s">
        <v>1124</v>
      </c>
      <c r="N201" s="566">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1" t="e">
        <f>SUM(AF201:AT201)</f>
        <v>#REF!</v>
      </c>
      <c r="AF201" s="585" t="e">
        <f t="shared" ref="AF201:AT201" si="213">SUM(AF203:AF334)</f>
        <v>#REF!</v>
      </c>
      <c r="AG201" s="585" t="e">
        <f t="shared" si="213"/>
        <v>#REF!</v>
      </c>
      <c r="AH201" s="585" t="e">
        <f t="shared" si="213"/>
        <v>#REF!</v>
      </c>
      <c r="AI201" s="585" t="e">
        <f t="shared" si="213"/>
        <v>#REF!</v>
      </c>
      <c r="AJ201" s="585" t="e">
        <f t="shared" si="213"/>
        <v>#REF!</v>
      </c>
      <c r="AK201" s="585" t="e">
        <f t="shared" si="213"/>
        <v>#REF!</v>
      </c>
      <c r="AL201" s="585" t="e">
        <f t="shared" si="213"/>
        <v>#REF!</v>
      </c>
      <c r="AM201" s="585" t="e">
        <f t="shared" si="213"/>
        <v>#REF!</v>
      </c>
      <c r="AN201" s="585" t="e">
        <f t="shared" si="213"/>
        <v>#REF!</v>
      </c>
      <c r="AO201" s="585" t="e">
        <f t="shared" si="213"/>
        <v>#REF!</v>
      </c>
      <c r="AP201" s="585" t="e">
        <f t="shared" si="213"/>
        <v>#REF!</v>
      </c>
      <c r="AQ201" s="585" t="e">
        <f t="shared" si="213"/>
        <v>#REF!</v>
      </c>
      <c r="AR201" s="585" t="e">
        <f t="shared" si="213"/>
        <v>#REF!</v>
      </c>
      <c r="AS201" s="585" t="e">
        <f t="shared" si="213"/>
        <v>#REF!</v>
      </c>
      <c r="AT201" s="585" t="e">
        <f t="shared" si="213"/>
        <v>#REF!</v>
      </c>
      <c r="AV201" s="699" t="str">
        <f>MID(E201,1,7)</f>
        <v>TRABDL</v>
      </c>
      <c r="AW201" s="567">
        <f>SUM(AX201:BL201)</f>
        <v>0</v>
      </c>
      <c r="AX201" s="567"/>
      <c r="AY201" s="567"/>
      <c r="AZ201" s="567"/>
      <c r="BA201" s="567"/>
      <c r="BB201" s="567"/>
      <c r="BC201" s="567"/>
      <c r="BD201" s="567"/>
      <c r="BE201" s="567"/>
      <c r="BF201" s="567"/>
      <c r="BG201" s="567"/>
      <c r="BH201" s="567"/>
      <c r="BI201" s="567"/>
      <c r="BJ201" s="567"/>
      <c r="BK201" s="567"/>
      <c r="BL201" s="567"/>
    </row>
    <row r="202" spans="1:64" s="83" customFormat="1" hidden="1" x14ac:dyDescent="0.3">
      <c r="B202" s="178" t="str">
        <f>B201</f>
        <v>TFMEBDL100</v>
      </c>
      <c r="C202" s="178"/>
      <c r="D202" s="179"/>
      <c r="E202" s="178"/>
      <c r="F202" s="182"/>
      <c r="G202" s="324" t="s">
        <v>435</v>
      </c>
      <c r="H202" s="182"/>
      <c r="I202" s="183"/>
      <c r="J202" s="184"/>
      <c r="K202" s="184"/>
      <c r="L202" s="184" t="s">
        <v>1125</v>
      </c>
      <c r="M202" s="184" t="s">
        <v>677</v>
      </c>
      <c r="N202" s="675">
        <f>T_CEFF!H180</f>
        <v>7.0400000000000004E-2</v>
      </c>
      <c r="O202" s="675">
        <f>T_CEFF!I180</f>
        <v>7.0400000000000004E-2</v>
      </c>
      <c r="P202" s="675">
        <f>T_CEFF!J180</f>
        <v>7.0400000000000004E-2</v>
      </c>
      <c r="Q202" s="675">
        <f>T_CEFF!K180</f>
        <v>7.0400000000000004E-2</v>
      </c>
      <c r="R202" s="675">
        <f>T_CEFF!L180</f>
        <v>7.0400000000000004E-2</v>
      </c>
      <c r="S202" s="675">
        <f>T_CEFF!M180</f>
        <v>7.0400000000000004E-2</v>
      </c>
      <c r="T202" s="675">
        <f>T_CEFF!N180</f>
        <v>7.0400000000000004E-2</v>
      </c>
      <c r="U202" s="675">
        <f>T_CEFF!O180</f>
        <v>7.0400000000000004E-2</v>
      </c>
      <c r="V202" s="675">
        <f>T_CEFF!P180</f>
        <v>7.0400000000000004E-2</v>
      </c>
      <c r="W202" s="675">
        <f>T_CEFF!Q180</f>
        <v>7.0400000000000004E-2</v>
      </c>
      <c r="X202" s="675">
        <f>T_CEFF!R180</f>
        <v>7.0400000000000004E-2</v>
      </c>
      <c r="Y202" s="675">
        <f>T_CEFF!S180</f>
        <v>7.0400000000000004E-2</v>
      </c>
      <c r="Z202" s="675">
        <f>T_CEFF!T180</f>
        <v>7.0400000000000004E-2</v>
      </c>
      <c r="AA202" s="675">
        <f>T_CEFF!U180</f>
        <v>7.0400000000000004E-2</v>
      </c>
      <c r="AB202" s="675">
        <f>T_CEFF!V180</f>
        <v>7.0400000000000004E-2</v>
      </c>
      <c r="AF202" s="333"/>
      <c r="AV202" s="699" t="str">
        <f>MID(E202,1,7)</f>
        <v/>
      </c>
      <c r="AW202" s="567"/>
      <c r="AX202" s="567"/>
      <c r="AY202" s="567"/>
      <c r="AZ202" s="567"/>
      <c r="BA202" s="567"/>
      <c r="BB202" s="567"/>
      <c r="BC202" s="567"/>
      <c r="BD202" s="567"/>
      <c r="BE202" s="567"/>
      <c r="BF202" s="567"/>
      <c r="BG202" s="567"/>
      <c r="BH202" s="567"/>
      <c r="BI202" s="567"/>
      <c r="BJ202" s="567"/>
      <c r="BK202" s="567"/>
      <c r="BL202" s="567"/>
    </row>
    <row r="203" spans="1:64" s="83" customFormat="1" hidden="1" x14ac:dyDescent="0.3">
      <c r="B203" s="178" t="str">
        <f t="shared" ref="B203:B212" si="214">B202</f>
        <v>TFMEBDL100</v>
      </c>
      <c r="C203" s="178"/>
      <c r="D203" s="179"/>
      <c r="E203" s="178"/>
      <c r="F203" s="182"/>
      <c r="G203" s="324" t="s">
        <v>433</v>
      </c>
      <c r="H203" s="182"/>
      <c r="I203" s="183"/>
      <c r="J203" s="184"/>
      <c r="K203" s="184"/>
      <c r="L203" s="184" t="s">
        <v>1125</v>
      </c>
      <c r="M203" s="184" t="s">
        <v>677</v>
      </c>
      <c r="N203" s="675">
        <f>T_CEFF!H181</f>
        <v>5.6320000000000002E-2</v>
      </c>
      <c r="O203" s="675">
        <f>T_CEFF!I181</f>
        <v>5.6320000000000002E-2</v>
      </c>
      <c r="P203" s="675">
        <f>T_CEFF!J181</f>
        <v>5.6320000000000002E-2</v>
      </c>
      <c r="Q203" s="675">
        <f>T_CEFF!K181</f>
        <v>5.6320000000000002E-2</v>
      </c>
      <c r="R203" s="675">
        <f>T_CEFF!L181</f>
        <v>5.6320000000000002E-2</v>
      </c>
      <c r="S203" s="675">
        <f>T_CEFF!M181</f>
        <v>5.6320000000000002E-2</v>
      </c>
      <c r="T203" s="675">
        <f>T_CEFF!N181</f>
        <v>5.6320000000000002E-2</v>
      </c>
      <c r="U203" s="675">
        <f>T_CEFF!O181</f>
        <v>5.6320000000000002E-2</v>
      </c>
      <c r="V203" s="675">
        <f>T_CEFF!P181</f>
        <v>5.6320000000000002E-2</v>
      </c>
      <c r="W203" s="675">
        <f>T_CEFF!Q181</f>
        <v>5.6320000000000002E-2</v>
      </c>
      <c r="X203" s="675">
        <f>T_CEFF!R181</f>
        <v>5.6320000000000002E-2</v>
      </c>
      <c r="Y203" s="675">
        <f>T_CEFF!S181</f>
        <v>5.6320000000000002E-2</v>
      </c>
      <c r="Z203" s="675">
        <f>T_CEFF!T181</f>
        <v>5.6320000000000002E-2</v>
      </c>
      <c r="AA203" s="675">
        <f>T_CEFF!U181</f>
        <v>5.6320000000000002E-2</v>
      </c>
      <c r="AB203" s="675">
        <f>T_CEFF!V181</f>
        <v>5.6320000000000002E-2</v>
      </c>
    </row>
    <row r="204" spans="1:64" s="83" customFormat="1" hidden="1" x14ac:dyDescent="0.3">
      <c r="B204" s="178" t="str">
        <f>B203</f>
        <v>TFMEBDL100</v>
      </c>
      <c r="C204" s="178"/>
      <c r="D204" s="179"/>
      <c r="E204" s="178"/>
      <c r="F204" s="182"/>
      <c r="G204" s="181"/>
      <c r="H204" s="182"/>
      <c r="I204" s="183"/>
      <c r="J204" s="184"/>
      <c r="K204" s="184" t="s">
        <v>748</v>
      </c>
      <c r="L204" s="184" t="s">
        <v>1127</v>
      </c>
      <c r="M204" s="184" t="s">
        <v>1174</v>
      </c>
      <c r="N204" s="388" t="e">
        <f>N$24</f>
        <v>#REF!</v>
      </c>
      <c r="O204" s="388" t="e">
        <f t="shared" ref="O204:AB204" si="215">O$24</f>
        <v>#REF!</v>
      </c>
      <c r="P204" s="388" t="e">
        <f t="shared" si="215"/>
        <v>#REF!</v>
      </c>
      <c r="Q204" s="388" t="e">
        <f t="shared" si="215"/>
        <v>#REF!</v>
      </c>
      <c r="R204" s="388" t="e">
        <f t="shared" si="215"/>
        <v>#REF!</v>
      </c>
      <c r="S204" s="388" t="e">
        <f t="shared" si="215"/>
        <v>#REF!</v>
      </c>
      <c r="T204" s="388" t="e">
        <f t="shared" si="215"/>
        <v>#REF!</v>
      </c>
      <c r="U204" s="388" t="e">
        <f t="shared" si="215"/>
        <v>#REF!</v>
      </c>
      <c r="V204" s="388" t="e">
        <f t="shared" si="215"/>
        <v>#REF!</v>
      </c>
      <c r="W204" s="388" t="e">
        <f t="shared" si="215"/>
        <v>#REF!</v>
      </c>
      <c r="X204" s="388" t="e">
        <f t="shared" si="215"/>
        <v>#REF!</v>
      </c>
      <c r="Y204" s="388" t="e">
        <f t="shared" si="215"/>
        <v>#REF!</v>
      </c>
      <c r="Z204" s="388" t="e">
        <f t="shared" si="215"/>
        <v>#REF!</v>
      </c>
      <c r="AA204" s="388" t="e">
        <f t="shared" si="215"/>
        <v>#REF!</v>
      </c>
      <c r="AB204" s="388" t="e">
        <f t="shared" si="215"/>
        <v>#REF!</v>
      </c>
    </row>
    <row r="205" spans="1:64" s="83" customFormat="1" hidden="1" x14ac:dyDescent="0.3">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1" t="e">
        <f>SUM(AF205:AT205)</f>
        <v>#REF!</v>
      </c>
      <c r="AF205" s="85" t="e">
        <f t="shared" ref="AF205:AT205" si="216">N204*N205*N206/1000</f>
        <v>#REF!</v>
      </c>
      <c r="AG205" s="85" t="e">
        <f t="shared" si="216"/>
        <v>#REF!</v>
      </c>
      <c r="AH205" s="85" t="e">
        <f t="shared" si="216"/>
        <v>#REF!</v>
      </c>
      <c r="AI205" s="85" t="e">
        <f t="shared" si="216"/>
        <v>#REF!</v>
      </c>
      <c r="AJ205" s="85" t="e">
        <f t="shared" si="216"/>
        <v>#REF!</v>
      </c>
      <c r="AK205" s="85" t="e">
        <f t="shared" si="216"/>
        <v>#REF!</v>
      </c>
      <c r="AL205" s="85" t="e">
        <f t="shared" si="216"/>
        <v>#REF!</v>
      </c>
      <c r="AM205" s="85" t="e">
        <f t="shared" si="216"/>
        <v>#REF!</v>
      </c>
      <c r="AN205" s="85" t="e">
        <f t="shared" si="216"/>
        <v>#REF!</v>
      </c>
      <c r="AO205" s="85" t="e">
        <f t="shared" si="216"/>
        <v>#REF!</v>
      </c>
      <c r="AP205" s="85" t="e">
        <f t="shared" si="216"/>
        <v>#REF!</v>
      </c>
      <c r="AQ205" s="85" t="e">
        <f t="shared" si="216"/>
        <v>#REF!</v>
      </c>
      <c r="AR205" s="85" t="e">
        <f t="shared" si="216"/>
        <v>#REF!</v>
      </c>
      <c r="AS205" s="85" t="e">
        <f t="shared" si="216"/>
        <v>#REF!</v>
      </c>
      <c r="AT205" s="85" t="e">
        <f t="shared" si="216"/>
        <v>#REF!</v>
      </c>
    </row>
    <row r="206" spans="1:64" s="83" customFormat="1" hidden="1" x14ac:dyDescent="0.3">
      <c r="B206" s="178" t="str">
        <f>B205</f>
        <v>TFMEBDL100</v>
      </c>
      <c r="C206" s="178"/>
      <c r="D206" s="179"/>
      <c r="E206" s="178"/>
      <c r="F206" s="182"/>
      <c r="G206" s="181"/>
      <c r="H206" s="182"/>
      <c r="I206" s="183">
        <f>$M$3</f>
        <v>2019</v>
      </c>
      <c r="J206" s="184"/>
      <c r="K206" s="184"/>
      <c r="L206" s="203" t="s">
        <v>1064</v>
      </c>
      <c r="M206" s="184" t="s">
        <v>747</v>
      </c>
      <c r="N206" s="693">
        <f>LOOKUP($C$201, T_Stock_Private!$C$106:$C$117, T_Stock_Private!D$106:D$117)*(1+N196)</f>
        <v>0</v>
      </c>
      <c r="O206" s="693">
        <f>LOOKUP($C$201, T_Stock_Private!$C$106:$C$117, T_Stock_Private!E$106:E$117)*(1+O196)</f>
        <v>0</v>
      </c>
      <c r="P206" s="693">
        <f>LOOKUP($C$201, T_Stock_Private!$C$106:$C$117, T_Stock_Private!F$106:F$117)*(1+P196)</f>
        <v>0</v>
      </c>
      <c r="Q206" s="693">
        <f>LOOKUP($C$201, T_Stock_Private!$C$106:$C$117, T_Stock_Private!G$106:G$117)*(1+Q196)</f>
        <v>0</v>
      </c>
      <c r="R206" s="693">
        <f>LOOKUP($C$201, T_Stock_Private!$C$106:$C$117, T_Stock_Private!H$106:H$117)*(1+R196)</f>
        <v>0</v>
      </c>
      <c r="S206" s="693">
        <f>LOOKUP($C$201, T_Stock_Private!$C$106:$C$117, T_Stock_Private!I$106:I$117)*(1+S196)</f>
        <v>0</v>
      </c>
      <c r="T206" s="693">
        <f>LOOKUP($C$201, T_Stock_Private!$C$106:$C$117, T_Stock_Private!J$106:J$117)*(1+T196)</f>
        <v>0</v>
      </c>
      <c r="U206" s="693">
        <f>LOOKUP($C$201, T_Stock_Private!$C$106:$C$117, T_Stock_Private!K$106:K$117)*(1+U196)</f>
        <v>0</v>
      </c>
      <c r="V206" s="693">
        <f>LOOKUP($C$201, T_Stock_Private!$C$106:$C$117, T_Stock_Private!L$106:L$117)*(1+V196)</f>
        <v>0</v>
      </c>
      <c r="W206" s="693">
        <f>LOOKUP($C$201, T_Stock_Private!$C$106:$C$117, T_Stock_Private!M$106:M$117)*(1+W196)</f>
        <v>0</v>
      </c>
      <c r="X206" s="693">
        <f>LOOKUP($C$201, T_Stock_Private!$C$106:$C$117, T_Stock_Private!N$106:N$117)*(1+X196)</f>
        <v>0</v>
      </c>
      <c r="Y206" s="693">
        <f>LOOKUP($C$201, T_Stock_Private!$C$106:$C$117, T_Stock_Private!O$106:O$117)*(1+Y196)</f>
        <v>0</v>
      </c>
      <c r="Z206" s="693">
        <f>LOOKUP($C$201, T_Stock_Private!$C$106:$C$117, T_Stock_Private!P$106:P$117)*(1+Z196)</f>
        <v>0</v>
      </c>
      <c r="AA206" s="693">
        <f>LOOKUP($C$201, T_Stock_Private!$C$106:$C$117, T_Stock_Private!Q$106:Q$117)*(1+AA196)</f>
        <v>0</v>
      </c>
      <c r="AB206" s="693">
        <f>LOOKUP($C$201, T_Stock_Private!$C$106:$C$117, T_Stock_Private!R$106:R$117)*(1+AB196)</f>
        <v>0</v>
      </c>
    </row>
    <row r="207" spans="1:64" s="83" customFormat="1" hidden="1" x14ac:dyDescent="0.3">
      <c r="B207" s="178" t="str">
        <f t="shared" si="214"/>
        <v>TFMEBDL100</v>
      </c>
      <c r="C207" s="178"/>
      <c r="D207" s="179"/>
      <c r="E207" s="178"/>
      <c r="F207" s="182"/>
      <c r="G207" s="181"/>
      <c r="H207" s="182"/>
      <c r="I207" s="183">
        <f>AF$5</f>
        <v>2020</v>
      </c>
      <c r="J207" s="184"/>
      <c r="K207" s="184"/>
      <c r="L207" s="203" t="s">
        <v>1064</v>
      </c>
      <c r="M207" s="184" t="s">
        <v>747</v>
      </c>
      <c r="N207" s="693">
        <f t="shared" ref="N207:AB207" si="217">N206*LOOKUP($AD201,$AG$4:$AP$4,$AG$5:$AP$5)</f>
        <v>0</v>
      </c>
      <c r="O207" s="693">
        <f t="shared" si="217"/>
        <v>0</v>
      </c>
      <c r="P207" s="693">
        <f t="shared" si="217"/>
        <v>0</v>
      </c>
      <c r="Q207" s="693">
        <f t="shared" si="217"/>
        <v>0</v>
      </c>
      <c r="R207" s="693">
        <f t="shared" si="217"/>
        <v>0</v>
      </c>
      <c r="S207" s="693">
        <f t="shared" si="217"/>
        <v>0</v>
      </c>
      <c r="T207" s="693">
        <f t="shared" si="217"/>
        <v>0</v>
      </c>
      <c r="U207" s="693">
        <f t="shared" si="217"/>
        <v>0</v>
      </c>
      <c r="V207" s="693">
        <f t="shared" si="217"/>
        <v>0</v>
      </c>
      <c r="W207" s="693">
        <f t="shared" si="217"/>
        <v>0</v>
      </c>
      <c r="X207" s="693">
        <f t="shared" si="217"/>
        <v>0</v>
      </c>
      <c r="Y207" s="693">
        <f t="shared" si="217"/>
        <v>0</v>
      </c>
      <c r="Z207" s="693">
        <f t="shared" si="217"/>
        <v>0</v>
      </c>
      <c r="AA207" s="693">
        <f t="shared" si="217"/>
        <v>0</v>
      </c>
      <c r="AB207" s="693">
        <f t="shared" si="217"/>
        <v>0</v>
      </c>
    </row>
    <row r="208" spans="1:64" s="83" customFormat="1" hidden="1" x14ac:dyDescent="0.3">
      <c r="B208" s="178" t="str">
        <f t="shared" si="214"/>
        <v>TFMEBDL100</v>
      </c>
      <c r="C208" s="178"/>
      <c r="D208" s="179"/>
      <c r="E208" s="178"/>
      <c r="F208" s="182"/>
      <c r="G208" s="181"/>
      <c r="H208" s="182"/>
      <c r="I208" s="183">
        <f>AF$6</f>
        <v>2025</v>
      </c>
      <c r="J208" s="184"/>
      <c r="K208" s="184"/>
      <c r="L208" s="203" t="s">
        <v>1064</v>
      </c>
      <c r="M208" s="184" t="s">
        <v>747</v>
      </c>
      <c r="N208" s="693">
        <f t="shared" ref="N208:AB208" si="218">N206*LOOKUP($AD201,$AG$4:$AP$4,$AG$6:$AP$6)</f>
        <v>0</v>
      </c>
      <c r="O208" s="693">
        <f t="shared" si="218"/>
        <v>0</v>
      </c>
      <c r="P208" s="693">
        <f t="shared" si="218"/>
        <v>0</v>
      </c>
      <c r="Q208" s="693">
        <f t="shared" si="218"/>
        <v>0</v>
      </c>
      <c r="R208" s="693">
        <f t="shared" si="218"/>
        <v>0</v>
      </c>
      <c r="S208" s="693">
        <f t="shared" si="218"/>
        <v>0</v>
      </c>
      <c r="T208" s="693">
        <f t="shared" si="218"/>
        <v>0</v>
      </c>
      <c r="U208" s="693">
        <f t="shared" si="218"/>
        <v>0</v>
      </c>
      <c r="V208" s="693">
        <f t="shared" si="218"/>
        <v>0</v>
      </c>
      <c r="W208" s="693">
        <f t="shared" si="218"/>
        <v>0</v>
      </c>
      <c r="X208" s="693">
        <f t="shared" si="218"/>
        <v>0</v>
      </c>
      <c r="Y208" s="693">
        <f t="shared" si="218"/>
        <v>0</v>
      </c>
      <c r="Z208" s="693">
        <f t="shared" si="218"/>
        <v>0</v>
      </c>
      <c r="AA208" s="693">
        <f t="shared" si="218"/>
        <v>0</v>
      </c>
      <c r="AB208" s="693">
        <f t="shared" si="218"/>
        <v>0</v>
      </c>
    </row>
    <row r="209" spans="1:65" s="83" customFormat="1" hidden="1" x14ac:dyDescent="0.3">
      <c r="B209" s="178" t="str">
        <f t="shared" si="214"/>
        <v>TFMEBDL100</v>
      </c>
      <c r="C209" s="178"/>
      <c r="D209" s="179"/>
      <c r="E209" s="178"/>
      <c r="F209" s="182"/>
      <c r="G209" s="181"/>
      <c r="H209" s="182"/>
      <c r="I209" s="183">
        <f>AF$7</f>
        <v>2030</v>
      </c>
      <c r="J209" s="184"/>
      <c r="K209" s="184"/>
      <c r="L209" s="203" t="s">
        <v>1064</v>
      </c>
      <c r="M209" s="184" t="s">
        <v>747</v>
      </c>
      <c r="N209" s="693">
        <f t="shared" ref="N209:AB209" si="219">N206*LOOKUP($AD201,$AG$4:$AP$4,$AG$7:$AP$7)</f>
        <v>0</v>
      </c>
      <c r="O209" s="693">
        <f t="shared" si="219"/>
        <v>0</v>
      </c>
      <c r="P209" s="693">
        <f t="shared" si="219"/>
        <v>0</v>
      </c>
      <c r="Q209" s="693">
        <f t="shared" si="219"/>
        <v>0</v>
      </c>
      <c r="R209" s="693">
        <f t="shared" si="219"/>
        <v>0</v>
      </c>
      <c r="S209" s="693">
        <f t="shared" si="219"/>
        <v>0</v>
      </c>
      <c r="T209" s="693">
        <f t="shared" si="219"/>
        <v>0</v>
      </c>
      <c r="U209" s="693">
        <f t="shared" si="219"/>
        <v>0</v>
      </c>
      <c r="V209" s="693">
        <f t="shared" si="219"/>
        <v>0</v>
      </c>
      <c r="W209" s="693">
        <f t="shared" si="219"/>
        <v>0</v>
      </c>
      <c r="X209" s="693">
        <f t="shared" si="219"/>
        <v>0</v>
      </c>
      <c r="Y209" s="693">
        <f t="shared" si="219"/>
        <v>0</v>
      </c>
      <c r="Z209" s="693">
        <f t="shared" si="219"/>
        <v>0</v>
      </c>
      <c r="AA209" s="693">
        <f t="shared" si="219"/>
        <v>0</v>
      </c>
      <c r="AB209" s="693">
        <f t="shared" si="219"/>
        <v>0</v>
      </c>
    </row>
    <row r="210" spans="1:65" s="83" customFormat="1" hidden="1" x14ac:dyDescent="0.3">
      <c r="B210" s="178" t="str">
        <f t="shared" si="214"/>
        <v>TFMEBDL100</v>
      </c>
      <c r="C210" s="178"/>
      <c r="D210" s="179"/>
      <c r="E210" s="178"/>
      <c r="F210" s="182"/>
      <c r="G210" s="181"/>
      <c r="H210" s="182"/>
      <c r="I210" s="183">
        <f>AF$8</f>
        <v>2035</v>
      </c>
      <c r="J210" s="184"/>
      <c r="K210" s="184"/>
      <c r="L210" s="203" t="s">
        <v>1064</v>
      </c>
      <c r="M210" s="184" t="s">
        <v>747</v>
      </c>
      <c r="N210" s="693">
        <f t="shared" ref="N210:AB210" si="220">N206*LOOKUP($AD201,$AG$4:$AP$4,$AG$8:$AP$8)</f>
        <v>0</v>
      </c>
      <c r="O210" s="693">
        <f t="shared" si="220"/>
        <v>0</v>
      </c>
      <c r="P210" s="693">
        <f t="shared" si="220"/>
        <v>0</v>
      </c>
      <c r="Q210" s="693">
        <f t="shared" si="220"/>
        <v>0</v>
      </c>
      <c r="R210" s="693">
        <f t="shared" si="220"/>
        <v>0</v>
      </c>
      <c r="S210" s="693">
        <f t="shared" si="220"/>
        <v>0</v>
      </c>
      <c r="T210" s="693">
        <f t="shared" si="220"/>
        <v>0</v>
      </c>
      <c r="U210" s="693">
        <f t="shared" si="220"/>
        <v>0</v>
      </c>
      <c r="V210" s="693">
        <f t="shared" si="220"/>
        <v>0</v>
      </c>
      <c r="W210" s="693">
        <f t="shared" si="220"/>
        <v>0</v>
      </c>
      <c r="X210" s="693">
        <f t="shared" si="220"/>
        <v>0</v>
      </c>
      <c r="Y210" s="693">
        <f t="shared" si="220"/>
        <v>0</v>
      </c>
      <c r="Z210" s="693">
        <f t="shared" si="220"/>
        <v>0</v>
      </c>
      <c r="AA210" s="693">
        <f t="shared" si="220"/>
        <v>0</v>
      </c>
      <c r="AB210" s="693">
        <f t="shared" si="220"/>
        <v>0</v>
      </c>
    </row>
    <row r="211" spans="1:65" s="83" customFormat="1" hidden="1" x14ac:dyDescent="0.3">
      <c r="B211" s="178" t="str">
        <f t="shared" si="214"/>
        <v>TFMEBDL100</v>
      </c>
      <c r="C211" s="178"/>
      <c r="D211" s="179"/>
      <c r="E211" s="178"/>
      <c r="F211" s="182"/>
      <c r="G211" s="181"/>
      <c r="H211" s="182"/>
      <c r="I211" s="183">
        <f>AF$9</f>
        <v>2040</v>
      </c>
      <c r="J211" s="184"/>
      <c r="K211" s="184"/>
      <c r="L211" s="203" t="s">
        <v>1064</v>
      </c>
      <c r="M211" s="184" t="s">
        <v>747</v>
      </c>
      <c r="N211" s="693">
        <f t="shared" ref="N211:AB211" si="221">N206*LOOKUP($AD201,$AG$4:$AP$4,$AG$9:$AP$9)</f>
        <v>0</v>
      </c>
      <c r="O211" s="693">
        <f t="shared" si="221"/>
        <v>0</v>
      </c>
      <c r="P211" s="693">
        <f t="shared" si="221"/>
        <v>0</v>
      </c>
      <c r="Q211" s="693">
        <f t="shared" si="221"/>
        <v>0</v>
      </c>
      <c r="R211" s="693">
        <f t="shared" si="221"/>
        <v>0</v>
      </c>
      <c r="S211" s="693">
        <f t="shared" si="221"/>
        <v>0</v>
      </c>
      <c r="T211" s="693">
        <f t="shared" si="221"/>
        <v>0</v>
      </c>
      <c r="U211" s="693">
        <f t="shared" si="221"/>
        <v>0</v>
      </c>
      <c r="V211" s="693">
        <f t="shared" si="221"/>
        <v>0</v>
      </c>
      <c r="W211" s="693">
        <f t="shared" si="221"/>
        <v>0</v>
      </c>
      <c r="X211" s="693">
        <f t="shared" si="221"/>
        <v>0</v>
      </c>
      <c r="Y211" s="693">
        <f t="shared" si="221"/>
        <v>0</v>
      </c>
      <c r="Z211" s="693">
        <f t="shared" si="221"/>
        <v>0</v>
      </c>
      <c r="AA211" s="693">
        <f t="shared" si="221"/>
        <v>0</v>
      </c>
      <c r="AB211" s="693">
        <f t="shared" si="221"/>
        <v>0</v>
      </c>
    </row>
    <row r="212" spans="1:65" s="83" customFormat="1" hidden="1" x14ac:dyDescent="0.3">
      <c r="B212" s="204" t="str">
        <f t="shared" si="214"/>
        <v>TFMEBDL100</v>
      </c>
      <c r="C212" s="204"/>
      <c r="D212" s="205"/>
      <c r="E212" s="204"/>
      <c r="F212" s="206"/>
      <c r="G212" s="207"/>
      <c r="H212" s="206"/>
      <c r="I212" s="208">
        <f>AF$10</f>
        <v>2050</v>
      </c>
      <c r="J212" s="209"/>
      <c r="K212" s="209"/>
      <c r="L212" s="210" t="s">
        <v>1064</v>
      </c>
      <c r="M212" s="209" t="s">
        <v>747</v>
      </c>
      <c r="N212" s="694">
        <f t="shared" ref="N212:AB212" si="222">N206*LOOKUP($AD201,$AG$4:$AP$4,$AG$10:$AP$10)</f>
        <v>0</v>
      </c>
      <c r="O212" s="694">
        <f t="shared" si="222"/>
        <v>0</v>
      </c>
      <c r="P212" s="694">
        <f t="shared" si="222"/>
        <v>0</v>
      </c>
      <c r="Q212" s="694">
        <f t="shared" si="222"/>
        <v>0</v>
      </c>
      <c r="R212" s="694">
        <f t="shared" si="222"/>
        <v>0</v>
      </c>
      <c r="S212" s="694">
        <f t="shared" si="222"/>
        <v>0</v>
      </c>
      <c r="T212" s="694">
        <f t="shared" si="222"/>
        <v>0</v>
      </c>
      <c r="U212" s="694">
        <f t="shared" si="222"/>
        <v>0</v>
      </c>
      <c r="V212" s="694">
        <f t="shared" si="222"/>
        <v>0</v>
      </c>
      <c r="W212" s="694">
        <f t="shared" si="222"/>
        <v>0</v>
      </c>
      <c r="X212" s="694">
        <f t="shared" si="222"/>
        <v>0</v>
      </c>
      <c r="Y212" s="694">
        <f t="shared" si="222"/>
        <v>0</v>
      </c>
      <c r="Z212" s="694">
        <f t="shared" si="222"/>
        <v>0</v>
      </c>
      <c r="AA212" s="694">
        <f t="shared" si="222"/>
        <v>0</v>
      </c>
      <c r="AB212" s="694">
        <f t="shared" si="222"/>
        <v>0</v>
      </c>
    </row>
    <row r="213" spans="1:65" s="83" customFormat="1" hidden="1" x14ac:dyDescent="0.3">
      <c r="A213" s="82"/>
      <c r="B213" s="178" t="str">
        <f>C213</f>
        <v>TFMEDST100</v>
      </c>
      <c r="C213" s="178" t="s">
        <v>359</v>
      </c>
      <c r="D213" s="179" t="s">
        <v>827</v>
      </c>
      <c r="E213" s="407" t="s">
        <v>987</v>
      </c>
      <c r="F213" s="182"/>
      <c r="G213" s="181"/>
      <c r="H213" s="182"/>
      <c r="I213" s="183"/>
      <c r="J213" s="184"/>
      <c r="K213" s="184"/>
      <c r="L213" s="203" t="s">
        <v>1106</v>
      </c>
      <c r="M213" s="184" t="s">
        <v>1124</v>
      </c>
      <c r="N213" s="566">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699" t="str">
        <f t="shared" ref="AV213:AV216" si="224">MID(E213,1,7)</f>
        <v>TRABDL</v>
      </c>
      <c r="AW213" s="567">
        <f t="shared" ref="AW213:AW214" si="225">SUM(AX213:BL213)</f>
        <v>0</v>
      </c>
      <c r="AX213" s="720">
        <f>N$219*N$220*(1-N214)/N$217/1000</f>
        <v>0</v>
      </c>
      <c r="AY213" s="720">
        <f t="shared" ref="AY213:BL213" si="226">O$219*O$220*(1-O214)/O$217/1000</f>
        <v>0</v>
      </c>
      <c r="AZ213" s="720">
        <f t="shared" si="226"/>
        <v>0</v>
      </c>
      <c r="BA213" s="720">
        <f t="shared" si="226"/>
        <v>0</v>
      </c>
      <c r="BB213" s="720">
        <f t="shared" si="226"/>
        <v>0</v>
      </c>
      <c r="BC213" s="720">
        <f t="shared" si="226"/>
        <v>0</v>
      </c>
      <c r="BD213" s="720">
        <f t="shared" si="226"/>
        <v>0</v>
      </c>
      <c r="BE213" s="720">
        <f t="shared" si="226"/>
        <v>0</v>
      </c>
      <c r="BF213" s="720">
        <f t="shared" si="226"/>
        <v>0</v>
      </c>
      <c r="BG213" s="720">
        <f t="shared" si="226"/>
        <v>0</v>
      </c>
      <c r="BH213" s="720">
        <f t="shared" si="226"/>
        <v>0</v>
      </c>
      <c r="BI213" s="720">
        <f t="shared" si="226"/>
        <v>0</v>
      </c>
      <c r="BJ213" s="720">
        <f t="shared" si="226"/>
        <v>0</v>
      </c>
      <c r="BK213" s="720">
        <f t="shared" si="226"/>
        <v>0</v>
      </c>
      <c r="BL213" s="720">
        <f t="shared" si="226"/>
        <v>0</v>
      </c>
      <c r="BM213" s="720"/>
    </row>
    <row r="214" spans="1:65" s="83" customFormat="1" hidden="1" x14ac:dyDescent="0.3">
      <c r="A214" s="82"/>
      <c r="B214" s="178" t="str">
        <f>B213</f>
        <v>TFMEDST100</v>
      </c>
      <c r="C214" s="178"/>
      <c r="D214" s="179"/>
      <c r="E214" s="407" t="s">
        <v>185</v>
      </c>
      <c r="F214" s="182"/>
      <c r="G214" s="181"/>
      <c r="H214" s="182"/>
      <c r="I214" s="183"/>
      <c r="J214" s="184" t="s">
        <v>1156</v>
      </c>
      <c r="K214" s="184"/>
      <c r="L214" s="203" t="s">
        <v>101</v>
      </c>
      <c r="M214" s="184"/>
      <c r="N214" s="390">
        <f>1-N$29-N$28</f>
        <v>0.7669999999999999</v>
      </c>
      <c r="O214" s="390">
        <f t="shared" ref="O214:AB214" si="227">1-O$29-O$28</f>
        <v>0.7669999999999999</v>
      </c>
      <c r="P214" s="390">
        <f t="shared" si="227"/>
        <v>0.7669999999999999</v>
      </c>
      <c r="Q214" s="390">
        <f t="shared" si="227"/>
        <v>0.7669999999999999</v>
      </c>
      <c r="R214" s="390">
        <f t="shared" si="227"/>
        <v>0.7669999999999999</v>
      </c>
      <c r="S214" s="390">
        <f t="shared" si="227"/>
        <v>0.7669999999999999</v>
      </c>
      <c r="T214" s="390">
        <f t="shared" si="227"/>
        <v>0.7669999999999999</v>
      </c>
      <c r="U214" s="390">
        <f t="shared" si="227"/>
        <v>0.7669999999999999</v>
      </c>
      <c r="V214" s="390">
        <f t="shared" si="227"/>
        <v>0.7669999999999999</v>
      </c>
      <c r="W214" s="390">
        <f t="shared" si="227"/>
        <v>0.7669999999999999</v>
      </c>
      <c r="X214" s="390">
        <f t="shared" si="227"/>
        <v>0.7669999999999999</v>
      </c>
      <c r="Y214" s="390">
        <f t="shared" si="227"/>
        <v>0.7669999999999999</v>
      </c>
      <c r="Z214" s="390">
        <f t="shared" si="227"/>
        <v>0.7669999999999999</v>
      </c>
      <c r="AA214" s="390">
        <f t="shared" si="227"/>
        <v>0.7669999999999999</v>
      </c>
      <c r="AB214" s="390">
        <f t="shared" si="227"/>
        <v>0.7669999999999999</v>
      </c>
      <c r="AD214" s="66" t="str">
        <f>IF(COUNTIF($AG$4:$AP$4,AD213)=1,"ok","MISSING")</f>
        <v>ok</v>
      </c>
      <c r="AF214" s="333"/>
      <c r="AV214" s="699" t="str">
        <f t="shared" si="224"/>
        <v>TRADST</v>
      </c>
      <c r="AW214" s="567">
        <f t="shared" si="225"/>
        <v>0</v>
      </c>
      <c r="AX214" s="720">
        <f>N$219*N$220*N214/N$217/1000</f>
        <v>0</v>
      </c>
      <c r="AY214" s="720">
        <f t="shared" ref="AY214:BL214" si="228">O$219*O$220*O214/O$217/1000</f>
        <v>0</v>
      </c>
      <c r="AZ214" s="720">
        <f t="shared" si="228"/>
        <v>0</v>
      </c>
      <c r="BA214" s="720">
        <f t="shared" si="228"/>
        <v>0</v>
      </c>
      <c r="BB214" s="720">
        <f t="shared" si="228"/>
        <v>0</v>
      </c>
      <c r="BC214" s="720">
        <f t="shared" si="228"/>
        <v>0</v>
      </c>
      <c r="BD214" s="720">
        <f t="shared" si="228"/>
        <v>0</v>
      </c>
      <c r="BE214" s="720">
        <f t="shared" si="228"/>
        <v>0</v>
      </c>
      <c r="BF214" s="720">
        <f t="shared" si="228"/>
        <v>0</v>
      </c>
      <c r="BG214" s="720">
        <f t="shared" si="228"/>
        <v>0</v>
      </c>
      <c r="BH214" s="720">
        <f t="shared" si="228"/>
        <v>0</v>
      </c>
      <c r="BI214" s="720">
        <f t="shared" si="228"/>
        <v>0</v>
      </c>
      <c r="BJ214" s="720">
        <f t="shared" si="228"/>
        <v>0</v>
      </c>
      <c r="BK214" s="720">
        <f t="shared" si="228"/>
        <v>0</v>
      </c>
      <c r="BL214" s="720">
        <f t="shared" si="228"/>
        <v>0</v>
      </c>
      <c r="BM214" s="720"/>
    </row>
    <row r="215" spans="1:65" s="83" customFormat="1" hidden="1" x14ac:dyDescent="0.3">
      <c r="A215" s="82"/>
      <c r="B215" s="178" t="str">
        <f t="shared" ref="B215" si="229">B214</f>
        <v>TFMEDST100</v>
      </c>
      <c r="C215" s="178"/>
      <c r="D215" s="179"/>
      <c r="E215" s="407" t="s">
        <v>989</v>
      </c>
      <c r="F215" s="182"/>
      <c r="G215" s="181"/>
      <c r="H215" s="182"/>
      <c r="I215" s="183"/>
      <c r="J215" s="184" t="s">
        <v>1156</v>
      </c>
      <c r="K215" s="184"/>
      <c r="L215" s="203" t="s">
        <v>101</v>
      </c>
      <c r="M215" s="184"/>
      <c r="N215" s="689">
        <f>N$28</f>
        <v>5.8000000000000003E-2</v>
      </c>
      <c r="O215" s="689">
        <f t="shared" ref="O215:AB215" si="230">O$28</f>
        <v>5.8000000000000003E-2</v>
      </c>
      <c r="P215" s="689">
        <f t="shared" si="230"/>
        <v>5.8000000000000003E-2</v>
      </c>
      <c r="Q215" s="689">
        <f t="shared" si="230"/>
        <v>5.8000000000000003E-2</v>
      </c>
      <c r="R215" s="689">
        <f t="shared" si="230"/>
        <v>5.8000000000000003E-2</v>
      </c>
      <c r="S215" s="689">
        <f t="shared" si="230"/>
        <v>5.8000000000000003E-2</v>
      </c>
      <c r="T215" s="689">
        <f t="shared" si="230"/>
        <v>5.8000000000000003E-2</v>
      </c>
      <c r="U215" s="689">
        <f t="shared" si="230"/>
        <v>5.8000000000000003E-2</v>
      </c>
      <c r="V215" s="689">
        <f t="shared" si="230"/>
        <v>5.8000000000000003E-2</v>
      </c>
      <c r="W215" s="689">
        <f t="shared" si="230"/>
        <v>5.8000000000000003E-2</v>
      </c>
      <c r="X215" s="689">
        <f t="shared" si="230"/>
        <v>5.8000000000000003E-2</v>
      </c>
      <c r="Y215" s="689">
        <f t="shared" si="230"/>
        <v>5.8000000000000003E-2</v>
      </c>
      <c r="Z215" s="689">
        <f t="shared" si="230"/>
        <v>5.8000000000000003E-2</v>
      </c>
      <c r="AA215" s="689">
        <f t="shared" si="230"/>
        <v>5.8000000000000003E-2</v>
      </c>
      <c r="AB215" s="689">
        <f t="shared" si="230"/>
        <v>5.8000000000000003E-2</v>
      </c>
      <c r="AD215" s="408"/>
      <c r="AE215" s="357"/>
      <c r="AF215" s="84"/>
      <c r="AG215" s="84"/>
      <c r="AH215" s="84"/>
      <c r="AI215" s="84"/>
      <c r="AJ215" s="84"/>
      <c r="AK215" s="84"/>
      <c r="AL215" s="84"/>
      <c r="AM215" s="84"/>
      <c r="AN215" s="84"/>
      <c r="AO215" s="84"/>
      <c r="AP215" s="84"/>
      <c r="AQ215" s="84"/>
      <c r="AR215" s="84"/>
      <c r="AS215" s="84"/>
      <c r="AT215" s="84"/>
      <c r="AV215" s="699" t="str">
        <f t="shared" ref="AV215" si="231">MID(E215,1,7)</f>
        <v>TRABDLM</v>
      </c>
      <c r="AW215" s="567">
        <f t="shared" ref="AW215" si="232">SUM(AX215:BL215)</f>
        <v>0</v>
      </c>
      <c r="AX215" s="720">
        <f>N$219*N$220*N215/N$217/1000</f>
        <v>0</v>
      </c>
      <c r="AY215" s="720">
        <f t="shared" ref="AY215" si="233">O$219*O$220*O215/O$217/1000</f>
        <v>0</v>
      </c>
      <c r="AZ215" s="720">
        <f t="shared" ref="AZ215" si="234">P$219*P$220*P215/P$217/1000</f>
        <v>0</v>
      </c>
      <c r="BA215" s="720">
        <f t="shared" ref="BA215" si="235">Q$219*Q$220*Q215/Q$217/1000</f>
        <v>0</v>
      </c>
      <c r="BB215" s="720">
        <f t="shared" ref="BB215" si="236">R$219*R$220*R215/R$217/1000</f>
        <v>0</v>
      </c>
      <c r="BC215" s="720">
        <f t="shared" ref="BC215" si="237">S$219*S$220*S215/S$217/1000</f>
        <v>0</v>
      </c>
      <c r="BD215" s="720">
        <f t="shared" ref="BD215" si="238">T$219*T$220*T215/T$217/1000</f>
        <v>0</v>
      </c>
      <c r="BE215" s="720">
        <f t="shared" ref="BE215" si="239">U$219*U$220*U215/U$217/1000</f>
        <v>0</v>
      </c>
      <c r="BF215" s="720">
        <f t="shared" ref="BF215" si="240">V$219*V$220*V215/V$217/1000</f>
        <v>0</v>
      </c>
      <c r="BG215" s="720">
        <f t="shared" ref="BG215" si="241">W$219*W$220*W215/W$217/1000</f>
        <v>0</v>
      </c>
      <c r="BH215" s="720">
        <f t="shared" ref="BH215" si="242">X$219*X$220*X215/X$217/1000</f>
        <v>0</v>
      </c>
      <c r="BI215" s="720">
        <f t="shared" ref="BI215" si="243">Y$219*Y$220*Y215/Y$217/1000</f>
        <v>0</v>
      </c>
      <c r="BJ215" s="720">
        <f t="shared" ref="BJ215" si="244">Z$219*Z$220*Z215/Z$217/1000</f>
        <v>0</v>
      </c>
      <c r="BK215" s="720">
        <f t="shared" ref="BK215" si="245">AA$219*AA$220*AA215/AA$217/1000</f>
        <v>0</v>
      </c>
      <c r="BL215" s="720">
        <f t="shared" ref="BL215" si="246">AB$219*AB$220*AB215/AB$217/1000</f>
        <v>0</v>
      </c>
    </row>
    <row r="216" spans="1:65" s="83" customFormat="1" hidden="1" x14ac:dyDescent="0.3">
      <c r="B216" s="178" t="str">
        <f>B214</f>
        <v>TFMEDST100</v>
      </c>
      <c r="C216" s="178"/>
      <c r="D216" s="179"/>
      <c r="E216" s="178"/>
      <c r="F216" s="182"/>
      <c r="G216" s="324" t="s">
        <v>435</v>
      </c>
      <c r="H216" s="182"/>
      <c r="I216" s="183"/>
      <c r="J216" s="184"/>
      <c r="K216" s="184"/>
      <c r="L216" s="184" t="s">
        <v>1125</v>
      </c>
      <c r="M216" s="184" t="s">
        <v>677</v>
      </c>
      <c r="N216" s="675">
        <f>T_CEFF!H182</f>
        <v>7.0400000000000004E-2</v>
      </c>
      <c r="O216" s="675">
        <f>T_CEFF!I182</f>
        <v>7.0400000000000004E-2</v>
      </c>
      <c r="P216" s="675">
        <f>T_CEFF!J182</f>
        <v>7.0400000000000004E-2</v>
      </c>
      <c r="Q216" s="675">
        <f>T_CEFF!K182</f>
        <v>7.0400000000000004E-2</v>
      </c>
      <c r="R216" s="675">
        <f>T_CEFF!L182</f>
        <v>7.0400000000000004E-2</v>
      </c>
      <c r="S216" s="675">
        <f>T_CEFF!M182</f>
        <v>7.0400000000000004E-2</v>
      </c>
      <c r="T216" s="675">
        <f>T_CEFF!N182</f>
        <v>7.0400000000000004E-2</v>
      </c>
      <c r="U216" s="675">
        <f>T_CEFF!O182</f>
        <v>7.0400000000000004E-2</v>
      </c>
      <c r="V216" s="675">
        <f>T_CEFF!P182</f>
        <v>7.0400000000000004E-2</v>
      </c>
      <c r="W216" s="675">
        <f>T_CEFF!Q182</f>
        <v>7.0400000000000004E-2</v>
      </c>
      <c r="X216" s="675">
        <f>T_CEFF!R182</f>
        <v>7.0400000000000004E-2</v>
      </c>
      <c r="Y216" s="675">
        <f>T_CEFF!S182</f>
        <v>7.0400000000000004E-2</v>
      </c>
      <c r="Z216" s="675">
        <f>T_CEFF!T182</f>
        <v>7.0400000000000004E-2</v>
      </c>
      <c r="AA216" s="675">
        <f>T_CEFF!U182</f>
        <v>7.0400000000000004E-2</v>
      </c>
      <c r="AB216" s="675">
        <f>T_CEFF!V182</f>
        <v>7.0400000000000004E-2</v>
      </c>
      <c r="AV216" s="699" t="str">
        <f t="shared" si="224"/>
        <v/>
      </c>
      <c r="AW216" s="567"/>
    </row>
    <row r="217" spans="1:65" s="83" customFormat="1" hidden="1" x14ac:dyDescent="0.3">
      <c r="B217" s="178" t="str">
        <f t="shared" ref="B217:B226" si="247">B216</f>
        <v>TFMEDST100</v>
      </c>
      <c r="C217" s="178"/>
      <c r="D217" s="179"/>
      <c r="E217" s="178"/>
      <c r="F217" s="182"/>
      <c r="G217" s="324" t="s">
        <v>433</v>
      </c>
      <c r="H217" s="182"/>
      <c r="I217" s="183"/>
      <c r="J217" s="184"/>
      <c r="K217" s="184"/>
      <c r="L217" s="184" t="s">
        <v>1125</v>
      </c>
      <c r="M217" s="184" t="s">
        <v>677</v>
      </c>
      <c r="N217" s="675">
        <f>T_CEFF!H183</f>
        <v>5.6320000000000002E-2</v>
      </c>
      <c r="O217" s="675">
        <f>T_CEFF!I183</f>
        <v>5.6320000000000002E-2</v>
      </c>
      <c r="P217" s="675">
        <f>T_CEFF!J183</f>
        <v>5.6320000000000002E-2</v>
      </c>
      <c r="Q217" s="675">
        <f>T_CEFF!K183</f>
        <v>5.6320000000000002E-2</v>
      </c>
      <c r="R217" s="675">
        <f>T_CEFF!L183</f>
        <v>5.6320000000000002E-2</v>
      </c>
      <c r="S217" s="675">
        <f>T_CEFF!M183</f>
        <v>5.6320000000000002E-2</v>
      </c>
      <c r="T217" s="675">
        <f>T_CEFF!N183</f>
        <v>5.6320000000000002E-2</v>
      </c>
      <c r="U217" s="675">
        <f>T_CEFF!O183</f>
        <v>5.6320000000000002E-2</v>
      </c>
      <c r="V217" s="675">
        <f>T_CEFF!P183</f>
        <v>5.6320000000000002E-2</v>
      </c>
      <c r="W217" s="675">
        <f>T_CEFF!Q183</f>
        <v>5.6320000000000002E-2</v>
      </c>
      <c r="X217" s="675">
        <f>T_CEFF!R183</f>
        <v>5.6320000000000002E-2</v>
      </c>
      <c r="Y217" s="675">
        <f>T_CEFF!S183</f>
        <v>5.6320000000000002E-2</v>
      </c>
      <c r="Z217" s="675">
        <f>T_CEFF!T183</f>
        <v>5.6320000000000002E-2</v>
      </c>
      <c r="AA217" s="675">
        <f>T_CEFF!U183</f>
        <v>5.6320000000000002E-2</v>
      </c>
      <c r="AB217" s="675">
        <f>T_CEFF!V183</f>
        <v>5.6320000000000002E-2</v>
      </c>
    </row>
    <row r="218" spans="1:65" s="83" customFormat="1" hidden="1" x14ac:dyDescent="0.3">
      <c r="B218" s="178" t="str">
        <f>B217</f>
        <v>TFMEDST100</v>
      </c>
      <c r="C218" s="178"/>
      <c r="D218" s="179"/>
      <c r="E218" s="178"/>
      <c r="F218" s="182"/>
      <c r="G218" s="181"/>
      <c r="H218" s="182"/>
      <c r="I218" s="183"/>
      <c r="J218" s="184"/>
      <c r="K218" s="184" t="s">
        <v>748</v>
      </c>
      <c r="L218" s="184" t="s">
        <v>1127</v>
      </c>
      <c r="M218" s="184" t="s">
        <v>1174</v>
      </c>
      <c r="N218" s="388" t="e">
        <f>N$24</f>
        <v>#REF!</v>
      </c>
      <c r="O218" s="388" t="e">
        <f t="shared" ref="O218:AB218" si="248">O$24</f>
        <v>#REF!</v>
      </c>
      <c r="P218" s="388" t="e">
        <f t="shared" si="248"/>
        <v>#REF!</v>
      </c>
      <c r="Q218" s="388" t="e">
        <f t="shared" si="248"/>
        <v>#REF!</v>
      </c>
      <c r="R218" s="388" t="e">
        <f t="shared" si="248"/>
        <v>#REF!</v>
      </c>
      <c r="S218" s="388" t="e">
        <f t="shared" si="248"/>
        <v>#REF!</v>
      </c>
      <c r="T218" s="388" t="e">
        <f t="shared" si="248"/>
        <v>#REF!</v>
      </c>
      <c r="U218" s="388" t="e">
        <f t="shared" si="248"/>
        <v>#REF!</v>
      </c>
      <c r="V218" s="388" t="e">
        <f t="shared" si="248"/>
        <v>#REF!</v>
      </c>
      <c r="W218" s="388" t="e">
        <f t="shared" si="248"/>
        <v>#REF!</v>
      </c>
      <c r="X218" s="388" t="e">
        <f t="shared" si="248"/>
        <v>#REF!</v>
      </c>
      <c r="Y218" s="388" t="e">
        <f t="shared" si="248"/>
        <v>#REF!</v>
      </c>
      <c r="Z218" s="388" t="e">
        <f t="shared" si="248"/>
        <v>#REF!</v>
      </c>
      <c r="AA218" s="388" t="e">
        <f t="shared" si="248"/>
        <v>#REF!</v>
      </c>
      <c r="AB218" s="388" t="e">
        <f t="shared" si="248"/>
        <v>#REF!</v>
      </c>
    </row>
    <row r="219" spans="1:65" s="83" customFormat="1" hidden="1" x14ac:dyDescent="0.3">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1" t="e">
        <f>SUM(AF219:AT219)</f>
        <v>#REF!</v>
      </c>
      <c r="AF219" s="85" t="e">
        <f t="shared" ref="AF219:AT219" si="249">N218*N219*N220/1000</f>
        <v>#REF!</v>
      </c>
      <c r="AG219" s="85" t="e">
        <f t="shared" si="249"/>
        <v>#REF!</v>
      </c>
      <c r="AH219" s="85" t="e">
        <f t="shared" si="249"/>
        <v>#REF!</v>
      </c>
      <c r="AI219" s="85" t="e">
        <f t="shared" si="249"/>
        <v>#REF!</v>
      </c>
      <c r="AJ219" s="85" t="e">
        <f t="shared" si="249"/>
        <v>#REF!</v>
      </c>
      <c r="AK219" s="85" t="e">
        <f t="shared" si="249"/>
        <v>#REF!</v>
      </c>
      <c r="AL219" s="85" t="e">
        <f t="shared" si="249"/>
        <v>#REF!</v>
      </c>
      <c r="AM219" s="85" t="e">
        <f t="shared" si="249"/>
        <v>#REF!</v>
      </c>
      <c r="AN219" s="85" t="e">
        <f t="shared" si="249"/>
        <v>#REF!</v>
      </c>
      <c r="AO219" s="85" t="e">
        <f t="shared" si="249"/>
        <v>#REF!</v>
      </c>
      <c r="AP219" s="85" t="e">
        <f t="shared" si="249"/>
        <v>#REF!</v>
      </c>
      <c r="AQ219" s="85" t="e">
        <f t="shared" si="249"/>
        <v>#REF!</v>
      </c>
      <c r="AR219" s="85" t="e">
        <f t="shared" si="249"/>
        <v>#REF!</v>
      </c>
      <c r="AS219" s="85" t="e">
        <f t="shared" si="249"/>
        <v>#REF!</v>
      </c>
      <c r="AT219" s="85" t="e">
        <f t="shared" si="249"/>
        <v>#REF!</v>
      </c>
    </row>
    <row r="220" spans="1:65" s="83" customFormat="1" hidden="1" x14ac:dyDescent="0.3">
      <c r="B220" s="178" t="str">
        <f>B219</f>
        <v>TFMEDST100</v>
      </c>
      <c r="C220" s="178"/>
      <c r="D220" s="179"/>
      <c r="E220" s="178"/>
      <c r="F220" s="182"/>
      <c r="G220" s="181"/>
      <c r="H220" s="182"/>
      <c r="I220" s="183">
        <f>$M$3</f>
        <v>2019</v>
      </c>
      <c r="J220" s="184"/>
      <c r="K220" s="184"/>
      <c r="L220" s="203" t="s">
        <v>1064</v>
      </c>
      <c r="M220" s="184" t="s">
        <v>747</v>
      </c>
      <c r="N220" s="693">
        <f>LOOKUP($C$213, T_Stock_Private!$C$106:$C$117, T_Stock_Private!D$106:D$117)*(1+N196)</f>
        <v>0</v>
      </c>
      <c r="O220" s="693">
        <f>LOOKUP($C$213, T_Stock_Private!$C$106:$C$117, T_Stock_Private!E$106:E$117)*(1+O196)</f>
        <v>0</v>
      </c>
      <c r="P220" s="693">
        <f>LOOKUP($C$213, T_Stock_Private!$C$106:$C$117, T_Stock_Private!F$106:F$117)*(1+P196)</f>
        <v>0</v>
      </c>
      <c r="Q220" s="693">
        <f>LOOKUP($C$213, T_Stock_Private!$C$106:$C$117, T_Stock_Private!G$106:G$117)*(1+Q196)</f>
        <v>0</v>
      </c>
      <c r="R220" s="693">
        <f>LOOKUP($C$213, T_Stock_Private!$C$106:$C$117, T_Stock_Private!H$106:H$117)*(1+R196)</f>
        <v>0</v>
      </c>
      <c r="S220" s="693">
        <f>LOOKUP($C$213, T_Stock_Private!$C$106:$C$117, T_Stock_Private!I$106:I$117)*(1+S196)</f>
        <v>0</v>
      </c>
      <c r="T220" s="693">
        <f>LOOKUP($C$213, T_Stock_Private!$C$106:$C$117, T_Stock_Private!J$106:J$117)*(1+T196)</f>
        <v>0</v>
      </c>
      <c r="U220" s="693">
        <f>LOOKUP($C$213, T_Stock_Private!$C$106:$C$117, T_Stock_Private!K$106:K$117)*(1+U196)</f>
        <v>0</v>
      </c>
      <c r="V220" s="693">
        <f>LOOKUP($C$213, T_Stock_Private!$C$106:$C$117, T_Stock_Private!L$106:L$117)*(1+V196)</f>
        <v>0</v>
      </c>
      <c r="W220" s="693">
        <f>LOOKUP($C$213, T_Stock_Private!$C$106:$C$117, T_Stock_Private!M$106:M$117)*(1+W196)</f>
        <v>0</v>
      </c>
      <c r="X220" s="693">
        <f>LOOKUP($C$213, T_Stock_Private!$C$106:$C$117, T_Stock_Private!N$106:N$117)*(1+X196)</f>
        <v>0</v>
      </c>
      <c r="Y220" s="693">
        <f>LOOKUP($C$213, T_Stock_Private!$C$106:$C$117, T_Stock_Private!O$106:O$117)*(1+Y196)</f>
        <v>0</v>
      </c>
      <c r="Z220" s="693">
        <f>LOOKUP($C$213, T_Stock_Private!$C$106:$C$117, T_Stock_Private!P$106:P$117)*(1+Z196)</f>
        <v>0</v>
      </c>
      <c r="AA220" s="693">
        <f>LOOKUP($C$213, T_Stock_Private!$C$106:$C$117, T_Stock_Private!Q$106:Q$117)*(1+AA196)</f>
        <v>0</v>
      </c>
      <c r="AB220" s="693">
        <f>LOOKUP($C$213, T_Stock_Private!$C$106:$C$117, T_Stock_Private!R$106:R$117)*(1+AB196)</f>
        <v>0</v>
      </c>
    </row>
    <row r="221" spans="1:65" s="83" customFormat="1" hidden="1" x14ac:dyDescent="0.3">
      <c r="B221" s="178" t="str">
        <f t="shared" si="247"/>
        <v>TFMEDST100</v>
      </c>
      <c r="C221" s="178"/>
      <c r="D221" s="179"/>
      <c r="E221" s="178"/>
      <c r="F221" s="182"/>
      <c r="G221" s="181"/>
      <c r="H221" s="182"/>
      <c r="I221" s="183">
        <f>AF$5</f>
        <v>2020</v>
      </c>
      <c r="J221" s="184"/>
      <c r="K221" s="184"/>
      <c r="L221" s="203" t="s">
        <v>1064</v>
      </c>
      <c r="M221" s="184" t="s">
        <v>747</v>
      </c>
      <c r="N221" s="693">
        <f t="shared" ref="N221:AB221" si="250">N220*LOOKUP($AD213,$AG$4:$AP$4,$AG$5:$AP$5)</f>
        <v>0</v>
      </c>
      <c r="O221" s="693">
        <f t="shared" si="250"/>
        <v>0</v>
      </c>
      <c r="P221" s="693">
        <f t="shared" si="250"/>
        <v>0</v>
      </c>
      <c r="Q221" s="693">
        <f t="shared" si="250"/>
        <v>0</v>
      </c>
      <c r="R221" s="693">
        <f t="shared" si="250"/>
        <v>0</v>
      </c>
      <c r="S221" s="693">
        <f t="shared" si="250"/>
        <v>0</v>
      </c>
      <c r="T221" s="693">
        <f t="shared" si="250"/>
        <v>0</v>
      </c>
      <c r="U221" s="693">
        <f t="shared" si="250"/>
        <v>0</v>
      </c>
      <c r="V221" s="693">
        <f t="shared" si="250"/>
        <v>0</v>
      </c>
      <c r="W221" s="693">
        <f t="shared" si="250"/>
        <v>0</v>
      </c>
      <c r="X221" s="693">
        <f t="shared" si="250"/>
        <v>0</v>
      </c>
      <c r="Y221" s="693">
        <f t="shared" si="250"/>
        <v>0</v>
      </c>
      <c r="Z221" s="693">
        <f t="shared" si="250"/>
        <v>0</v>
      </c>
      <c r="AA221" s="693">
        <f t="shared" si="250"/>
        <v>0</v>
      </c>
      <c r="AB221" s="693">
        <f t="shared" si="250"/>
        <v>0</v>
      </c>
    </row>
    <row r="222" spans="1:65" s="83" customFormat="1" hidden="1" x14ac:dyDescent="0.3">
      <c r="B222" s="178" t="str">
        <f t="shared" si="247"/>
        <v>TFMEDST100</v>
      </c>
      <c r="C222" s="178"/>
      <c r="D222" s="179"/>
      <c r="E222" s="178"/>
      <c r="F222" s="182"/>
      <c r="G222" s="181"/>
      <c r="H222" s="182"/>
      <c r="I222" s="183">
        <f>AF$6</f>
        <v>2025</v>
      </c>
      <c r="J222" s="184"/>
      <c r="K222" s="184"/>
      <c r="L222" s="203" t="s">
        <v>1064</v>
      </c>
      <c r="M222" s="184" t="s">
        <v>747</v>
      </c>
      <c r="N222" s="693">
        <f t="shared" ref="N222:AB222" si="251">N220*LOOKUP($AD213,$AG$4:$AP$4,$AG$6:$AP$6)</f>
        <v>0</v>
      </c>
      <c r="O222" s="693">
        <f t="shared" si="251"/>
        <v>0</v>
      </c>
      <c r="P222" s="693">
        <f t="shared" si="251"/>
        <v>0</v>
      </c>
      <c r="Q222" s="693">
        <f t="shared" si="251"/>
        <v>0</v>
      </c>
      <c r="R222" s="693">
        <f t="shared" si="251"/>
        <v>0</v>
      </c>
      <c r="S222" s="693">
        <f t="shared" si="251"/>
        <v>0</v>
      </c>
      <c r="T222" s="693">
        <f t="shared" si="251"/>
        <v>0</v>
      </c>
      <c r="U222" s="693">
        <f t="shared" si="251"/>
        <v>0</v>
      </c>
      <c r="V222" s="693">
        <f t="shared" si="251"/>
        <v>0</v>
      </c>
      <c r="W222" s="693">
        <f t="shared" si="251"/>
        <v>0</v>
      </c>
      <c r="X222" s="693">
        <f t="shared" si="251"/>
        <v>0</v>
      </c>
      <c r="Y222" s="693">
        <f t="shared" si="251"/>
        <v>0</v>
      </c>
      <c r="Z222" s="693">
        <f t="shared" si="251"/>
        <v>0</v>
      </c>
      <c r="AA222" s="693">
        <f t="shared" si="251"/>
        <v>0</v>
      </c>
      <c r="AB222" s="693">
        <f t="shared" si="251"/>
        <v>0</v>
      </c>
    </row>
    <row r="223" spans="1:65" s="83" customFormat="1" hidden="1" x14ac:dyDescent="0.3">
      <c r="B223" s="178" t="str">
        <f t="shared" si="247"/>
        <v>TFMEDST100</v>
      </c>
      <c r="C223" s="178"/>
      <c r="D223" s="179"/>
      <c r="E223" s="178"/>
      <c r="F223" s="182"/>
      <c r="G223" s="181"/>
      <c r="H223" s="182"/>
      <c r="I223" s="183">
        <f>AF$7</f>
        <v>2030</v>
      </c>
      <c r="J223" s="184"/>
      <c r="K223" s="184"/>
      <c r="L223" s="203" t="s">
        <v>1064</v>
      </c>
      <c r="M223" s="184" t="s">
        <v>747</v>
      </c>
      <c r="N223" s="693">
        <f t="shared" ref="N223:AB223" si="252">N220*LOOKUP($AD213,$AG$4:$AP$4,$AG$7:$AP$7)</f>
        <v>0</v>
      </c>
      <c r="O223" s="693">
        <f t="shared" si="252"/>
        <v>0</v>
      </c>
      <c r="P223" s="693">
        <f t="shared" si="252"/>
        <v>0</v>
      </c>
      <c r="Q223" s="693">
        <f t="shared" si="252"/>
        <v>0</v>
      </c>
      <c r="R223" s="693">
        <f t="shared" si="252"/>
        <v>0</v>
      </c>
      <c r="S223" s="693">
        <f t="shared" si="252"/>
        <v>0</v>
      </c>
      <c r="T223" s="693">
        <f t="shared" si="252"/>
        <v>0</v>
      </c>
      <c r="U223" s="693">
        <f t="shared" si="252"/>
        <v>0</v>
      </c>
      <c r="V223" s="693">
        <f t="shared" si="252"/>
        <v>0</v>
      </c>
      <c r="W223" s="693">
        <f t="shared" si="252"/>
        <v>0</v>
      </c>
      <c r="X223" s="693">
        <f t="shared" si="252"/>
        <v>0</v>
      </c>
      <c r="Y223" s="693">
        <f t="shared" si="252"/>
        <v>0</v>
      </c>
      <c r="Z223" s="693">
        <f t="shared" si="252"/>
        <v>0</v>
      </c>
      <c r="AA223" s="693">
        <f t="shared" si="252"/>
        <v>0</v>
      </c>
      <c r="AB223" s="693">
        <f t="shared" si="252"/>
        <v>0</v>
      </c>
    </row>
    <row r="224" spans="1:65" s="83" customFormat="1" hidden="1" x14ac:dyDescent="0.3">
      <c r="B224" s="178" t="str">
        <f t="shared" si="247"/>
        <v>TFMEDST100</v>
      </c>
      <c r="C224" s="178"/>
      <c r="D224" s="179"/>
      <c r="E224" s="178"/>
      <c r="F224" s="182"/>
      <c r="G224" s="181"/>
      <c r="H224" s="182"/>
      <c r="I224" s="183">
        <f>AF$8</f>
        <v>2035</v>
      </c>
      <c r="J224" s="184"/>
      <c r="K224" s="184"/>
      <c r="L224" s="203" t="s">
        <v>1064</v>
      </c>
      <c r="M224" s="184" t="s">
        <v>747</v>
      </c>
      <c r="N224" s="693">
        <f t="shared" ref="N224:AB224" si="253">N220*LOOKUP($AD213,$AG$4:$AP$4,$AG$8:$AP$8)</f>
        <v>0</v>
      </c>
      <c r="O224" s="693">
        <f t="shared" si="253"/>
        <v>0</v>
      </c>
      <c r="P224" s="693">
        <f t="shared" si="253"/>
        <v>0</v>
      </c>
      <c r="Q224" s="693">
        <f t="shared" si="253"/>
        <v>0</v>
      </c>
      <c r="R224" s="693">
        <f t="shared" si="253"/>
        <v>0</v>
      </c>
      <c r="S224" s="693">
        <f t="shared" si="253"/>
        <v>0</v>
      </c>
      <c r="T224" s="693">
        <f t="shared" si="253"/>
        <v>0</v>
      </c>
      <c r="U224" s="693">
        <f t="shared" si="253"/>
        <v>0</v>
      </c>
      <c r="V224" s="693">
        <f t="shared" si="253"/>
        <v>0</v>
      </c>
      <c r="W224" s="693">
        <f t="shared" si="253"/>
        <v>0</v>
      </c>
      <c r="X224" s="693">
        <f t="shared" si="253"/>
        <v>0</v>
      </c>
      <c r="Y224" s="693">
        <f t="shared" si="253"/>
        <v>0</v>
      </c>
      <c r="Z224" s="693">
        <f t="shared" si="253"/>
        <v>0</v>
      </c>
      <c r="AA224" s="693">
        <f t="shared" si="253"/>
        <v>0</v>
      </c>
      <c r="AB224" s="693">
        <f t="shared" si="253"/>
        <v>0</v>
      </c>
    </row>
    <row r="225" spans="1:49" s="83" customFormat="1" hidden="1" x14ac:dyDescent="0.3">
      <c r="B225" s="178" t="str">
        <f t="shared" si="247"/>
        <v>TFMEDST100</v>
      </c>
      <c r="C225" s="178"/>
      <c r="D225" s="179"/>
      <c r="E225" s="178"/>
      <c r="F225" s="182"/>
      <c r="G225" s="181"/>
      <c r="H225" s="182"/>
      <c r="I225" s="183">
        <f>AF$9</f>
        <v>2040</v>
      </c>
      <c r="J225" s="184"/>
      <c r="K225" s="184"/>
      <c r="L225" s="203" t="s">
        <v>1064</v>
      </c>
      <c r="M225" s="184" t="s">
        <v>747</v>
      </c>
      <c r="N225" s="693">
        <f t="shared" ref="N225:AB225" si="254">N220*LOOKUP($AD213,$AG$4:$AP$4,$AG$9:$AP$9)</f>
        <v>0</v>
      </c>
      <c r="O225" s="693">
        <f t="shared" si="254"/>
        <v>0</v>
      </c>
      <c r="P225" s="693">
        <f t="shared" si="254"/>
        <v>0</v>
      </c>
      <c r="Q225" s="693">
        <f t="shared" si="254"/>
        <v>0</v>
      </c>
      <c r="R225" s="693">
        <f t="shared" si="254"/>
        <v>0</v>
      </c>
      <c r="S225" s="693">
        <f t="shared" si="254"/>
        <v>0</v>
      </c>
      <c r="T225" s="693">
        <f t="shared" si="254"/>
        <v>0</v>
      </c>
      <c r="U225" s="693">
        <f t="shared" si="254"/>
        <v>0</v>
      </c>
      <c r="V225" s="693">
        <f t="shared" si="254"/>
        <v>0</v>
      </c>
      <c r="W225" s="693">
        <f t="shared" si="254"/>
        <v>0</v>
      </c>
      <c r="X225" s="693">
        <f t="shared" si="254"/>
        <v>0</v>
      </c>
      <c r="Y225" s="693">
        <f t="shared" si="254"/>
        <v>0</v>
      </c>
      <c r="Z225" s="693">
        <f t="shared" si="254"/>
        <v>0</v>
      </c>
      <c r="AA225" s="693">
        <f t="shared" si="254"/>
        <v>0</v>
      </c>
      <c r="AB225" s="693">
        <f t="shared" si="254"/>
        <v>0</v>
      </c>
    </row>
    <row r="226" spans="1:49" s="83" customFormat="1" hidden="1" x14ac:dyDescent="0.3">
      <c r="B226" s="204" t="str">
        <f t="shared" si="247"/>
        <v>TFMEDST100</v>
      </c>
      <c r="C226" s="204"/>
      <c r="D226" s="205"/>
      <c r="E226" s="204"/>
      <c r="F226" s="206"/>
      <c r="G226" s="207"/>
      <c r="H226" s="206"/>
      <c r="I226" s="208">
        <f>AF$10</f>
        <v>2050</v>
      </c>
      <c r="J226" s="209"/>
      <c r="K226" s="209"/>
      <c r="L226" s="210" t="s">
        <v>1064</v>
      </c>
      <c r="M226" s="209" t="s">
        <v>747</v>
      </c>
      <c r="N226" s="694">
        <f t="shared" ref="N226:AB226" si="255">N220*LOOKUP($AD213,$AG$4:$AP$4,$AG$10:$AP$10)</f>
        <v>0</v>
      </c>
      <c r="O226" s="694">
        <f t="shared" si="255"/>
        <v>0</v>
      </c>
      <c r="P226" s="694">
        <f t="shared" si="255"/>
        <v>0</v>
      </c>
      <c r="Q226" s="694">
        <f t="shared" si="255"/>
        <v>0</v>
      </c>
      <c r="R226" s="694">
        <f t="shared" si="255"/>
        <v>0</v>
      </c>
      <c r="S226" s="694">
        <f t="shared" si="255"/>
        <v>0</v>
      </c>
      <c r="T226" s="694">
        <f t="shared" si="255"/>
        <v>0</v>
      </c>
      <c r="U226" s="694">
        <f t="shared" si="255"/>
        <v>0</v>
      </c>
      <c r="V226" s="694">
        <f t="shared" si="255"/>
        <v>0</v>
      </c>
      <c r="W226" s="694">
        <f t="shared" si="255"/>
        <v>0</v>
      </c>
      <c r="X226" s="694">
        <f t="shared" si="255"/>
        <v>0</v>
      </c>
      <c r="Y226" s="694">
        <f t="shared" si="255"/>
        <v>0</v>
      </c>
      <c r="Z226" s="694">
        <f t="shared" si="255"/>
        <v>0</v>
      </c>
      <c r="AA226" s="694">
        <f t="shared" si="255"/>
        <v>0</v>
      </c>
      <c r="AB226" s="694">
        <f t="shared" si="255"/>
        <v>0</v>
      </c>
    </row>
    <row r="227" spans="1:49" s="83" customFormat="1" hidden="1" x14ac:dyDescent="0.3">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699" t="str">
        <f t="shared" ref="AV227:AV229" si="257">MID(E227,1,7)</f>
        <v>TRAELC</v>
      </c>
      <c r="AW227" s="567">
        <f t="shared" ref="AW227" si="258">SUM(AX227:BL227)</f>
        <v>0</v>
      </c>
    </row>
    <row r="228" spans="1:49" s="83" customFormat="1" hidden="1" x14ac:dyDescent="0.3">
      <c r="A228" s="82"/>
      <c r="B228" s="178" t="str">
        <f>B227</f>
        <v>TFMEELC100</v>
      </c>
      <c r="C228" s="178"/>
      <c r="D228" s="179"/>
      <c r="E228" s="178"/>
      <c r="F228" s="182"/>
      <c r="G228" s="324" t="s">
        <v>435</v>
      </c>
      <c r="H228" s="182"/>
      <c r="I228" s="183"/>
      <c r="J228" s="184"/>
      <c r="K228" s="184"/>
      <c r="L228" s="184" t="s">
        <v>1125</v>
      </c>
      <c r="M228" s="184" t="s">
        <v>677</v>
      </c>
      <c r="N228" s="675">
        <f>T_CEFF!H184</f>
        <v>5.3330000000000002E-2</v>
      </c>
      <c r="O228" s="675">
        <f>T_CEFF!I184</f>
        <v>5.3330000000000002E-2</v>
      </c>
      <c r="P228" s="675">
        <f>T_CEFF!J184</f>
        <v>5.3330000000000002E-2</v>
      </c>
      <c r="Q228" s="675">
        <f>T_CEFF!K184</f>
        <v>5.3330000000000002E-2</v>
      </c>
      <c r="R228" s="675">
        <f>T_CEFF!L184</f>
        <v>5.3330000000000002E-2</v>
      </c>
      <c r="S228" s="675">
        <f>T_CEFF!M184</f>
        <v>5.3330000000000002E-2</v>
      </c>
      <c r="T228" s="675">
        <f>T_CEFF!N184</f>
        <v>5.3330000000000002E-2</v>
      </c>
      <c r="U228" s="675">
        <f>T_CEFF!O184</f>
        <v>5.3330000000000002E-2</v>
      </c>
      <c r="V228" s="675">
        <f>T_CEFF!P184</f>
        <v>5.3330000000000002E-2</v>
      </c>
      <c r="W228" s="675">
        <f>T_CEFF!Q184</f>
        <v>5.3330000000000002E-2</v>
      </c>
      <c r="X228" s="675">
        <f>T_CEFF!R184</f>
        <v>5.3330000000000002E-2</v>
      </c>
      <c r="Y228" s="675">
        <f>T_CEFF!S184</f>
        <v>5.3330000000000002E-2</v>
      </c>
      <c r="Z228" s="675">
        <f>T_CEFF!T184</f>
        <v>5.3330000000000002E-2</v>
      </c>
      <c r="AA228" s="675">
        <f>T_CEFF!U184</f>
        <v>5.3330000000000002E-2</v>
      </c>
      <c r="AB228" s="675">
        <f>T_CEFF!V184</f>
        <v>5.3330000000000002E-2</v>
      </c>
      <c r="AD228" s="66" t="str">
        <f>IF(COUNTIF($AG$4:$AP$4,AD227)=1,"ok","MISSING")</f>
        <v>ok</v>
      </c>
      <c r="AV228" s="699" t="str">
        <f t="shared" si="257"/>
        <v/>
      </c>
      <c r="AW228" s="567"/>
    </row>
    <row r="229" spans="1:49" s="83" customFormat="1" hidden="1" x14ac:dyDescent="0.3">
      <c r="A229" s="82"/>
      <c r="B229" s="178" t="str">
        <f t="shared" ref="B229:B238" si="259">B228</f>
        <v>TFMEELC100</v>
      </c>
      <c r="C229" s="178"/>
      <c r="D229" s="179"/>
      <c r="E229" s="178"/>
      <c r="F229" s="182"/>
      <c r="G229" s="324" t="s">
        <v>433</v>
      </c>
      <c r="H229" s="182"/>
      <c r="I229" s="183"/>
      <c r="J229" s="184"/>
      <c r="K229" s="184"/>
      <c r="L229" s="184" t="s">
        <v>1125</v>
      </c>
      <c r="M229" s="184" t="s">
        <v>677</v>
      </c>
      <c r="N229" s="675">
        <f>T_CEFF!H185</f>
        <v>0.13333</v>
      </c>
      <c r="O229" s="675">
        <f>T_CEFF!I185</f>
        <v>0.13333</v>
      </c>
      <c r="P229" s="675">
        <f>T_CEFF!J185</f>
        <v>0.13333</v>
      </c>
      <c r="Q229" s="675">
        <f>T_CEFF!K185</f>
        <v>0.13333</v>
      </c>
      <c r="R229" s="675">
        <f>T_CEFF!L185</f>
        <v>0.13333</v>
      </c>
      <c r="S229" s="675">
        <f>T_CEFF!M185</f>
        <v>0.13333</v>
      </c>
      <c r="T229" s="675">
        <f>T_CEFF!N185</f>
        <v>0.13333</v>
      </c>
      <c r="U229" s="675">
        <f>T_CEFF!O185</f>
        <v>0.13333</v>
      </c>
      <c r="V229" s="675">
        <f>T_CEFF!P185</f>
        <v>0.13333</v>
      </c>
      <c r="W229" s="675">
        <f>T_CEFF!Q185</f>
        <v>0.13333</v>
      </c>
      <c r="X229" s="675">
        <f>T_CEFF!R185</f>
        <v>0.13333</v>
      </c>
      <c r="Y229" s="675">
        <f>T_CEFF!S185</f>
        <v>0.13333</v>
      </c>
      <c r="Z229" s="675">
        <f>T_CEFF!T185</f>
        <v>0.13333</v>
      </c>
      <c r="AA229" s="675">
        <f>T_CEFF!U185</f>
        <v>0.13333</v>
      </c>
      <c r="AB229" s="675">
        <f>T_CEFF!V185</f>
        <v>0.13333</v>
      </c>
      <c r="AV229" s="699" t="str">
        <f t="shared" si="257"/>
        <v/>
      </c>
      <c r="AW229" s="567"/>
    </row>
    <row r="230" spans="1:49" s="83" customFormat="1" hidden="1" x14ac:dyDescent="0.3">
      <c r="A230" s="82"/>
      <c r="B230" s="178" t="str">
        <f>B229</f>
        <v>TFMEELC100</v>
      </c>
      <c r="C230" s="178"/>
      <c r="D230" s="179"/>
      <c r="E230" s="178"/>
      <c r="F230" s="182"/>
      <c r="G230" s="181"/>
      <c r="H230" s="182"/>
      <c r="I230" s="183"/>
      <c r="J230" s="184"/>
      <c r="K230" s="184" t="s">
        <v>748</v>
      </c>
      <c r="L230" s="184" t="s">
        <v>1127</v>
      </c>
      <c r="M230" s="184" t="s">
        <v>1174</v>
      </c>
      <c r="N230" s="388" t="e">
        <f>N$24</f>
        <v>#REF!</v>
      </c>
      <c r="O230" s="388" t="e">
        <f t="shared" ref="O230:AB230" si="260">O$24</f>
        <v>#REF!</v>
      </c>
      <c r="P230" s="388" t="e">
        <f t="shared" si="260"/>
        <v>#REF!</v>
      </c>
      <c r="Q230" s="388" t="e">
        <f t="shared" si="260"/>
        <v>#REF!</v>
      </c>
      <c r="R230" s="388" t="e">
        <f t="shared" si="260"/>
        <v>#REF!</v>
      </c>
      <c r="S230" s="388" t="e">
        <f t="shared" si="260"/>
        <v>#REF!</v>
      </c>
      <c r="T230" s="388" t="e">
        <f t="shared" si="260"/>
        <v>#REF!</v>
      </c>
      <c r="U230" s="388" t="e">
        <f t="shared" si="260"/>
        <v>#REF!</v>
      </c>
      <c r="V230" s="388" t="e">
        <f t="shared" si="260"/>
        <v>#REF!</v>
      </c>
      <c r="W230" s="388" t="e">
        <f t="shared" si="260"/>
        <v>#REF!</v>
      </c>
      <c r="X230" s="388" t="e">
        <f t="shared" si="260"/>
        <v>#REF!</v>
      </c>
      <c r="Y230" s="388" t="e">
        <f t="shared" si="260"/>
        <v>#REF!</v>
      </c>
      <c r="Z230" s="388" t="e">
        <f t="shared" si="260"/>
        <v>#REF!</v>
      </c>
      <c r="AA230" s="388" t="e">
        <f t="shared" si="260"/>
        <v>#REF!</v>
      </c>
      <c r="AB230" s="388" t="e">
        <f t="shared" si="260"/>
        <v>#REF!</v>
      </c>
    </row>
    <row r="231" spans="1:49" s="83" customFormat="1" hidden="1" x14ac:dyDescent="0.3">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1" t="e">
        <f>SUM(AF231:AT231)</f>
        <v>#REF!</v>
      </c>
      <c r="AF231" s="85" t="e">
        <f t="shared" ref="AF231:AT231" si="261">N230*N231*N232/1000</f>
        <v>#REF!</v>
      </c>
      <c r="AG231" s="85" t="e">
        <f t="shared" si="261"/>
        <v>#REF!</v>
      </c>
      <c r="AH231" s="85" t="e">
        <f t="shared" si="261"/>
        <v>#REF!</v>
      </c>
      <c r="AI231" s="85" t="e">
        <f t="shared" si="261"/>
        <v>#REF!</v>
      </c>
      <c r="AJ231" s="85" t="e">
        <f t="shared" si="261"/>
        <v>#REF!</v>
      </c>
      <c r="AK231" s="85" t="e">
        <f t="shared" si="261"/>
        <v>#REF!</v>
      </c>
      <c r="AL231" s="85" t="e">
        <f t="shared" si="261"/>
        <v>#REF!</v>
      </c>
      <c r="AM231" s="85" t="e">
        <f t="shared" si="261"/>
        <v>#REF!</v>
      </c>
      <c r="AN231" s="85" t="e">
        <f t="shared" si="261"/>
        <v>#REF!</v>
      </c>
      <c r="AO231" s="85" t="e">
        <f t="shared" si="261"/>
        <v>#REF!</v>
      </c>
      <c r="AP231" s="85" t="e">
        <f t="shared" si="261"/>
        <v>#REF!</v>
      </c>
      <c r="AQ231" s="85" t="e">
        <f t="shared" si="261"/>
        <v>#REF!</v>
      </c>
      <c r="AR231" s="85" t="e">
        <f t="shared" si="261"/>
        <v>#REF!</v>
      </c>
      <c r="AS231" s="85" t="e">
        <f t="shared" si="261"/>
        <v>#REF!</v>
      </c>
      <c r="AT231" s="85" t="e">
        <f t="shared" si="261"/>
        <v>#REF!</v>
      </c>
    </row>
    <row r="232" spans="1:49" s="83" customFormat="1" hidden="1" x14ac:dyDescent="0.3">
      <c r="A232" s="82"/>
      <c r="B232" s="178" t="str">
        <f>B231</f>
        <v>TFMEELC100</v>
      </c>
      <c r="C232" s="178"/>
      <c r="D232" s="179"/>
      <c r="E232" s="178"/>
      <c r="F232" s="182"/>
      <c r="G232" s="181"/>
      <c r="H232" s="182"/>
      <c r="I232" s="183">
        <f>$M$3</f>
        <v>2019</v>
      </c>
      <c r="J232" s="184"/>
      <c r="K232" s="184"/>
      <c r="L232" s="203" t="s">
        <v>1064</v>
      </c>
      <c r="M232" s="184" t="s">
        <v>747</v>
      </c>
      <c r="N232" s="693">
        <f>LOOKUP($C$227, T_Stock_Private!$C$106:$C$117, T_Stock_Private!D$106:D$117)*(1+N196)</f>
        <v>0</v>
      </c>
      <c r="O232" s="693">
        <f>LOOKUP($C$227, T_Stock_Private!$C$106:$C$117, T_Stock_Private!E$106:E$117)*(1+O196)</f>
        <v>0</v>
      </c>
      <c r="P232" s="693">
        <f>LOOKUP($C$227, T_Stock_Private!$C$106:$C$117, T_Stock_Private!F$106:F$117)*(1+P196)</f>
        <v>0</v>
      </c>
      <c r="Q232" s="693">
        <f>LOOKUP($C$227, T_Stock_Private!$C$106:$C$117, T_Stock_Private!G$106:G$117)*(1+Q196)</f>
        <v>0</v>
      </c>
      <c r="R232" s="693">
        <f>LOOKUP($C$227, T_Stock_Private!$C$106:$C$117, T_Stock_Private!H$106:H$117)*(1+R196)</f>
        <v>0</v>
      </c>
      <c r="S232" s="693">
        <f>LOOKUP($C$227, T_Stock_Private!$C$106:$C$117, T_Stock_Private!I$106:I$117)*(1+S196)</f>
        <v>0</v>
      </c>
      <c r="T232" s="693">
        <f>LOOKUP($C$227, T_Stock_Private!$C$106:$C$117, T_Stock_Private!J$106:J$117)*(1+T196)</f>
        <v>0</v>
      </c>
      <c r="U232" s="693">
        <f>LOOKUP($C$227, T_Stock_Private!$C$106:$C$117, T_Stock_Private!K$106:K$117)*(1+U196)</f>
        <v>0</v>
      </c>
      <c r="V232" s="693">
        <f>LOOKUP($C$227, T_Stock_Private!$C$106:$C$117, T_Stock_Private!L$106:L$117)*(1+V196)</f>
        <v>0</v>
      </c>
      <c r="W232" s="693">
        <f>LOOKUP($C$227, T_Stock_Private!$C$106:$C$117, T_Stock_Private!M$106:M$117)*(1+W196)</f>
        <v>0</v>
      </c>
      <c r="X232" s="693">
        <f>LOOKUP($C$227, T_Stock_Private!$C$106:$C$117, T_Stock_Private!N$106:N$117)*(1+X196)</f>
        <v>0</v>
      </c>
      <c r="Y232" s="693">
        <f>LOOKUP($C$227, T_Stock_Private!$C$106:$C$117, T_Stock_Private!O$106:O$117)*(1+Y196)</f>
        <v>0</v>
      </c>
      <c r="Z232" s="693">
        <f>LOOKUP($C$227, T_Stock_Private!$C$106:$C$117, T_Stock_Private!P$106:P$117)*(1+Z196)</f>
        <v>0</v>
      </c>
      <c r="AA232" s="693">
        <f>LOOKUP($C$227, T_Stock_Private!$C$106:$C$117, T_Stock_Private!Q$106:Q$117)*(1+AA196)</f>
        <v>0</v>
      </c>
      <c r="AB232" s="693">
        <f>LOOKUP($C$227, T_Stock_Private!$C$106:$C$117, T_Stock_Private!R$106:R$117)*(1+AB196)</f>
        <v>0</v>
      </c>
    </row>
    <row r="233" spans="1:49" s="83" customFormat="1" hidden="1" x14ac:dyDescent="0.3">
      <c r="A233" s="82"/>
      <c r="B233" s="178" t="str">
        <f t="shared" si="259"/>
        <v>TFMEELC100</v>
      </c>
      <c r="C233" s="178"/>
      <c r="D233" s="179"/>
      <c r="E233" s="178"/>
      <c r="F233" s="182"/>
      <c r="G233" s="181"/>
      <c r="H233" s="182"/>
      <c r="I233" s="183">
        <f>AF$5</f>
        <v>2020</v>
      </c>
      <c r="J233" s="184"/>
      <c r="K233" s="184"/>
      <c r="L233" s="203" t="s">
        <v>1064</v>
      </c>
      <c r="M233" s="184" t="s">
        <v>747</v>
      </c>
      <c r="N233" s="693">
        <f t="shared" ref="N233:AB233" si="262">N232*LOOKUP($AD227,$AG$4:$AP$4,$AG$5:$AP$5)</f>
        <v>0</v>
      </c>
      <c r="O233" s="693">
        <f t="shared" si="262"/>
        <v>0</v>
      </c>
      <c r="P233" s="693">
        <f t="shared" si="262"/>
        <v>0</v>
      </c>
      <c r="Q233" s="693">
        <f t="shared" si="262"/>
        <v>0</v>
      </c>
      <c r="R233" s="693">
        <f t="shared" si="262"/>
        <v>0</v>
      </c>
      <c r="S233" s="693">
        <f t="shared" si="262"/>
        <v>0</v>
      </c>
      <c r="T233" s="693">
        <f t="shared" si="262"/>
        <v>0</v>
      </c>
      <c r="U233" s="693">
        <f t="shared" si="262"/>
        <v>0</v>
      </c>
      <c r="V233" s="693">
        <f t="shared" si="262"/>
        <v>0</v>
      </c>
      <c r="W233" s="693">
        <f t="shared" si="262"/>
        <v>0</v>
      </c>
      <c r="X233" s="693">
        <f t="shared" si="262"/>
        <v>0</v>
      </c>
      <c r="Y233" s="693">
        <f t="shared" si="262"/>
        <v>0</v>
      </c>
      <c r="Z233" s="693">
        <f t="shared" si="262"/>
        <v>0</v>
      </c>
      <c r="AA233" s="693">
        <f t="shared" si="262"/>
        <v>0</v>
      </c>
      <c r="AB233" s="693">
        <f t="shared" si="262"/>
        <v>0</v>
      </c>
    </row>
    <row r="234" spans="1:49" s="83" customFormat="1" hidden="1" x14ac:dyDescent="0.3">
      <c r="A234" s="82"/>
      <c r="B234" s="178" t="str">
        <f t="shared" si="259"/>
        <v>TFMEELC100</v>
      </c>
      <c r="C234" s="178"/>
      <c r="D234" s="179"/>
      <c r="E234" s="178"/>
      <c r="F234" s="182"/>
      <c r="G234" s="181"/>
      <c r="H234" s="182"/>
      <c r="I234" s="183">
        <f>AF$6</f>
        <v>2025</v>
      </c>
      <c r="J234" s="184"/>
      <c r="K234" s="184"/>
      <c r="L234" s="203" t="s">
        <v>1064</v>
      </c>
      <c r="M234" s="184" t="s">
        <v>747</v>
      </c>
      <c r="N234" s="693">
        <f t="shared" ref="N234:AB234" si="263">N232*LOOKUP($AD227,$AG$4:$AP$4,$AG$6:$AP$6)</f>
        <v>0</v>
      </c>
      <c r="O234" s="693">
        <f t="shared" si="263"/>
        <v>0</v>
      </c>
      <c r="P234" s="693">
        <f t="shared" si="263"/>
        <v>0</v>
      </c>
      <c r="Q234" s="693">
        <f t="shared" si="263"/>
        <v>0</v>
      </c>
      <c r="R234" s="693">
        <f t="shared" si="263"/>
        <v>0</v>
      </c>
      <c r="S234" s="693">
        <f t="shared" si="263"/>
        <v>0</v>
      </c>
      <c r="T234" s="693">
        <f t="shared" si="263"/>
        <v>0</v>
      </c>
      <c r="U234" s="693">
        <f t="shared" si="263"/>
        <v>0</v>
      </c>
      <c r="V234" s="693">
        <f t="shared" si="263"/>
        <v>0</v>
      </c>
      <c r="W234" s="693">
        <f t="shared" si="263"/>
        <v>0</v>
      </c>
      <c r="X234" s="693">
        <f t="shared" si="263"/>
        <v>0</v>
      </c>
      <c r="Y234" s="693">
        <f t="shared" si="263"/>
        <v>0</v>
      </c>
      <c r="Z234" s="693">
        <f t="shared" si="263"/>
        <v>0</v>
      </c>
      <c r="AA234" s="693">
        <f t="shared" si="263"/>
        <v>0</v>
      </c>
      <c r="AB234" s="693">
        <f t="shared" si="263"/>
        <v>0</v>
      </c>
    </row>
    <row r="235" spans="1:49" s="83" customFormat="1" hidden="1" x14ac:dyDescent="0.3">
      <c r="A235" s="82"/>
      <c r="B235" s="178" t="str">
        <f t="shared" si="259"/>
        <v>TFMEELC100</v>
      </c>
      <c r="C235" s="178"/>
      <c r="D235" s="179"/>
      <c r="E235" s="178"/>
      <c r="F235" s="182"/>
      <c r="G235" s="181"/>
      <c r="H235" s="182"/>
      <c r="I235" s="183">
        <f>AF$7</f>
        <v>2030</v>
      </c>
      <c r="J235" s="184"/>
      <c r="K235" s="184"/>
      <c r="L235" s="203" t="s">
        <v>1064</v>
      </c>
      <c r="M235" s="184" t="s">
        <v>747</v>
      </c>
      <c r="N235" s="693">
        <f t="shared" ref="N235:AB235" si="264">N232*LOOKUP($AD227,$AG$4:$AP$4,$AG$7:$AP$7)</f>
        <v>0</v>
      </c>
      <c r="O235" s="693">
        <f t="shared" si="264"/>
        <v>0</v>
      </c>
      <c r="P235" s="693">
        <f t="shared" si="264"/>
        <v>0</v>
      </c>
      <c r="Q235" s="693">
        <f t="shared" si="264"/>
        <v>0</v>
      </c>
      <c r="R235" s="693">
        <f t="shared" si="264"/>
        <v>0</v>
      </c>
      <c r="S235" s="693">
        <f t="shared" si="264"/>
        <v>0</v>
      </c>
      <c r="T235" s="693">
        <f t="shared" si="264"/>
        <v>0</v>
      </c>
      <c r="U235" s="693">
        <f t="shared" si="264"/>
        <v>0</v>
      </c>
      <c r="V235" s="693">
        <f t="shared" si="264"/>
        <v>0</v>
      </c>
      <c r="W235" s="693">
        <f t="shared" si="264"/>
        <v>0</v>
      </c>
      <c r="X235" s="693">
        <f t="shared" si="264"/>
        <v>0</v>
      </c>
      <c r="Y235" s="693">
        <f t="shared" si="264"/>
        <v>0</v>
      </c>
      <c r="Z235" s="693">
        <f t="shared" si="264"/>
        <v>0</v>
      </c>
      <c r="AA235" s="693">
        <f t="shared" si="264"/>
        <v>0</v>
      </c>
      <c r="AB235" s="693">
        <f t="shared" si="264"/>
        <v>0</v>
      </c>
    </row>
    <row r="236" spans="1:49" s="83" customFormat="1" hidden="1" x14ac:dyDescent="0.3">
      <c r="A236" s="82"/>
      <c r="B236" s="178" t="str">
        <f t="shared" si="259"/>
        <v>TFMEELC100</v>
      </c>
      <c r="C236" s="178"/>
      <c r="D236" s="179"/>
      <c r="E236" s="178"/>
      <c r="F236" s="182"/>
      <c r="G236" s="181"/>
      <c r="H236" s="182"/>
      <c r="I236" s="183">
        <f>AF$8</f>
        <v>2035</v>
      </c>
      <c r="J236" s="184"/>
      <c r="K236" s="184"/>
      <c r="L236" s="203" t="s">
        <v>1064</v>
      </c>
      <c r="M236" s="184" t="s">
        <v>747</v>
      </c>
      <c r="N236" s="693">
        <f t="shared" ref="N236:AB236" si="265">N232*LOOKUP($AD227,$AG$4:$AP$4,$AG$8:$AP$8)</f>
        <v>0</v>
      </c>
      <c r="O236" s="693">
        <f t="shared" si="265"/>
        <v>0</v>
      </c>
      <c r="P236" s="693">
        <f t="shared" si="265"/>
        <v>0</v>
      </c>
      <c r="Q236" s="693">
        <f t="shared" si="265"/>
        <v>0</v>
      </c>
      <c r="R236" s="693">
        <f t="shared" si="265"/>
        <v>0</v>
      </c>
      <c r="S236" s="693">
        <f t="shared" si="265"/>
        <v>0</v>
      </c>
      <c r="T236" s="693">
        <f t="shared" si="265"/>
        <v>0</v>
      </c>
      <c r="U236" s="693">
        <f t="shared" si="265"/>
        <v>0</v>
      </c>
      <c r="V236" s="693">
        <f t="shared" si="265"/>
        <v>0</v>
      </c>
      <c r="W236" s="693">
        <f t="shared" si="265"/>
        <v>0</v>
      </c>
      <c r="X236" s="693">
        <f t="shared" si="265"/>
        <v>0</v>
      </c>
      <c r="Y236" s="693">
        <f t="shared" si="265"/>
        <v>0</v>
      </c>
      <c r="Z236" s="693">
        <f t="shared" si="265"/>
        <v>0</v>
      </c>
      <c r="AA236" s="693">
        <f t="shared" si="265"/>
        <v>0</v>
      </c>
      <c r="AB236" s="693">
        <f t="shared" si="265"/>
        <v>0</v>
      </c>
    </row>
    <row r="237" spans="1:49" s="83" customFormat="1" hidden="1" x14ac:dyDescent="0.3">
      <c r="A237" s="82"/>
      <c r="B237" s="178" t="str">
        <f t="shared" si="259"/>
        <v>TFMEELC100</v>
      </c>
      <c r="C237" s="178"/>
      <c r="D237" s="179"/>
      <c r="E237" s="178"/>
      <c r="F237" s="182"/>
      <c r="G237" s="181"/>
      <c r="H237" s="182"/>
      <c r="I237" s="183">
        <f>AF$9</f>
        <v>2040</v>
      </c>
      <c r="J237" s="184"/>
      <c r="K237" s="184"/>
      <c r="L237" s="203" t="s">
        <v>1064</v>
      </c>
      <c r="M237" s="184" t="s">
        <v>747</v>
      </c>
      <c r="N237" s="693">
        <f t="shared" ref="N237:AB237" si="266">N232*LOOKUP($AD227,$AG$4:$AP$4,$AG$9:$AP$9)</f>
        <v>0</v>
      </c>
      <c r="O237" s="693">
        <f t="shared" si="266"/>
        <v>0</v>
      </c>
      <c r="P237" s="693">
        <f t="shared" si="266"/>
        <v>0</v>
      </c>
      <c r="Q237" s="693">
        <f t="shared" si="266"/>
        <v>0</v>
      </c>
      <c r="R237" s="693">
        <f t="shared" si="266"/>
        <v>0</v>
      </c>
      <c r="S237" s="693">
        <f t="shared" si="266"/>
        <v>0</v>
      </c>
      <c r="T237" s="693">
        <f t="shared" si="266"/>
        <v>0</v>
      </c>
      <c r="U237" s="693">
        <f t="shared" si="266"/>
        <v>0</v>
      </c>
      <c r="V237" s="693">
        <f t="shared" si="266"/>
        <v>0</v>
      </c>
      <c r="W237" s="693">
        <f t="shared" si="266"/>
        <v>0</v>
      </c>
      <c r="X237" s="693">
        <f t="shared" si="266"/>
        <v>0</v>
      </c>
      <c r="Y237" s="693">
        <f t="shared" si="266"/>
        <v>0</v>
      </c>
      <c r="Z237" s="693">
        <f t="shared" si="266"/>
        <v>0</v>
      </c>
      <c r="AA237" s="693">
        <f t="shared" si="266"/>
        <v>0</v>
      </c>
      <c r="AB237" s="693">
        <f t="shared" si="266"/>
        <v>0</v>
      </c>
    </row>
    <row r="238" spans="1:49" s="83" customFormat="1" hidden="1" x14ac:dyDescent="0.3">
      <c r="A238" s="82"/>
      <c r="B238" s="204" t="str">
        <f t="shared" si="259"/>
        <v>TFMEELC100</v>
      </c>
      <c r="C238" s="204"/>
      <c r="D238" s="205"/>
      <c r="E238" s="204"/>
      <c r="F238" s="206"/>
      <c r="G238" s="207"/>
      <c r="H238" s="206"/>
      <c r="I238" s="208">
        <f>AF$10</f>
        <v>2050</v>
      </c>
      <c r="J238" s="209"/>
      <c r="K238" s="209"/>
      <c r="L238" s="210" t="s">
        <v>1064</v>
      </c>
      <c r="M238" s="209" t="s">
        <v>747</v>
      </c>
      <c r="N238" s="694">
        <f t="shared" ref="N238:AB238" si="267">N232*LOOKUP($AD227,$AG$4:$AP$4,$AG$10:$AP$10)</f>
        <v>0</v>
      </c>
      <c r="O238" s="694">
        <f t="shared" si="267"/>
        <v>0</v>
      </c>
      <c r="P238" s="694">
        <f t="shared" si="267"/>
        <v>0</v>
      </c>
      <c r="Q238" s="694">
        <f t="shared" si="267"/>
        <v>0</v>
      </c>
      <c r="R238" s="694">
        <f t="shared" si="267"/>
        <v>0</v>
      </c>
      <c r="S238" s="694">
        <f t="shared" si="267"/>
        <v>0</v>
      </c>
      <c r="T238" s="694">
        <f t="shared" si="267"/>
        <v>0</v>
      </c>
      <c r="U238" s="694">
        <f t="shared" si="267"/>
        <v>0</v>
      </c>
      <c r="V238" s="694">
        <f t="shared" si="267"/>
        <v>0</v>
      </c>
      <c r="W238" s="694">
        <f t="shared" si="267"/>
        <v>0</v>
      </c>
      <c r="X238" s="694">
        <f t="shared" si="267"/>
        <v>0</v>
      </c>
      <c r="Y238" s="694">
        <f t="shared" si="267"/>
        <v>0</v>
      </c>
      <c r="Z238" s="694">
        <f t="shared" si="267"/>
        <v>0</v>
      </c>
      <c r="AA238" s="694">
        <f t="shared" si="267"/>
        <v>0</v>
      </c>
      <c r="AB238" s="694">
        <f t="shared" si="267"/>
        <v>0</v>
      </c>
    </row>
    <row r="239" spans="1:49" s="83" customFormat="1" hidden="1" x14ac:dyDescent="0.3">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699" t="str">
        <f t="shared" ref="AV239:AV241" si="269">MID(E239,1,7)</f>
        <v>TRAETH</v>
      </c>
      <c r="AW239" s="567">
        <f t="shared" ref="AW239" si="270">SUM(AX239:BL239)</f>
        <v>0</v>
      </c>
    </row>
    <row r="240" spans="1:49" s="83" customFormat="1" hidden="1" x14ac:dyDescent="0.3">
      <c r="A240" s="82"/>
      <c r="B240" s="178" t="str">
        <f>B239</f>
        <v>TFMEETH100</v>
      </c>
      <c r="C240" s="178"/>
      <c r="D240" s="179"/>
      <c r="E240" s="178"/>
      <c r="F240" s="182"/>
      <c r="G240" s="324" t="s">
        <v>435</v>
      </c>
      <c r="H240" s="182"/>
      <c r="I240" s="183"/>
      <c r="J240" s="184"/>
      <c r="K240" s="184"/>
      <c r="L240" s="184" t="s">
        <v>1125</v>
      </c>
      <c r="M240" s="184" t="s">
        <v>677</v>
      </c>
      <c r="N240" s="675">
        <f>T_CEFF!H186</f>
        <v>7.0400000000000004E-2</v>
      </c>
      <c r="O240" s="675">
        <f>T_CEFF!I186</f>
        <v>7.0400000000000004E-2</v>
      </c>
      <c r="P240" s="675">
        <f>T_CEFF!J186</f>
        <v>7.0400000000000004E-2</v>
      </c>
      <c r="Q240" s="675">
        <f>T_CEFF!K186</f>
        <v>7.0400000000000004E-2</v>
      </c>
      <c r="R240" s="675">
        <f>T_CEFF!L186</f>
        <v>7.0400000000000004E-2</v>
      </c>
      <c r="S240" s="675">
        <f>T_CEFF!M186</f>
        <v>7.0400000000000004E-2</v>
      </c>
      <c r="T240" s="675">
        <f>T_CEFF!N186</f>
        <v>7.0400000000000004E-2</v>
      </c>
      <c r="U240" s="675">
        <f>T_CEFF!O186</f>
        <v>7.0400000000000004E-2</v>
      </c>
      <c r="V240" s="675">
        <f>T_CEFF!P186</f>
        <v>7.0400000000000004E-2</v>
      </c>
      <c r="W240" s="675">
        <f>T_CEFF!Q186</f>
        <v>7.0400000000000004E-2</v>
      </c>
      <c r="X240" s="675">
        <f>T_CEFF!R186</f>
        <v>7.0400000000000004E-2</v>
      </c>
      <c r="Y240" s="675">
        <f>T_CEFF!S186</f>
        <v>7.0400000000000004E-2</v>
      </c>
      <c r="Z240" s="675">
        <f>T_CEFF!T186</f>
        <v>7.0400000000000004E-2</v>
      </c>
      <c r="AA240" s="675">
        <f>T_CEFF!U186</f>
        <v>7.0400000000000004E-2</v>
      </c>
      <c r="AB240" s="675">
        <f>T_CEFF!V186</f>
        <v>7.0400000000000004E-2</v>
      </c>
      <c r="AV240" s="699" t="str">
        <f t="shared" si="269"/>
        <v/>
      </c>
      <c r="AW240" s="567"/>
    </row>
    <row r="241" spans="1:65" s="83" customFormat="1" hidden="1" x14ac:dyDescent="0.3">
      <c r="A241" s="82"/>
      <c r="B241" s="178" t="str">
        <f t="shared" ref="B241:B250" si="271">B240</f>
        <v>TFMEETH100</v>
      </c>
      <c r="C241" s="178"/>
      <c r="D241" s="179"/>
      <c r="E241" s="178"/>
      <c r="F241" s="182"/>
      <c r="G241" s="324" t="s">
        <v>433</v>
      </c>
      <c r="H241" s="182"/>
      <c r="I241" s="183"/>
      <c r="J241" s="184"/>
      <c r="K241" s="184"/>
      <c r="L241" s="184" t="s">
        <v>1125</v>
      </c>
      <c r="M241" s="184" t="s">
        <v>677</v>
      </c>
      <c r="N241" s="675">
        <f>T_CEFF!H187</f>
        <v>5.6320000000000002E-2</v>
      </c>
      <c r="O241" s="675">
        <f>T_CEFF!I187</f>
        <v>5.6320000000000002E-2</v>
      </c>
      <c r="P241" s="675">
        <f>T_CEFF!J187</f>
        <v>5.6320000000000002E-2</v>
      </c>
      <c r="Q241" s="675">
        <f>T_CEFF!K187</f>
        <v>5.6320000000000002E-2</v>
      </c>
      <c r="R241" s="675">
        <f>T_CEFF!L187</f>
        <v>5.6320000000000002E-2</v>
      </c>
      <c r="S241" s="675">
        <f>T_CEFF!M187</f>
        <v>5.6320000000000002E-2</v>
      </c>
      <c r="T241" s="675">
        <f>T_CEFF!N187</f>
        <v>5.6320000000000002E-2</v>
      </c>
      <c r="U241" s="675">
        <f>T_CEFF!O187</f>
        <v>5.6320000000000002E-2</v>
      </c>
      <c r="V241" s="675">
        <f>T_CEFF!P187</f>
        <v>5.6320000000000002E-2</v>
      </c>
      <c r="W241" s="675">
        <f>T_CEFF!Q187</f>
        <v>5.6320000000000002E-2</v>
      </c>
      <c r="X241" s="675">
        <f>T_CEFF!R187</f>
        <v>5.6320000000000002E-2</v>
      </c>
      <c r="Y241" s="675">
        <f>T_CEFF!S187</f>
        <v>5.6320000000000002E-2</v>
      </c>
      <c r="Z241" s="675">
        <f>T_CEFF!T187</f>
        <v>5.6320000000000002E-2</v>
      </c>
      <c r="AA241" s="675">
        <f>T_CEFF!U187</f>
        <v>5.6320000000000002E-2</v>
      </c>
      <c r="AB241" s="675">
        <f>T_CEFF!V187</f>
        <v>5.6320000000000002E-2</v>
      </c>
      <c r="AV241" s="699" t="str">
        <f t="shared" si="269"/>
        <v/>
      </c>
      <c r="AW241" s="567"/>
    </row>
    <row r="242" spans="1:65" s="83" customFormat="1" hidden="1" x14ac:dyDescent="0.3">
      <c r="A242" s="82"/>
      <c r="B242" s="178" t="str">
        <f>B241</f>
        <v>TFMEETH100</v>
      </c>
      <c r="C242" s="178"/>
      <c r="D242" s="179"/>
      <c r="E242" s="178"/>
      <c r="F242" s="182"/>
      <c r="G242" s="181"/>
      <c r="H242" s="182"/>
      <c r="I242" s="183"/>
      <c r="J242" s="184"/>
      <c r="K242" s="184" t="s">
        <v>748</v>
      </c>
      <c r="L242" s="184" t="s">
        <v>1127</v>
      </c>
      <c r="M242" s="184" t="s">
        <v>1174</v>
      </c>
      <c r="N242" s="388" t="e">
        <f>N$24</f>
        <v>#REF!</v>
      </c>
      <c r="O242" s="388" t="e">
        <f t="shared" ref="O242:AB242" si="272">O$24</f>
        <v>#REF!</v>
      </c>
      <c r="P242" s="388" t="e">
        <f t="shared" si="272"/>
        <v>#REF!</v>
      </c>
      <c r="Q242" s="388" t="e">
        <f t="shared" si="272"/>
        <v>#REF!</v>
      </c>
      <c r="R242" s="388" t="e">
        <f t="shared" si="272"/>
        <v>#REF!</v>
      </c>
      <c r="S242" s="388" t="e">
        <f t="shared" si="272"/>
        <v>#REF!</v>
      </c>
      <c r="T242" s="388" t="e">
        <f t="shared" si="272"/>
        <v>#REF!</v>
      </c>
      <c r="U242" s="388" t="e">
        <f t="shared" si="272"/>
        <v>#REF!</v>
      </c>
      <c r="V242" s="388" t="e">
        <f t="shared" si="272"/>
        <v>#REF!</v>
      </c>
      <c r="W242" s="388" t="e">
        <f t="shared" si="272"/>
        <v>#REF!</v>
      </c>
      <c r="X242" s="388" t="e">
        <f t="shared" si="272"/>
        <v>#REF!</v>
      </c>
      <c r="Y242" s="388" t="e">
        <f t="shared" si="272"/>
        <v>#REF!</v>
      </c>
      <c r="Z242" s="388" t="e">
        <f t="shared" si="272"/>
        <v>#REF!</v>
      </c>
      <c r="AA242" s="388" t="e">
        <f t="shared" si="272"/>
        <v>#REF!</v>
      </c>
      <c r="AB242" s="388" t="e">
        <f t="shared" si="272"/>
        <v>#REF!</v>
      </c>
    </row>
    <row r="243" spans="1:65" s="83" customFormat="1" hidden="1" x14ac:dyDescent="0.3">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1" t="e">
        <f>SUM(AF243:AT243)</f>
        <v>#REF!</v>
      </c>
      <c r="AF243" s="85" t="e">
        <f t="shared" ref="AF243:AT243" si="273">N242*N243*N244/1000</f>
        <v>#REF!</v>
      </c>
      <c r="AG243" s="85" t="e">
        <f t="shared" si="273"/>
        <v>#REF!</v>
      </c>
      <c r="AH243" s="85" t="e">
        <f t="shared" si="273"/>
        <v>#REF!</v>
      </c>
      <c r="AI243" s="85" t="e">
        <f t="shared" si="273"/>
        <v>#REF!</v>
      </c>
      <c r="AJ243" s="85" t="e">
        <f t="shared" si="273"/>
        <v>#REF!</v>
      </c>
      <c r="AK243" s="85" t="e">
        <f t="shared" si="273"/>
        <v>#REF!</v>
      </c>
      <c r="AL243" s="85" t="e">
        <f t="shared" si="273"/>
        <v>#REF!</v>
      </c>
      <c r="AM243" s="85" t="e">
        <f t="shared" si="273"/>
        <v>#REF!</v>
      </c>
      <c r="AN243" s="85" t="e">
        <f t="shared" si="273"/>
        <v>#REF!</v>
      </c>
      <c r="AO243" s="85" t="e">
        <f t="shared" si="273"/>
        <v>#REF!</v>
      </c>
      <c r="AP243" s="85" t="e">
        <f t="shared" si="273"/>
        <v>#REF!</v>
      </c>
      <c r="AQ243" s="85" t="e">
        <f t="shared" si="273"/>
        <v>#REF!</v>
      </c>
      <c r="AR243" s="85" t="e">
        <f t="shared" si="273"/>
        <v>#REF!</v>
      </c>
      <c r="AS243" s="85" t="e">
        <f t="shared" si="273"/>
        <v>#REF!</v>
      </c>
      <c r="AT243" s="85" t="e">
        <f t="shared" si="273"/>
        <v>#REF!</v>
      </c>
    </row>
    <row r="244" spans="1:65" s="83" customFormat="1" hidden="1" x14ac:dyDescent="0.3">
      <c r="A244" s="82"/>
      <c r="B244" s="178" t="str">
        <f>B243</f>
        <v>TFMEETH100</v>
      </c>
      <c r="C244" s="178"/>
      <c r="D244" s="179"/>
      <c r="E244" s="178"/>
      <c r="F244" s="182"/>
      <c r="G244" s="181"/>
      <c r="H244" s="182"/>
      <c r="I244" s="183">
        <f>$M$3</f>
        <v>2019</v>
      </c>
      <c r="J244" s="184"/>
      <c r="K244" s="184"/>
      <c r="L244" s="203" t="s">
        <v>1064</v>
      </c>
      <c r="M244" s="184" t="s">
        <v>747</v>
      </c>
      <c r="N244" s="693">
        <f>LOOKUP($C$239, T_Stock_Private!$C$106:$C$117, T_Stock_Private!D$106:D$117)*(1+N196)</f>
        <v>0</v>
      </c>
      <c r="O244" s="693">
        <f>LOOKUP($C$239, T_Stock_Private!$C$106:$C$117, T_Stock_Private!E$106:E$117)*(1+O196)</f>
        <v>0</v>
      </c>
      <c r="P244" s="693">
        <f>LOOKUP($C$239, T_Stock_Private!$C$106:$C$117, T_Stock_Private!F$106:F$117)*(1+P196)</f>
        <v>0</v>
      </c>
      <c r="Q244" s="693">
        <f>LOOKUP($C$239, T_Stock_Private!$C$106:$C$117, T_Stock_Private!G$106:G$117)*(1+Q196)</f>
        <v>0</v>
      </c>
      <c r="R244" s="693">
        <f>LOOKUP($C$239, T_Stock_Private!$C$106:$C$117, T_Stock_Private!H$106:H$117)*(1+R196)</f>
        <v>0</v>
      </c>
      <c r="S244" s="693">
        <f>LOOKUP($C$239, T_Stock_Private!$C$106:$C$117, T_Stock_Private!I$106:I$117)*(1+S196)</f>
        <v>0</v>
      </c>
      <c r="T244" s="693">
        <f>LOOKUP($C$239, T_Stock_Private!$C$106:$C$117, T_Stock_Private!J$106:J$117)*(1+T196)</f>
        <v>0</v>
      </c>
      <c r="U244" s="693">
        <f>LOOKUP($C$239, T_Stock_Private!$C$106:$C$117, T_Stock_Private!K$106:K$117)*(1+U196)</f>
        <v>0</v>
      </c>
      <c r="V244" s="693">
        <f>LOOKUP($C$239, T_Stock_Private!$C$106:$C$117, T_Stock_Private!L$106:L$117)*(1+V196)</f>
        <v>0</v>
      </c>
      <c r="W244" s="693">
        <f>LOOKUP($C$239, T_Stock_Private!$C$106:$C$117, T_Stock_Private!M$106:M$117)*(1+W196)</f>
        <v>0</v>
      </c>
      <c r="X244" s="693">
        <f>LOOKUP($C$239, T_Stock_Private!$C$106:$C$117, T_Stock_Private!N$106:N$117)*(1+X196)</f>
        <v>0</v>
      </c>
      <c r="Y244" s="693">
        <f>LOOKUP($C$239, T_Stock_Private!$C$106:$C$117, T_Stock_Private!O$106:O$117)*(1+Y196)</f>
        <v>0</v>
      </c>
      <c r="Z244" s="693">
        <f>LOOKUP($C$239, T_Stock_Private!$C$106:$C$117, T_Stock_Private!P$106:P$117)*(1+Z196)</f>
        <v>0</v>
      </c>
      <c r="AA244" s="693">
        <f>LOOKUP($C$239, T_Stock_Private!$C$106:$C$117, T_Stock_Private!Q$106:Q$117)*(1+AA196)</f>
        <v>0</v>
      </c>
      <c r="AB244" s="693">
        <f>LOOKUP($C$239, T_Stock_Private!$C$106:$C$117, T_Stock_Private!R$106:R$117)*(1+AB196)</f>
        <v>0</v>
      </c>
    </row>
    <row r="245" spans="1:65" s="83" customFormat="1" hidden="1" x14ac:dyDescent="0.3">
      <c r="A245" s="82"/>
      <c r="B245" s="178" t="str">
        <f t="shared" si="271"/>
        <v>TFMEETH100</v>
      </c>
      <c r="C245" s="178"/>
      <c r="D245" s="179"/>
      <c r="E245" s="178"/>
      <c r="F245" s="182"/>
      <c r="G245" s="181"/>
      <c r="H245" s="182"/>
      <c r="I245" s="183">
        <f>AF$5</f>
        <v>2020</v>
      </c>
      <c r="J245" s="184"/>
      <c r="K245" s="184"/>
      <c r="L245" s="203" t="s">
        <v>1064</v>
      </c>
      <c r="M245" s="184" t="s">
        <v>747</v>
      </c>
      <c r="N245" s="693">
        <f t="shared" ref="N245:AB245" si="274">N244*LOOKUP($AD239,$AG$4:$AP$4,$AG$5:$AP$5)</f>
        <v>0</v>
      </c>
      <c r="O245" s="693">
        <f t="shared" si="274"/>
        <v>0</v>
      </c>
      <c r="P245" s="693">
        <f t="shared" si="274"/>
        <v>0</v>
      </c>
      <c r="Q245" s="693">
        <f t="shared" si="274"/>
        <v>0</v>
      </c>
      <c r="R245" s="693">
        <f t="shared" si="274"/>
        <v>0</v>
      </c>
      <c r="S245" s="693">
        <f t="shared" si="274"/>
        <v>0</v>
      </c>
      <c r="T245" s="693">
        <f t="shared" si="274"/>
        <v>0</v>
      </c>
      <c r="U245" s="693">
        <f t="shared" si="274"/>
        <v>0</v>
      </c>
      <c r="V245" s="693">
        <f t="shared" si="274"/>
        <v>0</v>
      </c>
      <c r="W245" s="693">
        <f t="shared" si="274"/>
        <v>0</v>
      </c>
      <c r="X245" s="693">
        <f t="shared" si="274"/>
        <v>0</v>
      </c>
      <c r="Y245" s="693">
        <f t="shared" si="274"/>
        <v>0</v>
      </c>
      <c r="Z245" s="693">
        <f t="shared" si="274"/>
        <v>0</v>
      </c>
      <c r="AA245" s="693">
        <f t="shared" si="274"/>
        <v>0</v>
      </c>
      <c r="AB245" s="693">
        <f t="shared" si="274"/>
        <v>0</v>
      </c>
    </row>
    <row r="246" spans="1:65" s="83" customFormat="1" hidden="1" x14ac:dyDescent="0.3">
      <c r="A246" s="82"/>
      <c r="B246" s="178" t="str">
        <f t="shared" si="271"/>
        <v>TFMEETH100</v>
      </c>
      <c r="C246" s="178"/>
      <c r="D246" s="179"/>
      <c r="E246" s="178"/>
      <c r="F246" s="182"/>
      <c r="G246" s="181"/>
      <c r="H246" s="182"/>
      <c r="I246" s="183">
        <f>AF$6</f>
        <v>2025</v>
      </c>
      <c r="J246" s="184"/>
      <c r="K246" s="184"/>
      <c r="L246" s="203" t="s">
        <v>1064</v>
      </c>
      <c r="M246" s="184" t="s">
        <v>747</v>
      </c>
      <c r="N246" s="693">
        <f t="shared" ref="N246:AB246" si="275">N244*LOOKUP($AD239,$AG$4:$AP$4,$AG$6:$AP$6)</f>
        <v>0</v>
      </c>
      <c r="O246" s="693">
        <f t="shared" si="275"/>
        <v>0</v>
      </c>
      <c r="P246" s="693">
        <f t="shared" si="275"/>
        <v>0</v>
      </c>
      <c r="Q246" s="693">
        <f t="shared" si="275"/>
        <v>0</v>
      </c>
      <c r="R246" s="693">
        <f t="shared" si="275"/>
        <v>0</v>
      </c>
      <c r="S246" s="693">
        <f t="shared" si="275"/>
        <v>0</v>
      </c>
      <c r="T246" s="693">
        <f t="shared" si="275"/>
        <v>0</v>
      </c>
      <c r="U246" s="693">
        <f t="shared" si="275"/>
        <v>0</v>
      </c>
      <c r="V246" s="693">
        <f t="shared" si="275"/>
        <v>0</v>
      </c>
      <c r="W246" s="693">
        <f t="shared" si="275"/>
        <v>0</v>
      </c>
      <c r="X246" s="693">
        <f t="shared" si="275"/>
        <v>0</v>
      </c>
      <c r="Y246" s="693">
        <f t="shared" si="275"/>
        <v>0</v>
      </c>
      <c r="Z246" s="693">
        <f t="shared" si="275"/>
        <v>0</v>
      </c>
      <c r="AA246" s="693">
        <f t="shared" si="275"/>
        <v>0</v>
      </c>
      <c r="AB246" s="693">
        <f t="shared" si="275"/>
        <v>0</v>
      </c>
    </row>
    <row r="247" spans="1:65" s="83" customFormat="1" hidden="1" x14ac:dyDescent="0.3">
      <c r="A247" s="82"/>
      <c r="B247" s="178" t="str">
        <f t="shared" si="271"/>
        <v>TFMEETH100</v>
      </c>
      <c r="C247" s="178"/>
      <c r="D247" s="179"/>
      <c r="E247" s="178"/>
      <c r="F247" s="182"/>
      <c r="G247" s="181"/>
      <c r="H247" s="182"/>
      <c r="I247" s="183">
        <f>AF$7</f>
        <v>2030</v>
      </c>
      <c r="J247" s="184"/>
      <c r="K247" s="184"/>
      <c r="L247" s="203" t="s">
        <v>1064</v>
      </c>
      <c r="M247" s="184" t="s">
        <v>747</v>
      </c>
      <c r="N247" s="693">
        <f t="shared" ref="N247:AB247" si="276">N244*LOOKUP($AD239,$AG$4:$AP$4,$AG$7:$AP$7)</f>
        <v>0</v>
      </c>
      <c r="O247" s="693">
        <f t="shared" si="276"/>
        <v>0</v>
      </c>
      <c r="P247" s="693">
        <f t="shared" si="276"/>
        <v>0</v>
      </c>
      <c r="Q247" s="693">
        <f t="shared" si="276"/>
        <v>0</v>
      </c>
      <c r="R247" s="693">
        <f t="shared" si="276"/>
        <v>0</v>
      </c>
      <c r="S247" s="693">
        <f t="shared" si="276"/>
        <v>0</v>
      </c>
      <c r="T247" s="693">
        <f t="shared" si="276"/>
        <v>0</v>
      </c>
      <c r="U247" s="693">
        <f t="shared" si="276"/>
        <v>0</v>
      </c>
      <c r="V247" s="693">
        <f t="shared" si="276"/>
        <v>0</v>
      </c>
      <c r="W247" s="693">
        <f t="shared" si="276"/>
        <v>0</v>
      </c>
      <c r="X247" s="693">
        <f t="shared" si="276"/>
        <v>0</v>
      </c>
      <c r="Y247" s="693">
        <f t="shared" si="276"/>
        <v>0</v>
      </c>
      <c r="Z247" s="693">
        <f t="shared" si="276"/>
        <v>0</v>
      </c>
      <c r="AA247" s="693">
        <f t="shared" si="276"/>
        <v>0</v>
      </c>
      <c r="AB247" s="693">
        <f t="shared" si="276"/>
        <v>0</v>
      </c>
    </row>
    <row r="248" spans="1:65" s="83" customFormat="1" hidden="1" x14ac:dyDescent="0.3">
      <c r="A248" s="82"/>
      <c r="B248" s="178" t="str">
        <f t="shared" si="271"/>
        <v>TFMEETH100</v>
      </c>
      <c r="C248" s="178"/>
      <c r="D248" s="179"/>
      <c r="E248" s="178"/>
      <c r="F248" s="182"/>
      <c r="G248" s="181"/>
      <c r="H248" s="182"/>
      <c r="I248" s="183">
        <f>AF$8</f>
        <v>2035</v>
      </c>
      <c r="J248" s="184"/>
      <c r="K248" s="184"/>
      <c r="L248" s="203" t="s">
        <v>1064</v>
      </c>
      <c r="M248" s="184" t="s">
        <v>747</v>
      </c>
      <c r="N248" s="693">
        <f t="shared" ref="N248:AB248" si="277">N244*LOOKUP($AD239,$AG$4:$AP$4,$AG$8:$AP$8)</f>
        <v>0</v>
      </c>
      <c r="O248" s="693">
        <f t="shared" si="277"/>
        <v>0</v>
      </c>
      <c r="P248" s="693">
        <f t="shared" si="277"/>
        <v>0</v>
      </c>
      <c r="Q248" s="693">
        <f t="shared" si="277"/>
        <v>0</v>
      </c>
      <c r="R248" s="693">
        <f t="shared" si="277"/>
        <v>0</v>
      </c>
      <c r="S248" s="693">
        <f t="shared" si="277"/>
        <v>0</v>
      </c>
      <c r="T248" s="693">
        <f t="shared" si="277"/>
        <v>0</v>
      </c>
      <c r="U248" s="693">
        <f t="shared" si="277"/>
        <v>0</v>
      </c>
      <c r="V248" s="693">
        <f t="shared" si="277"/>
        <v>0</v>
      </c>
      <c r="W248" s="693">
        <f t="shared" si="277"/>
        <v>0</v>
      </c>
      <c r="X248" s="693">
        <f t="shared" si="277"/>
        <v>0</v>
      </c>
      <c r="Y248" s="693">
        <f t="shared" si="277"/>
        <v>0</v>
      </c>
      <c r="Z248" s="693">
        <f t="shared" si="277"/>
        <v>0</v>
      </c>
      <c r="AA248" s="693">
        <f t="shared" si="277"/>
        <v>0</v>
      </c>
      <c r="AB248" s="693">
        <f t="shared" si="277"/>
        <v>0</v>
      </c>
    </row>
    <row r="249" spans="1:65" s="83" customFormat="1" hidden="1" x14ac:dyDescent="0.3">
      <c r="A249" s="82"/>
      <c r="B249" s="178" t="str">
        <f t="shared" si="271"/>
        <v>TFMEETH100</v>
      </c>
      <c r="C249" s="178"/>
      <c r="D249" s="179"/>
      <c r="E249" s="178"/>
      <c r="F249" s="182"/>
      <c r="G249" s="181"/>
      <c r="H249" s="182"/>
      <c r="I249" s="183">
        <f>AF$9</f>
        <v>2040</v>
      </c>
      <c r="J249" s="184"/>
      <c r="K249" s="184"/>
      <c r="L249" s="203" t="s">
        <v>1064</v>
      </c>
      <c r="M249" s="184" t="s">
        <v>747</v>
      </c>
      <c r="N249" s="693">
        <f t="shared" ref="N249:AB249" si="278">N244*LOOKUP($AD239,$AG$4:$AP$4,$AG$9:$AP$9)</f>
        <v>0</v>
      </c>
      <c r="O249" s="693">
        <f t="shared" si="278"/>
        <v>0</v>
      </c>
      <c r="P249" s="693">
        <f t="shared" si="278"/>
        <v>0</v>
      </c>
      <c r="Q249" s="693">
        <f t="shared" si="278"/>
        <v>0</v>
      </c>
      <c r="R249" s="693">
        <f t="shared" si="278"/>
        <v>0</v>
      </c>
      <c r="S249" s="693">
        <f t="shared" si="278"/>
        <v>0</v>
      </c>
      <c r="T249" s="693">
        <f t="shared" si="278"/>
        <v>0</v>
      </c>
      <c r="U249" s="693">
        <f t="shared" si="278"/>
        <v>0</v>
      </c>
      <c r="V249" s="693">
        <f t="shared" si="278"/>
        <v>0</v>
      </c>
      <c r="W249" s="693">
        <f t="shared" si="278"/>
        <v>0</v>
      </c>
      <c r="X249" s="693">
        <f t="shared" si="278"/>
        <v>0</v>
      </c>
      <c r="Y249" s="693">
        <f t="shared" si="278"/>
        <v>0</v>
      </c>
      <c r="Z249" s="693">
        <f t="shared" si="278"/>
        <v>0</v>
      </c>
      <c r="AA249" s="693">
        <f t="shared" si="278"/>
        <v>0</v>
      </c>
      <c r="AB249" s="693">
        <f t="shared" si="278"/>
        <v>0</v>
      </c>
    </row>
    <row r="250" spans="1:65" s="83" customFormat="1" hidden="1" x14ac:dyDescent="0.3">
      <c r="A250" s="82"/>
      <c r="B250" s="204" t="str">
        <f t="shared" si="271"/>
        <v>TFMEETH100</v>
      </c>
      <c r="C250" s="204"/>
      <c r="D250" s="205"/>
      <c r="E250" s="204"/>
      <c r="F250" s="206"/>
      <c r="G250" s="207"/>
      <c r="H250" s="206"/>
      <c r="I250" s="208">
        <f>AF$10</f>
        <v>2050</v>
      </c>
      <c r="J250" s="209"/>
      <c r="K250" s="209"/>
      <c r="L250" s="210" t="s">
        <v>1064</v>
      </c>
      <c r="M250" s="209" t="s">
        <v>747</v>
      </c>
      <c r="N250" s="694">
        <f t="shared" ref="N250:AB250" si="279">N244*LOOKUP($AD239,$AG$4:$AP$4,$AG$10:$AP$10)</f>
        <v>0</v>
      </c>
      <c r="O250" s="694">
        <f t="shared" si="279"/>
        <v>0</v>
      </c>
      <c r="P250" s="694">
        <f t="shared" si="279"/>
        <v>0</v>
      </c>
      <c r="Q250" s="694">
        <f t="shared" si="279"/>
        <v>0</v>
      </c>
      <c r="R250" s="694">
        <f t="shared" si="279"/>
        <v>0</v>
      </c>
      <c r="S250" s="694">
        <f t="shared" si="279"/>
        <v>0</v>
      </c>
      <c r="T250" s="694">
        <f t="shared" si="279"/>
        <v>0</v>
      </c>
      <c r="U250" s="694">
        <f t="shared" si="279"/>
        <v>0</v>
      </c>
      <c r="V250" s="694">
        <f t="shared" si="279"/>
        <v>0</v>
      </c>
      <c r="W250" s="694">
        <f t="shared" si="279"/>
        <v>0</v>
      </c>
      <c r="X250" s="694">
        <f t="shared" si="279"/>
        <v>0</v>
      </c>
      <c r="Y250" s="694">
        <f t="shared" si="279"/>
        <v>0</v>
      </c>
      <c r="Z250" s="694">
        <f t="shared" si="279"/>
        <v>0</v>
      </c>
      <c r="AA250" s="694">
        <f t="shared" si="279"/>
        <v>0</v>
      </c>
      <c r="AB250" s="694">
        <f t="shared" si="279"/>
        <v>0</v>
      </c>
    </row>
    <row r="251" spans="1:65" s="83" customFormat="1" hidden="1" x14ac:dyDescent="0.3">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699" t="str">
        <f t="shared" ref="AV251:AV254" si="281">MID(E251,1,7)</f>
        <v>TRABGS</v>
      </c>
      <c r="AW251" s="567">
        <f t="shared" ref="AW251:AW252" si="282">SUM(AX251:BL251)</f>
        <v>0</v>
      </c>
      <c r="AX251" s="720">
        <f>N$257*N$256*(1-N252)/N$254/1000</f>
        <v>0</v>
      </c>
      <c r="AY251" s="720">
        <f t="shared" ref="AY251:BL251" si="283">O$257*O$256*(1-O252)/O$254/1000</f>
        <v>0</v>
      </c>
      <c r="AZ251" s="720">
        <f t="shared" si="283"/>
        <v>0</v>
      </c>
      <c r="BA251" s="720">
        <f t="shared" si="283"/>
        <v>0</v>
      </c>
      <c r="BB251" s="720">
        <f t="shared" si="283"/>
        <v>0</v>
      </c>
      <c r="BC251" s="720">
        <f t="shared" si="283"/>
        <v>0</v>
      </c>
      <c r="BD251" s="720">
        <f t="shared" si="283"/>
        <v>0</v>
      </c>
      <c r="BE251" s="720">
        <f t="shared" si="283"/>
        <v>0</v>
      </c>
      <c r="BF251" s="720">
        <f t="shared" si="283"/>
        <v>0</v>
      </c>
      <c r="BG251" s="720">
        <f t="shared" si="283"/>
        <v>0</v>
      </c>
      <c r="BH251" s="720">
        <f t="shared" si="283"/>
        <v>0</v>
      </c>
      <c r="BI251" s="720">
        <f t="shared" si="283"/>
        <v>0</v>
      </c>
      <c r="BJ251" s="720">
        <f t="shared" si="283"/>
        <v>0</v>
      </c>
      <c r="BK251" s="720">
        <f t="shared" si="283"/>
        <v>0</v>
      </c>
      <c r="BL251" s="720">
        <f t="shared" si="283"/>
        <v>0</v>
      </c>
      <c r="BM251" s="720"/>
    </row>
    <row r="252" spans="1:65" s="83" customFormat="1" hidden="1" x14ac:dyDescent="0.3">
      <c r="A252" s="82"/>
      <c r="B252" s="178" t="str">
        <f>B251</f>
        <v>TFMEGAS100</v>
      </c>
      <c r="C252" s="178"/>
      <c r="D252" s="179"/>
      <c r="E252" s="407" t="s">
        <v>1038</v>
      </c>
      <c r="F252" s="182"/>
      <c r="G252" s="180"/>
      <c r="H252" s="182"/>
      <c r="I252" s="183"/>
      <c r="J252" s="184" t="s">
        <v>1156</v>
      </c>
      <c r="K252" s="184"/>
      <c r="L252" s="203" t="s">
        <v>101</v>
      </c>
      <c r="M252" s="184"/>
      <c r="N252" s="390">
        <f t="shared" ref="N252:AB252" si="284">1-N27</f>
        <v>5.0000000000000044E-2</v>
      </c>
      <c r="O252" s="390">
        <f t="shared" si="284"/>
        <v>5.0000000000000044E-2</v>
      </c>
      <c r="P252" s="390">
        <f t="shared" si="284"/>
        <v>5.0000000000000044E-2</v>
      </c>
      <c r="Q252" s="390">
        <f t="shared" si="284"/>
        <v>5.0000000000000044E-2</v>
      </c>
      <c r="R252" s="390">
        <f t="shared" si="284"/>
        <v>5.0000000000000044E-2</v>
      </c>
      <c r="S252" s="390">
        <f t="shared" si="284"/>
        <v>5.0000000000000044E-2</v>
      </c>
      <c r="T252" s="390">
        <f t="shared" si="284"/>
        <v>5.0000000000000044E-2</v>
      </c>
      <c r="U252" s="390">
        <f t="shared" si="284"/>
        <v>5.0000000000000044E-2</v>
      </c>
      <c r="V252" s="390">
        <f t="shared" si="284"/>
        <v>5.0000000000000044E-2</v>
      </c>
      <c r="W252" s="390">
        <f t="shared" si="284"/>
        <v>5.0000000000000044E-2</v>
      </c>
      <c r="X252" s="390">
        <f t="shared" si="284"/>
        <v>5.0000000000000044E-2</v>
      </c>
      <c r="Y252" s="390">
        <f t="shared" si="284"/>
        <v>5.0000000000000044E-2</v>
      </c>
      <c r="Z252" s="390">
        <f t="shared" si="284"/>
        <v>5.0000000000000044E-2</v>
      </c>
      <c r="AA252" s="390">
        <f t="shared" si="284"/>
        <v>5.0000000000000044E-2</v>
      </c>
      <c r="AB252" s="390">
        <f t="shared" si="284"/>
        <v>5.0000000000000044E-2</v>
      </c>
      <c r="AD252" s="66" t="str">
        <f>IF(COUNTIF($AG$4:$AP$4,AD251)=1,"ok","MISSING")</f>
        <v>ok</v>
      </c>
      <c r="AV252" s="699" t="str">
        <f t="shared" si="281"/>
        <v>TRANGS</v>
      </c>
      <c r="AW252" s="567">
        <f t="shared" si="282"/>
        <v>0</v>
      </c>
      <c r="AX252" s="720">
        <f>N$257*N$256*N252/N$254/1000</f>
        <v>0</v>
      </c>
      <c r="AY252" s="720">
        <f t="shared" ref="AY252:BL252" si="285">O$257*O$256*O252/O$254/1000</f>
        <v>0</v>
      </c>
      <c r="AZ252" s="720">
        <f t="shared" si="285"/>
        <v>0</v>
      </c>
      <c r="BA252" s="720">
        <f t="shared" si="285"/>
        <v>0</v>
      </c>
      <c r="BB252" s="720">
        <f t="shared" si="285"/>
        <v>0</v>
      </c>
      <c r="BC252" s="720">
        <f t="shared" si="285"/>
        <v>0</v>
      </c>
      <c r="BD252" s="720">
        <f t="shared" si="285"/>
        <v>0</v>
      </c>
      <c r="BE252" s="720">
        <f t="shared" si="285"/>
        <v>0</v>
      </c>
      <c r="BF252" s="720">
        <f t="shared" si="285"/>
        <v>0</v>
      </c>
      <c r="BG252" s="720">
        <f t="shared" si="285"/>
        <v>0</v>
      </c>
      <c r="BH252" s="720">
        <f t="shared" si="285"/>
        <v>0</v>
      </c>
      <c r="BI252" s="720">
        <f t="shared" si="285"/>
        <v>0</v>
      </c>
      <c r="BJ252" s="720">
        <f t="shared" si="285"/>
        <v>0</v>
      </c>
      <c r="BK252" s="720">
        <f t="shared" si="285"/>
        <v>0</v>
      </c>
      <c r="BL252" s="720">
        <f t="shared" si="285"/>
        <v>0</v>
      </c>
      <c r="BM252" s="720"/>
    </row>
    <row r="253" spans="1:65" s="83" customFormat="1" hidden="1" x14ac:dyDescent="0.3">
      <c r="A253" s="82"/>
      <c r="B253" s="178" t="str">
        <f>B252</f>
        <v>TFMEGAS100</v>
      </c>
      <c r="C253" s="178"/>
      <c r="D253" s="179"/>
      <c r="E253" s="178"/>
      <c r="F253" s="182"/>
      <c r="G253" s="324" t="s">
        <v>435</v>
      </c>
      <c r="H253" s="182"/>
      <c r="I253" s="183"/>
      <c r="J253" s="184"/>
      <c r="K253" s="184"/>
      <c r="L253" s="184" t="s">
        <v>1125</v>
      </c>
      <c r="M253" s="184" t="s">
        <v>677</v>
      </c>
      <c r="N253" s="675">
        <f>T_CEFF!H188</f>
        <v>6.2859999999999999E-2</v>
      </c>
      <c r="O253" s="675">
        <f>T_CEFF!I188</f>
        <v>6.2859999999999999E-2</v>
      </c>
      <c r="P253" s="675">
        <f>T_CEFF!J188</f>
        <v>6.2859999999999999E-2</v>
      </c>
      <c r="Q253" s="675">
        <f>T_CEFF!K188</f>
        <v>6.2859999999999999E-2</v>
      </c>
      <c r="R253" s="675">
        <f>T_CEFF!L188</f>
        <v>6.2859999999999999E-2</v>
      </c>
      <c r="S253" s="675">
        <f>T_CEFF!M188</f>
        <v>6.2859999999999999E-2</v>
      </c>
      <c r="T253" s="675">
        <f>T_CEFF!N188</f>
        <v>6.2859999999999999E-2</v>
      </c>
      <c r="U253" s="675">
        <f>T_CEFF!O188</f>
        <v>6.2859999999999999E-2</v>
      </c>
      <c r="V253" s="675">
        <f>T_CEFF!P188</f>
        <v>6.2859999999999999E-2</v>
      </c>
      <c r="W253" s="675">
        <f>T_CEFF!Q188</f>
        <v>6.2859999999999999E-2</v>
      </c>
      <c r="X253" s="675">
        <f>T_CEFF!R188</f>
        <v>6.2859999999999999E-2</v>
      </c>
      <c r="Y253" s="675">
        <f>T_CEFF!S188</f>
        <v>6.2859999999999999E-2</v>
      </c>
      <c r="Z253" s="675">
        <f>T_CEFF!T188</f>
        <v>6.2859999999999999E-2</v>
      </c>
      <c r="AA253" s="675">
        <f>T_CEFF!U188</f>
        <v>6.2859999999999999E-2</v>
      </c>
      <c r="AB253" s="675">
        <f>T_CEFF!V188</f>
        <v>6.2859999999999999E-2</v>
      </c>
      <c r="AV253" s="699" t="str">
        <f t="shared" si="281"/>
        <v/>
      </c>
      <c r="AW253" s="567"/>
    </row>
    <row r="254" spans="1:65" s="83" customFormat="1" hidden="1" x14ac:dyDescent="0.3">
      <c r="A254" s="82"/>
      <c r="B254" s="178" t="str">
        <f t="shared" ref="B254:B263" si="286">B253</f>
        <v>TFMEGAS100</v>
      </c>
      <c r="C254" s="178"/>
      <c r="D254" s="179"/>
      <c r="E254" s="178"/>
      <c r="F254" s="182"/>
      <c r="G254" s="324" t="s">
        <v>433</v>
      </c>
      <c r="H254" s="182"/>
      <c r="I254" s="183"/>
      <c r="J254" s="184"/>
      <c r="K254" s="184"/>
      <c r="L254" s="184" t="s">
        <v>1125</v>
      </c>
      <c r="M254" s="184" t="s">
        <v>677</v>
      </c>
      <c r="N254" s="675">
        <f>T_CEFF!H189</f>
        <v>5.0290000000000001E-2</v>
      </c>
      <c r="O254" s="675">
        <f>T_CEFF!I189</f>
        <v>5.0290000000000001E-2</v>
      </c>
      <c r="P254" s="675">
        <f>T_CEFF!J189</f>
        <v>5.0290000000000001E-2</v>
      </c>
      <c r="Q254" s="675">
        <f>T_CEFF!K189</f>
        <v>5.0290000000000001E-2</v>
      </c>
      <c r="R254" s="675">
        <f>T_CEFF!L189</f>
        <v>5.0290000000000001E-2</v>
      </c>
      <c r="S254" s="675">
        <f>T_CEFF!M189</f>
        <v>5.0290000000000001E-2</v>
      </c>
      <c r="T254" s="675">
        <f>T_CEFF!N189</f>
        <v>5.0290000000000001E-2</v>
      </c>
      <c r="U254" s="675">
        <f>T_CEFF!O189</f>
        <v>5.0290000000000001E-2</v>
      </c>
      <c r="V254" s="675">
        <f>T_CEFF!P189</f>
        <v>5.0290000000000001E-2</v>
      </c>
      <c r="W254" s="675">
        <f>T_CEFF!Q189</f>
        <v>5.0290000000000001E-2</v>
      </c>
      <c r="X254" s="675">
        <f>T_CEFF!R189</f>
        <v>5.0290000000000001E-2</v>
      </c>
      <c r="Y254" s="675">
        <f>T_CEFF!S189</f>
        <v>5.0290000000000001E-2</v>
      </c>
      <c r="Z254" s="675">
        <f>T_CEFF!T189</f>
        <v>5.0290000000000001E-2</v>
      </c>
      <c r="AA254" s="675">
        <f>T_CEFF!U189</f>
        <v>5.0290000000000001E-2</v>
      </c>
      <c r="AB254" s="675">
        <f>T_CEFF!V189</f>
        <v>5.0290000000000001E-2</v>
      </c>
      <c r="AV254" s="699" t="str">
        <f t="shared" si="281"/>
        <v/>
      </c>
      <c r="AW254" s="567"/>
    </row>
    <row r="255" spans="1:65" s="83" customFormat="1" hidden="1" x14ac:dyDescent="0.3">
      <c r="A255" s="82"/>
      <c r="B255" s="178" t="str">
        <f t="shared" si="286"/>
        <v>TFMEGAS100</v>
      </c>
      <c r="C255" s="178"/>
      <c r="D255" s="179"/>
      <c r="E255" s="178"/>
      <c r="F255" s="182"/>
      <c r="G255" s="181"/>
      <c r="H255" s="182"/>
      <c r="I255" s="183"/>
      <c r="J255" s="184"/>
      <c r="K255" s="184" t="s">
        <v>748</v>
      </c>
      <c r="L255" s="184" t="s">
        <v>1127</v>
      </c>
      <c r="M255" s="184" t="s">
        <v>1174</v>
      </c>
      <c r="N255" s="388" t="e">
        <f>N$24</f>
        <v>#REF!</v>
      </c>
      <c r="O255" s="388" t="e">
        <f t="shared" ref="O255:AB255" si="287">O$24</f>
        <v>#REF!</v>
      </c>
      <c r="P255" s="388" t="e">
        <f t="shared" si="287"/>
        <v>#REF!</v>
      </c>
      <c r="Q255" s="388" t="e">
        <f t="shared" si="287"/>
        <v>#REF!</v>
      </c>
      <c r="R255" s="388" t="e">
        <f t="shared" si="287"/>
        <v>#REF!</v>
      </c>
      <c r="S255" s="388" t="e">
        <f t="shared" si="287"/>
        <v>#REF!</v>
      </c>
      <c r="T255" s="388" t="e">
        <f t="shared" si="287"/>
        <v>#REF!</v>
      </c>
      <c r="U255" s="388" t="e">
        <f t="shared" si="287"/>
        <v>#REF!</v>
      </c>
      <c r="V255" s="388" t="e">
        <f t="shared" si="287"/>
        <v>#REF!</v>
      </c>
      <c r="W255" s="388" t="e">
        <f t="shared" si="287"/>
        <v>#REF!</v>
      </c>
      <c r="X255" s="388" t="e">
        <f t="shared" si="287"/>
        <v>#REF!</v>
      </c>
      <c r="Y255" s="388" t="e">
        <f t="shared" si="287"/>
        <v>#REF!</v>
      </c>
      <c r="Z255" s="388" t="e">
        <f t="shared" si="287"/>
        <v>#REF!</v>
      </c>
      <c r="AA255" s="388" t="e">
        <f t="shared" si="287"/>
        <v>#REF!</v>
      </c>
      <c r="AB255" s="388" t="e">
        <f t="shared" si="287"/>
        <v>#REF!</v>
      </c>
    </row>
    <row r="256" spans="1:65" s="83" customFormat="1" hidden="1" x14ac:dyDescent="0.3">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1" t="e">
        <f>SUM(AF256:AT256)</f>
        <v>#REF!</v>
      </c>
      <c r="AF256" s="85" t="e">
        <f t="shared" ref="AF256:AT256" si="288">N255*N256*N257/1000</f>
        <v>#REF!</v>
      </c>
      <c r="AG256" s="85" t="e">
        <f t="shared" si="288"/>
        <v>#REF!</v>
      </c>
      <c r="AH256" s="85" t="e">
        <f t="shared" si="288"/>
        <v>#REF!</v>
      </c>
      <c r="AI256" s="85" t="e">
        <f t="shared" si="288"/>
        <v>#REF!</v>
      </c>
      <c r="AJ256" s="85" t="e">
        <f t="shared" si="288"/>
        <v>#REF!</v>
      </c>
      <c r="AK256" s="85" t="e">
        <f t="shared" si="288"/>
        <v>#REF!</v>
      </c>
      <c r="AL256" s="85" t="e">
        <f t="shared" si="288"/>
        <v>#REF!</v>
      </c>
      <c r="AM256" s="85" t="e">
        <f t="shared" si="288"/>
        <v>#REF!</v>
      </c>
      <c r="AN256" s="85" t="e">
        <f t="shared" si="288"/>
        <v>#REF!</v>
      </c>
      <c r="AO256" s="85" t="e">
        <f t="shared" si="288"/>
        <v>#REF!</v>
      </c>
      <c r="AP256" s="85" t="e">
        <f t="shared" si="288"/>
        <v>#REF!</v>
      </c>
      <c r="AQ256" s="85" t="e">
        <f t="shared" si="288"/>
        <v>#REF!</v>
      </c>
      <c r="AR256" s="85" t="e">
        <f t="shared" si="288"/>
        <v>#REF!</v>
      </c>
      <c r="AS256" s="85" t="e">
        <f t="shared" si="288"/>
        <v>#REF!</v>
      </c>
      <c r="AT256" s="85" t="e">
        <f t="shared" si="288"/>
        <v>#REF!</v>
      </c>
    </row>
    <row r="257" spans="1:49" s="83" customFormat="1" hidden="1" x14ac:dyDescent="0.3">
      <c r="A257" s="82"/>
      <c r="B257" s="178" t="str">
        <f t="shared" si="286"/>
        <v>TFMEGAS100</v>
      </c>
      <c r="C257" s="178"/>
      <c r="D257" s="179"/>
      <c r="E257" s="178"/>
      <c r="F257" s="182"/>
      <c r="G257" s="181"/>
      <c r="H257" s="182"/>
      <c r="I257" s="183">
        <f>$M$3</f>
        <v>2019</v>
      </c>
      <c r="J257" s="184"/>
      <c r="K257" s="184"/>
      <c r="L257" s="203" t="s">
        <v>1064</v>
      </c>
      <c r="M257" s="184" t="s">
        <v>747</v>
      </c>
      <c r="N257" s="693">
        <f>LOOKUP($C$251, T_Stock_Private!$C$106:$C$117, T_Stock_Private!D$106:D$117)*(1+N196)</f>
        <v>0</v>
      </c>
      <c r="O257" s="693">
        <f>LOOKUP($C$251, T_Stock_Private!$C$106:$C$117, T_Stock_Private!E$106:E$117)*(1+O196)</f>
        <v>0</v>
      </c>
      <c r="P257" s="693">
        <f>LOOKUP($C$251, T_Stock_Private!$C$106:$C$117, T_Stock_Private!F$106:F$117)*(1+P196)</f>
        <v>0</v>
      </c>
      <c r="Q257" s="693">
        <f>LOOKUP($C$251, T_Stock_Private!$C$106:$C$117, T_Stock_Private!G$106:G$117)*(1+Q196)</f>
        <v>0</v>
      </c>
      <c r="R257" s="693">
        <f>LOOKUP($C$251, T_Stock_Private!$C$106:$C$117, T_Stock_Private!H$106:H$117)*(1+R196)</f>
        <v>0</v>
      </c>
      <c r="S257" s="693">
        <f>LOOKUP($C$251, T_Stock_Private!$C$106:$C$117, T_Stock_Private!I$106:I$117)*(1+S196)</f>
        <v>0</v>
      </c>
      <c r="T257" s="693">
        <f>LOOKUP($C$251, T_Stock_Private!$C$106:$C$117, T_Stock_Private!J$106:J$117)*(1+T196)</f>
        <v>0</v>
      </c>
      <c r="U257" s="693">
        <f>LOOKUP($C$251, T_Stock_Private!$C$106:$C$117, T_Stock_Private!K$106:K$117)*(1+U196)</f>
        <v>0</v>
      </c>
      <c r="V257" s="693">
        <f>LOOKUP($C$251, T_Stock_Private!$C$106:$C$117, T_Stock_Private!L$106:L$117)*(1+V196)</f>
        <v>0</v>
      </c>
      <c r="W257" s="693">
        <f>LOOKUP($C$251, T_Stock_Private!$C$106:$C$117, T_Stock_Private!M$106:M$117)*(1+W196)</f>
        <v>0</v>
      </c>
      <c r="X257" s="693">
        <f>LOOKUP($C$251, T_Stock_Private!$C$106:$C$117, T_Stock_Private!N$106:N$117)*(1+X196)</f>
        <v>0</v>
      </c>
      <c r="Y257" s="693">
        <f>LOOKUP($C$251, T_Stock_Private!$C$106:$C$117, T_Stock_Private!O$106:O$117)*(1+Y196)</f>
        <v>0</v>
      </c>
      <c r="Z257" s="693">
        <f>LOOKUP($C$251, T_Stock_Private!$C$106:$C$117, T_Stock_Private!P$106:P$117)*(1+Z196)</f>
        <v>0</v>
      </c>
      <c r="AA257" s="693">
        <f>LOOKUP($C$251, T_Stock_Private!$C$106:$C$117, T_Stock_Private!Q$106:Q$117)*(1+AA196)</f>
        <v>0</v>
      </c>
      <c r="AB257" s="693">
        <f>LOOKUP($C$251, T_Stock_Private!$C$106:$C$117, T_Stock_Private!R$106:R$117)*(1+AB196)</f>
        <v>0</v>
      </c>
    </row>
    <row r="258" spans="1:49" s="83" customFormat="1" hidden="1" x14ac:dyDescent="0.3">
      <c r="A258" s="82"/>
      <c r="B258" s="178" t="str">
        <f t="shared" si="286"/>
        <v>TFMEGAS100</v>
      </c>
      <c r="C258" s="178"/>
      <c r="D258" s="179"/>
      <c r="E258" s="178"/>
      <c r="F258" s="182"/>
      <c r="G258" s="181"/>
      <c r="H258" s="182"/>
      <c r="I258" s="183">
        <f>AF$5</f>
        <v>2020</v>
      </c>
      <c r="J258" s="184"/>
      <c r="K258" s="184"/>
      <c r="L258" s="203" t="s">
        <v>1064</v>
      </c>
      <c r="M258" s="184" t="s">
        <v>747</v>
      </c>
      <c r="N258" s="693">
        <f t="shared" ref="N258:AB258" si="289">N257*LOOKUP($AD251,$AG$4:$AP$4,$AG$5:$AP$5)</f>
        <v>0</v>
      </c>
      <c r="O258" s="693">
        <f t="shared" si="289"/>
        <v>0</v>
      </c>
      <c r="P258" s="693">
        <f t="shared" si="289"/>
        <v>0</v>
      </c>
      <c r="Q258" s="693">
        <f t="shared" si="289"/>
        <v>0</v>
      </c>
      <c r="R258" s="693">
        <f t="shared" si="289"/>
        <v>0</v>
      </c>
      <c r="S258" s="693">
        <f t="shared" si="289"/>
        <v>0</v>
      </c>
      <c r="T258" s="693">
        <f t="shared" si="289"/>
        <v>0</v>
      </c>
      <c r="U258" s="693">
        <f t="shared" si="289"/>
        <v>0</v>
      </c>
      <c r="V258" s="693">
        <f t="shared" si="289"/>
        <v>0</v>
      </c>
      <c r="W258" s="693">
        <f t="shared" si="289"/>
        <v>0</v>
      </c>
      <c r="X258" s="693">
        <f t="shared" si="289"/>
        <v>0</v>
      </c>
      <c r="Y258" s="693">
        <f t="shared" si="289"/>
        <v>0</v>
      </c>
      <c r="Z258" s="693">
        <f t="shared" si="289"/>
        <v>0</v>
      </c>
      <c r="AA258" s="693">
        <f t="shared" si="289"/>
        <v>0</v>
      </c>
      <c r="AB258" s="693">
        <f t="shared" si="289"/>
        <v>0</v>
      </c>
    </row>
    <row r="259" spans="1:49" s="83" customFormat="1" hidden="1" x14ac:dyDescent="0.3">
      <c r="A259" s="82"/>
      <c r="B259" s="178" t="str">
        <f t="shared" si="286"/>
        <v>TFMEGAS100</v>
      </c>
      <c r="C259" s="178"/>
      <c r="D259" s="179"/>
      <c r="E259" s="178"/>
      <c r="F259" s="182"/>
      <c r="G259" s="181"/>
      <c r="H259" s="182"/>
      <c r="I259" s="183">
        <f>AF$6</f>
        <v>2025</v>
      </c>
      <c r="J259" s="184"/>
      <c r="K259" s="184"/>
      <c r="L259" s="203" t="s">
        <v>1064</v>
      </c>
      <c r="M259" s="184" t="s">
        <v>747</v>
      </c>
      <c r="N259" s="693">
        <f t="shared" ref="N259:AB259" si="290">N257*LOOKUP($AD251,$AG$4:$AP$4,$AG$6:$AP$6)</f>
        <v>0</v>
      </c>
      <c r="O259" s="693">
        <f t="shared" si="290"/>
        <v>0</v>
      </c>
      <c r="P259" s="693">
        <f t="shared" si="290"/>
        <v>0</v>
      </c>
      <c r="Q259" s="693">
        <f t="shared" si="290"/>
        <v>0</v>
      </c>
      <c r="R259" s="693">
        <f t="shared" si="290"/>
        <v>0</v>
      </c>
      <c r="S259" s="693">
        <f t="shared" si="290"/>
        <v>0</v>
      </c>
      <c r="T259" s="693">
        <f t="shared" si="290"/>
        <v>0</v>
      </c>
      <c r="U259" s="693">
        <f t="shared" si="290"/>
        <v>0</v>
      </c>
      <c r="V259" s="693">
        <f t="shared" si="290"/>
        <v>0</v>
      </c>
      <c r="W259" s="693">
        <f t="shared" si="290"/>
        <v>0</v>
      </c>
      <c r="X259" s="693">
        <f t="shared" si="290"/>
        <v>0</v>
      </c>
      <c r="Y259" s="693">
        <f t="shared" si="290"/>
        <v>0</v>
      </c>
      <c r="Z259" s="693">
        <f t="shared" si="290"/>
        <v>0</v>
      </c>
      <c r="AA259" s="693">
        <f t="shared" si="290"/>
        <v>0</v>
      </c>
      <c r="AB259" s="693">
        <f t="shared" si="290"/>
        <v>0</v>
      </c>
    </row>
    <row r="260" spans="1:49" s="83" customFormat="1" hidden="1" x14ac:dyDescent="0.3">
      <c r="A260" s="82"/>
      <c r="B260" s="178" t="str">
        <f t="shared" si="286"/>
        <v>TFMEGAS100</v>
      </c>
      <c r="C260" s="178"/>
      <c r="D260" s="179"/>
      <c r="E260" s="178"/>
      <c r="F260" s="182"/>
      <c r="G260" s="181"/>
      <c r="H260" s="182"/>
      <c r="I260" s="183">
        <f>AF$7</f>
        <v>2030</v>
      </c>
      <c r="J260" s="184"/>
      <c r="K260" s="184"/>
      <c r="L260" s="203" t="s">
        <v>1064</v>
      </c>
      <c r="M260" s="184" t="s">
        <v>747</v>
      </c>
      <c r="N260" s="693">
        <f t="shared" ref="N260:AB260" si="291">N257*LOOKUP($AD251,$AG$4:$AP$4,$AG$7:$AP$7)</f>
        <v>0</v>
      </c>
      <c r="O260" s="693">
        <f t="shared" si="291"/>
        <v>0</v>
      </c>
      <c r="P260" s="693">
        <f t="shared" si="291"/>
        <v>0</v>
      </c>
      <c r="Q260" s="693">
        <f t="shared" si="291"/>
        <v>0</v>
      </c>
      <c r="R260" s="693">
        <f t="shared" si="291"/>
        <v>0</v>
      </c>
      <c r="S260" s="693">
        <f t="shared" si="291"/>
        <v>0</v>
      </c>
      <c r="T260" s="693">
        <f t="shared" si="291"/>
        <v>0</v>
      </c>
      <c r="U260" s="693">
        <f t="shared" si="291"/>
        <v>0</v>
      </c>
      <c r="V260" s="693">
        <f t="shared" si="291"/>
        <v>0</v>
      </c>
      <c r="W260" s="693">
        <f t="shared" si="291"/>
        <v>0</v>
      </c>
      <c r="X260" s="693">
        <f t="shared" si="291"/>
        <v>0</v>
      </c>
      <c r="Y260" s="693">
        <f t="shared" si="291"/>
        <v>0</v>
      </c>
      <c r="Z260" s="693">
        <f t="shared" si="291"/>
        <v>0</v>
      </c>
      <c r="AA260" s="693">
        <f t="shared" si="291"/>
        <v>0</v>
      </c>
      <c r="AB260" s="693">
        <f t="shared" si="291"/>
        <v>0</v>
      </c>
    </row>
    <row r="261" spans="1:49" s="83" customFormat="1" hidden="1" x14ac:dyDescent="0.3">
      <c r="A261" s="82"/>
      <c r="B261" s="178" t="str">
        <f t="shared" si="286"/>
        <v>TFMEGAS100</v>
      </c>
      <c r="C261" s="178"/>
      <c r="D261" s="179"/>
      <c r="E261" s="178"/>
      <c r="F261" s="182"/>
      <c r="G261" s="181"/>
      <c r="H261" s="182"/>
      <c r="I261" s="183">
        <f>AF$8</f>
        <v>2035</v>
      </c>
      <c r="J261" s="184"/>
      <c r="K261" s="184"/>
      <c r="L261" s="203" t="s">
        <v>1064</v>
      </c>
      <c r="M261" s="184" t="s">
        <v>747</v>
      </c>
      <c r="N261" s="693">
        <f t="shared" ref="N261:AB261" si="292">N257*LOOKUP($AD251,$AG$4:$AP$4,$AG$8:$AP$8)</f>
        <v>0</v>
      </c>
      <c r="O261" s="693">
        <f t="shared" si="292"/>
        <v>0</v>
      </c>
      <c r="P261" s="693">
        <f t="shared" si="292"/>
        <v>0</v>
      </c>
      <c r="Q261" s="693">
        <f t="shared" si="292"/>
        <v>0</v>
      </c>
      <c r="R261" s="693">
        <f t="shared" si="292"/>
        <v>0</v>
      </c>
      <c r="S261" s="693">
        <f t="shared" si="292"/>
        <v>0</v>
      </c>
      <c r="T261" s="693">
        <f t="shared" si="292"/>
        <v>0</v>
      </c>
      <c r="U261" s="693">
        <f t="shared" si="292"/>
        <v>0</v>
      </c>
      <c r="V261" s="693">
        <f t="shared" si="292"/>
        <v>0</v>
      </c>
      <c r="W261" s="693">
        <f t="shared" si="292"/>
        <v>0</v>
      </c>
      <c r="X261" s="693">
        <f t="shared" si="292"/>
        <v>0</v>
      </c>
      <c r="Y261" s="693">
        <f t="shared" si="292"/>
        <v>0</v>
      </c>
      <c r="Z261" s="693">
        <f t="shared" si="292"/>
        <v>0</v>
      </c>
      <c r="AA261" s="693">
        <f t="shared" si="292"/>
        <v>0</v>
      </c>
      <c r="AB261" s="693">
        <f t="shared" si="292"/>
        <v>0</v>
      </c>
    </row>
    <row r="262" spans="1:49" s="83" customFormat="1" hidden="1" x14ac:dyDescent="0.3">
      <c r="A262" s="82"/>
      <c r="B262" s="178" t="str">
        <f t="shared" si="286"/>
        <v>TFMEGAS100</v>
      </c>
      <c r="C262" s="178"/>
      <c r="D262" s="179"/>
      <c r="E262" s="178"/>
      <c r="F262" s="182"/>
      <c r="G262" s="181"/>
      <c r="H262" s="182"/>
      <c r="I262" s="183">
        <f>AF$9</f>
        <v>2040</v>
      </c>
      <c r="J262" s="184"/>
      <c r="K262" s="184"/>
      <c r="L262" s="203" t="s">
        <v>1064</v>
      </c>
      <c r="M262" s="184" t="s">
        <v>747</v>
      </c>
      <c r="N262" s="693">
        <f t="shared" ref="N262:AB262" si="293">N257*LOOKUP($AD251,$AG$4:$AP$4,$AG$9:$AP$9)</f>
        <v>0</v>
      </c>
      <c r="O262" s="693">
        <f t="shared" si="293"/>
        <v>0</v>
      </c>
      <c r="P262" s="693">
        <f t="shared" si="293"/>
        <v>0</v>
      </c>
      <c r="Q262" s="693">
        <f t="shared" si="293"/>
        <v>0</v>
      </c>
      <c r="R262" s="693">
        <f t="shared" si="293"/>
        <v>0</v>
      </c>
      <c r="S262" s="693">
        <f t="shared" si="293"/>
        <v>0</v>
      </c>
      <c r="T262" s="693">
        <f t="shared" si="293"/>
        <v>0</v>
      </c>
      <c r="U262" s="693">
        <f t="shared" si="293"/>
        <v>0</v>
      </c>
      <c r="V262" s="693">
        <f t="shared" si="293"/>
        <v>0</v>
      </c>
      <c r="W262" s="693">
        <f t="shared" si="293"/>
        <v>0</v>
      </c>
      <c r="X262" s="693">
        <f t="shared" si="293"/>
        <v>0</v>
      </c>
      <c r="Y262" s="693">
        <f t="shared" si="293"/>
        <v>0</v>
      </c>
      <c r="Z262" s="693">
        <f t="shared" si="293"/>
        <v>0</v>
      </c>
      <c r="AA262" s="693">
        <f t="shared" si="293"/>
        <v>0</v>
      </c>
      <c r="AB262" s="693">
        <f t="shared" si="293"/>
        <v>0</v>
      </c>
    </row>
    <row r="263" spans="1:49" s="83" customFormat="1" hidden="1" x14ac:dyDescent="0.3">
      <c r="A263" s="82"/>
      <c r="B263" s="204" t="str">
        <f t="shared" si="286"/>
        <v>TFMEGAS100</v>
      </c>
      <c r="C263" s="204"/>
      <c r="D263" s="205"/>
      <c r="E263" s="204"/>
      <c r="F263" s="206"/>
      <c r="G263" s="207"/>
      <c r="H263" s="206"/>
      <c r="I263" s="208">
        <f>AF$10</f>
        <v>2050</v>
      </c>
      <c r="J263" s="209"/>
      <c r="K263" s="209"/>
      <c r="L263" s="210" t="s">
        <v>1064</v>
      </c>
      <c r="M263" s="209" t="s">
        <v>747</v>
      </c>
      <c r="N263" s="694">
        <f t="shared" ref="N263:AB263" si="294">N257*LOOKUP($AD251,$AG$4:$AP$4,$AG$10:$AP$10)</f>
        <v>0</v>
      </c>
      <c r="O263" s="694">
        <f t="shared" si="294"/>
        <v>0</v>
      </c>
      <c r="P263" s="694">
        <f t="shared" si="294"/>
        <v>0</v>
      </c>
      <c r="Q263" s="694">
        <f t="shared" si="294"/>
        <v>0</v>
      </c>
      <c r="R263" s="694">
        <f t="shared" si="294"/>
        <v>0</v>
      </c>
      <c r="S263" s="694">
        <f t="shared" si="294"/>
        <v>0</v>
      </c>
      <c r="T263" s="694">
        <f t="shared" si="294"/>
        <v>0</v>
      </c>
      <c r="U263" s="694">
        <f t="shared" si="294"/>
        <v>0</v>
      </c>
      <c r="V263" s="694">
        <f t="shared" si="294"/>
        <v>0</v>
      </c>
      <c r="W263" s="694">
        <f t="shared" si="294"/>
        <v>0</v>
      </c>
      <c r="X263" s="694">
        <f t="shared" si="294"/>
        <v>0</v>
      </c>
      <c r="Y263" s="694">
        <f t="shared" si="294"/>
        <v>0</v>
      </c>
      <c r="Z263" s="694">
        <f t="shared" si="294"/>
        <v>0</v>
      </c>
      <c r="AA263" s="694">
        <f t="shared" si="294"/>
        <v>0</v>
      </c>
      <c r="AB263" s="694">
        <f t="shared" si="294"/>
        <v>0</v>
      </c>
    </row>
    <row r="264" spans="1:49" s="83" customFormat="1" hidden="1" x14ac:dyDescent="0.3">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699" t="str">
        <f t="shared" ref="AV264:AV266" si="296">MID(E264,1,7)</f>
        <v>TRAGSL</v>
      </c>
      <c r="AW264" s="567">
        <f t="shared" ref="AW264:AW265" si="297">SUM(AX264:BL264)</f>
        <v>0</v>
      </c>
    </row>
    <row r="265" spans="1:49" s="83" customFormat="1" hidden="1" x14ac:dyDescent="0.3">
      <c r="A265" s="82"/>
      <c r="B265" s="178" t="str">
        <f>B264</f>
        <v>TFMEGSL100</v>
      </c>
      <c r="C265" s="178"/>
      <c r="D265" s="179"/>
      <c r="E265" s="407" t="s">
        <v>1011</v>
      </c>
      <c r="F265" s="182"/>
      <c r="G265" s="181"/>
      <c r="H265" s="182"/>
      <c r="I265" s="183"/>
      <c r="J265" s="184" t="s">
        <v>1126</v>
      </c>
      <c r="K265" s="184"/>
      <c r="L265" s="203" t="s">
        <v>101</v>
      </c>
      <c r="M265" s="184"/>
      <c r="N265" s="390">
        <f>N$30</f>
        <v>5.0999999999999997E-2</v>
      </c>
      <c r="O265" s="390">
        <f t="shared" ref="O265:AB265" si="298">O$30</f>
        <v>5.0999999999999997E-2</v>
      </c>
      <c r="P265" s="390">
        <f t="shared" si="298"/>
        <v>5.0999999999999997E-2</v>
      </c>
      <c r="Q265" s="390">
        <f t="shared" si="298"/>
        <v>5.0999999999999997E-2</v>
      </c>
      <c r="R265" s="390">
        <f t="shared" si="298"/>
        <v>5.0999999999999997E-2</v>
      </c>
      <c r="S265" s="390">
        <f t="shared" si="298"/>
        <v>5.0999999999999997E-2</v>
      </c>
      <c r="T265" s="390">
        <f t="shared" si="298"/>
        <v>5.0999999999999997E-2</v>
      </c>
      <c r="U265" s="390">
        <f t="shared" si="298"/>
        <v>5.0999999999999997E-2</v>
      </c>
      <c r="V265" s="390">
        <f t="shared" si="298"/>
        <v>5.0999999999999997E-2</v>
      </c>
      <c r="W265" s="390">
        <f t="shared" si="298"/>
        <v>5.0999999999999997E-2</v>
      </c>
      <c r="X265" s="390">
        <f t="shared" si="298"/>
        <v>5.0999999999999997E-2</v>
      </c>
      <c r="Y265" s="390">
        <f t="shared" si="298"/>
        <v>5.0999999999999997E-2</v>
      </c>
      <c r="Z265" s="390">
        <f t="shared" si="298"/>
        <v>5.0999999999999997E-2</v>
      </c>
      <c r="AA265" s="390">
        <f t="shared" si="298"/>
        <v>5.0999999999999997E-2</v>
      </c>
      <c r="AB265" s="390">
        <f t="shared" si="298"/>
        <v>5.0999999999999997E-2</v>
      </c>
      <c r="AD265" s="66" t="str">
        <f>IF(COUNTIF($AG$4:$AP$4,AD264)=1,"ok","MISSING")</f>
        <v>ok</v>
      </c>
      <c r="AV265" s="699" t="str">
        <f t="shared" si="296"/>
        <v>TRAETHM</v>
      </c>
      <c r="AW265" s="567">
        <f t="shared" si="297"/>
        <v>0</v>
      </c>
    </row>
    <row r="266" spans="1:49" s="83" customFormat="1" hidden="1" x14ac:dyDescent="0.3">
      <c r="A266" s="82"/>
      <c r="B266" s="178" t="str">
        <f>B265</f>
        <v>TFMEGSL100</v>
      </c>
      <c r="C266" s="178"/>
      <c r="D266" s="179"/>
      <c r="E266" s="178"/>
      <c r="F266" s="182"/>
      <c r="G266" s="324" t="s">
        <v>435</v>
      </c>
      <c r="H266" s="182"/>
      <c r="I266" s="183"/>
      <c r="J266" s="184"/>
      <c r="K266" s="184"/>
      <c r="L266" s="184" t="s">
        <v>1125</v>
      </c>
      <c r="M266" s="184" t="s">
        <v>677</v>
      </c>
      <c r="N266" s="675">
        <f>T_CEFF!H190</f>
        <v>7.3950000000000002E-2</v>
      </c>
      <c r="O266" s="675">
        <f>T_CEFF!I190</f>
        <v>7.3950000000000002E-2</v>
      </c>
      <c r="P266" s="675">
        <f>T_CEFF!J190</f>
        <v>7.3950000000000002E-2</v>
      </c>
      <c r="Q266" s="675">
        <f>T_CEFF!K190</f>
        <v>7.3950000000000002E-2</v>
      </c>
      <c r="R266" s="675">
        <f>T_CEFF!L190</f>
        <v>7.3950000000000002E-2</v>
      </c>
      <c r="S266" s="675">
        <f>T_CEFF!M190</f>
        <v>7.3950000000000002E-2</v>
      </c>
      <c r="T266" s="675">
        <f>T_CEFF!N190</f>
        <v>7.3950000000000002E-2</v>
      </c>
      <c r="U266" s="675">
        <f>T_CEFF!O190</f>
        <v>7.3950000000000002E-2</v>
      </c>
      <c r="V266" s="675">
        <f>T_CEFF!P190</f>
        <v>7.3950000000000002E-2</v>
      </c>
      <c r="W266" s="675">
        <f>T_CEFF!Q190</f>
        <v>7.3950000000000002E-2</v>
      </c>
      <c r="X266" s="675">
        <f>T_CEFF!R190</f>
        <v>7.3950000000000002E-2</v>
      </c>
      <c r="Y266" s="675">
        <f>T_CEFF!S190</f>
        <v>7.3950000000000002E-2</v>
      </c>
      <c r="Z266" s="675">
        <f>T_CEFF!T190</f>
        <v>7.3950000000000002E-2</v>
      </c>
      <c r="AA266" s="675">
        <f>T_CEFF!U190</f>
        <v>7.3950000000000002E-2</v>
      </c>
      <c r="AB266" s="675">
        <f>T_CEFF!V190</f>
        <v>7.3950000000000002E-2</v>
      </c>
      <c r="AV266" s="699" t="str">
        <f t="shared" si="296"/>
        <v/>
      </c>
      <c r="AW266" s="567"/>
    </row>
    <row r="267" spans="1:49" s="83" customFormat="1" hidden="1" x14ac:dyDescent="0.3">
      <c r="A267" s="82"/>
      <c r="B267" s="178" t="str">
        <f>B266</f>
        <v>TFMEGSL100</v>
      </c>
      <c r="C267" s="178"/>
      <c r="D267" s="179"/>
      <c r="E267" s="178"/>
      <c r="F267" s="182"/>
      <c r="G267" s="324" t="s">
        <v>433</v>
      </c>
      <c r="H267" s="182"/>
      <c r="I267" s="183"/>
      <c r="J267" s="184"/>
      <c r="K267" s="184"/>
      <c r="L267" s="184" t="s">
        <v>1125</v>
      </c>
      <c r="M267" s="184" t="s">
        <v>677</v>
      </c>
      <c r="N267" s="675">
        <f>T_CEFF!H191</f>
        <v>5.9159999999999997E-2</v>
      </c>
      <c r="O267" s="675">
        <f>T_CEFF!I191</f>
        <v>5.9159999999999997E-2</v>
      </c>
      <c r="P267" s="675">
        <f>T_CEFF!J191</f>
        <v>5.9159999999999997E-2</v>
      </c>
      <c r="Q267" s="675">
        <f>T_CEFF!K191</f>
        <v>5.9159999999999997E-2</v>
      </c>
      <c r="R267" s="675">
        <f>T_CEFF!L191</f>
        <v>5.9159999999999997E-2</v>
      </c>
      <c r="S267" s="675">
        <f>T_CEFF!M191</f>
        <v>5.9159999999999997E-2</v>
      </c>
      <c r="T267" s="675">
        <f>T_CEFF!N191</f>
        <v>5.9159999999999997E-2</v>
      </c>
      <c r="U267" s="675">
        <f>T_CEFF!O191</f>
        <v>5.9159999999999997E-2</v>
      </c>
      <c r="V267" s="675">
        <f>T_CEFF!P191</f>
        <v>5.9159999999999997E-2</v>
      </c>
      <c r="W267" s="675">
        <f>T_CEFF!Q191</f>
        <v>5.9159999999999997E-2</v>
      </c>
      <c r="X267" s="675">
        <f>T_CEFF!R191</f>
        <v>5.9159999999999997E-2</v>
      </c>
      <c r="Y267" s="675">
        <f>T_CEFF!S191</f>
        <v>5.9159999999999997E-2</v>
      </c>
      <c r="Z267" s="675">
        <f>T_CEFF!T191</f>
        <v>5.9159999999999997E-2</v>
      </c>
      <c r="AA267" s="675">
        <f>T_CEFF!U191</f>
        <v>5.9159999999999997E-2</v>
      </c>
      <c r="AB267" s="675">
        <f>T_CEFF!V191</f>
        <v>5.9159999999999997E-2</v>
      </c>
      <c r="AV267" s="699" t="str">
        <f t="shared" ref="AV267:AV268" si="299">MID(E267,1,7)</f>
        <v/>
      </c>
      <c r="AW267" s="567"/>
    </row>
    <row r="268" spans="1:49" s="83" customFormat="1" hidden="1" x14ac:dyDescent="0.3">
      <c r="A268" s="82"/>
      <c r="B268" s="178" t="str">
        <f t="shared" ref="B268:B276" si="300">B267</f>
        <v>TFMEGSL100</v>
      </c>
      <c r="C268" s="178"/>
      <c r="D268" s="179"/>
      <c r="E268" s="178"/>
      <c r="F268" s="182"/>
      <c r="G268" s="181"/>
      <c r="H268" s="182"/>
      <c r="I268" s="183"/>
      <c r="J268" s="184"/>
      <c r="K268" s="184" t="s">
        <v>748</v>
      </c>
      <c r="L268" s="184" t="s">
        <v>1127</v>
      </c>
      <c r="M268" s="184" t="s">
        <v>1174</v>
      </c>
      <c r="N268" s="388" t="e">
        <f>N$24</f>
        <v>#REF!</v>
      </c>
      <c r="O268" s="388" t="e">
        <f t="shared" ref="O268:AB268" si="301">O$24</f>
        <v>#REF!</v>
      </c>
      <c r="P268" s="388" t="e">
        <f t="shared" si="301"/>
        <v>#REF!</v>
      </c>
      <c r="Q268" s="388" t="e">
        <f t="shared" si="301"/>
        <v>#REF!</v>
      </c>
      <c r="R268" s="388" t="e">
        <f t="shared" si="301"/>
        <v>#REF!</v>
      </c>
      <c r="S268" s="388" t="e">
        <f t="shared" si="301"/>
        <v>#REF!</v>
      </c>
      <c r="T268" s="388" t="e">
        <f t="shared" si="301"/>
        <v>#REF!</v>
      </c>
      <c r="U268" s="388" t="e">
        <f t="shared" si="301"/>
        <v>#REF!</v>
      </c>
      <c r="V268" s="388" t="e">
        <f t="shared" si="301"/>
        <v>#REF!</v>
      </c>
      <c r="W268" s="388" t="e">
        <f t="shared" si="301"/>
        <v>#REF!</v>
      </c>
      <c r="X268" s="388" t="e">
        <f t="shared" si="301"/>
        <v>#REF!</v>
      </c>
      <c r="Y268" s="388" t="e">
        <f t="shared" si="301"/>
        <v>#REF!</v>
      </c>
      <c r="Z268" s="388" t="e">
        <f t="shared" si="301"/>
        <v>#REF!</v>
      </c>
      <c r="AA268" s="388" t="e">
        <f t="shared" si="301"/>
        <v>#REF!</v>
      </c>
      <c r="AB268" s="388" t="e">
        <f t="shared" si="301"/>
        <v>#REF!</v>
      </c>
      <c r="AV268" s="699" t="str">
        <f t="shared" si="299"/>
        <v/>
      </c>
      <c r="AW268" s="567"/>
    </row>
    <row r="269" spans="1:49" s="83" customFormat="1" hidden="1" x14ac:dyDescent="0.3">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1" t="e">
        <f>SUM(AF269:AT269)</f>
        <v>#REF!</v>
      </c>
      <c r="AF269" s="85" t="e">
        <f t="shared" ref="AF269:AT269" si="302">N268*N269*N270/1000</f>
        <v>#REF!</v>
      </c>
      <c r="AG269" s="85" t="e">
        <f t="shared" si="302"/>
        <v>#REF!</v>
      </c>
      <c r="AH269" s="85" t="e">
        <f t="shared" si="302"/>
        <v>#REF!</v>
      </c>
      <c r="AI269" s="85" t="e">
        <f t="shared" si="302"/>
        <v>#REF!</v>
      </c>
      <c r="AJ269" s="85" t="e">
        <f t="shared" si="302"/>
        <v>#REF!</v>
      </c>
      <c r="AK269" s="85" t="e">
        <f t="shared" si="302"/>
        <v>#REF!</v>
      </c>
      <c r="AL269" s="85" t="e">
        <f t="shared" si="302"/>
        <v>#REF!</v>
      </c>
      <c r="AM269" s="85" t="e">
        <f t="shared" si="302"/>
        <v>#REF!</v>
      </c>
      <c r="AN269" s="85" t="e">
        <f t="shared" si="302"/>
        <v>#REF!</v>
      </c>
      <c r="AO269" s="85" t="e">
        <f t="shared" si="302"/>
        <v>#REF!</v>
      </c>
      <c r="AP269" s="85" t="e">
        <f t="shared" si="302"/>
        <v>#REF!</v>
      </c>
      <c r="AQ269" s="85" t="e">
        <f t="shared" si="302"/>
        <v>#REF!</v>
      </c>
      <c r="AR269" s="85" t="e">
        <f t="shared" si="302"/>
        <v>#REF!</v>
      </c>
      <c r="AS269" s="85" t="e">
        <f t="shared" si="302"/>
        <v>#REF!</v>
      </c>
      <c r="AT269" s="85" t="e">
        <f t="shared" si="302"/>
        <v>#REF!</v>
      </c>
    </row>
    <row r="270" spans="1:49" s="83" customFormat="1" hidden="1" x14ac:dyDescent="0.3">
      <c r="A270" s="82"/>
      <c r="B270" s="178" t="str">
        <f t="shared" si="300"/>
        <v>TFMEGSL100</v>
      </c>
      <c r="C270" s="178"/>
      <c r="D270" s="179"/>
      <c r="E270" s="178"/>
      <c r="F270" s="182"/>
      <c r="G270" s="181"/>
      <c r="H270" s="182"/>
      <c r="I270" s="183">
        <f>$M$3</f>
        <v>2019</v>
      </c>
      <c r="J270" s="184"/>
      <c r="K270" s="184"/>
      <c r="L270" s="203" t="s">
        <v>1064</v>
      </c>
      <c r="M270" s="184" t="s">
        <v>747</v>
      </c>
      <c r="N270" s="693">
        <f>LOOKUP($C$264, T_Stock_Private!$C$106:$C$117, T_Stock_Private!D$106:D$117)*(1+N196)</f>
        <v>0</v>
      </c>
      <c r="O270" s="693">
        <f>LOOKUP($C$264, T_Stock_Private!$C$106:$C$117, T_Stock_Private!E$106:E$117)*(1+O196)</f>
        <v>0</v>
      </c>
      <c r="P270" s="693">
        <f>LOOKUP($C$264, T_Stock_Private!$C$106:$C$117, T_Stock_Private!F$106:F$117)*(1+P196)</f>
        <v>0</v>
      </c>
      <c r="Q270" s="693">
        <f>LOOKUP($C$264, T_Stock_Private!$C$106:$C$117, T_Stock_Private!G$106:G$117)*(1+Q196)</f>
        <v>0</v>
      </c>
      <c r="R270" s="693">
        <f>LOOKUP($C$264, T_Stock_Private!$C$106:$C$117, T_Stock_Private!H$106:H$117)*(1+R196)</f>
        <v>0</v>
      </c>
      <c r="S270" s="693">
        <f>LOOKUP($C$264, T_Stock_Private!$C$106:$C$117, T_Stock_Private!I$106:I$117)*(1+S196)</f>
        <v>0</v>
      </c>
      <c r="T270" s="693">
        <f>LOOKUP($C$264, T_Stock_Private!$C$106:$C$117, T_Stock_Private!J$106:J$117)*(1+T196)</f>
        <v>0</v>
      </c>
      <c r="U270" s="693">
        <f>LOOKUP($C$264, T_Stock_Private!$C$106:$C$117, T_Stock_Private!K$106:K$117)*(1+U196)</f>
        <v>0</v>
      </c>
      <c r="V270" s="693">
        <f>LOOKUP($C$264, T_Stock_Private!$C$106:$C$117, T_Stock_Private!L$106:L$117)*(1+V196)</f>
        <v>0</v>
      </c>
      <c r="W270" s="693">
        <f>LOOKUP($C$264, T_Stock_Private!$C$106:$C$117, T_Stock_Private!M$106:M$117)*(1+W196)</f>
        <v>0</v>
      </c>
      <c r="X270" s="693">
        <f>LOOKUP($C$264, T_Stock_Private!$C$106:$C$117, T_Stock_Private!N$106:N$117)*(1+X196)</f>
        <v>0</v>
      </c>
      <c r="Y270" s="693">
        <f>LOOKUP($C$264, T_Stock_Private!$C$106:$C$117, T_Stock_Private!O$106:O$117)*(1+Y196)</f>
        <v>0</v>
      </c>
      <c r="Z270" s="693">
        <f>LOOKUP($C$264, T_Stock_Private!$C$106:$C$117, T_Stock_Private!P$106:P$117)*(1+Z196)</f>
        <v>0</v>
      </c>
      <c r="AA270" s="693">
        <f>LOOKUP($C$264, T_Stock_Private!$C$106:$C$117, T_Stock_Private!Q$106:Q$117)*(1+AA196)</f>
        <v>0</v>
      </c>
      <c r="AB270" s="693">
        <f>LOOKUP($C$264, T_Stock_Private!$C$106:$C$117, T_Stock_Private!R$106:R$117)*(1+AB196)</f>
        <v>0</v>
      </c>
    </row>
    <row r="271" spans="1:49" s="83" customFormat="1" hidden="1" x14ac:dyDescent="0.3">
      <c r="A271" s="82"/>
      <c r="B271" s="178" t="str">
        <f t="shared" si="300"/>
        <v>TFMEGSL100</v>
      </c>
      <c r="C271" s="178"/>
      <c r="D271" s="179"/>
      <c r="E271" s="178"/>
      <c r="F271" s="182"/>
      <c r="G271" s="181"/>
      <c r="H271" s="182"/>
      <c r="I271" s="183">
        <f>AF$5</f>
        <v>2020</v>
      </c>
      <c r="J271" s="184"/>
      <c r="K271" s="184"/>
      <c r="L271" s="203" t="s">
        <v>1064</v>
      </c>
      <c r="M271" s="184" t="s">
        <v>747</v>
      </c>
      <c r="N271" s="693">
        <f t="shared" ref="N271:AB271" si="303">N270*LOOKUP($AD264,$AG$4:$AP$4,$AG$5:$AP$5)</f>
        <v>0</v>
      </c>
      <c r="O271" s="693">
        <f t="shared" si="303"/>
        <v>0</v>
      </c>
      <c r="P271" s="693">
        <f t="shared" si="303"/>
        <v>0</v>
      </c>
      <c r="Q271" s="693">
        <f t="shared" si="303"/>
        <v>0</v>
      </c>
      <c r="R271" s="693">
        <f t="shared" si="303"/>
        <v>0</v>
      </c>
      <c r="S271" s="693">
        <f t="shared" si="303"/>
        <v>0</v>
      </c>
      <c r="T271" s="693">
        <f t="shared" si="303"/>
        <v>0</v>
      </c>
      <c r="U271" s="693">
        <f t="shared" si="303"/>
        <v>0</v>
      </c>
      <c r="V271" s="693">
        <f t="shared" si="303"/>
        <v>0</v>
      </c>
      <c r="W271" s="693">
        <f t="shared" si="303"/>
        <v>0</v>
      </c>
      <c r="X271" s="693">
        <f t="shared" si="303"/>
        <v>0</v>
      </c>
      <c r="Y271" s="693">
        <f t="shared" si="303"/>
        <v>0</v>
      </c>
      <c r="Z271" s="693">
        <f t="shared" si="303"/>
        <v>0</v>
      </c>
      <c r="AA271" s="693">
        <f t="shared" si="303"/>
        <v>0</v>
      </c>
      <c r="AB271" s="693">
        <f t="shared" si="303"/>
        <v>0</v>
      </c>
    </row>
    <row r="272" spans="1:49" s="83" customFormat="1" hidden="1" x14ac:dyDescent="0.3">
      <c r="A272" s="82"/>
      <c r="B272" s="178" t="str">
        <f t="shared" si="300"/>
        <v>TFMEGSL100</v>
      </c>
      <c r="C272" s="178"/>
      <c r="D272" s="179"/>
      <c r="E272" s="178"/>
      <c r="F272" s="182"/>
      <c r="G272" s="181"/>
      <c r="H272" s="182"/>
      <c r="I272" s="183">
        <f>AF$6</f>
        <v>2025</v>
      </c>
      <c r="J272" s="184"/>
      <c r="K272" s="184"/>
      <c r="L272" s="203" t="s">
        <v>1064</v>
      </c>
      <c r="M272" s="184" t="s">
        <v>747</v>
      </c>
      <c r="N272" s="693">
        <f t="shared" ref="N272:AB272" si="304">N270*LOOKUP($AD264,$AG$4:$AP$4,$AG$6:$AP$6)</f>
        <v>0</v>
      </c>
      <c r="O272" s="693">
        <f t="shared" si="304"/>
        <v>0</v>
      </c>
      <c r="P272" s="693">
        <f t="shared" si="304"/>
        <v>0</v>
      </c>
      <c r="Q272" s="693">
        <f t="shared" si="304"/>
        <v>0</v>
      </c>
      <c r="R272" s="693">
        <f t="shared" si="304"/>
        <v>0</v>
      </c>
      <c r="S272" s="693">
        <f t="shared" si="304"/>
        <v>0</v>
      </c>
      <c r="T272" s="693">
        <f t="shared" si="304"/>
        <v>0</v>
      </c>
      <c r="U272" s="693">
        <f t="shared" si="304"/>
        <v>0</v>
      </c>
      <c r="V272" s="693">
        <f t="shared" si="304"/>
        <v>0</v>
      </c>
      <c r="W272" s="693">
        <f t="shared" si="304"/>
        <v>0</v>
      </c>
      <c r="X272" s="693">
        <f t="shared" si="304"/>
        <v>0</v>
      </c>
      <c r="Y272" s="693">
        <f t="shared" si="304"/>
        <v>0</v>
      </c>
      <c r="Z272" s="693">
        <f t="shared" si="304"/>
        <v>0</v>
      </c>
      <c r="AA272" s="693">
        <f t="shared" si="304"/>
        <v>0</v>
      </c>
      <c r="AB272" s="693">
        <f t="shared" si="304"/>
        <v>0</v>
      </c>
    </row>
    <row r="273" spans="1:64" s="83" customFormat="1" hidden="1" x14ac:dyDescent="0.3">
      <c r="A273" s="82"/>
      <c r="B273" s="178" t="str">
        <f t="shared" si="300"/>
        <v>TFMEGSL100</v>
      </c>
      <c r="C273" s="178"/>
      <c r="D273" s="179"/>
      <c r="E273" s="178"/>
      <c r="F273" s="182"/>
      <c r="G273" s="181"/>
      <c r="H273" s="182"/>
      <c r="I273" s="183">
        <f>AF$7</f>
        <v>2030</v>
      </c>
      <c r="J273" s="184"/>
      <c r="K273" s="184"/>
      <c r="L273" s="203" t="s">
        <v>1064</v>
      </c>
      <c r="M273" s="184" t="s">
        <v>747</v>
      </c>
      <c r="N273" s="693">
        <f t="shared" ref="N273:AB273" si="305">N270*LOOKUP($AD264,$AG$4:$AP$4,$AG$7:$AP$7)</f>
        <v>0</v>
      </c>
      <c r="O273" s="693">
        <f t="shared" si="305"/>
        <v>0</v>
      </c>
      <c r="P273" s="693">
        <f t="shared" si="305"/>
        <v>0</v>
      </c>
      <c r="Q273" s="693">
        <f t="shared" si="305"/>
        <v>0</v>
      </c>
      <c r="R273" s="693">
        <f t="shared" si="305"/>
        <v>0</v>
      </c>
      <c r="S273" s="693">
        <f t="shared" si="305"/>
        <v>0</v>
      </c>
      <c r="T273" s="693">
        <f t="shared" si="305"/>
        <v>0</v>
      </c>
      <c r="U273" s="693">
        <f t="shared" si="305"/>
        <v>0</v>
      </c>
      <c r="V273" s="693">
        <f t="shared" si="305"/>
        <v>0</v>
      </c>
      <c r="W273" s="693">
        <f t="shared" si="305"/>
        <v>0</v>
      </c>
      <c r="X273" s="693">
        <f t="shared" si="305"/>
        <v>0</v>
      </c>
      <c r="Y273" s="693">
        <f t="shared" si="305"/>
        <v>0</v>
      </c>
      <c r="Z273" s="693">
        <f t="shared" si="305"/>
        <v>0</v>
      </c>
      <c r="AA273" s="693">
        <f t="shared" si="305"/>
        <v>0</v>
      </c>
      <c r="AB273" s="693">
        <f t="shared" si="305"/>
        <v>0</v>
      </c>
    </row>
    <row r="274" spans="1:64" s="83" customFormat="1" hidden="1" x14ac:dyDescent="0.3">
      <c r="A274" s="82"/>
      <c r="B274" s="178" t="str">
        <f t="shared" si="300"/>
        <v>TFMEGSL100</v>
      </c>
      <c r="C274" s="178"/>
      <c r="D274" s="179"/>
      <c r="E274" s="178"/>
      <c r="F274" s="182"/>
      <c r="G274" s="181"/>
      <c r="H274" s="182"/>
      <c r="I274" s="183">
        <f>AF$8</f>
        <v>2035</v>
      </c>
      <c r="J274" s="184"/>
      <c r="K274" s="184"/>
      <c r="L274" s="203" t="s">
        <v>1064</v>
      </c>
      <c r="M274" s="184" t="s">
        <v>747</v>
      </c>
      <c r="N274" s="693">
        <f t="shared" ref="N274:AB274" si="306">N270*LOOKUP($AD264,$AG$4:$AP$4,$AG$8:$AP$8)</f>
        <v>0</v>
      </c>
      <c r="O274" s="693">
        <f t="shared" si="306"/>
        <v>0</v>
      </c>
      <c r="P274" s="693">
        <f t="shared" si="306"/>
        <v>0</v>
      </c>
      <c r="Q274" s="693">
        <f t="shared" si="306"/>
        <v>0</v>
      </c>
      <c r="R274" s="693">
        <f t="shared" si="306"/>
        <v>0</v>
      </c>
      <c r="S274" s="693">
        <f t="shared" si="306"/>
        <v>0</v>
      </c>
      <c r="T274" s="693">
        <f t="shared" si="306"/>
        <v>0</v>
      </c>
      <c r="U274" s="693">
        <f t="shared" si="306"/>
        <v>0</v>
      </c>
      <c r="V274" s="693">
        <f t="shared" si="306"/>
        <v>0</v>
      </c>
      <c r="W274" s="693">
        <f t="shared" si="306"/>
        <v>0</v>
      </c>
      <c r="X274" s="693">
        <f t="shared" si="306"/>
        <v>0</v>
      </c>
      <c r="Y274" s="693">
        <f t="shared" si="306"/>
        <v>0</v>
      </c>
      <c r="Z274" s="693">
        <f t="shared" si="306"/>
        <v>0</v>
      </c>
      <c r="AA274" s="693">
        <f t="shared" si="306"/>
        <v>0</v>
      </c>
      <c r="AB274" s="693">
        <f t="shared" si="306"/>
        <v>0</v>
      </c>
    </row>
    <row r="275" spans="1:64" s="83" customFormat="1" hidden="1" x14ac:dyDescent="0.3">
      <c r="A275" s="82"/>
      <c r="B275" s="178" t="str">
        <f t="shared" si="300"/>
        <v>TFMEGSL100</v>
      </c>
      <c r="C275" s="178"/>
      <c r="D275" s="179"/>
      <c r="E275" s="178"/>
      <c r="F275" s="182"/>
      <c r="G275" s="181"/>
      <c r="H275" s="182"/>
      <c r="I275" s="183">
        <f>AF$9</f>
        <v>2040</v>
      </c>
      <c r="J275" s="184"/>
      <c r="K275" s="184"/>
      <c r="L275" s="203" t="s">
        <v>1064</v>
      </c>
      <c r="M275" s="184" t="s">
        <v>747</v>
      </c>
      <c r="N275" s="693">
        <f t="shared" ref="N275:AB275" si="307">N270*LOOKUP($AD264,$AG$4:$AP$4,$AG$9:$AP$9)</f>
        <v>0</v>
      </c>
      <c r="O275" s="693">
        <f t="shared" si="307"/>
        <v>0</v>
      </c>
      <c r="P275" s="693">
        <f t="shared" si="307"/>
        <v>0</v>
      </c>
      <c r="Q275" s="693">
        <f t="shared" si="307"/>
        <v>0</v>
      </c>
      <c r="R275" s="693">
        <f t="shared" si="307"/>
        <v>0</v>
      </c>
      <c r="S275" s="693">
        <f t="shared" si="307"/>
        <v>0</v>
      </c>
      <c r="T275" s="693">
        <f t="shared" si="307"/>
        <v>0</v>
      </c>
      <c r="U275" s="693">
        <f t="shared" si="307"/>
        <v>0</v>
      </c>
      <c r="V275" s="693">
        <f t="shared" si="307"/>
        <v>0</v>
      </c>
      <c r="W275" s="693">
        <f t="shared" si="307"/>
        <v>0</v>
      </c>
      <c r="X275" s="693">
        <f t="shared" si="307"/>
        <v>0</v>
      </c>
      <c r="Y275" s="693">
        <f t="shared" si="307"/>
        <v>0</v>
      </c>
      <c r="Z275" s="693">
        <f t="shared" si="307"/>
        <v>0</v>
      </c>
      <c r="AA275" s="693">
        <f t="shared" si="307"/>
        <v>0</v>
      </c>
      <c r="AB275" s="693">
        <f t="shared" si="307"/>
        <v>0</v>
      </c>
    </row>
    <row r="276" spans="1:64" s="83" customFormat="1" hidden="1" x14ac:dyDescent="0.3">
      <c r="A276" s="82"/>
      <c r="B276" s="204" t="str">
        <f t="shared" si="300"/>
        <v>TFMEGSL100</v>
      </c>
      <c r="C276" s="204"/>
      <c r="D276" s="205"/>
      <c r="E276" s="204"/>
      <c r="F276" s="206"/>
      <c r="G276" s="207"/>
      <c r="H276" s="206"/>
      <c r="I276" s="208">
        <f>AF$10</f>
        <v>2050</v>
      </c>
      <c r="J276" s="209"/>
      <c r="K276" s="209"/>
      <c r="L276" s="210" t="s">
        <v>1064</v>
      </c>
      <c r="M276" s="209" t="s">
        <v>747</v>
      </c>
      <c r="N276" s="694">
        <f t="shared" ref="N276:AB276" si="308">N270*LOOKUP($AD264,$AG$4:$AP$4,$AG$10:$AP$10)</f>
        <v>0</v>
      </c>
      <c r="O276" s="694">
        <f t="shared" si="308"/>
        <v>0</v>
      </c>
      <c r="P276" s="694">
        <f t="shared" si="308"/>
        <v>0</v>
      </c>
      <c r="Q276" s="694">
        <f t="shared" si="308"/>
        <v>0</v>
      </c>
      <c r="R276" s="694">
        <f t="shared" si="308"/>
        <v>0</v>
      </c>
      <c r="S276" s="694">
        <f t="shared" si="308"/>
        <v>0</v>
      </c>
      <c r="T276" s="694">
        <f t="shared" si="308"/>
        <v>0</v>
      </c>
      <c r="U276" s="694">
        <f t="shared" si="308"/>
        <v>0</v>
      </c>
      <c r="V276" s="694">
        <f t="shared" si="308"/>
        <v>0</v>
      </c>
      <c r="W276" s="694">
        <f t="shared" si="308"/>
        <v>0</v>
      </c>
      <c r="X276" s="694">
        <f t="shared" si="308"/>
        <v>0</v>
      </c>
      <c r="Y276" s="694">
        <f t="shared" si="308"/>
        <v>0</v>
      </c>
      <c r="Z276" s="694">
        <f t="shared" si="308"/>
        <v>0</v>
      </c>
      <c r="AA276" s="694">
        <f t="shared" si="308"/>
        <v>0</v>
      </c>
      <c r="AB276" s="694">
        <f t="shared" si="308"/>
        <v>0</v>
      </c>
    </row>
    <row r="277" spans="1:64" s="83" customFormat="1" hidden="1" x14ac:dyDescent="0.3">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699" t="str">
        <f t="shared" ref="AV277:AV278" si="310">MID(E277,1,7)</f>
        <v>TRABDL</v>
      </c>
      <c r="AW277" s="567">
        <f t="shared" ref="AW277:AW278" si="311">SUM(AX277:BL277)</f>
        <v>0</v>
      </c>
    </row>
    <row r="278" spans="1:64" s="83" customFormat="1" hidden="1" x14ac:dyDescent="0.3">
      <c r="A278" s="82"/>
      <c r="B278" s="178" t="str">
        <f>B277</f>
        <v>TFMEHYD100</v>
      </c>
      <c r="C278" s="178"/>
      <c r="D278" s="179"/>
      <c r="E278" s="407" t="s">
        <v>185</v>
      </c>
      <c r="F278" s="182"/>
      <c r="G278" s="181"/>
      <c r="H278" s="182"/>
      <c r="I278" s="183"/>
      <c r="J278" s="184" t="str">
        <f>$J$214</f>
        <v>UP</v>
      </c>
      <c r="K278" s="184"/>
      <c r="L278" s="203" t="s">
        <v>101</v>
      </c>
      <c r="M278" s="184"/>
      <c r="N278" s="390">
        <f>1-N$29-N$28</f>
        <v>0.7669999999999999</v>
      </c>
      <c r="O278" s="390">
        <f t="shared" ref="O278:AB278" si="312">1-O$29-O$28</f>
        <v>0.7669999999999999</v>
      </c>
      <c r="P278" s="390">
        <f t="shared" si="312"/>
        <v>0.7669999999999999</v>
      </c>
      <c r="Q278" s="390">
        <f t="shared" si="312"/>
        <v>0.7669999999999999</v>
      </c>
      <c r="R278" s="390">
        <f t="shared" si="312"/>
        <v>0.7669999999999999</v>
      </c>
      <c r="S278" s="390">
        <f t="shared" si="312"/>
        <v>0.7669999999999999</v>
      </c>
      <c r="T278" s="390">
        <f t="shared" si="312"/>
        <v>0.7669999999999999</v>
      </c>
      <c r="U278" s="390">
        <f t="shared" si="312"/>
        <v>0.7669999999999999</v>
      </c>
      <c r="V278" s="390">
        <f t="shared" si="312"/>
        <v>0.7669999999999999</v>
      </c>
      <c r="W278" s="390">
        <f t="shared" si="312"/>
        <v>0.7669999999999999</v>
      </c>
      <c r="X278" s="390">
        <f t="shared" si="312"/>
        <v>0.7669999999999999</v>
      </c>
      <c r="Y278" s="390">
        <f t="shared" si="312"/>
        <v>0.7669999999999999</v>
      </c>
      <c r="Z278" s="390">
        <f t="shared" si="312"/>
        <v>0.7669999999999999</v>
      </c>
      <c r="AA278" s="390">
        <f t="shared" si="312"/>
        <v>0.7669999999999999</v>
      </c>
      <c r="AB278" s="390">
        <f t="shared" si="312"/>
        <v>0.7669999999999999</v>
      </c>
      <c r="AD278" s="66" t="str">
        <f>IF(COUNTIF($AG$4:$AP$4,AD277)=1,"ok","MISSING")</f>
        <v>ok</v>
      </c>
      <c r="AF278" s="333"/>
      <c r="AV278" s="699" t="str">
        <f t="shared" si="310"/>
        <v>TRADST</v>
      </c>
      <c r="AW278" s="567">
        <f t="shared" si="311"/>
        <v>0</v>
      </c>
    </row>
    <row r="279" spans="1:64" s="83" customFormat="1" hidden="1" x14ac:dyDescent="0.3">
      <c r="A279" s="82"/>
      <c r="B279" s="178" t="str">
        <f t="shared" ref="B279" si="313">B278</f>
        <v>TFMEHYD100</v>
      </c>
      <c r="C279" s="178"/>
      <c r="D279" s="179"/>
      <c r="E279" s="407" t="s">
        <v>989</v>
      </c>
      <c r="F279" s="182"/>
      <c r="G279" s="181"/>
      <c r="H279" s="182"/>
      <c r="I279" s="183"/>
      <c r="J279" s="184" t="s">
        <v>1156</v>
      </c>
      <c r="K279" s="184"/>
      <c r="L279" s="203" t="s">
        <v>101</v>
      </c>
      <c r="M279" s="184"/>
      <c r="N279" s="689">
        <f>N$28</f>
        <v>5.8000000000000003E-2</v>
      </c>
      <c r="O279" s="689">
        <f t="shared" ref="O279:AB279" si="314">O$28</f>
        <v>5.8000000000000003E-2</v>
      </c>
      <c r="P279" s="689">
        <f t="shared" si="314"/>
        <v>5.8000000000000003E-2</v>
      </c>
      <c r="Q279" s="689">
        <f t="shared" si="314"/>
        <v>5.8000000000000003E-2</v>
      </c>
      <c r="R279" s="689">
        <f t="shared" si="314"/>
        <v>5.8000000000000003E-2</v>
      </c>
      <c r="S279" s="689">
        <f t="shared" si="314"/>
        <v>5.8000000000000003E-2</v>
      </c>
      <c r="T279" s="689">
        <f t="shared" si="314"/>
        <v>5.8000000000000003E-2</v>
      </c>
      <c r="U279" s="689">
        <f t="shared" si="314"/>
        <v>5.8000000000000003E-2</v>
      </c>
      <c r="V279" s="689">
        <f t="shared" si="314"/>
        <v>5.8000000000000003E-2</v>
      </c>
      <c r="W279" s="689">
        <f t="shared" si="314"/>
        <v>5.8000000000000003E-2</v>
      </c>
      <c r="X279" s="689">
        <f t="shared" si="314"/>
        <v>5.8000000000000003E-2</v>
      </c>
      <c r="Y279" s="689">
        <f t="shared" si="314"/>
        <v>5.8000000000000003E-2</v>
      </c>
      <c r="Z279" s="689">
        <f t="shared" si="314"/>
        <v>5.8000000000000003E-2</v>
      </c>
      <c r="AA279" s="689">
        <f t="shared" si="314"/>
        <v>5.8000000000000003E-2</v>
      </c>
      <c r="AB279" s="689">
        <f t="shared" si="314"/>
        <v>5.8000000000000003E-2</v>
      </c>
      <c r="AD279" s="408"/>
      <c r="AE279" s="357"/>
      <c r="AF279" s="84"/>
      <c r="AG279" s="84"/>
      <c r="AH279" s="84"/>
      <c r="AI279" s="84"/>
      <c r="AJ279" s="84"/>
      <c r="AK279" s="84"/>
      <c r="AL279" s="84"/>
      <c r="AM279" s="84"/>
      <c r="AN279" s="84"/>
      <c r="AO279" s="84"/>
      <c r="AP279" s="84"/>
      <c r="AQ279" s="84"/>
      <c r="AR279" s="84"/>
      <c r="AS279" s="84"/>
      <c r="AT279" s="84"/>
      <c r="AV279" s="699"/>
      <c r="AW279" s="567"/>
      <c r="AX279" s="707"/>
      <c r="AY279" s="35"/>
      <c r="AZ279" s="35"/>
      <c r="BA279" s="35"/>
      <c r="BB279" s="35"/>
      <c r="BC279" s="35"/>
      <c r="BD279" s="35"/>
      <c r="BE279" s="35"/>
      <c r="BF279" s="35"/>
      <c r="BG279" s="35"/>
      <c r="BH279" s="35"/>
      <c r="BI279" s="35"/>
      <c r="BJ279" s="35"/>
      <c r="BK279" s="35"/>
      <c r="BL279" s="35"/>
    </row>
    <row r="280" spans="1:64" s="83" customFormat="1" hidden="1" x14ac:dyDescent="0.3">
      <c r="B280" s="178" t="str">
        <f t="shared" ref="B280:B289" si="315">B279</f>
        <v>TFMEHYD100</v>
      </c>
      <c r="C280" s="178"/>
      <c r="D280" s="179"/>
      <c r="E280" s="178"/>
      <c r="F280" s="182"/>
      <c r="G280" s="324" t="s">
        <v>433</v>
      </c>
      <c r="H280" s="182"/>
      <c r="I280" s="183"/>
      <c r="J280" s="184"/>
      <c r="K280" s="184"/>
      <c r="L280" s="184" t="s">
        <v>1125</v>
      </c>
      <c r="M280" s="184" t="s">
        <v>677</v>
      </c>
      <c r="N280" s="675">
        <f>T_CEFF!H193</f>
        <v>6.2579999999999997E-2</v>
      </c>
      <c r="O280" s="675">
        <f>T_CEFF!I193</f>
        <v>6.2579999999999997E-2</v>
      </c>
      <c r="P280" s="675">
        <f>T_CEFF!J193</f>
        <v>6.2579999999999997E-2</v>
      </c>
      <c r="Q280" s="675">
        <f>T_CEFF!K193</f>
        <v>6.2579999999999997E-2</v>
      </c>
      <c r="R280" s="675">
        <f>T_CEFF!L193</f>
        <v>6.2579999999999997E-2</v>
      </c>
      <c r="S280" s="675">
        <f>T_CEFF!M193</f>
        <v>6.2579999999999997E-2</v>
      </c>
      <c r="T280" s="675">
        <f>T_CEFF!N193</f>
        <v>6.2579999999999997E-2</v>
      </c>
      <c r="U280" s="675">
        <f>T_CEFF!O193</f>
        <v>6.2579999999999997E-2</v>
      </c>
      <c r="V280" s="675">
        <f>T_CEFF!P193</f>
        <v>6.2579999999999997E-2</v>
      </c>
      <c r="W280" s="675">
        <f>T_CEFF!Q193</f>
        <v>6.2579999999999997E-2</v>
      </c>
      <c r="X280" s="675">
        <f>T_CEFF!R193</f>
        <v>6.2579999999999997E-2</v>
      </c>
      <c r="Y280" s="675">
        <f>T_CEFF!S193</f>
        <v>6.2579999999999997E-2</v>
      </c>
      <c r="Z280" s="675">
        <f>T_CEFF!T193</f>
        <v>6.2579999999999997E-2</v>
      </c>
      <c r="AA280" s="675">
        <f>T_CEFF!U193</f>
        <v>6.2579999999999997E-2</v>
      </c>
      <c r="AB280" s="675">
        <f>T_CEFF!V193</f>
        <v>6.2579999999999997E-2</v>
      </c>
      <c r="AV280" s="699" t="str">
        <f t="shared" ref="AV280:AV281" si="316">MID(E280,1,7)</f>
        <v/>
      </c>
      <c r="AW280" s="567"/>
    </row>
    <row r="281" spans="1:64" s="83" customFormat="1" hidden="1" x14ac:dyDescent="0.3">
      <c r="B281" s="178" t="str">
        <f>B280</f>
        <v>TFMEHYD100</v>
      </c>
      <c r="C281" s="178"/>
      <c r="D281" s="179"/>
      <c r="E281" s="178"/>
      <c r="F281" s="182"/>
      <c r="G281" s="181"/>
      <c r="H281" s="182"/>
      <c r="I281" s="183"/>
      <c r="J281" s="184"/>
      <c r="K281" s="184" t="s">
        <v>748</v>
      </c>
      <c r="L281" s="184" t="s">
        <v>1127</v>
      </c>
      <c r="M281" s="184" t="s">
        <v>1174</v>
      </c>
      <c r="N281" s="388" t="e">
        <f>N$24</f>
        <v>#REF!</v>
      </c>
      <c r="O281" s="388" t="e">
        <f t="shared" ref="O281:AB281" si="317">O$24</f>
        <v>#REF!</v>
      </c>
      <c r="P281" s="388" t="e">
        <f t="shared" si="317"/>
        <v>#REF!</v>
      </c>
      <c r="Q281" s="388" t="e">
        <f t="shared" si="317"/>
        <v>#REF!</v>
      </c>
      <c r="R281" s="388" t="e">
        <f t="shared" si="317"/>
        <v>#REF!</v>
      </c>
      <c r="S281" s="388" t="e">
        <f t="shared" si="317"/>
        <v>#REF!</v>
      </c>
      <c r="T281" s="388" t="e">
        <f t="shared" si="317"/>
        <v>#REF!</v>
      </c>
      <c r="U281" s="388" t="e">
        <f t="shared" si="317"/>
        <v>#REF!</v>
      </c>
      <c r="V281" s="388" t="e">
        <f t="shared" si="317"/>
        <v>#REF!</v>
      </c>
      <c r="W281" s="388" t="e">
        <f t="shared" si="317"/>
        <v>#REF!</v>
      </c>
      <c r="X281" s="388" t="e">
        <f t="shared" si="317"/>
        <v>#REF!</v>
      </c>
      <c r="Y281" s="388" t="e">
        <f t="shared" si="317"/>
        <v>#REF!</v>
      </c>
      <c r="Z281" s="388" t="e">
        <f t="shared" si="317"/>
        <v>#REF!</v>
      </c>
      <c r="AA281" s="388" t="e">
        <f t="shared" si="317"/>
        <v>#REF!</v>
      </c>
      <c r="AB281" s="388" t="e">
        <f t="shared" si="317"/>
        <v>#REF!</v>
      </c>
      <c r="AV281" s="699" t="str">
        <f t="shared" si="316"/>
        <v/>
      </c>
      <c r="AW281" s="567"/>
    </row>
    <row r="282" spans="1:64" s="83" customFormat="1" hidden="1" x14ac:dyDescent="0.3">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1" t="e">
        <f>SUM(AF282:AT282)</f>
        <v>#REF!</v>
      </c>
      <c r="AF282" s="85" t="e">
        <f t="shared" ref="AF282:AT282" si="318">N281*N282*N283/1000</f>
        <v>#REF!</v>
      </c>
      <c r="AG282" s="85" t="e">
        <f t="shared" si="318"/>
        <v>#REF!</v>
      </c>
      <c r="AH282" s="85" t="e">
        <f t="shared" si="318"/>
        <v>#REF!</v>
      </c>
      <c r="AI282" s="85" t="e">
        <f t="shared" si="318"/>
        <v>#REF!</v>
      </c>
      <c r="AJ282" s="85" t="e">
        <f t="shared" si="318"/>
        <v>#REF!</v>
      </c>
      <c r="AK282" s="85" t="e">
        <f t="shared" si="318"/>
        <v>#REF!</v>
      </c>
      <c r="AL282" s="85" t="e">
        <f t="shared" si="318"/>
        <v>#REF!</v>
      </c>
      <c r="AM282" s="85" t="e">
        <f t="shared" si="318"/>
        <v>#REF!</v>
      </c>
      <c r="AN282" s="85" t="e">
        <f t="shared" si="318"/>
        <v>#REF!</v>
      </c>
      <c r="AO282" s="85" t="e">
        <f t="shared" si="318"/>
        <v>#REF!</v>
      </c>
      <c r="AP282" s="85" t="e">
        <f t="shared" si="318"/>
        <v>#REF!</v>
      </c>
      <c r="AQ282" s="85" t="e">
        <f t="shared" si="318"/>
        <v>#REF!</v>
      </c>
      <c r="AR282" s="85" t="e">
        <f t="shared" si="318"/>
        <v>#REF!</v>
      </c>
      <c r="AS282" s="85" t="e">
        <f t="shared" si="318"/>
        <v>#REF!</v>
      </c>
      <c r="AT282" s="85" t="e">
        <f t="shared" si="318"/>
        <v>#REF!</v>
      </c>
    </row>
    <row r="283" spans="1:64" s="83" customFormat="1" hidden="1" x14ac:dyDescent="0.3">
      <c r="B283" s="178" t="str">
        <f>B282</f>
        <v>TFMEHYD100</v>
      </c>
      <c r="C283" s="178"/>
      <c r="D283" s="179"/>
      <c r="E283" s="178"/>
      <c r="F283" s="182"/>
      <c r="G283" s="181"/>
      <c r="H283" s="182"/>
      <c r="I283" s="183">
        <f>$M$3</f>
        <v>2019</v>
      </c>
      <c r="J283" s="184"/>
      <c r="K283" s="184"/>
      <c r="L283" s="203" t="s">
        <v>1064</v>
      </c>
      <c r="M283" s="184" t="s">
        <v>747</v>
      </c>
      <c r="N283" s="693">
        <f>LOOKUP($C$277, T_Stock_Private!$C$106:$C$117, T_Stock_Private!D$106:D$117)*(1+N196)</f>
        <v>0</v>
      </c>
      <c r="O283" s="693">
        <f>LOOKUP($C$277, T_Stock_Private!$C$106:$C$117, T_Stock_Private!E$106:E$117)*(1+O196)</f>
        <v>0</v>
      </c>
      <c r="P283" s="693">
        <f>LOOKUP($C$277, T_Stock_Private!$C$106:$C$117, T_Stock_Private!F$106:F$117)*(1+P196)</f>
        <v>0</v>
      </c>
      <c r="Q283" s="693">
        <f>LOOKUP($C$277, T_Stock_Private!$C$106:$C$117, T_Stock_Private!G$106:G$117)*(1+Q196)</f>
        <v>0</v>
      </c>
      <c r="R283" s="693">
        <f>LOOKUP($C$277, T_Stock_Private!$C$106:$C$117, T_Stock_Private!H$106:H$117)*(1+R196)</f>
        <v>0</v>
      </c>
      <c r="S283" s="693">
        <f>LOOKUP($C$277, T_Stock_Private!$C$106:$C$117, T_Stock_Private!I$106:I$117)*(1+S196)</f>
        <v>0</v>
      </c>
      <c r="T283" s="693">
        <f>LOOKUP($C$277, T_Stock_Private!$C$106:$C$117, T_Stock_Private!J$106:J$117)*(1+T196)</f>
        <v>0</v>
      </c>
      <c r="U283" s="693">
        <f>LOOKUP($C$277, T_Stock_Private!$C$106:$C$117, T_Stock_Private!K$106:K$117)*(1+U196)</f>
        <v>0</v>
      </c>
      <c r="V283" s="693">
        <f>LOOKUP($C$277, T_Stock_Private!$C$106:$C$117, T_Stock_Private!L$106:L$117)*(1+V196)</f>
        <v>0</v>
      </c>
      <c r="W283" s="693">
        <f>LOOKUP($C$277, T_Stock_Private!$C$106:$C$117, T_Stock_Private!M$106:M$117)*(1+W196)</f>
        <v>0</v>
      </c>
      <c r="X283" s="693">
        <f>LOOKUP($C$277, T_Stock_Private!$C$106:$C$117, T_Stock_Private!N$106:N$117)*(1+X196)</f>
        <v>0</v>
      </c>
      <c r="Y283" s="693">
        <f>LOOKUP($C$277, T_Stock_Private!$C$106:$C$117, T_Stock_Private!O$106:O$117)*(1+Y196)</f>
        <v>0</v>
      </c>
      <c r="Z283" s="693">
        <f>LOOKUP($C$277, T_Stock_Private!$C$106:$C$117, T_Stock_Private!P$106:P$117)*(1+Z196)</f>
        <v>0</v>
      </c>
      <c r="AA283" s="693">
        <f>LOOKUP($C$277, T_Stock_Private!$C$106:$C$117, T_Stock_Private!Q$106:Q$117)*(1+AA196)</f>
        <v>0</v>
      </c>
      <c r="AB283" s="693">
        <f>LOOKUP($C$277, T_Stock_Private!$C$106:$C$117, T_Stock_Private!R$106:R$117)*(1+AB196)</f>
        <v>0</v>
      </c>
    </row>
    <row r="284" spans="1:64" s="83" customFormat="1" hidden="1" x14ac:dyDescent="0.3">
      <c r="B284" s="178" t="str">
        <f t="shared" si="315"/>
        <v>TFMEHYD100</v>
      </c>
      <c r="C284" s="178"/>
      <c r="D284" s="179"/>
      <c r="E284" s="178"/>
      <c r="F284" s="182"/>
      <c r="G284" s="181"/>
      <c r="H284" s="182"/>
      <c r="I284" s="183">
        <f>AF$5</f>
        <v>2020</v>
      </c>
      <c r="J284" s="184"/>
      <c r="K284" s="184"/>
      <c r="L284" s="203" t="s">
        <v>1064</v>
      </c>
      <c r="M284" s="184" t="s">
        <v>747</v>
      </c>
      <c r="N284" s="693">
        <f t="shared" ref="N284:AB284" si="319">N283*LOOKUP($AD277,$AG$4:$AP$4,$AG$5:$AP$5)</f>
        <v>0</v>
      </c>
      <c r="O284" s="693">
        <f t="shared" si="319"/>
        <v>0</v>
      </c>
      <c r="P284" s="693">
        <f t="shared" si="319"/>
        <v>0</v>
      </c>
      <c r="Q284" s="693">
        <f t="shared" si="319"/>
        <v>0</v>
      </c>
      <c r="R284" s="693">
        <f t="shared" si="319"/>
        <v>0</v>
      </c>
      <c r="S284" s="693">
        <f t="shared" si="319"/>
        <v>0</v>
      </c>
      <c r="T284" s="693">
        <f t="shared" si="319"/>
        <v>0</v>
      </c>
      <c r="U284" s="693">
        <f t="shared" si="319"/>
        <v>0</v>
      </c>
      <c r="V284" s="693">
        <f t="shared" si="319"/>
        <v>0</v>
      </c>
      <c r="W284" s="693">
        <f t="shared" si="319"/>
        <v>0</v>
      </c>
      <c r="X284" s="693">
        <f t="shared" si="319"/>
        <v>0</v>
      </c>
      <c r="Y284" s="693">
        <f t="shared" si="319"/>
        <v>0</v>
      </c>
      <c r="Z284" s="693">
        <f t="shared" si="319"/>
        <v>0</v>
      </c>
      <c r="AA284" s="693">
        <f t="shared" si="319"/>
        <v>0</v>
      </c>
      <c r="AB284" s="693">
        <f t="shared" si="319"/>
        <v>0</v>
      </c>
    </row>
    <row r="285" spans="1:64" s="83" customFormat="1" hidden="1" x14ac:dyDescent="0.3">
      <c r="B285" s="178" t="str">
        <f t="shared" si="315"/>
        <v>TFMEHYD100</v>
      </c>
      <c r="C285" s="178"/>
      <c r="D285" s="179"/>
      <c r="E285" s="178"/>
      <c r="F285" s="182"/>
      <c r="G285" s="181"/>
      <c r="H285" s="182"/>
      <c r="I285" s="183">
        <f>AF$6</f>
        <v>2025</v>
      </c>
      <c r="J285" s="184"/>
      <c r="K285" s="184"/>
      <c r="L285" s="203" t="s">
        <v>1064</v>
      </c>
      <c r="M285" s="184" t="s">
        <v>747</v>
      </c>
      <c r="N285" s="693">
        <f t="shared" ref="N285:AB285" si="320">N283*LOOKUP($AD277,$AG$4:$AP$4,$AG$6:$AP$6)</f>
        <v>0</v>
      </c>
      <c r="O285" s="693">
        <f t="shared" si="320"/>
        <v>0</v>
      </c>
      <c r="P285" s="693">
        <f t="shared" si="320"/>
        <v>0</v>
      </c>
      <c r="Q285" s="693">
        <f t="shared" si="320"/>
        <v>0</v>
      </c>
      <c r="R285" s="693">
        <f t="shared" si="320"/>
        <v>0</v>
      </c>
      <c r="S285" s="693">
        <f t="shared" si="320"/>
        <v>0</v>
      </c>
      <c r="T285" s="693">
        <f t="shared" si="320"/>
        <v>0</v>
      </c>
      <c r="U285" s="693">
        <f t="shared" si="320"/>
        <v>0</v>
      </c>
      <c r="V285" s="693">
        <f t="shared" si="320"/>
        <v>0</v>
      </c>
      <c r="W285" s="693">
        <f t="shared" si="320"/>
        <v>0</v>
      </c>
      <c r="X285" s="693">
        <f t="shared" si="320"/>
        <v>0</v>
      </c>
      <c r="Y285" s="693">
        <f t="shared" si="320"/>
        <v>0</v>
      </c>
      <c r="Z285" s="693">
        <f t="shared" si="320"/>
        <v>0</v>
      </c>
      <c r="AA285" s="693">
        <f t="shared" si="320"/>
        <v>0</v>
      </c>
      <c r="AB285" s="693">
        <f t="shared" si="320"/>
        <v>0</v>
      </c>
    </row>
    <row r="286" spans="1:64" s="83" customFormat="1" hidden="1" x14ac:dyDescent="0.3">
      <c r="B286" s="178" t="str">
        <f t="shared" si="315"/>
        <v>TFMEHYD100</v>
      </c>
      <c r="C286" s="178"/>
      <c r="D286" s="179"/>
      <c r="E286" s="178"/>
      <c r="F286" s="182"/>
      <c r="G286" s="181"/>
      <c r="H286" s="182"/>
      <c r="I286" s="183">
        <f>AF$7</f>
        <v>2030</v>
      </c>
      <c r="J286" s="184"/>
      <c r="K286" s="184"/>
      <c r="L286" s="203" t="s">
        <v>1064</v>
      </c>
      <c r="M286" s="184" t="s">
        <v>747</v>
      </c>
      <c r="N286" s="693">
        <f t="shared" ref="N286:AB286" si="321">N283*LOOKUP($AD277,$AG$4:$AP$4,$AG$7:$AP$7)</f>
        <v>0</v>
      </c>
      <c r="O286" s="693">
        <f t="shared" si="321"/>
        <v>0</v>
      </c>
      <c r="P286" s="693">
        <f t="shared" si="321"/>
        <v>0</v>
      </c>
      <c r="Q286" s="693">
        <f t="shared" si="321"/>
        <v>0</v>
      </c>
      <c r="R286" s="693">
        <f t="shared" si="321"/>
        <v>0</v>
      </c>
      <c r="S286" s="693">
        <f t="shared" si="321"/>
        <v>0</v>
      </c>
      <c r="T286" s="693">
        <f t="shared" si="321"/>
        <v>0</v>
      </c>
      <c r="U286" s="693">
        <f t="shared" si="321"/>
        <v>0</v>
      </c>
      <c r="V286" s="693">
        <f t="shared" si="321"/>
        <v>0</v>
      </c>
      <c r="W286" s="693">
        <f t="shared" si="321"/>
        <v>0</v>
      </c>
      <c r="X286" s="693">
        <f t="shared" si="321"/>
        <v>0</v>
      </c>
      <c r="Y286" s="693">
        <f t="shared" si="321"/>
        <v>0</v>
      </c>
      <c r="Z286" s="693">
        <f t="shared" si="321"/>
        <v>0</v>
      </c>
      <c r="AA286" s="693">
        <f t="shared" si="321"/>
        <v>0</v>
      </c>
      <c r="AB286" s="693">
        <f t="shared" si="321"/>
        <v>0</v>
      </c>
    </row>
    <row r="287" spans="1:64" s="83" customFormat="1" hidden="1" x14ac:dyDescent="0.3">
      <c r="B287" s="178" t="str">
        <f t="shared" si="315"/>
        <v>TFMEHYD100</v>
      </c>
      <c r="C287" s="178"/>
      <c r="D287" s="179"/>
      <c r="E287" s="178"/>
      <c r="F287" s="182"/>
      <c r="G287" s="181"/>
      <c r="H287" s="182"/>
      <c r="I287" s="183">
        <f>AF$8</f>
        <v>2035</v>
      </c>
      <c r="J287" s="184"/>
      <c r="K287" s="184"/>
      <c r="L287" s="203" t="s">
        <v>1064</v>
      </c>
      <c r="M287" s="184" t="s">
        <v>747</v>
      </c>
      <c r="N287" s="693">
        <f t="shared" ref="N287:AB287" si="322">N283*LOOKUP($AD277,$AG$4:$AP$4,$AG$8:$AP$8)</f>
        <v>0</v>
      </c>
      <c r="O287" s="693">
        <f t="shared" si="322"/>
        <v>0</v>
      </c>
      <c r="P287" s="693">
        <f t="shared" si="322"/>
        <v>0</v>
      </c>
      <c r="Q287" s="693">
        <f t="shared" si="322"/>
        <v>0</v>
      </c>
      <c r="R287" s="693">
        <f t="shared" si="322"/>
        <v>0</v>
      </c>
      <c r="S287" s="693">
        <f t="shared" si="322"/>
        <v>0</v>
      </c>
      <c r="T287" s="693">
        <f t="shared" si="322"/>
        <v>0</v>
      </c>
      <c r="U287" s="693">
        <f t="shared" si="322"/>
        <v>0</v>
      </c>
      <c r="V287" s="693">
        <f t="shared" si="322"/>
        <v>0</v>
      </c>
      <c r="W287" s="693">
        <f t="shared" si="322"/>
        <v>0</v>
      </c>
      <c r="X287" s="693">
        <f t="shared" si="322"/>
        <v>0</v>
      </c>
      <c r="Y287" s="693">
        <f t="shared" si="322"/>
        <v>0</v>
      </c>
      <c r="Z287" s="693">
        <f t="shared" si="322"/>
        <v>0</v>
      </c>
      <c r="AA287" s="693">
        <f t="shared" si="322"/>
        <v>0</v>
      </c>
      <c r="AB287" s="693">
        <f t="shared" si="322"/>
        <v>0</v>
      </c>
    </row>
    <row r="288" spans="1:64" s="83" customFormat="1" hidden="1" x14ac:dyDescent="0.3">
      <c r="B288" s="178" t="str">
        <f t="shared" si="315"/>
        <v>TFMEHYD100</v>
      </c>
      <c r="C288" s="178"/>
      <c r="D288" s="179"/>
      <c r="E288" s="178"/>
      <c r="F288" s="182"/>
      <c r="G288" s="181"/>
      <c r="H288" s="182"/>
      <c r="I288" s="183">
        <f>AF$9</f>
        <v>2040</v>
      </c>
      <c r="J288" s="184"/>
      <c r="K288" s="184"/>
      <c r="L288" s="203" t="s">
        <v>1064</v>
      </c>
      <c r="M288" s="184" t="s">
        <v>747</v>
      </c>
      <c r="N288" s="693">
        <f t="shared" ref="N288:AB288" si="323">N283*LOOKUP($AD277,$AG$4:$AP$4,$AG$9:$AP$9)</f>
        <v>0</v>
      </c>
      <c r="O288" s="693">
        <f t="shared" si="323"/>
        <v>0</v>
      </c>
      <c r="P288" s="693">
        <f t="shared" si="323"/>
        <v>0</v>
      </c>
      <c r="Q288" s="693">
        <f t="shared" si="323"/>
        <v>0</v>
      </c>
      <c r="R288" s="693">
        <f t="shared" si="323"/>
        <v>0</v>
      </c>
      <c r="S288" s="693">
        <f t="shared" si="323"/>
        <v>0</v>
      </c>
      <c r="T288" s="693">
        <f t="shared" si="323"/>
        <v>0</v>
      </c>
      <c r="U288" s="693">
        <f t="shared" si="323"/>
        <v>0</v>
      </c>
      <c r="V288" s="693">
        <f t="shared" si="323"/>
        <v>0</v>
      </c>
      <c r="W288" s="693">
        <f t="shared" si="323"/>
        <v>0</v>
      </c>
      <c r="X288" s="693">
        <f t="shared" si="323"/>
        <v>0</v>
      </c>
      <c r="Y288" s="693">
        <f t="shared" si="323"/>
        <v>0</v>
      </c>
      <c r="Z288" s="693">
        <f t="shared" si="323"/>
        <v>0</v>
      </c>
      <c r="AA288" s="693">
        <f t="shared" si="323"/>
        <v>0</v>
      </c>
      <c r="AB288" s="693">
        <f t="shared" si="323"/>
        <v>0</v>
      </c>
    </row>
    <row r="289" spans="1:64" s="83" customFormat="1" hidden="1" x14ac:dyDescent="0.3">
      <c r="B289" s="204" t="str">
        <f t="shared" si="315"/>
        <v>TFMEHYD100</v>
      </c>
      <c r="C289" s="204"/>
      <c r="D289" s="205"/>
      <c r="E289" s="204"/>
      <c r="F289" s="206"/>
      <c r="G289" s="207"/>
      <c r="H289" s="206"/>
      <c r="I289" s="208">
        <f>AF$10</f>
        <v>2050</v>
      </c>
      <c r="J289" s="209"/>
      <c r="K289" s="209"/>
      <c r="L289" s="210" t="s">
        <v>1064</v>
      </c>
      <c r="M289" s="209" t="s">
        <v>747</v>
      </c>
      <c r="N289" s="694">
        <f t="shared" ref="N289:AB289" si="324">N283*LOOKUP($AD277,$AG$4:$AP$4,$AG$10:$AP$10)</f>
        <v>0</v>
      </c>
      <c r="O289" s="694">
        <f t="shared" si="324"/>
        <v>0</v>
      </c>
      <c r="P289" s="694">
        <f t="shared" si="324"/>
        <v>0</v>
      </c>
      <c r="Q289" s="694">
        <f t="shared" si="324"/>
        <v>0</v>
      </c>
      <c r="R289" s="694">
        <f t="shared" si="324"/>
        <v>0</v>
      </c>
      <c r="S289" s="694">
        <f t="shared" si="324"/>
        <v>0</v>
      </c>
      <c r="T289" s="694">
        <f t="shared" si="324"/>
        <v>0</v>
      </c>
      <c r="U289" s="694">
        <f t="shared" si="324"/>
        <v>0</v>
      </c>
      <c r="V289" s="694">
        <f t="shared" si="324"/>
        <v>0</v>
      </c>
      <c r="W289" s="694">
        <f t="shared" si="324"/>
        <v>0</v>
      </c>
      <c r="X289" s="694">
        <f t="shared" si="324"/>
        <v>0</v>
      </c>
      <c r="Y289" s="694">
        <f t="shared" si="324"/>
        <v>0</v>
      </c>
      <c r="Z289" s="694">
        <f t="shared" si="324"/>
        <v>0</v>
      </c>
      <c r="AA289" s="694">
        <f t="shared" si="324"/>
        <v>0</v>
      </c>
      <c r="AB289" s="694">
        <f t="shared" si="324"/>
        <v>0</v>
      </c>
    </row>
    <row r="290" spans="1:64" s="83" customFormat="1" hidden="1" x14ac:dyDescent="0.3">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699" t="str">
        <f t="shared" ref="AV290:AV292" si="326">MID(E290,1,7)</f>
        <v>TRAGSL</v>
      </c>
      <c r="AW290" s="567">
        <f t="shared" ref="AW290:AW291" si="327">SUM(AX290:BL290)</f>
        <v>0</v>
      </c>
    </row>
    <row r="291" spans="1:64" s="83" customFormat="1" hidden="1" x14ac:dyDescent="0.3">
      <c r="A291" s="82"/>
      <c r="B291" s="178" t="str">
        <f>B290</f>
        <v>TFMEHYG100</v>
      </c>
      <c r="C291" s="178"/>
      <c r="D291" s="179"/>
      <c r="E291" s="407" t="s">
        <v>1011</v>
      </c>
      <c r="F291" s="182"/>
      <c r="G291" s="181"/>
      <c r="H291" s="182"/>
      <c r="I291" s="183"/>
      <c r="J291" s="184" t="s">
        <v>1126</v>
      </c>
      <c r="K291" s="184"/>
      <c r="L291" s="203" t="s">
        <v>101</v>
      </c>
      <c r="M291" s="184"/>
      <c r="N291" s="695">
        <f>N$30</f>
        <v>5.0999999999999997E-2</v>
      </c>
      <c r="O291" s="695">
        <f t="shared" ref="O291:AB291" si="328">O$30</f>
        <v>5.0999999999999997E-2</v>
      </c>
      <c r="P291" s="695">
        <f t="shared" si="328"/>
        <v>5.0999999999999997E-2</v>
      </c>
      <c r="Q291" s="695">
        <f t="shared" si="328"/>
        <v>5.0999999999999997E-2</v>
      </c>
      <c r="R291" s="695">
        <f t="shared" si="328"/>
        <v>5.0999999999999997E-2</v>
      </c>
      <c r="S291" s="695">
        <f t="shared" si="328"/>
        <v>5.0999999999999997E-2</v>
      </c>
      <c r="T291" s="695">
        <f t="shared" si="328"/>
        <v>5.0999999999999997E-2</v>
      </c>
      <c r="U291" s="695">
        <f t="shared" si="328"/>
        <v>5.0999999999999997E-2</v>
      </c>
      <c r="V291" s="695">
        <f t="shared" si="328"/>
        <v>5.0999999999999997E-2</v>
      </c>
      <c r="W291" s="695">
        <f t="shared" si="328"/>
        <v>5.0999999999999997E-2</v>
      </c>
      <c r="X291" s="695">
        <f t="shared" si="328"/>
        <v>5.0999999999999997E-2</v>
      </c>
      <c r="Y291" s="695">
        <f t="shared" si="328"/>
        <v>5.0999999999999997E-2</v>
      </c>
      <c r="Z291" s="695">
        <f t="shared" si="328"/>
        <v>5.0999999999999997E-2</v>
      </c>
      <c r="AA291" s="695">
        <f t="shared" si="328"/>
        <v>5.0999999999999997E-2</v>
      </c>
      <c r="AB291" s="695">
        <f t="shared" si="328"/>
        <v>5.0999999999999997E-2</v>
      </c>
      <c r="AD291" s="66" t="str">
        <f>IF(COUNTIF($AG$4:$AP$4,AD290)=1,"ok","MISSING")</f>
        <v>ok</v>
      </c>
      <c r="AF291" s="333"/>
      <c r="AV291" s="699" t="str">
        <f t="shared" si="326"/>
        <v>TRAETHM</v>
      </c>
      <c r="AW291" s="567">
        <f t="shared" si="327"/>
        <v>0</v>
      </c>
    </row>
    <row r="292" spans="1:64" s="83" customFormat="1" hidden="1" x14ac:dyDescent="0.3">
      <c r="B292" s="178" t="str">
        <f t="shared" ref="B292:B302" si="329">B291</f>
        <v>TFMEHYG100</v>
      </c>
      <c r="C292" s="178"/>
      <c r="D292" s="179"/>
      <c r="E292" s="178"/>
      <c r="F292" s="182"/>
      <c r="G292" s="324" t="s">
        <v>435</v>
      </c>
      <c r="H292" s="182"/>
      <c r="I292" s="183"/>
      <c r="J292" s="184"/>
      <c r="K292" s="184"/>
      <c r="L292" s="184" t="s">
        <v>1125</v>
      </c>
      <c r="M292" s="184" t="s">
        <v>677</v>
      </c>
      <c r="N292" s="675">
        <f>T_CEFF!H194</f>
        <v>9.2630000000000004E-2</v>
      </c>
      <c r="O292" s="675">
        <f>T_CEFF!I194</f>
        <v>9.2630000000000004E-2</v>
      </c>
      <c r="P292" s="675">
        <f>T_CEFF!J194</f>
        <v>9.2630000000000004E-2</v>
      </c>
      <c r="Q292" s="675">
        <f>T_CEFF!K194</f>
        <v>9.2630000000000004E-2</v>
      </c>
      <c r="R292" s="675">
        <f>T_CEFF!L194</f>
        <v>9.2630000000000004E-2</v>
      </c>
      <c r="S292" s="675">
        <f>T_CEFF!M194</f>
        <v>9.2630000000000004E-2</v>
      </c>
      <c r="T292" s="675">
        <f>T_CEFF!N194</f>
        <v>9.2630000000000004E-2</v>
      </c>
      <c r="U292" s="675">
        <f>T_CEFF!O194</f>
        <v>9.2630000000000004E-2</v>
      </c>
      <c r="V292" s="675">
        <f>T_CEFF!P194</f>
        <v>9.2630000000000004E-2</v>
      </c>
      <c r="W292" s="675">
        <f>T_CEFF!Q194</f>
        <v>9.2630000000000004E-2</v>
      </c>
      <c r="X292" s="675">
        <f>T_CEFF!R194</f>
        <v>9.2630000000000004E-2</v>
      </c>
      <c r="Y292" s="675">
        <f>T_CEFF!S194</f>
        <v>9.2630000000000004E-2</v>
      </c>
      <c r="Z292" s="675">
        <f>T_CEFF!T194</f>
        <v>9.2630000000000004E-2</v>
      </c>
      <c r="AA292" s="675">
        <f>T_CEFF!U194</f>
        <v>9.2630000000000004E-2</v>
      </c>
      <c r="AB292" s="675">
        <f>T_CEFF!V194</f>
        <v>9.2630000000000004E-2</v>
      </c>
      <c r="AV292" s="699" t="str">
        <f t="shared" si="326"/>
        <v/>
      </c>
      <c r="AW292" s="567"/>
    </row>
    <row r="293" spans="1:64" s="83" customFormat="1" hidden="1" x14ac:dyDescent="0.3">
      <c r="B293" s="178" t="str">
        <f t="shared" si="329"/>
        <v>TFMEHYG100</v>
      </c>
      <c r="C293" s="178"/>
      <c r="D293" s="179"/>
      <c r="E293" s="178"/>
      <c r="F293" s="182"/>
      <c r="G293" s="324" t="s">
        <v>433</v>
      </c>
      <c r="H293" s="182"/>
      <c r="I293" s="183"/>
      <c r="J293" s="184"/>
      <c r="K293" s="184"/>
      <c r="L293" s="184" t="s">
        <v>1125</v>
      </c>
      <c r="M293" s="184" t="s">
        <v>677</v>
      </c>
      <c r="N293" s="675">
        <f>T_CEFF!H195</f>
        <v>7.4109999999999995E-2</v>
      </c>
      <c r="O293" s="675">
        <f>T_CEFF!I195</f>
        <v>7.4109999999999995E-2</v>
      </c>
      <c r="P293" s="675">
        <f>T_CEFF!J195</f>
        <v>7.4109999999999995E-2</v>
      </c>
      <c r="Q293" s="675">
        <f>T_CEFF!K195</f>
        <v>7.4109999999999995E-2</v>
      </c>
      <c r="R293" s="675">
        <f>T_CEFF!L195</f>
        <v>7.4109999999999995E-2</v>
      </c>
      <c r="S293" s="675">
        <f>T_CEFF!M195</f>
        <v>7.4109999999999995E-2</v>
      </c>
      <c r="T293" s="675">
        <f>T_CEFF!N195</f>
        <v>7.4109999999999995E-2</v>
      </c>
      <c r="U293" s="675">
        <f>T_CEFF!O195</f>
        <v>7.4109999999999995E-2</v>
      </c>
      <c r="V293" s="675">
        <f>T_CEFF!P195</f>
        <v>7.4109999999999995E-2</v>
      </c>
      <c r="W293" s="675">
        <f>T_CEFF!Q195</f>
        <v>7.4109999999999995E-2</v>
      </c>
      <c r="X293" s="675">
        <f>T_CEFF!R195</f>
        <v>7.4109999999999995E-2</v>
      </c>
      <c r="Y293" s="675">
        <f>T_CEFF!S195</f>
        <v>7.4109999999999995E-2</v>
      </c>
      <c r="Z293" s="675">
        <f>T_CEFF!T195</f>
        <v>7.4109999999999995E-2</v>
      </c>
      <c r="AA293" s="675">
        <f>T_CEFF!U195</f>
        <v>7.4109999999999995E-2</v>
      </c>
      <c r="AB293" s="675">
        <f>T_CEFF!V195</f>
        <v>7.4109999999999995E-2</v>
      </c>
      <c r="AV293" s="699" t="str">
        <f t="shared" ref="AV293:AV294" si="330">MID(E293,1,7)</f>
        <v/>
      </c>
      <c r="AW293" s="567"/>
    </row>
    <row r="294" spans="1:64" s="83" customFormat="1" hidden="1" x14ac:dyDescent="0.3">
      <c r="B294" s="178" t="str">
        <f>B293</f>
        <v>TFMEHYG100</v>
      </c>
      <c r="C294" s="178"/>
      <c r="D294" s="179"/>
      <c r="E294" s="178"/>
      <c r="F294" s="182"/>
      <c r="G294" s="181"/>
      <c r="H294" s="182"/>
      <c r="I294" s="183"/>
      <c r="J294" s="184"/>
      <c r="K294" s="184" t="s">
        <v>748</v>
      </c>
      <c r="L294" s="184" t="s">
        <v>1127</v>
      </c>
      <c r="M294" s="184" t="s">
        <v>1174</v>
      </c>
      <c r="N294" s="388" t="e">
        <f>N$24</f>
        <v>#REF!</v>
      </c>
      <c r="O294" s="388" t="e">
        <f t="shared" ref="O294:AB294" si="331">O$24</f>
        <v>#REF!</v>
      </c>
      <c r="P294" s="388" t="e">
        <f t="shared" si="331"/>
        <v>#REF!</v>
      </c>
      <c r="Q294" s="388" t="e">
        <f t="shared" si="331"/>
        <v>#REF!</v>
      </c>
      <c r="R294" s="388" t="e">
        <f t="shared" si="331"/>
        <v>#REF!</v>
      </c>
      <c r="S294" s="388" t="e">
        <f t="shared" si="331"/>
        <v>#REF!</v>
      </c>
      <c r="T294" s="388" t="e">
        <f t="shared" si="331"/>
        <v>#REF!</v>
      </c>
      <c r="U294" s="388" t="e">
        <f t="shared" si="331"/>
        <v>#REF!</v>
      </c>
      <c r="V294" s="388" t="e">
        <f t="shared" si="331"/>
        <v>#REF!</v>
      </c>
      <c r="W294" s="388" t="e">
        <f t="shared" si="331"/>
        <v>#REF!</v>
      </c>
      <c r="X294" s="388" t="e">
        <f t="shared" si="331"/>
        <v>#REF!</v>
      </c>
      <c r="Y294" s="388" t="e">
        <f t="shared" si="331"/>
        <v>#REF!</v>
      </c>
      <c r="Z294" s="388" t="e">
        <f t="shared" si="331"/>
        <v>#REF!</v>
      </c>
      <c r="AA294" s="388" t="e">
        <f t="shared" si="331"/>
        <v>#REF!</v>
      </c>
      <c r="AB294" s="388" t="e">
        <f t="shared" si="331"/>
        <v>#REF!</v>
      </c>
      <c r="AV294" s="699" t="str">
        <f t="shared" si="330"/>
        <v/>
      </c>
      <c r="AW294" s="567"/>
    </row>
    <row r="295" spans="1:64" s="83" customFormat="1" hidden="1" x14ac:dyDescent="0.3">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1" t="e">
        <f>SUM(AF295:AT295)</f>
        <v>#REF!</v>
      </c>
      <c r="AF295" s="85" t="e">
        <f t="shared" ref="AF295:AT295" si="332">N294*N295*N296/1000</f>
        <v>#REF!</v>
      </c>
      <c r="AG295" s="85" t="e">
        <f t="shared" si="332"/>
        <v>#REF!</v>
      </c>
      <c r="AH295" s="85" t="e">
        <f t="shared" si="332"/>
        <v>#REF!</v>
      </c>
      <c r="AI295" s="85" t="e">
        <f t="shared" si="332"/>
        <v>#REF!</v>
      </c>
      <c r="AJ295" s="85" t="e">
        <f t="shared" si="332"/>
        <v>#REF!</v>
      </c>
      <c r="AK295" s="85" t="e">
        <f t="shared" si="332"/>
        <v>#REF!</v>
      </c>
      <c r="AL295" s="85" t="e">
        <f t="shared" si="332"/>
        <v>#REF!</v>
      </c>
      <c r="AM295" s="85" t="e">
        <f t="shared" si="332"/>
        <v>#REF!</v>
      </c>
      <c r="AN295" s="85" t="e">
        <f t="shared" si="332"/>
        <v>#REF!</v>
      </c>
      <c r="AO295" s="85" t="e">
        <f t="shared" si="332"/>
        <v>#REF!</v>
      </c>
      <c r="AP295" s="85" t="e">
        <f t="shared" si="332"/>
        <v>#REF!</v>
      </c>
      <c r="AQ295" s="85" t="e">
        <f t="shared" si="332"/>
        <v>#REF!</v>
      </c>
      <c r="AR295" s="85" t="e">
        <f t="shared" si="332"/>
        <v>#REF!</v>
      </c>
      <c r="AS295" s="85" t="e">
        <f t="shared" si="332"/>
        <v>#REF!</v>
      </c>
      <c r="AT295" s="85" t="e">
        <f t="shared" si="332"/>
        <v>#REF!</v>
      </c>
    </row>
    <row r="296" spans="1:64" s="83" customFormat="1" hidden="1" x14ac:dyDescent="0.3">
      <c r="B296" s="178" t="str">
        <f>B295</f>
        <v>TFMEHYG100</v>
      </c>
      <c r="C296" s="178"/>
      <c r="D296" s="179"/>
      <c r="E296" s="178"/>
      <c r="F296" s="182"/>
      <c r="G296" s="181"/>
      <c r="H296" s="182"/>
      <c r="I296" s="183">
        <f>$M$3</f>
        <v>2019</v>
      </c>
      <c r="J296" s="184"/>
      <c r="K296" s="184"/>
      <c r="L296" s="203" t="s">
        <v>1064</v>
      </c>
      <c r="M296" s="184" t="s">
        <v>747</v>
      </c>
      <c r="N296" s="693">
        <f>LOOKUP($C$290, T_Stock_Private!$C$106:$C$117, T_Stock_Private!D$106:D$117)*(1+N196)</f>
        <v>0</v>
      </c>
      <c r="O296" s="693">
        <f>LOOKUP($C$290, T_Stock_Private!$C$106:$C$117, T_Stock_Private!E$106:E$117)*(1+O196)</f>
        <v>0</v>
      </c>
      <c r="P296" s="693">
        <f>LOOKUP($C$290, T_Stock_Private!$C$106:$C$117, T_Stock_Private!F$106:F$117)*(1+P196)</f>
        <v>0</v>
      </c>
      <c r="Q296" s="693">
        <f>LOOKUP($C$290, T_Stock_Private!$C$106:$C$117, T_Stock_Private!G$106:G$117)*(1+Q196)</f>
        <v>0</v>
      </c>
      <c r="R296" s="693">
        <f>LOOKUP($C$290, T_Stock_Private!$C$106:$C$117, T_Stock_Private!H$106:H$117)*(1+R196)</f>
        <v>0</v>
      </c>
      <c r="S296" s="693">
        <f>LOOKUP($C$290, T_Stock_Private!$C$106:$C$117, T_Stock_Private!I$106:I$117)*(1+S196)</f>
        <v>0</v>
      </c>
      <c r="T296" s="693">
        <f>LOOKUP($C$290, T_Stock_Private!$C$106:$C$117, T_Stock_Private!J$106:J$117)*(1+T196)</f>
        <v>0</v>
      </c>
      <c r="U296" s="693">
        <f>LOOKUP($C$290, T_Stock_Private!$C$106:$C$117, T_Stock_Private!K$106:K$117)*(1+U196)</f>
        <v>0</v>
      </c>
      <c r="V296" s="693">
        <f>LOOKUP($C$290, T_Stock_Private!$C$106:$C$117, T_Stock_Private!L$106:L$117)*(1+V196)</f>
        <v>0</v>
      </c>
      <c r="W296" s="693">
        <f>LOOKUP($C$290, T_Stock_Private!$C$106:$C$117, T_Stock_Private!M$106:M$117)*(1+W196)</f>
        <v>0</v>
      </c>
      <c r="X296" s="693">
        <f>LOOKUP($C$290, T_Stock_Private!$C$106:$C$117, T_Stock_Private!N$106:N$117)*(1+X196)</f>
        <v>0</v>
      </c>
      <c r="Y296" s="693">
        <f>LOOKUP($C$290, T_Stock_Private!$C$106:$C$117, T_Stock_Private!O$106:O$117)*(1+Y196)</f>
        <v>0</v>
      </c>
      <c r="Z296" s="693">
        <f>LOOKUP($C$290, T_Stock_Private!$C$106:$C$117, T_Stock_Private!P$106:P$117)*(1+Z196)</f>
        <v>0</v>
      </c>
      <c r="AA296" s="693">
        <f>LOOKUP($C$290, T_Stock_Private!$C$106:$C$117, T_Stock_Private!Q$106:Q$117)*(1+AA196)</f>
        <v>0</v>
      </c>
      <c r="AB296" s="693">
        <f>LOOKUP($C$290, T_Stock_Private!$C$106:$C$117, T_Stock_Private!R$106:R$117)*(1+AB196)</f>
        <v>0</v>
      </c>
    </row>
    <row r="297" spans="1:64" s="83" customFormat="1" hidden="1" x14ac:dyDescent="0.3">
      <c r="B297" s="178" t="str">
        <f t="shared" si="329"/>
        <v>TFMEHYG100</v>
      </c>
      <c r="C297" s="178"/>
      <c r="D297" s="179"/>
      <c r="E297" s="178"/>
      <c r="F297" s="182"/>
      <c r="G297" s="181"/>
      <c r="H297" s="182"/>
      <c r="I297" s="183">
        <f>AF$5</f>
        <v>2020</v>
      </c>
      <c r="J297" s="184"/>
      <c r="K297" s="184"/>
      <c r="L297" s="203" t="s">
        <v>1064</v>
      </c>
      <c r="M297" s="184" t="s">
        <v>747</v>
      </c>
      <c r="N297" s="693">
        <f t="shared" ref="N297:AB297" si="333">N296*LOOKUP($AD290,$AG$4:$AP$4,$AG$5:$AP$5)</f>
        <v>0</v>
      </c>
      <c r="O297" s="693">
        <f t="shared" si="333"/>
        <v>0</v>
      </c>
      <c r="P297" s="693">
        <f t="shared" si="333"/>
        <v>0</v>
      </c>
      <c r="Q297" s="693">
        <f t="shared" si="333"/>
        <v>0</v>
      </c>
      <c r="R297" s="693">
        <f t="shared" si="333"/>
        <v>0</v>
      </c>
      <c r="S297" s="693">
        <f t="shared" si="333"/>
        <v>0</v>
      </c>
      <c r="T297" s="693">
        <f t="shared" si="333"/>
        <v>0</v>
      </c>
      <c r="U297" s="693">
        <f t="shared" si="333"/>
        <v>0</v>
      </c>
      <c r="V297" s="693">
        <f t="shared" si="333"/>
        <v>0</v>
      </c>
      <c r="W297" s="693">
        <f t="shared" si="333"/>
        <v>0</v>
      </c>
      <c r="X297" s="693">
        <f t="shared" si="333"/>
        <v>0</v>
      </c>
      <c r="Y297" s="693">
        <f t="shared" si="333"/>
        <v>0</v>
      </c>
      <c r="Z297" s="693">
        <f t="shared" si="333"/>
        <v>0</v>
      </c>
      <c r="AA297" s="693">
        <f t="shared" si="333"/>
        <v>0</v>
      </c>
      <c r="AB297" s="693">
        <f t="shared" si="333"/>
        <v>0</v>
      </c>
    </row>
    <row r="298" spans="1:64" s="83" customFormat="1" hidden="1" x14ac:dyDescent="0.3">
      <c r="B298" s="178" t="str">
        <f t="shared" si="329"/>
        <v>TFMEHYG100</v>
      </c>
      <c r="C298" s="178"/>
      <c r="D298" s="179"/>
      <c r="E298" s="178"/>
      <c r="F298" s="182"/>
      <c r="G298" s="181"/>
      <c r="H298" s="182"/>
      <c r="I298" s="183">
        <f>AF$6</f>
        <v>2025</v>
      </c>
      <c r="J298" s="184"/>
      <c r="K298" s="184"/>
      <c r="L298" s="203" t="s">
        <v>1064</v>
      </c>
      <c r="M298" s="184" t="s">
        <v>747</v>
      </c>
      <c r="N298" s="693">
        <f t="shared" ref="N298:AB298" si="334">N296*LOOKUP($AD290,$AG$4:$AP$4,$AG$6:$AP$6)</f>
        <v>0</v>
      </c>
      <c r="O298" s="693">
        <f t="shared" si="334"/>
        <v>0</v>
      </c>
      <c r="P298" s="693">
        <f t="shared" si="334"/>
        <v>0</v>
      </c>
      <c r="Q298" s="693">
        <f t="shared" si="334"/>
        <v>0</v>
      </c>
      <c r="R298" s="693">
        <f t="shared" si="334"/>
        <v>0</v>
      </c>
      <c r="S298" s="693">
        <f t="shared" si="334"/>
        <v>0</v>
      </c>
      <c r="T298" s="693">
        <f t="shared" si="334"/>
        <v>0</v>
      </c>
      <c r="U298" s="693">
        <f t="shared" si="334"/>
        <v>0</v>
      </c>
      <c r="V298" s="693">
        <f t="shared" si="334"/>
        <v>0</v>
      </c>
      <c r="W298" s="693">
        <f t="shared" si="334"/>
        <v>0</v>
      </c>
      <c r="X298" s="693">
        <f t="shared" si="334"/>
        <v>0</v>
      </c>
      <c r="Y298" s="693">
        <f t="shared" si="334"/>
        <v>0</v>
      </c>
      <c r="Z298" s="693">
        <f t="shared" si="334"/>
        <v>0</v>
      </c>
      <c r="AA298" s="693">
        <f t="shared" si="334"/>
        <v>0</v>
      </c>
      <c r="AB298" s="693">
        <f t="shared" si="334"/>
        <v>0</v>
      </c>
    </row>
    <row r="299" spans="1:64" s="83" customFormat="1" hidden="1" x14ac:dyDescent="0.3">
      <c r="B299" s="178" t="str">
        <f t="shared" si="329"/>
        <v>TFMEHYG100</v>
      </c>
      <c r="C299" s="178"/>
      <c r="D299" s="179"/>
      <c r="E299" s="178"/>
      <c r="F299" s="182"/>
      <c r="G299" s="181"/>
      <c r="H299" s="182"/>
      <c r="I299" s="183">
        <f>AF$7</f>
        <v>2030</v>
      </c>
      <c r="J299" s="184"/>
      <c r="K299" s="184"/>
      <c r="L299" s="203" t="s">
        <v>1064</v>
      </c>
      <c r="M299" s="184" t="s">
        <v>747</v>
      </c>
      <c r="N299" s="693">
        <f t="shared" ref="N299:AB299" si="335">N296*LOOKUP($AD290,$AG$4:$AP$4,$AG$7:$AP$7)</f>
        <v>0</v>
      </c>
      <c r="O299" s="693">
        <f t="shared" si="335"/>
        <v>0</v>
      </c>
      <c r="P299" s="693">
        <f t="shared" si="335"/>
        <v>0</v>
      </c>
      <c r="Q299" s="693">
        <f t="shared" si="335"/>
        <v>0</v>
      </c>
      <c r="R299" s="693">
        <f t="shared" si="335"/>
        <v>0</v>
      </c>
      <c r="S299" s="693">
        <f t="shared" si="335"/>
        <v>0</v>
      </c>
      <c r="T299" s="693">
        <f t="shared" si="335"/>
        <v>0</v>
      </c>
      <c r="U299" s="693">
        <f t="shared" si="335"/>
        <v>0</v>
      </c>
      <c r="V299" s="693">
        <f t="shared" si="335"/>
        <v>0</v>
      </c>
      <c r="W299" s="693">
        <f t="shared" si="335"/>
        <v>0</v>
      </c>
      <c r="X299" s="693">
        <f t="shared" si="335"/>
        <v>0</v>
      </c>
      <c r="Y299" s="693">
        <f t="shared" si="335"/>
        <v>0</v>
      </c>
      <c r="Z299" s="693">
        <f t="shared" si="335"/>
        <v>0</v>
      </c>
      <c r="AA299" s="693">
        <f t="shared" si="335"/>
        <v>0</v>
      </c>
      <c r="AB299" s="693">
        <f t="shared" si="335"/>
        <v>0</v>
      </c>
    </row>
    <row r="300" spans="1:64" s="83" customFormat="1" hidden="1" x14ac:dyDescent="0.3">
      <c r="B300" s="178" t="str">
        <f t="shared" si="329"/>
        <v>TFMEHYG100</v>
      </c>
      <c r="C300" s="178"/>
      <c r="D300" s="179"/>
      <c r="E300" s="178"/>
      <c r="F300" s="182"/>
      <c r="G300" s="181"/>
      <c r="H300" s="182"/>
      <c r="I300" s="183">
        <f>AF$8</f>
        <v>2035</v>
      </c>
      <c r="J300" s="184"/>
      <c r="K300" s="184"/>
      <c r="L300" s="203" t="s">
        <v>1064</v>
      </c>
      <c r="M300" s="184" t="s">
        <v>747</v>
      </c>
      <c r="N300" s="693">
        <f t="shared" ref="N300:AB300" si="336">N296*LOOKUP($AD290,$AG$4:$AP$4,$AG$8:$AP$8)</f>
        <v>0</v>
      </c>
      <c r="O300" s="693">
        <f t="shared" si="336"/>
        <v>0</v>
      </c>
      <c r="P300" s="693">
        <f t="shared" si="336"/>
        <v>0</v>
      </c>
      <c r="Q300" s="693">
        <f t="shared" si="336"/>
        <v>0</v>
      </c>
      <c r="R300" s="693">
        <f t="shared" si="336"/>
        <v>0</v>
      </c>
      <c r="S300" s="693">
        <f t="shared" si="336"/>
        <v>0</v>
      </c>
      <c r="T300" s="693">
        <f t="shared" si="336"/>
        <v>0</v>
      </c>
      <c r="U300" s="693">
        <f t="shared" si="336"/>
        <v>0</v>
      </c>
      <c r="V300" s="693">
        <f t="shared" si="336"/>
        <v>0</v>
      </c>
      <c r="W300" s="693">
        <f t="shared" si="336"/>
        <v>0</v>
      </c>
      <c r="X300" s="693">
        <f t="shared" si="336"/>
        <v>0</v>
      </c>
      <c r="Y300" s="693">
        <f t="shared" si="336"/>
        <v>0</v>
      </c>
      <c r="Z300" s="693">
        <f t="shared" si="336"/>
        <v>0</v>
      </c>
      <c r="AA300" s="693">
        <f t="shared" si="336"/>
        <v>0</v>
      </c>
      <c r="AB300" s="693">
        <f t="shared" si="336"/>
        <v>0</v>
      </c>
    </row>
    <row r="301" spans="1:64" s="83" customFormat="1" hidden="1" x14ac:dyDescent="0.3">
      <c r="B301" s="178" t="str">
        <f t="shared" si="329"/>
        <v>TFMEHYG100</v>
      </c>
      <c r="C301" s="178"/>
      <c r="D301" s="179"/>
      <c r="E301" s="178"/>
      <c r="F301" s="182"/>
      <c r="G301" s="181"/>
      <c r="H301" s="182"/>
      <c r="I301" s="183">
        <f>AF$9</f>
        <v>2040</v>
      </c>
      <c r="J301" s="184"/>
      <c r="K301" s="184"/>
      <c r="L301" s="203" t="s">
        <v>1064</v>
      </c>
      <c r="M301" s="184" t="s">
        <v>747</v>
      </c>
      <c r="N301" s="693">
        <f t="shared" ref="N301:AB301" si="337">N296*LOOKUP($AD290,$AG$4:$AP$4,$AG$9:$AP$9)</f>
        <v>0</v>
      </c>
      <c r="O301" s="693">
        <f t="shared" si="337"/>
        <v>0</v>
      </c>
      <c r="P301" s="693">
        <f t="shared" si="337"/>
        <v>0</v>
      </c>
      <c r="Q301" s="693">
        <f t="shared" si="337"/>
        <v>0</v>
      </c>
      <c r="R301" s="693">
        <f t="shared" si="337"/>
        <v>0</v>
      </c>
      <c r="S301" s="693">
        <f t="shared" si="337"/>
        <v>0</v>
      </c>
      <c r="T301" s="693">
        <f t="shared" si="337"/>
        <v>0</v>
      </c>
      <c r="U301" s="693">
        <f t="shared" si="337"/>
        <v>0</v>
      </c>
      <c r="V301" s="693">
        <f t="shared" si="337"/>
        <v>0</v>
      </c>
      <c r="W301" s="693">
        <f t="shared" si="337"/>
        <v>0</v>
      </c>
      <c r="X301" s="693">
        <f t="shared" si="337"/>
        <v>0</v>
      </c>
      <c r="Y301" s="693">
        <f t="shared" si="337"/>
        <v>0</v>
      </c>
      <c r="Z301" s="693">
        <f t="shared" si="337"/>
        <v>0</v>
      </c>
      <c r="AA301" s="693">
        <f t="shared" si="337"/>
        <v>0</v>
      </c>
      <c r="AB301" s="693">
        <f t="shared" si="337"/>
        <v>0</v>
      </c>
    </row>
    <row r="302" spans="1:64" s="83" customFormat="1" hidden="1" x14ac:dyDescent="0.3">
      <c r="B302" s="204" t="str">
        <f t="shared" si="329"/>
        <v>TFMEHYG100</v>
      </c>
      <c r="C302" s="204"/>
      <c r="D302" s="205"/>
      <c r="E302" s="204"/>
      <c r="F302" s="206"/>
      <c r="G302" s="207"/>
      <c r="H302" s="206"/>
      <c r="I302" s="208">
        <f>AF$10</f>
        <v>2050</v>
      </c>
      <c r="J302" s="209"/>
      <c r="K302" s="209"/>
      <c r="L302" s="210" t="s">
        <v>1064</v>
      </c>
      <c r="M302" s="209" t="s">
        <v>747</v>
      </c>
      <c r="N302" s="694">
        <f t="shared" ref="N302:AB302" si="338">N296*LOOKUP($AD290,$AG$4:$AP$4,$AG$10:$AP$10)</f>
        <v>0</v>
      </c>
      <c r="O302" s="694">
        <f t="shared" si="338"/>
        <v>0</v>
      </c>
      <c r="P302" s="694">
        <f t="shared" si="338"/>
        <v>0</v>
      </c>
      <c r="Q302" s="694">
        <f t="shared" si="338"/>
        <v>0</v>
      </c>
      <c r="R302" s="694">
        <f t="shared" si="338"/>
        <v>0</v>
      </c>
      <c r="S302" s="694">
        <f t="shared" si="338"/>
        <v>0</v>
      </c>
      <c r="T302" s="694">
        <f t="shared" si="338"/>
        <v>0</v>
      </c>
      <c r="U302" s="694">
        <f t="shared" si="338"/>
        <v>0</v>
      </c>
      <c r="V302" s="694">
        <f t="shared" si="338"/>
        <v>0</v>
      </c>
      <c r="W302" s="694">
        <f t="shared" si="338"/>
        <v>0</v>
      </c>
      <c r="X302" s="694">
        <f t="shared" si="338"/>
        <v>0</v>
      </c>
      <c r="Y302" s="694">
        <f t="shared" si="338"/>
        <v>0</v>
      </c>
      <c r="Z302" s="694">
        <f t="shared" si="338"/>
        <v>0</v>
      </c>
      <c r="AA302" s="694">
        <f t="shared" si="338"/>
        <v>0</v>
      </c>
      <c r="AB302" s="694">
        <f t="shared" si="338"/>
        <v>0</v>
      </c>
    </row>
    <row r="303" spans="1:64" s="83" customFormat="1" hidden="1" x14ac:dyDescent="0.3">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699" t="str">
        <f t="shared" ref="AV303:AV305" si="340">MID(E303,1,7)</f>
        <v>TRALPG</v>
      </c>
      <c r="AW303" s="567">
        <f t="shared" ref="AW303" si="341">SUM(AX303:BL303)</f>
        <v>0</v>
      </c>
    </row>
    <row r="304" spans="1:64" hidden="1" x14ac:dyDescent="0.3">
      <c r="A304" s="22"/>
      <c r="B304" s="186" t="str">
        <f t="shared" ref="B304:B314" si="342">B303</f>
        <v>TFMELPG100</v>
      </c>
      <c r="C304" s="186"/>
      <c r="D304" s="187"/>
      <c r="E304" s="186"/>
      <c r="F304" s="170"/>
      <c r="G304" s="324" t="s">
        <v>435</v>
      </c>
      <c r="H304" s="170"/>
      <c r="I304" s="190"/>
      <c r="J304" s="191"/>
      <c r="K304" s="191"/>
      <c r="L304" s="191" t="s">
        <v>1125</v>
      </c>
      <c r="M304" s="191" t="s">
        <v>677</v>
      </c>
      <c r="N304" s="675">
        <f>T_CEFF!H196</f>
        <v>7.3950000000000002E-2</v>
      </c>
      <c r="O304" s="675">
        <f>T_CEFF!I196</f>
        <v>7.3950000000000002E-2</v>
      </c>
      <c r="P304" s="675">
        <f>T_CEFF!J196</f>
        <v>7.3950000000000002E-2</v>
      </c>
      <c r="Q304" s="675">
        <f>T_CEFF!K196</f>
        <v>7.3950000000000002E-2</v>
      </c>
      <c r="R304" s="675">
        <f>T_CEFF!L196</f>
        <v>7.3950000000000002E-2</v>
      </c>
      <c r="S304" s="675">
        <f>T_CEFF!M196</f>
        <v>7.3950000000000002E-2</v>
      </c>
      <c r="T304" s="675">
        <f>T_CEFF!N196</f>
        <v>7.3950000000000002E-2</v>
      </c>
      <c r="U304" s="675">
        <f>T_CEFF!O196</f>
        <v>7.3950000000000002E-2</v>
      </c>
      <c r="V304" s="675">
        <f>T_CEFF!P196</f>
        <v>7.3950000000000002E-2</v>
      </c>
      <c r="W304" s="675">
        <f>T_CEFF!Q196</f>
        <v>7.3950000000000002E-2</v>
      </c>
      <c r="X304" s="675">
        <f>T_CEFF!R196</f>
        <v>7.3950000000000002E-2</v>
      </c>
      <c r="Y304" s="675">
        <f>T_CEFF!S196</f>
        <v>7.3950000000000002E-2</v>
      </c>
      <c r="Z304" s="675">
        <f>T_CEFF!T196</f>
        <v>7.3950000000000002E-2</v>
      </c>
      <c r="AA304" s="675">
        <f>T_CEFF!U196</f>
        <v>7.3950000000000002E-2</v>
      </c>
      <c r="AB304" s="675">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699" t="str">
        <f t="shared" si="340"/>
        <v/>
      </c>
      <c r="AW304" s="567"/>
      <c r="AX304" s="83"/>
      <c r="AY304" s="83"/>
      <c r="AZ304" s="83"/>
      <c r="BA304" s="83"/>
      <c r="BB304" s="83"/>
      <c r="BC304" s="83"/>
      <c r="BD304" s="83"/>
      <c r="BE304" s="83"/>
      <c r="BF304" s="83"/>
      <c r="BG304" s="83"/>
      <c r="BH304" s="83"/>
      <c r="BI304" s="83"/>
      <c r="BJ304" s="83"/>
      <c r="BK304" s="83"/>
      <c r="BL304" s="83"/>
    </row>
    <row r="305" spans="1:64" hidden="1" x14ac:dyDescent="0.3">
      <c r="A305" s="22"/>
      <c r="B305" s="186" t="str">
        <f t="shared" si="342"/>
        <v>TFMELPG100</v>
      </c>
      <c r="C305" s="186"/>
      <c r="D305" s="187"/>
      <c r="E305" s="186"/>
      <c r="F305" s="170"/>
      <c r="G305" s="324" t="s">
        <v>433</v>
      </c>
      <c r="H305" s="170"/>
      <c r="I305" s="190"/>
      <c r="J305" s="191"/>
      <c r="K305" s="191"/>
      <c r="L305" s="191" t="s">
        <v>1125</v>
      </c>
      <c r="M305" s="191" t="s">
        <v>677</v>
      </c>
      <c r="N305" s="675">
        <f>T_CEFF!H197</f>
        <v>5.9159999999999997E-2</v>
      </c>
      <c r="O305" s="675">
        <f>T_CEFF!I197</f>
        <v>5.9159999999999997E-2</v>
      </c>
      <c r="P305" s="675">
        <f>T_CEFF!J197</f>
        <v>5.9159999999999997E-2</v>
      </c>
      <c r="Q305" s="675">
        <f>T_CEFF!K197</f>
        <v>5.9159999999999997E-2</v>
      </c>
      <c r="R305" s="675">
        <f>T_CEFF!L197</f>
        <v>5.9159999999999997E-2</v>
      </c>
      <c r="S305" s="675">
        <f>T_CEFF!M197</f>
        <v>5.9159999999999997E-2</v>
      </c>
      <c r="T305" s="675">
        <f>T_CEFF!N197</f>
        <v>5.9159999999999997E-2</v>
      </c>
      <c r="U305" s="675">
        <f>T_CEFF!O197</f>
        <v>5.9159999999999997E-2</v>
      </c>
      <c r="V305" s="675">
        <f>T_CEFF!P197</f>
        <v>5.9159999999999997E-2</v>
      </c>
      <c r="W305" s="675">
        <f>T_CEFF!Q197</f>
        <v>5.9159999999999997E-2</v>
      </c>
      <c r="X305" s="675">
        <f>T_CEFF!R197</f>
        <v>5.9159999999999997E-2</v>
      </c>
      <c r="Y305" s="675">
        <f>T_CEFF!S197</f>
        <v>5.9159999999999997E-2</v>
      </c>
      <c r="Z305" s="675">
        <f>T_CEFF!T197</f>
        <v>5.9159999999999997E-2</v>
      </c>
      <c r="AA305" s="675">
        <f>T_CEFF!U197</f>
        <v>5.9159999999999997E-2</v>
      </c>
      <c r="AB305" s="675">
        <f>T_CEFF!V197</f>
        <v>5.9159999999999997E-2</v>
      </c>
      <c r="AV305" s="699" t="str">
        <f t="shared" si="340"/>
        <v/>
      </c>
      <c r="AW305" s="567"/>
      <c r="AX305" s="83"/>
      <c r="AY305" s="83"/>
      <c r="AZ305" s="83"/>
      <c r="BA305" s="83"/>
      <c r="BB305" s="83"/>
      <c r="BC305" s="83"/>
      <c r="BD305" s="83"/>
      <c r="BE305" s="83"/>
      <c r="BF305" s="83"/>
      <c r="BG305" s="83"/>
      <c r="BH305" s="83"/>
      <c r="BI305" s="83"/>
      <c r="BJ305" s="83"/>
      <c r="BK305" s="83"/>
      <c r="BL305" s="83"/>
    </row>
    <row r="306" spans="1:64" hidden="1" x14ac:dyDescent="0.3">
      <c r="A306" s="22"/>
      <c r="B306" s="186" t="str">
        <f t="shared" si="342"/>
        <v>TFMELPG100</v>
      </c>
      <c r="C306" s="186"/>
      <c r="D306" s="187"/>
      <c r="E306" s="186"/>
      <c r="F306" s="170"/>
      <c r="G306" s="189"/>
      <c r="H306" s="170"/>
      <c r="I306" s="190"/>
      <c r="J306" s="191"/>
      <c r="K306" s="191" t="s">
        <v>748</v>
      </c>
      <c r="L306" s="191" t="s">
        <v>1127</v>
      </c>
      <c r="M306" s="191" t="s">
        <v>1174</v>
      </c>
      <c r="N306" s="388" t="e">
        <f>N$24</f>
        <v>#REF!</v>
      </c>
      <c r="O306" s="388" t="e">
        <f t="shared" ref="O306:AB306" si="343">O$24</f>
        <v>#REF!</v>
      </c>
      <c r="P306" s="388" t="e">
        <f t="shared" si="343"/>
        <v>#REF!</v>
      </c>
      <c r="Q306" s="388" t="e">
        <f t="shared" si="343"/>
        <v>#REF!</v>
      </c>
      <c r="R306" s="388" t="e">
        <f t="shared" si="343"/>
        <v>#REF!</v>
      </c>
      <c r="S306" s="388" t="e">
        <f t="shared" si="343"/>
        <v>#REF!</v>
      </c>
      <c r="T306" s="388" t="e">
        <f t="shared" si="343"/>
        <v>#REF!</v>
      </c>
      <c r="U306" s="388" t="e">
        <f t="shared" si="343"/>
        <v>#REF!</v>
      </c>
      <c r="V306" s="388" t="e">
        <f t="shared" si="343"/>
        <v>#REF!</v>
      </c>
      <c r="W306" s="388" t="e">
        <f t="shared" si="343"/>
        <v>#REF!</v>
      </c>
      <c r="X306" s="388" t="e">
        <f t="shared" si="343"/>
        <v>#REF!</v>
      </c>
      <c r="Y306" s="388" t="e">
        <f t="shared" si="343"/>
        <v>#REF!</v>
      </c>
      <c r="Z306" s="388" t="e">
        <f t="shared" si="343"/>
        <v>#REF!</v>
      </c>
      <c r="AA306" s="388" t="e">
        <f t="shared" si="343"/>
        <v>#REF!</v>
      </c>
      <c r="AB306" s="388" t="e">
        <f t="shared" si="343"/>
        <v>#REF!</v>
      </c>
      <c r="AV306" s="699" t="str">
        <f t="shared" ref="AV306:AV307" si="344">MID(E306,1,7)</f>
        <v/>
      </c>
      <c r="AW306" s="567"/>
    </row>
    <row r="307" spans="1:64" hidden="1" x14ac:dyDescent="0.3">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1" t="e">
        <f>SUM(AF307:AT307)</f>
        <v>#REF!</v>
      </c>
      <c r="AF307" s="85" t="e">
        <f t="shared" ref="AF307:AT307" si="345">N306*N307*N308/1000</f>
        <v>#REF!</v>
      </c>
      <c r="AG307" s="85" t="e">
        <f t="shared" si="345"/>
        <v>#REF!</v>
      </c>
      <c r="AH307" s="85" t="e">
        <f t="shared" si="345"/>
        <v>#REF!</v>
      </c>
      <c r="AI307" s="85" t="e">
        <f t="shared" si="345"/>
        <v>#REF!</v>
      </c>
      <c r="AJ307" s="85" t="e">
        <f t="shared" si="345"/>
        <v>#REF!</v>
      </c>
      <c r="AK307" s="85" t="e">
        <f t="shared" si="345"/>
        <v>#REF!</v>
      </c>
      <c r="AL307" s="85" t="e">
        <f t="shared" si="345"/>
        <v>#REF!</v>
      </c>
      <c r="AM307" s="85" t="e">
        <f t="shared" si="345"/>
        <v>#REF!</v>
      </c>
      <c r="AN307" s="85" t="e">
        <f t="shared" si="345"/>
        <v>#REF!</v>
      </c>
      <c r="AO307" s="85" t="e">
        <f t="shared" si="345"/>
        <v>#REF!</v>
      </c>
      <c r="AP307" s="85" t="e">
        <f t="shared" si="345"/>
        <v>#REF!</v>
      </c>
      <c r="AQ307" s="85" t="e">
        <f t="shared" si="345"/>
        <v>#REF!</v>
      </c>
      <c r="AR307" s="85" t="e">
        <f t="shared" si="345"/>
        <v>#REF!</v>
      </c>
      <c r="AS307" s="85" t="e">
        <f t="shared" si="345"/>
        <v>#REF!</v>
      </c>
      <c r="AT307" s="85" t="e">
        <f t="shared" si="345"/>
        <v>#REF!</v>
      </c>
      <c r="AV307" s="699" t="str">
        <f t="shared" si="344"/>
        <v/>
      </c>
      <c r="AW307" s="567"/>
    </row>
    <row r="308" spans="1:64" hidden="1" x14ac:dyDescent="0.3">
      <c r="A308" s="22"/>
      <c r="B308" s="186" t="str">
        <f t="shared" si="342"/>
        <v>TFMELPG100</v>
      </c>
      <c r="C308" s="186"/>
      <c r="D308" s="187"/>
      <c r="E308" s="186"/>
      <c r="F308" s="170"/>
      <c r="G308" s="189"/>
      <c r="H308" s="170"/>
      <c r="I308" s="190">
        <f>$M$3</f>
        <v>2019</v>
      </c>
      <c r="J308" s="191"/>
      <c r="K308" s="191"/>
      <c r="L308" s="211" t="s">
        <v>1064</v>
      </c>
      <c r="M308" s="191" t="s">
        <v>747</v>
      </c>
      <c r="N308" s="693">
        <f>LOOKUP($C$303, T_Stock_Private!$C$106:$C$117, T_Stock_Private!D$106:D$117)*(1+N196)</f>
        <v>0</v>
      </c>
      <c r="O308" s="693">
        <f>LOOKUP($C$303, T_Stock_Private!$C$106:$C$117, T_Stock_Private!E$106:E$117)*(1+O196)</f>
        <v>0</v>
      </c>
      <c r="P308" s="693">
        <f>LOOKUP($C$303, T_Stock_Private!$C$106:$C$117, T_Stock_Private!F$106:F$117)*(1+P196)</f>
        <v>0</v>
      </c>
      <c r="Q308" s="693">
        <f>LOOKUP($C$303, T_Stock_Private!$C$106:$C$117, T_Stock_Private!G$106:G$117)*(1+Q196)</f>
        <v>0</v>
      </c>
      <c r="R308" s="693">
        <f>LOOKUP($C$303, T_Stock_Private!$C$106:$C$117, T_Stock_Private!H$106:H$117)*(1+R196)</f>
        <v>0</v>
      </c>
      <c r="S308" s="693">
        <f>LOOKUP($C$303, T_Stock_Private!$C$106:$C$117, T_Stock_Private!I$106:I$117)*(1+S196)</f>
        <v>0</v>
      </c>
      <c r="T308" s="693">
        <f>LOOKUP($C$303, T_Stock_Private!$C$106:$C$117, T_Stock_Private!J$106:J$117)*(1+T196)</f>
        <v>0</v>
      </c>
      <c r="U308" s="693">
        <f>LOOKUP($C$303, T_Stock_Private!$C$106:$C$117, T_Stock_Private!K$106:K$117)*(1+U196)</f>
        <v>0</v>
      </c>
      <c r="V308" s="693">
        <f>LOOKUP($C$303, T_Stock_Private!$C$106:$C$117, T_Stock_Private!L$106:L$117)*(1+V196)</f>
        <v>0</v>
      </c>
      <c r="W308" s="693">
        <f>LOOKUP($C$303, T_Stock_Private!$C$106:$C$117, T_Stock_Private!M$106:M$117)*(1+W196)</f>
        <v>0</v>
      </c>
      <c r="X308" s="693">
        <f>LOOKUP($C$303, T_Stock_Private!$C$106:$C$117, T_Stock_Private!N$106:N$117)*(1+X196)</f>
        <v>0</v>
      </c>
      <c r="Y308" s="693">
        <f>LOOKUP($C$303, T_Stock_Private!$C$106:$C$117, T_Stock_Private!O$106:O$117)*(1+Y196)</f>
        <v>0</v>
      </c>
      <c r="Z308" s="693">
        <f>LOOKUP($C$303, T_Stock_Private!$C$106:$C$117, T_Stock_Private!P$106:P$117)*(1+Z196)</f>
        <v>0</v>
      </c>
      <c r="AA308" s="693">
        <f>LOOKUP($C$303, T_Stock_Private!$C$106:$C$117, T_Stock_Private!Q$106:Q$117)*(1+AA196)</f>
        <v>0</v>
      </c>
      <c r="AB308" s="693">
        <f>LOOKUP($C$303, T_Stock_Private!$C$106:$C$117, T_Stock_Private!R$106:R$117)*(1+AB196)</f>
        <v>0</v>
      </c>
    </row>
    <row r="309" spans="1:64" hidden="1" x14ac:dyDescent="0.3">
      <c r="A309" s="22"/>
      <c r="B309" s="186" t="str">
        <f t="shared" si="342"/>
        <v>TFMELPG100</v>
      </c>
      <c r="C309" s="186"/>
      <c r="D309" s="187"/>
      <c r="E309" s="186"/>
      <c r="F309" s="170"/>
      <c r="G309" s="189"/>
      <c r="H309" s="170"/>
      <c r="I309" s="190">
        <f>AF$5</f>
        <v>2020</v>
      </c>
      <c r="J309" s="191"/>
      <c r="K309" s="191"/>
      <c r="L309" s="211" t="s">
        <v>1064</v>
      </c>
      <c r="M309" s="191" t="s">
        <v>747</v>
      </c>
      <c r="N309" s="693">
        <f t="shared" ref="N309:AB309" si="346">N308*LOOKUP($AD303,$AG$4:$AP$4,$AG$5:$AP$5)</f>
        <v>0</v>
      </c>
      <c r="O309" s="693">
        <f t="shared" si="346"/>
        <v>0</v>
      </c>
      <c r="P309" s="693">
        <f t="shared" si="346"/>
        <v>0</v>
      </c>
      <c r="Q309" s="693">
        <f t="shared" si="346"/>
        <v>0</v>
      </c>
      <c r="R309" s="693">
        <f t="shared" si="346"/>
        <v>0</v>
      </c>
      <c r="S309" s="693">
        <f t="shared" si="346"/>
        <v>0</v>
      </c>
      <c r="T309" s="693">
        <f t="shared" si="346"/>
        <v>0</v>
      </c>
      <c r="U309" s="693">
        <f t="shared" si="346"/>
        <v>0</v>
      </c>
      <c r="V309" s="693">
        <f t="shared" si="346"/>
        <v>0</v>
      </c>
      <c r="W309" s="693">
        <f t="shared" si="346"/>
        <v>0</v>
      </c>
      <c r="X309" s="693">
        <f t="shared" si="346"/>
        <v>0</v>
      </c>
      <c r="Y309" s="693">
        <f t="shared" si="346"/>
        <v>0</v>
      </c>
      <c r="Z309" s="693">
        <f t="shared" si="346"/>
        <v>0</v>
      </c>
      <c r="AA309" s="693">
        <f t="shared" si="346"/>
        <v>0</v>
      </c>
      <c r="AB309" s="693">
        <f t="shared" si="346"/>
        <v>0</v>
      </c>
    </row>
    <row r="310" spans="1:64" hidden="1" x14ac:dyDescent="0.3">
      <c r="A310" s="22"/>
      <c r="B310" s="186" t="str">
        <f t="shared" si="342"/>
        <v>TFMELPG100</v>
      </c>
      <c r="C310" s="186"/>
      <c r="D310" s="187"/>
      <c r="E310" s="186"/>
      <c r="F310" s="170"/>
      <c r="G310" s="189"/>
      <c r="H310" s="170"/>
      <c r="I310" s="190">
        <f>AF$6</f>
        <v>2025</v>
      </c>
      <c r="J310" s="191"/>
      <c r="K310" s="191"/>
      <c r="L310" s="211" t="s">
        <v>1064</v>
      </c>
      <c r="M310" s="191" t="s">
        <v>747</v>
      </c>
      <c r="N310" s="693">
        <f t="shared" ref="N310:AB310" si="347">N308*LOOKUP($AD303,$AG$4:$AP$4,$AG$6:$AP$6)</f>
        <v>0</v>
      </c>
      <c r="O310" s="693">
        <f t="shared" si="347"/>
        <v>0</v>
      </c>
      <c r="P310" s="693">
        <f t="shared" si="347"/>
        <v>0</v>
      </c>
      <c r="Q310" s="693">
        <f t="shared" si="347"/>
        <v>0</v>
      </c>
      <c r="R310" s="693">
        <f t="shared" si="347"/>
        <v>0</v>
      </c>
      <c r="S310" s="693">
        <f t="shared" si="347"/>
        <v>0</v>
      </c>
      <c r="T310" s="693">
        <f t="shared" si="347"/>
        <v>0</v>
      </c>
      <c r="U310" s="693">
        <f t="shared" si="347"/>
        <v>0</v>
      </c>
      <c r="V310" s="693">
        <f t="shared" si="347"/>
        <v>0</v>
      </c>
      <c r="W310" s="693">
        <f t="shared" si="347"/>
        <v>0</v>
      </c>
      <c r="X310" s="693">
        <f t="shared" si="347"/>
        <v>0</v>
      </c>
      <c r="Y310" s="693">
        <f t="shared" si="347"/>
        <v>0</v>
      </c>
      <c r="Z310" s="693">
        <f t="shared" si="347"/>
        <v>0</v>
      </c>
      <c r="AA310" s="693">
        <f t="shared" si="347"/>
        <v>0</v>
      </c>
      <c r="AB310" s="693">
        <f t="shared" si="347"/>
        <v>0</v>
      </c>
    </row>
    <row r="311" spans="1:64" hidden="1" x14ac:dyDescent="0.3">
      <c r="A311" s="22"/>
      <c r="B311" s="186" t="str">
        <f t="shared" si="342"/>
        <v>TFMELPG100</v>
      </c>
      <c r="C311" s="186"/>
      <c r="D311" s="187"/>
      <c r="E311" s="186"/>
      <c r="F311" s="170"/>
      <c r="G311" s="189"/>
      <c r="H311" s="170"/>
      <c r="I311" s="190">
        <f>AF$7</f>
        <v>2030</v>
      </c>
      <c r="J311" s="191"/>
      <c r="K311" s="191"/>
      <c r="L311" s="211" t="s">
        <v>1064</v>
      </c>
      <c r="M311" s="191" t="s">
        <v>747</v>
      </c>
      <c r="N311" s="693">
        <f t="shared" ref="N311:AB311" si="348">N308*LOOKUP($AD303,$AG$4:$AP$4,$AG$7:$AP$7)</f>
        <v>0</v>
      </c>
      <c r="O311" s="693">
        <f t="shared" si="348"/>
        <v>0</v>
      </c>
      <c r="P311" s="693">
        <f t="shared" si="348"/>
        <v>0</v>
      </c>
      <c r="Q311" s="693">
        <f t="shared" si="348"/>
        <v>0</v>
      </c>
      <c r="R311" s="693">
        <f t="shared" si="348"/>
        <v>0</v>
      </c>
      <c r="S311" s="693">
        <f t="shared" si="348"/>
        <v>0</v>
      </c>
      <c r="T311" s="693">
        <f t="shared" si="348"/>
        <v>0</v>
      </c>
      <c r="U311" s="693">
        <f t="shared" si="348"/>
        <v>0</v>
      </c>
      <c r="V311" s="693">
        <f t="shared" si="348"/>
        <v>0</v>
      </c>
      <c r="W311" s="693">
        <f t="shared" si="348"/>
        <v>0</v>
      </c>
      <c r="X311" s="693">
        <f t="shared" si="348"/>
        <v>0</v>
      </c>
      <c r="Y311" s="693">
        <f t="shared" si="348"/>
        <v>0</v>
      </c>
      <c r="Z311" s="693">
        <f t="shared" si="348"/>
        <v>0</v>
      </c>
      <c r="AA311" s="693">
        <f t="shared" si="348"/>
        <v>0</v>
      </c>
      <c r="AB311" s="693">
        <f t="shared" si="348"/>
        <v>0</v>
      </c>
    </row>
    <row r="312" spans="1:64" hidden="1" x14ac:dyDescent="0.3">
      <c r="A312" s="22"/>
      <c r="B312" s="186" t="str">
        <f t="shared" si="342"/>
        <v>TFMELPG100</v>
      </c>
      <c r="C312" s="186"/>
      <c r="D312" s="187"/>
      <c r="E312" s="186"/>
      <c r="F312" s="170"/>
      <c r="G312" s="189"/>
      <c r="H312" s="170"/>
      <c r="I312" s="190">
        <f>AF$8</f>
        <v>2035</v>
      </c>
      <c r="J312" s="191"/>
      <c r="K312" s="191"/>
      <c r="L312" s="211" t="s">
        <v>1064</v>
      </c>
      <c r="M312" s="191" t="s">
        <v>747</v>
      </c>
      <c r="N312" s="693">
        <f t="shared" ref="N312:AB312" si="349">N308*LOOKUP($AD303,$AG$4:$AP$4,$AG$8:$AP$8)</f>
        <v>0</v>
      </c>
      <c r="O312" s="693">
        <f t="shared" si="349"/>
        <v>0</v>
      </c>
      <c r="P312" s="693">
        <f t="shared" si="349"/>
        <v>0</v>
      </c>
      <c r="Q312" s="693">
        <f t="shared" si="349"/>
        <v>0</v>
      </c>
      <c r="R312" s="693">
        <f t="shared" si="349"/>
        <v>0</v>
      </c>
      <c r="S312" s="693">
        <f t="shared" si="349"/>
        <v>0</v>
      </c>
      <c r="T312" s="693">
        <f t="shared" si="349"/>
        <v>0</v>
      </c>
      <c r="U312" s="693">
        <f t="shared" si="349"/>
        <v>0</v>
      </c>
      <c r="V312" s="693">
        <f t="shared" si="349"/>
        <v>0</v>
      </c>
      <c r="W312" s="693">
        <f t="shared" si="349"/>
        <v>0</v>
      </c>
      <c r="X312" s="693">
        <f t="shared" si="349"/>
        <v>0</v>
      </c>
      <c r="Y312" s="693">
        <f t="shared" si="349"/>
        <v>0</v>
      </c>
      <c r="Z312" s="693">
        <f t="shared" si="349"/>
        <v>0</v>
      </c>
      <c r="AA312" s="693">
        <f t="shared" si="349"/>
        <v>0</v>
      </c>
      <c r="AB312" s="693">
        <f t="shared" si="349"/>
        <v>0</v>
      </c>
    </row>
    <row r="313" spans="1:64" hidden="1" x14ac:dyDescent="0.3">
      <c r="A313" s="22"/>
      <c r="B313" s="186" t="str">
        <f t="shared" si="342"/>
        <v>TFMELPG100</v>
      </c>
      <c r="C313" s="186"/>
      <c r="D313" s="187"/>
      <c r="E313" s="186"/>
      <c r="F313" s="170"/>
      <c r="G313" s="189"/>
      <c r="H313" s="170"/>
      <c r="I313" s="190">
        <f>AF$9</f>
        <v>2040</v>
      </c>
      <c r="J313" s="191"/>
      <c r="K313" s="191"/>
      <c r="L313" s="211" t="s">
        <v>1064</v>
      </c>
      <c r="M313" s="191" t="s">
        <v>747</v>
      </c>
      <c r="N313" s="693">
        <f t="shared" ref="N313:AB313" si="350">N308*LOOKUP($AD303,$AG$4:$AP$4,$AG$9:$AP$9)</f>
        <v>0</v>
      </c>
      <c r="O313" s="693">
        <f t="shared" si="350"/>
        <v>0</v>
      </c>
      <c r="P313" s="693">
        <f t="shared" si="350"/>
        <v>0</v>
      </c>
      <c r="Q313" s="693">
        <f t="shared" si="350"/>
        <v>0</v>
      </c>
      <c r="R313" s="693">
        <f t="shared" si="350"/>
        <v>0</v>
      </c>
      <c r="S313" s="693">
        <f t="shared" si="350"/>
        <v>0</v>
      </c>
      <c r="T313" s="693">
        <f t="shared" si="350"/>
        <v>0</v>
      </c>
      <c r="U313" s="693">
        <f t="shared" si="350"/>
        <v>0</v>
      </c>
      <c r="V313" s="693">
        <f t="shared" si="350"/>
        <v>0</v>
      </c>
      <c r="W313" s="693">
        <f t="shared" si="350"/>
        <v>0</v>
      </c>
      <c r="X313" s="693">
        <f t="shared" si="350"/>
        <v>0</v>
      </c>
      <c r="Y313" s="693">
        <f t="shared" si="350"/>
        <v>0</v>
      </c>
      <c r="Z313" s="693">
        <f t="shared" si="350"/>
        <v>0</v>
      </c>
      <c r="AA313" s="693">
        <f t="shared" si="350"/>
        <v>0</v>
      </c>
      <c r="AB313" s="693">
        <f t="shared" si="350"/>
        <v>0</v>
      </c>
    </row>
    <row r="314" spans="1:64" hidden="1" x14ac:dyDescent="0.3">
      <c r="A314" s="22"/>
      <c r="B314" s="193" t="str">
        <f t="shared" si="342"/>
        <v>TFMELPG100</v>
      </c>
      <c r="C314" s="193"/>
      <c r="D314" s="194"/>
      <c r="E314" s="193"/>
      <c r="F314" s="196"/>
      <c r="G314" s="195"/>
      <c r="H314" s="196"/>
      <c r="I314" s="197">
        <f>AF$10</f>
        <v>2050</v>
      </c>
      <c r="J314" s="198"/>
      <c r="K314" s="198"/>
      <c r="L314" s="212" t="s">
        <v>1064</v>
      </c>
      <c r="M314" s="198" t="s">
        <v>747</v>
      </c>
      <c r="N314" s="694">
        <f t="shared" ref="N314:AB314" si="351">N308*LOOKUP($AD303,$AG$4:$AP$4,$AG$10:$AP$10)</f>
        <v>0</v>
      </c>
      <c r="O314" s="694">
        <f t="shared" si="351"/>
        <v>0</v>
      </c>
      <c r="P314" s="694">
        <f t="shared" si="351"/>
        <v>0</v>
      </c>
      <c r="Q314" s="694">
        <f t="shared" si="351"/>
        <v>0</v>
      </c>
      <c r="R314" s="694">
        <f t="shared" si="351"/>
        <v>0</v>
      </c>
      <c r="S314" s="694">
        <f t="shared" si="351"/>
        <v>0</v>
      </c>
      <c r="T314" s="694">
        <f t="shared" si="351"/>
        <v>0</v>
      </c>
      <c r="U314" s="694">
        <f t="shared" si="351"/>
        <v>0</v>
      </c>
      <c r="V314" s="694">
        <f t="shared" si="351"/>
        <v>0</v>
      </c>
      <c r="W314" s="694">
        <f t="shared" si="351"/>
        <v>0</v>
      </c>
      <c r="X314" s="694">
        <f t="shared" si="351"/>
        <v>0</v>
      </c>
      <c r="Y314" s="694">
        <f t="shared" si="351"/>
        <v>0</v>
      </c>
      <c r="Z314" s="694">
        <f t="shared" si="351"/>
        <v>0</v>
      </c>
      <c r="AA314" s="694">
        <f t="shared" si="351"/>
        <v>0</v>
      </c>
      <c r="AB314" s="694">
        <f t="shared" si="351"/>
        <v>0</v>
      </c>
    </row>
    <row r="315" spans="1:64" s="83" customFormat="1" ht="15" hidden="1" customHeight="1" x14ac:dyDescent="0.3">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699" t="str">
        <f t="shared" ref="AV315:AV318" si="353">MID(E315,1,7)</f>
        <v>TRABDL</v>
      </c>
      <c r="AW315" s="567">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hidden="1" x14ac:dyDescent="0.3">
      <c r="A316" s="82"/>
      <c r="B316" s="178" t="str">
        <f>B315</f>
        <v>TFMEPYD100</v>
      </c>
      <c r="C316" s="178"/>
      <c r="D316" s="179"/>
      <c r="E316" s="407" t="s">
        <v>185</v>
      </c>
      <c r="F316" s="182"/>
      <c r="G316" s="181"/>
      <c r="H316" s="182"/>
      <c r="I316" s="183"/>
      <c r="J316" s="184" t="str">
        <f>$J$214</f>
        <v>UP</v>
      </c>
      <c r="K316" s="184"/>
      <c r="L316" s="203" t="s">
        <v>101</v>
      </c>
      <c r="M316" s="184"/>
      <c r="N316" s="390">
        <f>1-N$29-N$28</f>
        <v>0.7669999999999999</v>
      </c>
      <c r="O316" s="390">
        <f t="shared" ref="O316:AB316" si="355">1-O$29-O$28</f>
        <v>0.7669999999999999</v>
      </c>
      <c r="P316" s="390">
        <f t="shared" si="355"/>
        <v>0.7669999999999999</v>
      </c>
      <c r="Q316" s="390">
        <f t="shared" si="355"/>
        <v>0.7669999999999999</v>
      </c>
      <c r="R316" s="390">
        <f t="shared" si="355"/>
        <v>0.7669999999999999</v>
      </c>
      <c r="S316" s="390">
        <f t="shared" si="355"/>
        <v>0.7669999999999999</v>
      </c>
      <c r="T316" s="390">
        <f t="shared" si="355"/>
        <v>0.7669999999999999</v>
      </c>
      <c r="U316" s="390">
        <f t="shared" si="355"/>
        <v>0.7669999999999999</v>
      </c>
      <c r="V316" s="390">
        <f t="shared" si="355"/>
        <v>0.7669999999999999</v>
      </c>
      <c r="W316" s="390">
        <f t="shared" si="355"/>
        <v>0.7669999999999999</v>
      </c>
      <c r="X316" s="390">
        <f t="shared" si="355"/>
        <v>0.7669999999999999</v>
      </c>
      <c r="Y316" s="390">
        <f t="shared" si="355"/>
        <v>0.7669999999999999</v>
      </c>
      <c r="Z316" s="390">
        <f t="shared" si="355"/>
        <v>0.7669999999999999</v>
      </c>
      <c r="AA316" s="390">
        <f t="shared" si="355"/>
        <v>0.7669999999999999</v>
      </c>
      <c r="AB316" s="390">
        <f t="shared" si="355"/>
        <v>0.7669999999999999</v>
      </c>
      <c r="AD316" s="66" t="str">
        <f>IF(COUNTIF($AG$4:$AP$4,AD315)=1,"ok","MISSING")</f>
        <v>ok</v>
      </c>
      <c r="AF316" s="333"/>
      <c r="AV316" s="699" t="str">
        <f t="shared" si="353"/>
        <v>TRADST</v>
      </c>
      <c r="AW316" s="567">
        <f t="shared" si="354"/>
        <v>0</v>
      </c>
      <c r="AX316" s="35"/>
      <c r="AY316" s="35"/>
      <c r="AZ316" s="35"/>
      <c r="BA316" s="35"/>
      <c r="BB316" s="35"/>
      <c r="BC316" s="35"/>
      <c r="BD316" s="35"/>
      <c r="BE316" s="35"/>
      <c r="BF316" s="35"/>
      <c r="BG316" s="35"/>
      <c r="BH316" s="35"/>
      <c r="BI316" s="35"/>
      <c r="BJ316" s="35"/>
      <c r="BK316" s="35"/>
      <c r="BL316" s="35"/>
    </row>
    <row r="317" spans="1:64" s="83" customFormat="1" hidden="1" x14ac:dyDescent="0.3">
      <c r="A317" s="82"/>
      <c r="B317" s="178" t="str">
        <f t="shared" ref="B317" si="356">B316</f>
        <v>TFMEPYD100</v>
      </c>
      <c r="C317" s="178"/>
      <c r="D317" s="179"/>
      <c r="E317" s="407" t="s">
        <v>989</v>
      </c>
      <c r="F317" s="182"/>
      <c r="G317" s="181"/>
      <c r="H317" s="182"/>
      <c r="I317" s="183"/>
      <c r="J317" s="184" t="s">
        <v>1156</v>
      </c>
      <c r="K317" s="184"/>
      <c r="L317" s="203" t="s">
        <v>101</v>
      </c>
      <c r="M317" s="184"/>
      <c r="N317" s="689">
        <f>N$28</f>
        <v>5.8000000000000003E-2</v>
      </c>
      <c r="O317" s="689">
        <f t="shared" ref="O317:AB317" si="357">O$28</f>
        <v>5.8000000000000003E-2</v>
      </c>
      <c r="P317" s="689">
        <f t="shared" si="357"/>
        <v>5.8000000000000003E-2</v>
      </c>
      <c r="Q317" s="689">
        <f t="shared" si="357"/>
        <v>5.8000000000000003E-2</v>
      </c>
      <c r="R317" s="689">
        <f t="shared" si="357"/>
        <v>5.8000000000000003E-2</v>
      </c>
      <c r="S317" s="689">
        <f t="shared" si="357"/>
        <v>5.8000000000000003E-2</v>
      </c>
      <c r="T317" s="689">
        <f t="shared" si="357"/>
        <v>5.8000000000000003E-2</v>
      </c>
      <c r="U317" s="689">
        <f t="shared" si="357"/>
        <v>5.8000000000000003E-2</v>
      </c>
      <c r="V317" s="689">
        <f t="shared" si="357"/>
        <v>5.8000000000000003E-2</v>
      </c>
      <c r="W317" s="689">
        <f t="shared" si="357"/>
        <v>5.8000000000000003E-2</v>
      </c>
      <c r="X317" s="689">
        <f t="shared" si="357"/>
        <v>5.8000000000000003E-2</v>
      </c>
      <c r="Y317" s="689">
        <f t="shared" si="357"/>
        <v>5.8000000000000003E-2</v>
      </c>
      <c r="Z317" s="689">
        <f t="shared" si="357"/>
        <v>5.8000000000000003E-2</v>
      </c>
      <c r="AA317" s="689">
        <f t="shared" si="357"/>
        <v>5.8000000000000003E-2</v>
      </c>
      <c r="AB317" s="689">
        <f t="shared" si="357"/>
        <v>5.8000000000000003E-2</v>
      </c>
      <c r="AD317" s="408"/>
      <c r="AE317" s="357"/>
      <c r="AF317" s="84"/>
      <c r="AG317" s="84"/>
      <c r="AH317" s="84"/>
      <c r="AI317" s="84"/>
      <c r="AJ317" s="84"/>
      <c r="AK317" s="84"/>
      <c r="AL317" s="84"/>
      <c r="AM317" s="84"/>
      <c r="AN317" s="84"/>
      <c r="AO317" s="84"/>
      <c r="AP317" s="84"/>
      <c r="AQ317" s="84"/>
      <c r="AR317" s="84"/>
      <c r="AS317" s="84"/>
      <c r="AT317" s="84"/>
      <c r="AV317" s="699"/>
      <c r="AW317" s="567"/>
      <c r="AX317" s="707"/>
      <c r="AY317" s="35"/>
      <c r="AZ317" s="35"/>
      <c r="BA317" s="35"/>
      <c r="BB317" s="35"/>
      <c r="BC317" s="35"/>
      <c r="BD317" s="35"/>
      <c r="BE317" s="35"/>
      <c r="BF317" s="35"/>
      <c r="BG317" s="35"/>
      <c r="BH317" s="35"/>
      <c r="BI317" s="35"/>
      <c r="BJ317" s="35"/>
      <c r="BK317" s="35"/>
      <c r="BL317" s="35"/>
    </row>
    <row r="318" spans="1:64" s="83" customFormat="1" hidden="1" x14ac:dyDescent="0.3">
      <c r="B318" s="178" t="str">
        <f>B316</f>
        <v>TFMEPYD100</v>
      </c>
      <c r="C318" s="178"/>
      <c r="D318" s="179"/>
      <c r="E318" s="178"/>
      <c r="F318" s="182"/>
      <c r="G318" s="324" t="s">
        <v>435</v>
      </c>
      <c r="H318" s="182"/>
      <c r="I318" s="183"/>
      <c r="J318" s="184"/>
      <c r="K318" s="184"/>
      <c r="L318" s="184" t="s">
        <v>1125</v>
      </c>
      <c r="M318" s="184" t="s">
        <v>677</v>
      </c>
      <c r="N318" s="675">
        <f>T_CEFF!H198</f>
        <v>8.2339999999999997E-2</v>
      </c>
      <c r="O318" s="675">
        <f>T_CEFF!I198</f>
        <v>8.2339999999999997E-2</v>
      </c>
      <c r="P318" s="675">
        <f>T_CEFF!J198</f>
        <v>8.2339999999999997E-2</v>
      </c>
      <c r="Q318" s="675">
        <f>T_CEFF!K198</f>
        <v>8.2339999999999997E-2</v>
      </c>
      <c r="R318" s="675">
        <f>T_CEFF!L198</f>
        <v>8.2339999999999997E-2</v>
      </c>
      <c r="S318" s="675">
        <f>T_CEFF!M198</f>
        <v>8.2339999999999997E-2</v>
      </c>
      <c r="T318" s="675">
        <f>T_CEFF!N198</f>
        <v>8.2339999999999997E-2</v>
      </c>
      <c r="U318" s="675">
        <f>T_CEFF!O198</f>
        <v>8.2339999999999997E-2</v>
      </c>
      <c r="V318" s="675">
        <f>T_CEFF!P198</f>
        <v>8.2339999999999997E-2</v>
      </c>
      <c r="W318" s="675">
        <f>T_CEFF!Q198</f>
        <v>8.2339999999999997E-2</v>
      </c>
      <c r="X318" s="675">
        <f>T_CEFF!R198</f>
        <v>8.2339999999999997E-2</v>
      </c>
      <c r="Y318" s="675">
        <f>T_CEFF!S198</f>
        <v>8.2339999999999997E-2</v>
      </c>
      <c r="Z318" s="675">
        <f>T_CEFF!T198</f>
        <v>8.2339999999999997E-2</v>
      </c>
      <c r="AA318" s="675">
        <f>T_CEFF!U198</f>
        <v>8.2339999999999997E-2</v>
      </c>
      <c r="AB318" s="675">
        <f>T_CEFF!V198</f>
        <v>8.2339999999999997E-2</v>
      </c>
      <c r="AV318" s="699" t="str">
        <f t="shared" si="353"/>
        <v/>
      </c>
      <c r="AW318" s="567"/>
    </row>
    <row r="319" spans="1:64" s="83" customFormat="1" hidden="1" x14ac:dyDescent="0.3">
      <c r="B319" s="178" t="str">
        <f t="shared" ref="B319:B328" si="358">B318</f>
        <v>TFMEPYD100</v>
      </c>
      <c r="C319" s="178"/>
      <c r="D319" s="179"/>
      <c r="E319" s="178"/>
      <c r="F319" s="182"/>
      <c r="G319" s="324" t="s">
        <v>433</v>
      </c>
      <c r="H319" s="182"/>
      <c r="I319" s="183"/>
      <c r="J319" s="184"/>
      <c r="K319" s="184"/>
      <c r="L319" s="184" t="s">
        <v>1125</v>
      </c>
      <c r="M319" s="184" t="s">
        <v>677</v>
      </c>
      <c r="N319" s="675">
        <f>T_CEFF!H199</f>
        <v>6.5869999999999998E-2</v>
      </c>
      <c r="O319" s="675">
        <f>T_CEFF!I199</f>
        <v>6.5869999999999998E-2</v>
      </c>
      <c r="P319" s="675">
        <f>T_CEFF!J199</f>
        <v>6.5869999999999998E-2</v>
      </c>
      <c r="Q319" s="675">
        <f>T_CEFF!K199</f>
        <v>6.5869999999999998E-2</v>
      </c>
      <c r="R319" s="675">
        <f>T_CEFF!L199</f>
        <v>6.5869999999999998E-2</v>
      </c>
      <c r="S319" s="675">
        <f>T_CEFF!M199</f>
        <v>6.5869999999999998E-2</v>
      </c>
      <c r="T319" s="675">
        <f>T_CEFF!N199</f>
        <v>6.5869999999999998E-2</v>
      </c>
      <c r="U319" s="675">
        <f>T_CEFF!O199</f>
        <v>6.5869999999999998E-2</v>
      </c>
      <c r="V319" s="675">
        <f>T_CEFF!P199</f>
        <v>6.5869999999999998E-2</v>
      </c>
      <c r="W319" s="675">
        <f>T_CEFF!Q199</f>
        <v>6.5869999999999998E-2</v>
      </c>
      <c r="X319" s="675">
        <f>T_CEFF!R199</f>
        <v>6.5869999999999998E-2</v>
      </c>
      <c r="Y319" s="675">
        <f>T_CEFF!S199</f>
        <v>6.5869999999999998E-2</v>
      </c>
      <c r="Z319" s="675">
        <f>T_CEFF!T199</f>
        <v>6.5869999999999998E-2</v>
      </c>
      <c r="AA319" s="675">
        <f>T_CEFF!U199</f>
        <v>6.5869999999999998E-2</v>
      </c>
      <c r="AB319" s="675">
        <f>T_CEFF!V199</f>
        <v>6.5869999999999998E-2</v>
      </c>
      <c r="AV319" s="699" t="str">
        <f t="shared" ref="AV319:AV320" si="359">MID(E319,1,7)</f>
        <v/>
      </c>
      <c r="AW319" s="567"/>
    </row>
    <row r="320" spans="1:64" s="83" customFormat="1" hidden="1" x14ac:dyDescent="0.3">
      <c r="B320" s="178" t="str">
        <f>B319</f>
        <v>TFMEPYD100</v>
      </c>
      <c r="C320" s="178"/>
      <c r="D320" s="179"/>
      <c r="E320" s="178"/>
      <c r="F320" s="182"/>
      <c r="G320" s="181"/>
      <c r="H320" s="182"/>
      <c r="I320" s="183"/>
      <c r="J320" s="184"/>
      <c r="K320" s="184" t="s">
        <v>748</v>
      </c>
      <c r="L320" s="184" t="s">
        <v>1127</v>
      </c>
      <c r="M320" s="184" t="s">
        <v>1174</v>
      </c>
      <c r="N320" s="388" t="e">
        <f>N$24</f>
        <v>#REF!</v>
      </c>
      <c r="O320" s="388" t="e">
        <f t="shared" ref="O320:AB320" si="360">O$24</f>
        <v>#REF!</v>
      </c>
      <c r="P320" s="388" t="e">
        <f t="shared" si="360"/>
        <v>#REF!</v>
      </c>
      <c r="Q320" s="388" t="e">
        <f t="shared" si="360"/>
        <v>#REF!</v>
      </c>
      <c r="R320" s="388" t="e">
        <f t="shared" si="360"/>
        <v>#REF!</v>
      </c>
      <c r="S320" s="388" t="e">
        <f t="shared" si="360"/>
        <v>#REF!</v>
      </c>
      <c r="T320" s="388" t="e">
        <f t="shared" si="360"/>
        <v>#REF!</v>
      </c>
      <c r="U320" s="388" t="e">
        <f t="shared" si="360"/>
        <v>#REF!</v>
      </c>
      <c r="V320" s="388" t="e">
        <f t="shared" si="360"/>
        <v>#REF!</v>
      </c>
      <c r="W320" s="388" t="e">
        <f t="shared" si="360"/>
        <v>#REF!</v>
      </c>
      <c r="X320" s="388" t="e">
        <f t="shared" si="360"/>
        <v>#REF!</v>
      </c>
      <c r="Y320" s="388" t="e">
        <f t="shared" si="360"/>
        <v>#REF!</v>
      </c>
      <c r="Z320" s="388" t="e">
        <f t="shared" si="360"/>
        <v>#REF!</v>
      </c>
      <c r="AA320" s="388" t="e">
        <f t="shared" si="360"/>
        <v>#REF!</v>
      </c>
      <c r="AB320" s="388" t="e">
        <f t="shared" si="360"/>
        <v>#REF!</v>
      </c>
      <c r="AV320" s="699" t="str">
        <f t="shared" si="359"/>
        <v/>
      </c>
      <c r="AW320" s="567"/>
    </row>
    <row r="321" spans="1:49" s="83" customFormat="1" hidden="1" x14ac:dyDescent="0.3">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1" t="e">
        <f>SUM(AF321:AT321)</f>
        <v>#REF!</v>
      </c>
      <c r="AF321" s="85" t="e">
        <f t="shared" ref="AF321:AT321" si="361">N320*N321*N322/1000</f>
        <v>#REF!</v>
      </c>
      <c r="AG321" s="85" t="e">
        <f t="shared" si="361"/>
        <v>#REF!</v>
      </c>
      <c r="AH321" s="85" t="e">
        <f t="shared" si="361"/>
        <v>#REF!</v>
      </c>
      <c r="AI321" s="85" t="e">
        <f t="shared" si="361"/>
        <v>#REF!</v>
      </c>
      <c r="AJ321" s="85" t="e">
        <f t="shared" si="361"/>
        <v>#REF!</v>
      </c>
      <c r="AK321" s="85" t="e">
        <f t="shared" si="361"/>
        <v>#REF!</v>
      </c>
      <c r="AL321" s="85" t="e">
        <f t="shared" si="361"/>
        <v>#REF!</v>
      </c>
      <c r="AM321" s="85" t="e">
        <f t="shared" si="361"/>
        <v>#REF!</v>
      </c>
      <c r="AN321" s="85" t="e">
        <f t="shared" si="361"/>
        <v>#REF!</v>
      </c>
      <c r="AO321" s="85" t="e">
        <f t="shared" si="361"/>
        <v>#REF!</v>
      </c>
      <c r="AP321" s="85" t="e">
        <f t="shared" si="361"/>
        <v>#REF!</v>
      </c>
      <c r="AQ321" s="85" t="e">
        <f t="shared" si="361"/>
        <v>#REF!</v>
      </c>
      <c r="AR321" s="85" t="e">
        <f t="shared" si="361"/>
        <v>#REF!</v>
      </c>
      <c r="AS321" s="85" t="e">
        <f t="shared" si="361"/>
        <v>#REF!</v>
      </c>
      <c r="AT321" s="85" t="e">
        <f t="shared" si="361"/>
        <v>#REF!</v>
      </c>
    </row>
    <row r="322" spans="1:49" s="83" customFormat="1" hidden="1" x14ac:dyDescent="0.3">
      <c r="B322" s="178" t="str">
        <f>B321</f>
        <v>TFMEPYD100</v>
      </c>
      <c r="C322" s="178"/>
      <c r="D322" s="179"/>
      <c r="E322" s="178"/>
      <c r="F322" s="182"/>
      <c r="G322" s="181"/>
      <c r="H322" s="182"/>
      <c r="I322" s="183">
        <f>$M$3</f>
        <v>2019</v>
      </c>
      <c r="J322" s="184"/>
      <c r="K322" s="184"/>
      <c r="L322" s="203" t="s">
        <v>1064</v>
      </c>
      <c r="M322" s="184" t="s">
        <v>747</v>
      </c>
      <c r="N322" s="693">
        <f>LOOKUP($C$315, T_Stock_Private!$C$106:$C$117, T_Stock_Private!D$106:D$117)*(1+N196)</f>
        <v>0</v>
      </c>
      <c r="O322" s="693">
        <f>LOOKUP($C$315, T_Stock_Private!$C$106:$C$117, T_Stock_Private!E$106:E$117)*(1+O196)</f>
        <v>0</v>
      </c>
      <c r="P322" s="693">
        <f>LOOKUP($C$315, T_Stock_Private!$C$106:$C$117, T_Stock_Private!F$106:F$117)*(1+P196)</f>
        <v>0</v>
      </c>
      <c r="Q322" s="693">
        <f>LOOKUP($C$315, T_Stock_Private!$C$106:$C$117, T_Stock_Private!G$106:G$117)*(1+Q196)</f>
        <v>0</v>
      </c>
      <c r="R322" s="693">
        <f>LOOKUP($C$315, T_Stock_Private!$C$106:$C$117, T_Stock_Private!H$106:H$117)*(1+R196)</f>
        <v>0</v>
      </c>
      <c r="S322" s="693">
        <f>LOOKUP($C$315, T_Stock_Private!$C$106:$C$117, T_Stock_Private!I$106:I$117)*(1+S196)</f>
        <v>0</v>
      </c>
      <c r="T322" s="693">
        <f>LOOKUP($C$315, T_Stock_Private!$C$106:$C$117, T_Stock_Private!J$106:J$117)*(1+T196)</f>
        <v>0</v>
      </c>
      <c r="U322" s="693">
        <f>LOOKUP($C$315, T_Stock_Private!$C$106:$C$117, T_Stock_Private!K$106:K$117)*(1+U196)</f>
        <v>0</v>
      </c>
      <c r="V322" s="693">
        <f>LOOKUP($C$315, T_Stock_Private!$C$106:$C$117, T_Stock_Private!L$106:L$117)*(1+V196)</f>
        <v>0</v>
      </c>
      <c r="W322" s="693">
        <f>LOOKUP($C$315, T_Stock_Private!$C$106:$C$117, T_Stock_Private!M$106:M$117)*(1+W196)</f>
        <v>0</v>
      </c>
      <c r="X322" s="693">
        <f>LOOKUP($C$315, T_Stock_Private!$C$106:$C$117, T_Stock_Private!N$106:N$117)*(1+X196)</f>
        <v>0</v>
      </c>
      <c r="Y322" s="693">
        <f>LOOKUP($C$315, T_Stock_Private!$C$106:$C$117, T_Stock_Private!O$106:O$117)*(1+Y196)</f>
        <v>0</v>
      </c>
      <c r="Z322" s="693">
        <f>LOOKUP($C$315, T_Stock_Private!$C$106:$C$117, T_Stock_Private!P$106:P$117)*(1+Z196)</f>
        <v>0</v>
      </c>
      <c r="AA322" s="693">
        <f>LOOKUP($C$315, T_Stock_Private!$C$106:$C$117, T_Stock_Private!Q$106:Q$117)*(1+AA196)</f>
        <v>0</v>
      </c>
      <c r="AB322" s="693">
        <f>LOOKUP($C$315, T_Stock_Private!$C$106:$C$117, T_Stock_Private!R$106:R$117)*(1+AB196)</f>
        <v>0</v>
      </c>
    </row>
    <row r="323" spans="1:49" s="83" customFormat="1" hidden="1" x14ac:dyDescent="0.3">
      <c r="B323" s="178" t="str">
        <f t="shared" si="358"/>
        <v>TFMEPYD100</v>
      </c>
      <c r="C323" s="178"/>
      <c r="D323" s="179"/>
      <c r="E323" s="178"/>
      <c r="F323" s="182"/>
      <c r="G323" s="181"/>
      <c r="H323" s="182"/>
      <c r="I323" s="183">
        <f>AF$5</f>
        <v>2020</v>
      </c>
      <c r="J323" s="184"/>
      <c r="K323" s="184"/>
      <c r="L323" s="203" t="s">
        <v>1064</v>
      </c>
      <c r="M323" s="184" t="s">
        <v>747</v>
      </c>
      <c r="N323" s="693">
        <f t="shared" ref="N323:AB323" si="362">N322*LOOKUP($AD315,$AG$4:$AP$4,$AG$5:$AP$5)</f>
        <v>0</v>
      </c>
      <c r="O323" s="693">
        <f t="shared" si="362"/>
        <v>0</v>
      </c>
      <c r="P323" s="693">
        <f t="shared" si="362"/>
        <v>0</v>
      </c>
      <c r="Q323" s="693">
        <f t="shared" si="362"/>
        <v>0</v>
      </c>
      <c r="R323" s="693">
        <f t="shared" si="362"/>
        <v>0</v>
      </c>
      <c r="S323" s="693">
        <f t="shared" si="362"/>
        <v>0</v>
      </c>
      <c r="T323" s="693">
        <f t="shared" si="362"/>
        <v>0</v>
      </c>
      <c r="U323" s="693">
        <f t="shared" si="362"/>
        <v>0</v>
      </c>
      <c r="V323" s="693">
        <f t="shared" si="362"/>
        <v>0</v>
      </c>
      <c r="W323" s="693">
        <f t="shared" si="362"/>
        <v>0</v>
      </c>
      <c r="X323" s="693">
        <f t="shared" si="362"/>
        <v>0</v>
      </c>
      <c r="Y323" s="693">
        <f t="shared" si="362"/>
        <v>0</v>
      </c>
      <c r="Z323" s="693">
        <f t="shared" si="362"/>
        <v>0</v>
      </c>
      <c r="AA323" s="693">
        <f t="shared" si="362"/>
        <v>0</v>
      </c>
      <c r="AB323" s="693">
        <f t="shared" si="362"/>
        <v>0</v>
      </c>
    </row>
    <row r="324" spans="1:49" s="83" customFormat="1" hidden="1" x14ac:dyDescent="0.3">
      <c r="B324" s="178" t="str">
        <f t="shared" si="358"/>
        <v>TFMEPYD100</v>
      </c>
      <c r="C324" s="178"/>
      <c r="D324" s="179"/>
      <c r="E324" s="178"/>
      <c r="F324" s="182"/>
      <c r="G324" s="181"/>
      <c r="H324" s="182"/>
      <c r="I324" s="183">
        <f>AF$6</f>
        <v>2025</v>
      </c>
      <c r="J324" s="184"/>
      <c r="K324" s="184"/>
      <c r="L324" s="203" t="s">
        <v>1064</v>
      </c>
      <c r="M324" s="184" t="s">
        <v>747</v>
      </c>
      <c r="N324" s="693">
        <f t="shared" ref="N324:AB324" si="363">N322*LOOKUP($AD315,$AG$4:$AP$4,$AG$6:$AP$6)</f>
        <v>0</v>
      </c>
      <c r="O324" s="693">
        <f t="shared" si="363"/>
        <v>0</v>
      </c>
      <c r="P324" s="693">
        <f t="shared" si="363"/>
        <v>0</v>
      </c>
      <c r="Q324" s="693">
        <f t="shared" si="363"/>
        <v>0</v>
      </c>
      <c r="R324" s="693">
        <f t="shared" si="363"/>
        <v>0</v>
      </c>
      <c r="S324" s="693">
        <f t="shared" si="363"/>
        <v>0</v>
      </c>
      <c r="T324" s="693">
        <f t="shared" si="363"/>
        <v>0</v>
      </c>
      <c r="U324" s="693">
        <f t="shared" si="363"/>
        <v>0</v>
      </c>
      <c r="V324" s="693">
        <f t="shared" si="363"/>
        <v>0</v>
      </c>
      <c r="W324" s="693">
        <f t="shared" si="363"/>
        <v>0</v>
      </c>
      <c r="X324" s="693">
        <f t="shared" si="363"/>
        <v>0</v>
      </c>
      <c r="Y324" s="693">
        <f t="shared" si="363"/>
        <v>0</v>
      </c>
      <c r="Z324" s="693">
        <f t="shared" si="363"/>
        <v>0</v>
      </c>
      <c r="AA324" s="693">
        <f t="shared" si="363"/>
        <v>0</v>
      </c>
      <c r="AB324" s="693">
        <f t="shared" si="363"/>
        <v>0</v>
      </c>
    </row>
    <row r="325" spans="1:49" s="83" customFormat="1" hidden="1" x14ac:dyDescent="0.3">
      <c r="B325" s="178" t="str">
        <f t="shared" si="358"/>
        <v>TFMEPYD100</v>
      </c>
      <c r="C325" s="178"/>
      <c r="D325" s="179"/>
      <c r="E325" s="178"/>
      <c r="F325" s="182"/>
      <c r="G325" s="181"/>
      <c r="H325" s="182"/>
      <c r="I325" s="183">
        <f>AF$7</f>
        <v>2030</v>
      </c>
      <c r="J325" s="184"/>
      <c r="K325" s="184"/>
      <c r="L325" s="203" t="s">
        <v>1064</v>
      </c>
      <c r="M325" s="184" t="s">
        <v>747</v>
      </c>
      <c r="N325" s="693">
        <f t="shared" ref="N325:AB325" si="364">N322*LOOKUP($AD315,$AG$4:$AP$4,$AG$7:$AP$7)</f>
        <v>0</v>
      </c>
      <c r="O325" s="693">
        <f t="shared" si="364"/>
        <v>0</v>
      </c>
      <c r="P325" s="693">
        <f t="shared" si="364"/>
        <v>0</v>
      </c>
      <c r="Q325" s="693">
        <f t="shared" si="364"/>
        <v>0</v>
      </c>
      <c r="R325" s="693">
        <f t="shared" si="364"/>
        <v>0</v>
      </c>
      <c r="S325" s="693">
        <f t="shared" si="364"/>
        <v>0</v>
      </c>
      <c r="T325" s="693">
        <f t="shared" si="364"/>
        <v>0</v>
      </c>
      <c r="U325" s="693">
        <f t="shared" si="364"/>
        <v>0</v>
      </c>
      <c r="V325" s="693">
        <f t="shared" si="364"/>
        <v>0</v>
      </c>
      <c r="W325" s="693">
        <f t="shared" si="364"/>
        <v>0</v>
      </c>
      <c r="X325" s="693">
        <f t="shared" si="364"/>
        <v>0</v>
      </c>
      <c r="Y325" s="693">
        <f t="shared" si="364"/>
        <v>0</v>
      </c>
      <c r="Z325" s="693">
        <f t="shared" si="364"/>
        <v>0</v>
      </c>
      <c r="AA325" s="693">
        <f t="shared" si="364"/>
        <v>0</v>
      </c>
      <c r="AB325" s="693">
        <f t="shared" si="364"/>
        <v>0</v>
      </c>
    </row>
    <row r="326" spans="1:49" s="83" customFormat="1" hidden="1" x14ac:dyDescent="0.3">
      <c r="B326" s="178" t="str">
        <f t="shared" si="358"/>
        <v>TFMEPYD100</v>
      </c>
      <c r="C326" s="178"/>
      <c r="D326" s="179"/>
      <c r="E326" s="178"/>
      <c r="F326" s="182"/>
      <c r="G326" s="181"/>
      <c r="H326" s="182"/>
      <c r="I326" s="183">
        <f>AF$8</f>
        <v>2035</v>
      </c>
      <c r="J326" s="184"/>
      <c r="K326" s="184"/>
      <c r="L326" s="203" t="s">
        <v>1064</v>
      </c>
      <c r="M326" s="184" t="s">
        <v>747</v>
      </c>
      <c r="N326" s="693">
        <f t="shared" ref="N326:AB326" si="365">N322*LOOKUP($AD315,$AG$4:$AP$4,$AG$8:$AP$8)</f>
        <v>0</v>
      </c>
      <c r="O326" s="693">
        <f t="shared" si="365"/>
        <v>0</v>
      </c>
      <c r="P326" s="693">
        <f t="shared" si="365"/>
        <v>0</v>
      </c>
      <c r="Q326" s="693">
        <f t="shared" si="365"/>
        <v>0</v>
      </c>
      <c r="R326" s="693">
        <f t="shared" si="365"/>
        <v>0</v>
      </c>
      <c r="S326" s="693">
        <f t="shared" si="365"/>
        <v>0</v>
      </c>
      <c r="T326" s="693">
        <f t="shared" si="365"/>
        <v>0</v>
      </c>
      <c r="U326" s="693">
        <f t="shared" si="365"/>
        <v>0</v>
      </c>
      <c r="V326" s="693">
        <f t="shared" si="365"/>
        <v>0</v>
      </c>
      <c r="W326" s="693">
        <f t="shared" si="365"/>
        <v>0</v>
      </c>
      <c r="X326" s="693">
        <f t="shared" si="365"/>
        <v>0</v>
      </c>
      <c r="Y326" s="693">
        <f t="shared" si="365"/>
        <v>0</v>
      </c>
      <c r="Z326" s="693">
        <f t="shared" si="365"/>
        <v>0</v>
      </c>
      <c r="AA326" s="693">
        <f t="shared" si="365"/>
        <v>0</v>
      </c>
      <c r="AB326" s="693">
        <f t="shared" si="365"/>
        <v>0</v>
      </c>
    </row>
    <row r="327" spans="1:49" s="83" customFormat="1" hidden="1" x14ac:dyDescent="0.3">
      <c r="B327" s="178" t="str">
        <f t="shared" si="358"/>
        <v>TFMEPYD100</v>
      </c>
      <c r="C327" s="178"/>
      <c r="D327" s="179"/>
      <c r="E327" s="178"/>
      <c r="F327" s="182"/>
      <c r="G327" s="181"/>
      <c r="H327" s="182"/>
      <c r="I327" s="183">
        <f>AF$9</f>
        <v>2040</v>
      </c>
      <c r="J327" s="184"/>
      <c r="K327" s="184"/>
      <c r="L327" s="203" t="s">
        <v>1064</v>
      </c>
      <c r="M327" s="184" t="s">
        <v>747</v>
      </c>
      <c r="N327" s="693">
        <f t="shared" ref="N327:AB327" si="366">N322*LOOKUP($AD315,$AG$4:$AP$4,$AG$9:$AP$9)</f>
        <v>0</v>
      </c>
      <c r="O327" s="693">
        <f t="shared" si="366"/>
        <v>0</v>
      </c>
      <c r="P327" s="693">
        <f t="shared" si="366"/>
        <v>0</v>
      </c>
      <c r="Q327" s="693">
        <f t="shared" si="366"/>
        <v>0</v>
      </c>
      <c r="R327" s="693">
        <f t="shared" si="366"/>
        <v>0</v>
      </c>
      <c r="S327" s="693">
        <f t="shared" si="366"/>
        <v>0</v>
      </c>
      <c r="T327" s="693">
        <f t="shared" si="366"/>
        <v>0</v>
      </c>
      <c r="U327" s="693">
        <f t="shared" si="366"/>
        <v>0</v>
      </c>
      <c r="V327" s="693">
        <f t="shared" si="366"/>
        <v>0</v>
      </c>
      <c r="W327" s="693">
        <f t="shared" si="366"/>
        <v>0</v>
      </c>
      <c r="X327" s="693">
        <f t="shared" si="366"/>
        <v>0</v>
      </c>
      <c r="Y327" s="693">
        <f t="shared" si="366"/>
        <v>0</v>
      </c>
      <c r="Z327" s="693">
        <f t="shared" si="366"/>
        <v>0</v>
      </c>
      <c r="AA327" s="693">
        <f t="shared" si="366"/>
        <v>0</v>
      </c>
      <c r="AB327" s="693">
        <f t="shared" si="366"/>
        <v>0</v>
      </c>
    </row>
    <row r="328" spans="1:49" s="83" customFormat="1" hidden="1" x14ac:dyDescent="0.3">
      <c r="B328" s="204" t="str">
        <f t="shared" si="358"/>
        <v>TFMEPYD100</v>
      </c>
      <c r="C328" s="204"/>
      <c r="D328" s="205"/>
      <c r="E328" s="204"/>
      <c r="F328" s="206"/>
      <c r="G328" s="207"/>
      <c r="H328" s="206"/>
      <c r="I328" s="208">
        <f>AF$10</f>
        <v>2050</v>
      </c>
      <c r="J328" s="209"/>
      <c r="K328" s="209"/>
      <c r="L328" s="210" t="s">
        <v>1064</v>
      </c>
      <c r="M328" s="209" t="s">
        <v>747</v>
      </c>
      <c r="N328" s="694">
        <f t="shared" ref="N328:AB328" si="367">N322*LOOKUP($AD315,$AG$4:$AP$4,$AG$10:$AP$10)</f>
        <v>0</v>
      </c>
      <c r="O328" s="694">
        <f t="shared" si="367"/>
        <v>0</v>
      </c>
      <c r="P328" s="694">
        <f t="shared" si="367"/>
        <v>0</v>
      </c>
      <c r="Q328" s="694">
        <f t="shared" si="367"/>
        <v>0</v>
      </c>
      <c r="R328" s="694">
        <f t="shared" si="367"/>
        <v>0</v>
      </c>
      <c r="S328" s="694">
        <f t="shared" si="367"/>
        <v>0</v>
      </c>
      <c r="T328" s="694">
        <f t="shared" si="367"/>
        <v>0</v>
      </c>
      <c r="U328" s="694">
        <f t="shared" si="367"/>
        <v>0</v>
      </c>
      <c r="V328" s="694">
        <f t="shared" si="367"/>
        <v>0</v>
      </c>
      <c r="W328" s="694">
        <f t="shared" si="367"/>
        <v>0</v>
      </c>
      <c r="X328" s="694">
        <f t="shared" si="367"/>
        <v>0</v>
      </c>
      <c r="Y328" s="694">
        <f t="shared" si="367"/>
        <v>0</v>
      </c>
      <c r="Z328" s="694">
        <f t="shared" si="367"/>
        <v>0</v>
      </c>
      <c r="AA328" s="694">
        <f t="shared" si="367"/>
        <v>0</v>
      </c>
      <c r="AB328" s="694">
        <f t="shared" si="367"/>
        <v>0</v>
      </c>
    </row>
    <row r="329" spans="1:49" s="83" customFormat="1" ht="15" hidden="1" customHeight="1" x14ac:dyDescent="0.3">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699" t="str">
        <f t="shared" ref="AV329:AV331" si="369">MID(E329,1,7)</f>
        <v>TRAGSL</v>
      </c>
      <c r="AW329" s="567">
        <f t="shared" ref="AW329:AW330" si="370">SUM(AX329:BL329)</f>
        <v>0</v>
      </c>
    </row>
    <row r="330" spans="1:49" s="83" customFormat="1" hidden="1" x14ac:dyDescent="0.3">
      <c r="A330" s="82"/>
      <c r="B330" s="178" t="str">
        <f>B329</f>
        <v>TFMEPYG100</v>
      </c>
      <c r="C330" s="178"/>
      <c r="D330" s="179"/>
      <c r="E330" s="407" t="s">
        <v>1011</v>
      </c>
      <c r="F330" s="182"/>
      <c r="G330" s="181"/>
      <c r="H330" s="182"/>
      <c r="I330" s="183"/>
      <c r="J330" s="184" t="s">
        <v>1126</v>
      </c>
      <c r="K330" s="184"/>
      <c r="L330" s="203" t="s">
        <v>101</v>
      </c>
      <c r="M330" s="184"/>
      <c r="N330" s="390">
        <f>N$30</f>
        <v>5.0999999999999997E-2</v>
      </c>
      <c r="O330" s="390">
        <f t="shared" ref="O330:AB330" si="371">O$30</f>
        <v>5.0999999999999997E-2</v>
      </c>
      <c r="P330" s="390">
        <f t="shared" si="371"/>
        <v>5.0999999999999997E-2</v>
      </c>
      <c r="Q330" s="390">
        <f t="shared" si="371"/>
        <v>5.0999999999999997E-2</v>
      </c>
      <c r="R330" s="390">
        <f t="shared" si="371"/>
        <v>5.0999999999999997E-2</v>
      </c>
      <c r="S330" s="390">
        <f t="shared" si="371"/>
        <v>5.0999999999999997E-2</v>
      </c>
      <c r="T330" s="390">
        <f t="shared" si="371"/>
        <v>5.0999999999999997E-2</v>
      </c>
      <c r="U330" s="390">
        <f t="shared" si="371"/>
        <v>5.0999999999999997E-2</v>
      </c>
      <c r="V330" s="390">
        <f t="shared" si="371"/>
        <v>5.0999999999999997E-2</v>
      </c>
      <c r="W330" s="390">
        <f t="shared" si="371"/>
        <v>5.0999999999999997E-2</v>
      </c>
      <c r="X330" s="390">
        <f t="shared" si="371"/>
        <v>5.0999999999999997E-2</v>
      </c>
      <c r="Y330" s="390">
        <f t="shared" si="371"/>
        <v>5.0999999999999997E-2</v>
      </c>
      <c r="Z330" s="390">
        <f t="shared" si="371"/>
        <v>5.0999999999999997E-2</v>
      </c>
      <c r="AA330" s="390">
        <f t="shared" si="371"/>
        <v>5.0999999999999997E-2</v>
      </c>
      <c r="AB330" s="390">
        <f t="shared" si="371"/>
        <v>5.0999999999999997E-2</v>
      </c>
      <c r="AD330" s="66" t="str">
        <f>IF(COUNTIF($AG$4:$AP$4,AD329)=1,"ok","MISSING")</f>
        <v>ok</v>
      </c>
      <c r="AF330" s="333"/>
      <c r="AV330" s="699" t="str">
        <f t="shared" si="369"/>
        <v>TRAETHM</v>
      </c>
      <c r="AW330" s="567">
        <f t="shared" si="370"/>
        <v>0</v>
      </c>
    </row>
    <row r="331" spans="1:49" s="83" customFormat="1" hidden="1" x14ac:dyDescent="0.3">
      <c r="B331" s="178" t="str">
        <f t="shared" ref="B331:B341" si="372">B330</f>
        <v>TFMEPYG100</v>
      </c>
      <c r="C331" s="178"/>
      <c r="D331" s="179"/>
      <c r="E331" s="178"/>
      <c r="F331" s="182"/>
      <c r="G331" s="324" t="s">
        <v>435</v>
      </c>
      <c r="H331" s="182"/>
      <c r="I331" s="183"/>
      <c r="J331" s="184"/>
      <c r="K331" s="184"/>
      <c r="L331" s="184" t="s">
        <v>1125</v>
      </c>
      <c r="M331" s="184" t="s">
        <v>677</v>
      </c>
      <c r="N331" s="675">
        <f>T_CEFF!H200</f>
        <v>72.727270000000004</v>
      </c>
      <c r="O331" s="675">
        <f>T_CEFF!I200</f>
        <v>72.727270000000004</v>
      </c>
      <c r="P331" s="675">
        <f>T_CEFF!J200</f>
        <v>72.727270000000004</v>
      </c>
      <c r="Q331" s="675">
        <f>T_CEFF!K200</f>
        <v>72.727270000000004</v>
      </c>
      <c r="R331" s="675">
        <f>T_CEFF!L200</f>
        <v>72.727270000000004</v>
      </c>
      <c r="S331" s="675">
        <f>T_CEFF!M200</f>
        <v>72.727270000000004</v>
      </c>
      <c r="T331" s="675">
        <f>T_CEFF!N200</f>
        <v>72.727270000000004</v>
      </c>
      <c r="U331" s="675">
        <f>T_CEFF!O200</f>
        <v>72.727270000000004</v>
      </c>
      <c r="V331" s="675">
        <f>T_CEFF!P200</f>
        <v>72.727270000000004</v>
      </c>
      <c r="W331" s="675">
        <f>T_CEFF!Q200</f>
        <v>72.727270000000004</v>
      </c>
      <c r="X331" s="675">
        <f>T_CEFF!R200</f>
        <v>72.727270000000004</v>
      </c>
      <c r="Y331" s="675">
        <f>T_CEFF!S200</f>
        <v>72.727270000000004</v>
      </c>
      <c r="Z331" s="675">
        <f>T_CEFF!T200</f>
        <v>72.727270000000004</v>
      </c>
      <c r="AA331" s="675">
        <f>T_CEFF!U200</f>
        <v>72.727270000000004</v>
      </c>
      <c r="AB331" s="675">
        <f>T_CEFF!V200</f>
        <v>72.727270000000004</v>
      </c>
      <c r="AV331" s="699" t="str">
        <f t="shared" si="369"/>
        <v/>
      </c>
      <c r="AW331" s="567"/>
    </row>
    <row r="332" spans="1:49" s="83" customFormat="1" hidden="1" x14ac:dyDescent="0.3">
      <c r="B332" s="178" t="str">
        <f t="shared" si="372"/>
        <v>TFMEPYG100</v>
      </c>
      <c r="C332" s="178"/>
      <c r="D332" s="179"/>
      <c r="E332" s="178"/>
      <c r="F332" s="182"/>
      <c r="G332" s="324" t="s">
        <v>433</v>
      </c>
      <c r="H332" s="182"/>
      <c r="I332" s="183"/>
      <c r="J332" s="184"/>
      <c r="K332" s="184"/>
      <c r="L332" s="184" t="s">
        <v>1125</v>
      </c>
      <c r="M332" s="184" t="s">
        <v>677</v>
      </c>
      <c r="N332" s="675">
        <f>T_CEFF!H201</f>
        <v>72.727270000000004</v>
      </c>
      <c r="O332" s="675">
        <f>T_CEFF!I201</f>
        <v>72.727270000000004</v>
      </c>
      <c r="P332" s="675">
        <f>T_CEFF!J201</f>
        <v>72.727270000000004</v>
      </c>
      <c r="Q332" s="675">
        <f>T_CEFF!K201</f>
        <v>72.727270000000004</v>
      </c>
      <c r="R332" s="675">
        <f>T_CEFF!L201</f>
        <v>72.727270000000004</v>
      </c>
      <c r="S332" s="675">
        <f>T_CEFF!M201</f>
        <v>72.727270000000004</v>
      </c>
      <c r="T332" s="675">
        <f>T_CEFF!N201</f>
        <v>72.727270000000004</v>
      </c>
      <c r="U332" s="675">
        <f>T_CEFF!O201</f>
        <v>72.727270000000004</v>
      </c>
      <c r="V332" s="675">
        <f>T_CEFF!P201</f>
        <v>72.727270000000004</v>
      </c>
      <c r="W332" s="675">
        <f>T_CEFF!Q201</f>
        <v>72.727270000000004</v>
      </c>
      <c r="X332" s="675">
        <f>T_CEFF!R201</f>
        <v>72.727270000000004</v>
      </c>
      <c r="Y332" s="675">
        <f>T_CEFF!S201</f>
        <v>72.727270000000004</v>
      </c>
      <c r="Z332" s="675">
        <f>T_CEFF!T201</f>
        <v>72.727270000000004</v>
      </c>
      <c r="AA332" s="675">
        <f>T_CEFF!U201</f>
        <v>72.727270000000004</v>
      </c>
      <c r="AB332" s="675">
        <f>T_CEFF!V201</f>
        <v>72.727270000000004</v>
      </c>
      <c r="AV332" s="699" t="str">
        <f t="shared" ref="AV332:AV333" si="373">MID(E332,1,7)</f>
        <v/>
      </c>
      <c r="AW332" s="567"/>
    </row>
    <row r="333" spans="1:49" s="83" customFormat="1" hidden="1" x14ac:dyDescent="0.3">
      <c r="B333" s="178" t="str">
        <f>B332</f>
        <v>TFMEPYG100</v>
      </c>
      <c r="C333" s="178"/>
      <c r="D333" s="179"/>
      <c r="E333" s="178"/>
      <c r="F333" s="182"/>
      <c r="G333" s="181"/>
      <c r="H333" s="182"/>
      <c r="I333" s="183"/>
      <c r="J333" s="184"/>
      <c r="K333" s="184" t="s">
        <v>748</v>
      </c>
      <c r="L333" s="184" t="s">
        <v>1127</v>
      </c>
      <c r="M333" s="184" t="s">
        <v>1174</v>
      </c>
      <c r="N333" s="388" t="e">
        <f>N$24</f>
        <v>#REF!</v>
      </c>
      <c r="O333" s="388" t="e">
        <f t="shared" ref="O333:AB333" si="374">O$24</f>
        <v>#REF!</v>
      </c>
      <c r="P333" s="388" t="e">
        <f t="shared" si="374"/>
        <v>#REF!</v>
      </c>
      <c r="Q333" s="388" t="e">
        <f t="shared" si="374"/>
        <v>#REF!</v>
      </c>
      <c r="R333" s="388" t="e">
        <f t="shared" si="374"/>
        <v>#REF!</v>
      </c>
      <c r="S333" s="388" t="e">
        <f t="shared" si="374"/>
        <v>#REF!</v>
      </c>
      <c r="T333" s="388" t="e">
        <f t="shared" si="374"/>
        <v>#REF!</v>
      </c>
      <c r="U333" s="388" t="e">
        <f t="shared" si="374"/>
        <v>#REF!</v>
      </c>
      <c r="V333" s="388" t="e">
        <f t="shared" si="374"/>
        <v>#REF!</v>
      </c>
      <c r="W333" s="388" t="e">
        <f t="shared" si="374"/>
        <v>#REF!</v>
      </c>
      <c r="X333" s="388" t="e">
        <f t="shared" si="374"/>
        <v>#REF!</v>
      </c>
      <c r="Y333" s="388" t="e">
        <f t="shared" si="374"/>
        <v>#REF!</v>
      </c>
      <c r="Z333" s="388" t="e">
        <f t="shared" si="374"/>
        <v>#REF!</v>
      </c>
      <c r="AA333" s="388" t="e">
        <f t="shared" si="374"/>
        <v>#REF!</v>
      </c>
      <c r="AB333" s="388" t="e">
        <f t="shared" si="374"/>
        <v>#REF!</v>
      </c>
      <c r="AV333" s="699" t="str">
        <f t="shared" si="373"/>
        <v/>
      </c>
      <c r="AW333" s="567"/>
    </row>
    <row r="334" spans="1:49" s="83" customFormat="1" hidden="1" x14ac:dyDescent="0.3">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1" t="e">
        <f>SUM(AF334:AT334)</f>
        <v>#REF!</v>
      </c>
      <c r="AF334" s="85" t="e">
        <f t="shared" ref="AF334:AT334" si="375">N333*N334*N335/1000</f>
        <v>#REF!</v>
      </c>
      <c r="AG334" s="85" t="e">
        <f t="shared" si="375"/>
        <v>#REF!</v>
      </c>
      <c r="AH334" s="85" t="e">
        <f t="shared" si="375"/>
        <v>#REF!</v>
      </c>
      <c r="AI334" s="85" t="e">
        <f t="shared" si="375"/>
        <v>#REF!</v>
      </c>
      <c r="AJ334" s="85" t="e">
        <f t="shared" si="375"/>
        <v>#REF!</v>
      </c>
      <c r="AK334" s="85" t="e">
        <f t="shared" si="375"/>
        <v>#REF!</v>
      </c>
      <c r="AL334" s="85" t="e">
        <f t="shared" si="375"/>
        <v>#REF!</v>
      </c>
      <c r="AM334" s="85" t="e">
        <f t="shared" si="375"/>
        <v>#REF!</v>
      </c>
      <c r="AN334" s="85" t="e">
        <f t="shared" si="375"/>
        <v>#REF!</v>
      </c>
      <c r="AO334" s="85" t="e">
        <f t="shared" si="375"/>
        <v>#REF!</v>
      </c>
      <c r="AP334" s="85" t="e">
        <f t="shared" si="375"/>
        <v>#REF!</v>
      </c>
      <c r="AQ334" s="85" t="e">
        <f t="shared" si="375"/>
        <v>#REF!</v>
      </c>
      <c r="AR334" s="85" t="e">
        <f t="shared" si="375"/>
        <v>#REF!</v>
      </c>
      <c r="AS334" s="85" t="e">
        <f t="shared" si="375"/>
        <v>#REF!</v>
      </c>
      <c r="AT334" s="85" t="e">
        <f t="shared" si="375"/>
        <v>#REF!</v>
      </c>
    </row>
    <row r="335" spans="1:49" s="83" customFormat="1" hidden="1" x14ac:dyDescent="0.3">
      <c r="B335" s="178" t="str">
        <f>B334</f>
        <v>TFMEPYG100</v>
      </c>
      <c r="C335" s="178"/>
      <c r="D335" s="179"/>
      <c r="E335" s="178"/>
      <c r="F335" s="182"/>
      <c r="G335" s="181"/>
      <c r="H335" s="182"/>
      <c r="I335" s="183">
        <f>$M$3</f>
        <v>2019</v>
      </c>
      <c r="J335" s="184"/>
      <c r="K335" s="184"/>
      <c r="L335" s="203" t="s">
        <v>1064</v>
      </c>
      <c r="M335" s="184" t="s">
        <v>747</v>
      </c>
      <c r="N335" s="693">
        <f>LOOKUP($C$329, T_Stock_Private!$C$106:$C$117, T_Stock_Private!D$106:D$117)*(1+N196)</f>
        <v>0</v>
      </c>
      <c r="O335" s="693">
        <f>LOOKUP($C$329, T_Stock_Private!$C$106:$C$117, T_Stock_Private!E$106:E$117)*(1+O196)</f>
        <v>0</v>
      </c>
      <c r="P335" s="693">
        <f>LOOKUP($C$329, T_Stock_Private!$C$106:$C$117, T_Stock_Private!F$106:F$117)*(1+P196)</f>
        <v>0</v>
      </c>
      <c r="Q335" s="693">
        <f>LOOKUP($C$329, T_Stock_Private!$C$106:$C$117, T_Stock_Private!G$106:G$117)*(1+Q196)</f>
        <v>0</v>
      </c>
      <c r="R335" s="693">
        <f>LOOKUP($C$329, T_Stock_Private!$C$106:$C$117, T_Stock_Private!H$106:H$117)*(1+R196)</f>
        <v>0</v>
      </c>
      <c r="S335" s="693">
        <f>LOOKUP($C$329, T_Stock_Private!$C$106:$C$117, T_Stock_Private!I$106:I$117)*(1+S196)</f>
        <v>0</v>
      </c>
      <c r="T335" s="693">
        <f>LOOKUP($C$329, T_Stock_Private!$C$106:$C$117, T_Stock_Private!J$106:J$117)*(1+T196)</f>
        <v>0</v>
      </c>
      <c r="U335" s="693">
        <f>LOOKUP($C$329, T_Stock_Private!$C$106:$C$117, T_Stock_Private!K$106:K$117)*(1+U196)</f>
        <v>0</v>
      </c>
      <c r="V335" s="693">
        <f>LOOKUP($C$329, T_Stock_Private!$C$106:$C$117, T_Stock_Private!L$106:L$117)*(1+V196)</f>
        <v>0</v>
      </c>
      <c r="W335" s="693">
        <f>LOOKUP($C$329, T_Stock_Private!$C$106:$C$117, T_Stock_Private!M$106:M$117)*(1+W196)</f>
        <v>0</v>
      </c>
      <c r="X335" s="693">
        <f>LOOKUP($C$329, T_Stock_Private!$C$106:$C$117, T_Stock_Private!N$106:N$117)*(1+X196)</f>
        <v>0</v>
      </c>
      <c r="Y335" s="693">
        <f>LOOKUP($C$329, T_Stock_Private!$C$106:$C$117, T_Stock_Private!O$106:O$117)*(1+Y196)</f>
        <v>0</v>
      </c>
      <c r="Z335" s="693">
        <f>LOOKUP($C$329, T_Stock_Private!$C$106:$C$117, T_Stock_Private!P$106:P$117)*(1+Z196)</f>
        <v>0</v>
      </c>
      <c r="AA335" s="693">
        <f>LOOKUP($C$329, T_Stock_Private!$C$106:$C$117, T_Stock_Private!Q$106:Q$117)*(1+AA196)</f>
        <v>0</v>
      </c>
      <c r="AB335" s="693">
        <f>LOOKUP($C$329, T_Stock_Private!$C$106:$C$117, T_Stock_Private!R$106:R$117)*(1+AB196)</f>
        <v>0</v>
      </c>
    </row>
    <row r="336" spans="1:49" s="83" customFormat="1" hidden="1" x14ac:dyDescent="0.3">
      <c r="B336" s="178" t="str">
        <f t="shared" si="372"/>
        <v>TFMEPYG100</v>
      </c>
      <c r="C336" s="178"/>
      <c r="D336" s="179"/>
      <c r="E336" s="178"/>
      <c r="F336" s="182"/>
      <c r="G336" s="181"/>
      <c r="H336" s="182"/>
      <c r="I336" s="183">
        <f>AF$5</f>
        <v>2020</v>
      </c>
      <c r="J336" s="184"/>
      <c r="K336" s="184"/>
      <c r="L336" s="203" t="s">
        <v>1064</v>
      </c>
      <c r="M336" s="184" t="s">
        <v>747</v>
      </c>
      <c r="N336" s="693">
        <f t="shared" ref="N336:AB336" si="376">N335*LOOKUP($AD329,$AG$4:$AP$4,$AG$5:$AP$5)</f>
        <v>0</v>
      </c>
      <c r="O336" s="693">
        <f t="shared" si="376"/>
        <v>0</v>
      </c>
      <c r="P336" s="693">
        <f t="shared" si="376"/>
        <v>0</v>
      </c>
      <c r="Q336" s="693">
        <f t="shared" si="376"/>
        <v>0</v>
      </c>
      <c r="R336" s="693">
        <f t="shared" si="376"/>
        <v>0</v>
      </c>
      <c r="S336" s="693">
        <f t="shared" si="376"/>
        <v>0</v>
      </c>
      <c r="T336" s="693">
        <f t="shared" si="376"/>
        <v>0</v>
      </c>
      <c r="U336" s="693">
        <f t="shared" si="376"/>
        <v>0</v>
      </c>
      <c r="V336" s="693">
        <f t="shared" si="376"/>
        <v>0</v>
      </c>
      <c r="W336" s="693">
        <f t="shared" si="376"/>
        <v>0</v>
      </c>
      <c r="X336" s="693">
        <f t="shared" si="376"/>
        <v>0</v>
      </c>
      <c r="Y336" s="693">
        <f t="shared" si="376"/>
        <v>0</v>
      </c>
      <c r="Z336" s="693">
        <f t="shared" si="376"/>
        <v>0</v>
      </c>
      <c r="AA336" s="693">
        <f t="shared" si="376"/>
        <v>0</v>
      </c>
      <c r="AB336" s="693">
        <f t="shared" si="376"/>
        <v>0</v>
      </c>
    </row>
    <row r="337" spans="1:64" s="83" customFormat="1" hidden="1" x14ac:dyDescent="0.3">
      <c r="B337" s="178" t="str">
        <f t="shared" si="372"/>
        <v>TFMEPYG100</v>
      </c>
      <c r="C337" s="178"/>
      <c r="D337" s="179"/>
      <c r="E337" s="178"/>
      <c r="F337" s="182"/>
      <c r="G337" s="181"/>
      <c r="H337" s="182"/>
      <c r="I337" s="183">
        <f>AF$6</f>
        <v>2025</v>
      </c>
      <c r="J337" s="184"/>
      <c r="K337" s="184"/>
      <c r="L337" s="203" t="s">
        <v>1064</v>
      </c>
      <c r="M337" s="184" t="s">
        <v>747</v>
      </c>
      <c r="N337" s="693">
        <f t="shared" ref="N337:AB337" si="377">N335*LOOKUP($AD329,$AG$4:$AP$4,$AG$6:$AP$6)</f>
        <v>0</v>
      </c>
      <c r="O337" s="693">
        <f t="shared" si="377"/>
        <v>0</v>
      </c>
      <c r="P337" s="693">
        <f t="shared" si="377"/>
        <v>0</v>
      </c>
      <c r="Q337" s="693">
        <f t="shared" si="377"/>
        <v>0</v>
      </c>
      <c r="R337" s="693">
        <f t="shared" si="377"/>
        <v>0</v>
      </c>
      <c r="S337" s="693">
        <f t="shared" si="377"/>
        <v>0</v>
      </c>
      <c r="T337" s="693">
        <f t="shared" si="377"/>
        <v>0</v>
      </c>
      <c r="U337" s="693">
        <f t="shared" si="377"/>
        <v>0</v>
      </c>
      <c r="V337" s="693">
        <f t="shared" si="377"/>
        <v>0</v>
      </c>
      <c r="W337" s="693">
        <f t="shared" si="377"/>
        <v>0</v>
      </c>
      <c r="X337" s="693">
        <f t="shared" si="377"/>
        <v>0</v>
      </c>
      <c r="Y337" s="693">
        <f t="shared" si="377"/>
        <v>0</v>
      </c>
      <c r="Z337" s="693">
        <f t="shared" si="377"/>
        <v>0</v>
      </c>
      <c r="AA337" s="693">
        <f t="shared" si="377"/>
        <v>0</v>
      </c>
      <c r="AB337" s="693">
        <f t="shared" si="377"/>
        <v>0</v>
      </c>
    </row>
    <row r="338" spans="1:64" s="83" customFormat="1" hidden="1" x14ac:dyDescent="0.3">
      <c r="B338" s="178" t="str">
        <f t="shared" si="372"/>
        <v>TFMEPYG100</v>
      </c>
      <c r="C338" s="178"/>
      <c r="D338" s="179"/>
      <c r="E338" s="178"/>
      <c r="F338" s="182"/>
      <c r="G338" s="181"/>
      <c r="H338" s="182"/>
      <c r="I338" s="183">
        <f>AF$7</f>
        <v>2030</v>
      </c>
      <c r="J338" s="184"/>
      <c r="K338" s="184"/>
      <c r="L338" s="203" t="s">
        <v>1064</v>
      </c>
      <c r="M338" s="184" t="s">
        <v>747</v>
      </c>
      <c r="N338" s="693">
        <f t="shared" ref="N338:AB338" si="378">N335*LOOKUP($AD329,$AG$4:$AP$4,$AG$7:$AP$7)</f>
        <v>0</v>
      </c>
      <c r="O338" s="693">
        <f t="shared" si="378"/>
        <v>0</v>
      </c>
      <c r="P338" s="693">
        <f t="shared" si="378"/>
        <v>0</v>
      </c>
      <c r="Q338" s="693">
        <f t="shared" si="378"/>
        <v>0</v>
      </c>
      <c r="R338" s="693">
        <f t="shared" si="378"/>
        <v>0</v>
      </c>
      <c r="S338" s="693">
        <f t="shared" si="378"/>
        <v>0</v>
      </c>
      <c r="T338" s="693">
        <f t="shared" si="378"/>
        <v>0</v>
      </c>
      <c r="U338" s="693">
        <f t="shared" si="378"/>
        <v>0</v>
      </c>
      <c r="V338" s="693">
        <f t="shared" si="378"/>
        <v>0</v>
      </c>
      <c r="W338" s="693">
        <f t="shared" si="378"/>
        <v>0</v>
      </c>
      <c r="X338" s="693">
        <f t="shared" si="378"/>
        <v>0</v>
      </c>
      <c r="Y338" s="693">
        <f t="shared" si="378"/>
        <v>0</v>
      </c>
      <c r="Z338" s="693">
        <f t="shared" si="378"/>
        <v>0</v>
      </c>
      <c r="AA338" s="693">
        <f t="shared" si="378"/>
        <v>0</v>
      </c>
      <c r="AB338" s="693">
        <f t="shared" si="378"/>
        <v>0</v>
      </c>
    </row>
    <row r="339" spans="1:64" s="83" customFormat="1" hidden="1" x14ac:dyDescent="0.3">
      <c r="B339" s="178" t="str">
        <f t="shared" si="372"/>
        <v>TFMEPYG100</v>
      </c>
      <c r="C339" s="178"/>
      <c r="D339" s="179"/>
      <c r="E339" s="178"/>
      <c r="F339" s="182"/>
      <c r="G339" s="181"/>
      <c r="H339" s="182"/>
      <c r="I339" s="183">
        <f>AF$8</f>
        <v>2035</v>
      </c>
      <c r="J339" s="184"/>
      <c r="K339" s="184"/>
      <c r="L339" s="203" t="s">
        <v>1064</v>
      </c>
      <c r="M339" s="184" t="s">
        <v>747</v>
      </c>
      <c r="N339" s="693">
        <f t="shared" ref="N339:AB339" si="379">N335*LOOKUP($AD329,$AG$4:$AP$4,$AG$8:$AP$8)</f>
        <v>0</v>
      </c>
      <c r="O339" s="693">
        <f t="shared" si="379"/>
        <v>0</v>
      </c>
      <c r="P339" s="693">
        <f t="shared" si="379"/>
        <v>0</v>
      </c>
      <c r="Q339" s="693">
        <f t="shared" si="379"/>
        <v>0</v>
      </c>
      <c r="R339" s="693">
        <f t="shared" si="379"/>
        <v>0</v>
      </c>
      <c r="S339" s="693">
        <f t="shared" si="379"/>
        <v>0</v>
      </c>
      <c r="T339" s="693">
        <f t="shared" si="379"/>
        <v>0</v>
      </c>
      <c r="U339" s="693">
        <f t="shared" si="379"/>
        <v>0</v>
      </c>
      <c r="V339" s="693">
        <f t="shared" si="379"/>
        <v>0</v>
      </c>
      <c r="W339" s="693">
        <f t="shared" si="379"/>
        <v>0</v>
      </c>
      <c r="X339" s="693">
        <f t="shared" si="379"/>
        <v>0</v>
      </c>
      <c r="Y339" s="693">
        <f t="shared" si="379"/>
        <v>0</v>
      </c>
      <c r="Z339" s="693">
        <f t="shared" si="379"/>
        <v>0</v>
      </c>
      <c r="AA339" s="693">
        <f t="shared" si="379"/>
        <v>0</v>
      </c>
      <c r="AB339" s="693">
        <f t="shared" si="379"/>
        <v>0</v>
      </c>
    </row>
    <row r="340" spans="1:64" s="83" customFormat="1" hidden="1" x14ac:dyDescent="0.3">
      <c r="B340" s="178" t="str">
        <f t="shared" si="372"/>
        <v>TFMEPYG100</v>
      </c>
      <c r="C340" s="178"/>
      <c r="D340" s="179"/>
      <c r="E340" s="178"/>
      <c r="F340" s="182"/>
      <c r="G340" s="181"/>
      <c r="H340" s="182"/>
      <c r="I340" s="183">
        <f>AF$9</f>
        <v>2040</v>
      </c>
      <c r="J340" s="184"/>
      <c r="K340" s="184"/>
      <c r="L340" s="203" t="s">
        <v>1064</v>
      </c>
      <c r="M340" s="184" t="s">
        <v>747</v>
      </c>
      <c r="N340" s="693">
        <f t="shared" ref="N340:AB340" si="380">N335*LOOKUP($AD329,$AG$4:$AP$4,$AG$9:$AP$9)</f>
        <v>0</v>
      </c>
      <c r="O340" s="693">
        <f t="shared" si="380"/>
        <v>0</v>
      </c>
      <c r="P340" s="693">
        <f t="shared" si="380"/>
        <v>0</v>
      </c>
      <c r="Q340" s="693">
        <f t="shared" si="380"/>
        <v>0</v>
      </c>
      <c r="R340" s="693">
        <f t="shared" si="380"/>
        <v>0</v>
      </c>
      <c r="S340" s="693">
        <f t="shared" si="380"/>
        <v>0</v>
      </c>
      <c r="T340" s="693">
        <f t="shared" si="380"/>
        <v>0</v>
      </c>
      <c r="U340" s="693">
        <f t="shared" si="380"/>
        <v>0</v>
      </c>
      <c r="V340" s="693">
        <f t="shared" si="380"/>
        <v>0</v>
      </c>
      <c r="W340" s="693">
        <f t="shared" si="380"/>
        <v>0</v>
      </c>
      <c r="X340" s="693">
        <f t="shared" si="380"/>
        <v>0</v>
      </c>
      <c r="Y340" s="693">
        <f t="shared" si="380"/>
        <v>0</v>
      </c>
      <c r="Z340" s="693">
        <f t="shared" si="380"/>
        <v>0</v>
      </c>
      <c r="AA340" s="693">
        <f t="shared" si="380"/>
        <v>0</v>
      </c>
      <c r="AB340" s="693">
        <f t="shared" si="380"/>
        <v>0</v>
      </c>
    </row>
    <row r="341" spans="1:64" s="83" customFormat="1" hidden="1" x14ac:dyDescent="0.3">
      <c r="B341" s="204" t="str">
        <f t="shared" si="372"/>
        <v>TFMEPYG100</v>
      </c>
      <c r="C341" s="204"/>
      <c r="D341" s="205"/>
      <c r="E341" s="204"/>
      <c r="F341" s="206"/>
      <c r="G341" s="207"/>
      <c r="H341" s="206"/>
      <c r="I341" s="208">
        <f>AF$10</f>
        <v>2050</v>
      </c>
      <c r="J341" s="209"/>
      <c r="K341" s="209"/>
      <c r="L341" s="210" t="s">
        <v>1064</v>
      </c>
      <c r="M341" s="209" t="s">
        <v>747</v>
      </c>
      <c r="N341" s="694">
        <f t="shared" ref="N341:AB341" si="381">N335*LOOKUP($AD329,$AG$4:$AP$4,$AG$10:$AP$10)</f>
        <v>0</v>
      </c>
      <c r="O341" s="694">
        <f t="shared" si="381"/>
        <v>0</v>
      </c>
      <c r="P341" s="694">
        <f t="shared" si="381"/>
        <v>0</v>
      </c>
      <c r="Q341" s="694">
        <f t="shared" si="381"/>
        <v>0</v>
      </c>
      <c r="R341" s="694">
        <f t="shared" si="381"/>
        <v>0</v>
      </c>
      <c r="S341" s="694">
        <f t="shared" si="381"/>
        <v>0</v>
      </c>
      <c r="T341" s="694">
        <f t="shared" si="381"/>
        <v>0</v>
      </c>
      <c r="U341" s="694">
        <f t="shared" si="381"/>
        <v>0</v>
      </c>
      <c r="V341" s="694">
        <f t="shared" si="381"/>
        <v>0</v>
      </c>
      <c r="W341" s="694">
        <f t="shared" si="381"/>
        <v>0</v>
      </c>
      <c r="X341" s="694">
        <f t="shared" si="381"/>
        <v>0</v>
      </c>
      <c r="Y341" s="694">
        <f t="shared" si="381"/>
        <v>0</v>
      </c>
      <c r="Z341" s="694">
        <f t="shared" si="381"/>
        <v>0</v>
      </c>
      <c r="AA341" s="694">
        <f t="shared" si="381"/>
        <v>0</v>
      </c>
      <c r="AB341" s="694">
        <f t="shared" si="381"/>
        <v>0</v>
      </c>
    </row>
    <row r="342" spans="1:64" hidden="1" x14ac:dyDescent="0.3">
      <c r="AV342" s="83"/>
      <c r="AW342" s="83"/>
      <c r="AX342" s="83"/>
      <c r="AY342" s="83"/>
      <c r="AZ342" s="83"/>
      <c r="BA342" s="83"/>
      <c r="BB342" s="83"/>
      <c r="BC342" s="83"/>
      <c r="BD342" s="83"/>
      <c r="BE342" s="83"/>
      <c r="BF342" s="83"/>
      <c r="BG342" s="83"/>
      <c r="BH342" s="83"/>
      <c r="BI342" s="83"/>
      <c r="BJ342" s="83"/>
      <c r="BK342" s="83"/>
      <c r="BL342" s="83"/>
    </row>
    <row r="343" spans="1:64" hidden="1" x14ac:dyDescent="0.3">
      <c r="AV343" s="83"/>
      <c r="AW343" s="83"/>
      <c r="AX343" s="83"/>
      <c r="AY343" s="83"/>
      <c r="AZ343" s="83"/>
      <c r="BA343" s="83"/>
      <c r="BB343" s="83"/>
      <c r="BC343" s="83"/>
      <c r="BD343" s="83"/>
      <c r="BE343" s="83"/>
      <c r="BF343" s="83"/>
      <c r="BG343" s="83"/>
      <c r="BH343" s="83"/>
      <c r="BI343" s="83"/>
      <c r="BJ343" s="83"/>
      <c r="BK343" s="83"/>
      <c r="BL343" s="83"/>
    </row>
    <row r="344" spans="1:64" x14ac:dyDescent="0.3">
      <c r="D344" s="44"/>
      <c r="M344" s="473" t="s">
        <v>1151</v>
      </c>
      <c r="N344" s="481">
        <v>-0.20200000000000001</v>
      </c>
      <c r="O344" s="481">
        <v>0</v>
      </c>
      <c r="P344" s="481">
        <v>0</v>
      </c>
      <c r="Q344" s="481">
        <v>0</v>
      </c>
      <c r="R344" s="481">
        <v>0</v>
      </c>
      <c r="S344" s="481">
        <v>0</v>
      </c>
      <c r="T344" s="481">
        <v>0</v>
      </c>
      <c r="U344" s="481">
        <v>0</v>
      </c>
      <c r="V344" s="481">
        <v>0</v>
      </c>
      <c r="W344" s="481">
        <v>0</v>
      </c>
      <c r="X344" s="481">
        <v>0</v>
      </c>
      <c r="Y344" s="481">
        <v>0</v>
      </c>
      <c r="Z344" s="481">
        <v>0</v>
      </c>
      <c r="AA344" s="481">
        <v>0</v>
      </c>
      <c r="AB344" s="481">
        <v>0</v>
      </c>
      <c r="AF344" s="820"/>
      <c r="AG344" s="820"/>
      <c r="AH344" s="820"/>
      <c r="AI344" s="820"/>
      <c r="AJ344" s="820"/>
      <c r="AK344" s="820"/>
      <c r="AL344" s="820"/>
      <c r="AM344" s="820"/>
      <c r="AN344" s="820"/>
      <c r="AO344" s="820"/>
      <c r="AP344" s="820"/>
      <c r="AQ344" s="820"/>
      <c r="AR344" s="820"/>
      <c r="AS344" s="820"/>
      <c r="AT344" s="820"/>
    </row>
    <row r="345" spans="1:64" x14ac:dyDescent="0.3">
      <c r="B345" s="32" t="s">
        <v>1178</v>
      </c>
      <c r="C345" s="26"/>
      <c r="D345" s="26"/>
      <c r="I345" s="36"/>
      <c r="M345" s="473" t="s">
        <v>1153</v>
      </c>
      <c r="N345" s="481">
        <v>-0.10100000000000001</v>
      </c>
      <c r="O345" s="481">
        <v>0</v>
      </c>
      <c r="P345" s="481">
        <v>0</v>
      </c>
      <c r="Q345" s="481">
        <v>0</v>
      </c>
      <c r="R345" s="481">
        <v>0</v>
      </c>
      <c r="S345" s="481">
        <v>0</v>
      </c>
      <c r="T345" s="481">
        <v>0</v>
      </c>
      <c r="U345" s="481">
        <v>0</v>
      </c>
      <c r="V345" s="481">
        <v>0</v>
      </c>
      <c r="W345" s="481">
        <v>0</v>
      </c>
      <c r="X345" s="481">
        <v>0</v>
      </c>
      <c r="Y345" s="481">
        <v>0</v>
      </c>
      <c r="Z345" s="481">
        <v>0</v>
      </c>
      <c r="AA345" s="481">
        <v>0</v>
      </c>
      <c r="AB345" s="481">
        <v>0</v>
      </c>
      <c r="AF345" s="865">
        <f t="shared" ref="AF345:AT345" si="382">SUM(N14:N15)/AF350-1</f>
        <v>-7.5822419547676434E-3</v>
      </c>
      <c r="AG345" s="865" t="e">
        <f t="shared" si="382"/>
        <v>#DIV/0!</v>
      </c>
      <c r="AH345" s="865" t="e">
        <f t="shared" si="382"/>
        <v>#DIV/0!</v>
      </c>
      <c r="AI345" s="865" t="e">
        <f t="shared" si="382"/>
        <v>#DIV/0!</v>
      </c>
      <c r="AJ345" s="865" t="e">
        <f t="shared" si="382"/>
        <v>#DIV/0!</v>
      </c>
      <c r="AK345" s="865" t="e">
        <f t="shared" si="382"/>
        <v>#DIV/0!</v>
      </c>
      <c r="AL345" s="865" t="e">
        <f t="shared" si="382"/>
        <v>#DIV/0!</v>
      </c>
      <c r="AM345" s="865" t="e">
        <f t="shared" si="382"/>
        <v>#DIV/0!</v>
      </c>
      <c r="AN345" s="865" t="e">
        <f t="shared" si="382"/>
        <v>#DIV/0!</v>
      </c>
      <c r="AO345" s="865" t="e">
        <f t="shared" si="382"/>
        <v>#DIV/0!</v>
      </c>
      <c r="AP345" s="865" t="e">
        <f t="shared" si="382"/>
        <v>#DIV/0!</v>
      </c>
      <c r="AQ345" s="865" t="e">
        <f t="shared" si="382"/>
        <v>#DIV/0!</v>
      </c>
      <c r="AR345" s="865" t="e">
        <f t="shared" si="382"/>
        <v>#DIV/0!</v>
      </c>
      <c r="AS345" s="865" t="e">
        <f t="shared" si="382"/>
        <v>#DIV/0!</v>
      </c>
      <c r="AT345" s="865" t="e">
        <f t="shared" si="382"/>
        <v>#DIV/0!</v>
      </c>
    </row>
    <row r="346" spans="1:64" x14ac:dyDescent="0.3">
      <c r="M346" s="35"/>
      <c r="AF346" s="865"/>
      <c r="AG346" s="865"/>
      <c r="AH346" s="865"/>
      <c r="AI346" s="865"/>
      <c r="AJ346" s="865"/>
      <c r="AK346" s="865"/>
      <c r="AL346" s="865"/>
      <c r="AM346" s="865"/>
      <c r="AN346" s="865"/>
      <c r="AO346" s="865"/>
      <c r="AP346" s="865"/>
      <c r="AQ346" s="865"/>
      <c r="AR346" s="865"/>
      <c r="AS346" s="865"/>
      <c r="AT346" s="865"/>
    </row>
    <row r="347" spans="1:64" s="22" customFormat="1" x14ac:dyDescent="0.3">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3">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0" t="s">
        <v>85</v>
      </c>
      <c r="AW348" s="700" t="s">
        <v>421</v>
      </c>
      <c r="AX348" s="700" t="str">
        <f t="shared" ref="AX348:BL348" si="385">N$2</f>
        <v>Z01</v>
      </c>
      <c r="AY348" s="700" t="str">
        <f t="shared" si="385"/>
        <v>Z02</v>
      </c>
      <c r="AZ348" s="700" t="str">
        <f t="shared" si="385"/>
        <v>Z03</v>
      </c>
      <c r="BA348" s="700" t="str">
        <f t="shared" si="385"/>
        <v>Z04</v>
      </c>
      <c r="BB348" s="700" t="str">
        <f t="shared" si="385"/>
        <v>Z05</v>
      </c>
      <c r="BC348" s="700" t="str">
        <f t="shared" si="385"/>
        <v>Z06</v>
      </c>
      <c r="BD348" s="700" t="str">
        <f t="shared" si="385"/>
        <v>Z07</v>
      </c>
      <c r="BE348" s="700" t="str">
        <f t="shared" si="385"/>
        <v>Z08</v>
      </c>
      <c r="BF348" s="700" t="str">
        <f t="shared" si="385"/>
        <v>Z09</v>
      </c>
      <c r="BG348" s="700" t="str">
        <f t="shared" si="385"/>
        <v>Z10</v>
      </c>
      <c r="BH348" s="700" t="str">
        <f t="shared" si="385"/>
        <v>Z11</v>
      </c>
      <c r="BI348" s="700" t="str">
        <f t="shared" si="385"/>
        <v>Z12</v>
      </c>
      <c r="BJ348" s="700" t="str">
        <f t="shared" si="385"/>
        <v>Z13</v>
      </c>
      <c r="BK348" s="700" t="str">
        <f t="shared" si="385"/>
        <v>Z14</v>
      </c>
      <c r="BL348" s="700" t="str">
        <f t="shared" si="385"/>
        <v>Z15</v>
      </c>
    </row>
    <row r="349" spans="1:64" s="22" customFormat="1" x14ac:dyDescent="0.3">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4" t="str">
        <f>IF(AE350-SUM(AD14:AD15)&lt;0,"too small",IF(AE350-SUM(AD14:AD15)&gt;0.001,"Too big","ok"))</f>
        <v>Too big</v>
      </c>
      <c r="AF349" s="618" t="str">
        <f t="shared" ref="AF349:AT349" si="386">IF(AF350-SUM(N14:N15)&lt;0,"too small",IF(AF350-SUM(N14:N15)&gt;0.0001,"Too big","ok"))</f>
        <v>Too big</v>
      </c>
      <c r="AG349" s="618" t="str">
        <f t="shared" si="386"/>
        <v>ok</v>
      </c>
      <c r="AH349" s="618" t="str">
        <f t="shared" si="386"/>
        <v>ok</v>
      </c>
      <c r="AI349" s="618" t="str">
        <f t="shared" si="386"/>
        <v>ok</v>
      </c>
      <c r="AJ349" s="618" t="str">
        <f t="shared" si="386"/>
        <v>ok</v>
      </c>
      <c r="AK349" s="618" t="str">
        <f t="shared" si="386"/>
        <v>ok</v>
      </c>
      <c r="AL349" s="618" t="str">
        <f t="shared" si="386"/>
        <v>ok</v>
      </c>
      <c r="AM349" s="618" t="str">
        <f t="shared" si="386"/>
        <v>ok</v>
      </c>
      <c r="AN349" s="618" t="str">
        <f t="shared" si="386"/>
        <v>ok</v>
      </c>
      <c r="AO349" s="618" t="str">
        <f t="shared" si="386"/>
        <v>ok</v>
      </c>
      <c r="AP349" s="618" t="str">
        <f t="shared" si="386"/>
        <v>ok</v>
      </c>
      <c r="AQ349" s="618" t="str">
        <f t="shared" si="386"/>
        <v>ok</v>
      </c>
      <c r="AR349" s="618" t="str">
        <f t="shared" si="386"/>
        <v>ok</v>
      </c>
      <c r="AS349" s="618" t="str">
        <f t="shared" si="386"/>
        <v>ok</v>
      </c>
      <c r="AT349" s="618" t="str">
        <f t="shared" si="386"/>
        <v>ok</v>
      </c>
      <c r="AV349" s="398" t="s">
        <v>103</v>
      </c>
      <c r="AW349" s="716">
        <f>SUM(AX349:BL349)</f>
        <v>4151.2294317891083</v>
      </c>
      <c r="AX349" s="717">
        <f t="shared" ref="AX349:BL349" si="387">SUM(AX350:AX484)</f>
        <v>4151.2294317891083</v>
      </c>
      <c r="AY349" s="717">
        <f t="shared" si="387"/>
        <v>0</v>
      </c>
      <c r="AZ349" s="717">
        <f t="shared" si="387"/>
        <v>0</v>
      </c>
      <c r="BA349" s="717">
        <f t="shared" si="387"/>
        <v>0</v>
      </c>
      <c r="BB349" s="717">
        <f t="shared" si="387"/>
        <v>0</v>
      </c>
      <c r="BC349" s="717">
        <f t="shared" si="387"/>
        <v>0</v>
      </c>
      <c r="BD349" s="717">
        <f t="shared" si="387"/>
        <v>0</v>
      </c>
      <c r="BE349" s="717">
        <f t="shared" si="387"/>
        <v>0</v>
      </c>
      <c r="BF349" s="717">
        <f t="shared" si="387"/>
        <v>0</v>
      </c>
      <c r="BG349" s="717">
        <f t="shared" si="387"/>
        <v>0</v>
      </c>
      <c r="BH349" s="717">
        <f t="shared" si="387"/>
        <v>0</v>
      </c>
      <c r="BI349" s="717">
        <f t="shared" si="387"/>
        <v>0</v>
      </c>
      <c r="BJ349" s="717">
        <f t="shared" si="387"/>
        <v>0</v>
      </c>
      <c r="BK349" s="717">
        <f t="shared" si="387"/>
        <v>0</v>
      </c>
      <c r="BL349" s="717">
        <f t="shared" si="387"/>
        <v>0</v>
      </c>
    </row>
    <row r="350" spans="1:64" s="83" customFormat="1" x14ac:dyDescent="0.3">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2801.239677004342</v>
      </c>
      <c r="AF350" s="322">
        <f t="shared" ref="AF350:AT350" si="389">SUM(AF351:AF492)</f>
        <v>2801.239677004342</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699" t="str">
        <f>MID(E350,1,7)</f>
        <v>TRABDL</v>
      </c>
      <c r="AW350" s="567">
        <f>SUM(AX350:BL350)</f>
        <v>0</v>
      </c>
      <c r="AX350" s="567"/>
      <c r="AY350" s="567"/>
      <c r="AZ350" s="567"/>
      <c r="BA350" s="567"/>
      <c r="BB350" s="567"/>
      <c r="BC350" s="567"/>
      <c r="BD350" s="567"/>
      <c r="BE350" s="567"/>
      <c r="BF350" s="567"/>
      <c r="BG350" s="567"/>
      <c r="BH350" s="567"/>
      <c r="BI350" s="567"/>
      <c r="BJ350" s="567"/>
      <c r="BK350" s="567"/>
      <c r="BL350" s="567"/>
    </row>
    <row r="351" spans="1:64" x14ac:dyDescent="0.3">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699" t="str">
        <f>MID(E351,1,7)</f>
        <v/>
      </c>
      <c r="AW351" s="567"/>
      <c r="AX351" s="567"/>
      <c r="AY351" s="567"/>
      <c r="AZ351" s="567"/>
      <c r="BA351" s="567"/>
      <c r="BB351" s="567"/>
      <c r="BC351" s="567"/>
      <c r="BD351" s="567"/>
      <c r="BE351" s="567"/>
      <c r="BF351" s="567"/>
      <c r="BG351" s="567"/>
      <c r="BH351" s="567"/>
      <c r="BI351" s="567"/>
      <c r="BJ351" s="567"/>
      <c r="BK351" s="567"/>
      <c r="BL351" s="567"/>
    </row>
    <row r="352" spans="1:64" x14ac:dyDescent="0.3">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3">
      <c r="B353" s="186" t="str">
        <f t="shared" si="390"/>
        <v>TFREBDL100</v>
      </c>
      <c r="C353" s="186"/>
      <c r="D353" s="187"/>
      <c r="E353" s="186"/>
      <c r="F353" s="170"/>
      <c r="G353" s="189"/>
      <c r="H353" s="170"/>
      <c r="I353" s="190"/>
      <c r="J353" s="191"/>
      <c r="K353" s="191" t="s">
        <v>748</v>
      </c>
      <c r="L353" s="191" t="s">
        <v>1127</v>
      </c>
      <c r="M353" s="191" t="s">
        <v>1174</v>
      </c>
      <c r="N353" s="368">
        <f t="shared" ref="N353:AB353" si="391">N$25</f>
        <v>6.7</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3">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33.446039177540499</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1">
        <f>SUM(AF354:AT354)</f>
        <v>1371.6099608770555</v>
      </c>
      <c r="AF354" s="85">
        <f t="shared" ref="AF354:AT354" si="392">N353*N354*N355/1000</f>
        <v>1371.6099608770555</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3">
      <c r="B355" s="186" t="str">
        <f t="shared" si="390"/>
        <v>TFREBDL100</v>
      </c>
      <c r="C355" s="186"/>
      <c r="D355" s="187"/>
      <c r="E355" s="186"/>
      <c r="F355" s="170"/>
      <c r="G355" s="189"/>
      <c r="H355" s="170"/>
      <c r="I355" s="190">
        <f>$M$3</f>
        <v>2019</v>
      </c>
      <c r="J355" s="191"/>
      <c r="K355" s="191"/>
      <c r="L355" s="211" t="s">
        <v>1064</v>
      </c>
      <c r="M355" s="191" t="s">
        <v>747</v>
      </c>
      <c r="N355" s="693">
        <f>LOOKUP($C$350, T_Stock_Private!$C$122:$C$133,T_Stock_Private!D$122:D$133)*(1+N345)</f>
        <v>6120.8415000000005</v>
      </c>
      <c r="O355" s="693">
        <f>LOOKUP($C$350, T_Stock_Private!$C$122:$C$133,T_Stock_Private!E$122:E$133)*(1+O345)</f>
        <v>0</v>
      </c>
      <c r="P355" s="693">
        <f>LOOKUP($C$350, T_Stock_Private!$C$122:$C$133,T_Stock_Private!F$122:F$133)*(1+P345)</f>
        <v>0</v>
      </c>
      <c r="Q355" s="693">
        <f>LOOKUP($C$350, T_Stock_Private!$C$122:$C$133,T_Stock_Private!G$122:G$133)*(1+Q345)</f>
        <v>0</v>
      </c>
      <c r="R355" s="693">
        <f>LOOKUP($C$350, T_Stock_Private!$C$122:$C$133,T_Stock_Private!H$122:H$133)*(1+R345)</f>
        <v>0</v>
      </c>
      <c r="S355" s="693">
        <f>LOOKUP($C$350, T_Stock_Private!$C$122:$C$133,T_Stock_Private!I$122:I$133)*(1+S345)</f>
        <v>0</v>
      </c>
      <c r="T355" s="693">
        <f>LOOKUP($C$350, T_Stock_Private!$C$122:$C$133,T_Stock_Private!J$122:J$133)*(1+T345)</f>
        <v>0</v>
      </c>
      <c r="U355" s="693">
        <f>LOOKUP($C$350, T_Stock_Private!$C$122:$C$133,T_Stock_Private!K$122:K$133)*(1+U345)</f>
        <v>0</v>
      </c>
      <c r="V355" s="693">
        <f>LOOKUP($C$350, T_Stock_Private!$C$122:$C$133,T_Stock_Private!L$122:L$133)*(1+V345)</f>
        <v>0</v>
      </c>
      <c r="W355" s="693">
        <f>LOOKUP($C$350, T_Stock_Private!$C$122:$C$133,T_Stock_Private!M$122:M$133)*(1+W345)</f>
        <v>0</v>
      </c>
      <c r="X355" s="693">
        <f>LOOKUP($C$350, T_Stock_Private!$C$122:$C$133,T_Stock_Private!N$122:N$133)*(1+X345)</f>
        <v>0</v>
      </c>
      <c r="Y355" s="693">
        <f>LOOKUP($C$350, T_Stock_Private!$C$122:$C$133,T_Stock_Private!O$122:O$133)*(1+Y345)</f>
        <v>0</v>
      </c>
      <c r="Z355" s="693">
        <f>LOOKUP($C$350, T_Stock_Private!$C$122:$C$133,T_Stock_Private!P$122:P$133)*(1+Z345)</f>
        <v>0</v>
      </c>
      <c r="AA355" s="693">
        <f>LOOKUP($C$350, T_Stock_Private!$C$122:$C$133,T_Stock_Private!Q$122:Q$133)*(1+AA345)</f>
        <v>0</v>
      </c>
      <c r="AB355" s="693">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3">
      <c r="B356" s="186" t="str">
        <f t="shared" si="390"/>
        <v>TFREBDL100</v>
      </c>
      <c r="C356" s="186"/>
      <c r="D356" s="187"/>
      <c r="E356" s="186"/>
      <c r="F356" s="170"/>
      <c r="G356" s="189"/>
      <c r="H356" s="170"/>
      <c r="I356" s="190">
        <f>AF$5</f>
        <v>2020</v>
      </c>
      <c r="J356" s="191"/>
      <c r="K356" s="191"/>
      <c r="L356" s="211" t="s">
        <v>1064</v>
      </c>
      <c r="M356" s="191" t="s">
        <v>747</v>
      </c>
      <c r="N356" s="693">
        <f t="shared" ref="N356:AB356" si="393">N355*LOOKUP($AD350,$AG$4:$AP$4,$AG$5:$AP$5)</f>
        <v>5814.7994250000002</v>
      </c>
      <c r="O356" s="693">
        <f t="shared" si="393"/>
        <v>0</v>
      </c>
      <c r="P356" s="693">
        <f t="shared" si="393"/>
        <v>0</v>
      </c>
      <c r="Q356" s="693">
        <f t="shared" si="393"/>
        <v>0</v>
      </c>
      <c r="R356" s="693">
        <f t="shared" si="393"/>
        <v>0</v>
      </c>
      <c r="S356" s="693">
        <f t="shared" si="393"/>
        <v>0</v>
      </c>
      <c r="T356" s="693">
        <f t="shared" si="393"/>
        <v>0</v>
      </c>
      <c r="U356" s="693">
        <f t="shared" si="393"/>
        <v>0</v>
      </c>
      <c r="V356" s="693">
        <f t="shared" si="393"/>
        <v>0</v>
      </c>
      <c r="W356" s="693">
        <f t="shared" si="393"/>
        <v>0</v>
      </c>
      <c r="X356" s="693">
        <f t="shared" si="393"/>
        <v>0</v>
      </c>
      <c r="Y356" s="693">
        <f t="shared" si="393"/>
        <v>0</v>
      </c>
      <c r="Z356" s="693">
        <f t="shared" si="393"/>
        <v>0</v>
      </c>
      <c r="AA356" s="693">
        <f t="shared" si="393"/>
        <v>0</v>
      </c>
      <c r="AB356" s="693">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3">
      <c r="B357" s="186" t="str">
        <f t="shared" si="390"/>
        <v>TFREBDL100</v>
      </c>
      <c r="C357" s="186"/>
      <c r="D357" s="187"/>
      <c r="E357" s="186"/>
      <c r="F357" s="170"/>
      <c r="G357" s="189"/>
      <c r="H357" s="170"/>
      <c r="I357" s="190">
        <f>AF$6</f>
        <v>2025</v>
      </c>
      <c r="J357" s="191"/>
      <c r="K357" s="191"/>
      <c r="L357" s="211" t="s">
        <v>1064</v>
      </c>
      <c r="M357" s="191" t="s">
        <v>747</v>
      </c>
      <c r="N357" s="693">
        <f t="shared" ref="N357:AB357" si="394">N355*LOOKUP($AD350,$AG$4:$AP$4,$AG$6:$AP$6)</f>
        <v>4284.5890500000005</v>
      </c>
      <c r="O357" s="693">
        <f t="shared" si="394"/>
        <v>0</v>
      </c>
      <c r="P357" s="693">
        <f t="shared" si="394"/>
        <v>0</v>
      </c>
      <c r="Q357" s="693">
        <f t="shared" si="394"/>
        <v>0</v>
      </c>
      <c r="R357" s="693">
        <f t="shared" si="394"/>
        <v>0</v>
      </c>
      <c r="S357" s="693">
        <f t="shared" si="394"/>
        <v>0</v>
      </c>
      <c r="T357" s="693">
        <f t="shared" si="394"/>
        <v>0</v>
      </c>
      <c r="U357" s="693">
        <f t="shared" si="394"/>
        <v>0</v>
      </c>
      <c r="V357" s="693">
        <f t="shared" si="394"/>
        <v>0</v>
      </c>
      <c r="W357" s="693">
        <f t="shared" si="394"/>
        <v>0</v>
      </c>
      <c r="X357" s="693">
        <f t="shared" si="394"/>
        <v>0</v>
      </c>
      <c r="Y357" s="693">
        <f t="shared" si="394"/>
        <v>0</v>
      </c>
      <c r="Z357" s="693">
        <f t="shared" si="394"/>
        <v>0</v>
      </c>
      <c r="AA357" s="693">
        <f t="shared" si="394"/>
        <v>0</v>
      </c>
      <c r="AB357" s="693">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3">
      <c r="B358" s="186" t="str">
        <f t="shared" si="390"/>
        <v>TFREBDL100</v>
      </c>
      <c r="C358" s="186"/>
      <c r="D358" s="187"/>
      <c r="E358" s="186"/>
      <c r="F358" s="170"/>
      <c r="G358" s="189"/>
      <c r="H358" s="170"/>
      <c r="I358" s="190">
        <f>AF$7</f>
        <v>2030</v>
      </c>
      <c r="J358" s="191"/>
      <c r="K358" s="191"/>
      <c r="L358" s="211" t="s">
        <v>1064</v>
      </c>
      <c r="M358" s="191" t="s">
        <v>747</v>
      </c>
      <c r="N358" s="693">
        <f t="shared" ref="N358:AB358" si="395">N355*LOOKUP($AD350,$AG$4:$AP$4,$AG$7:$AP$7)</f>
        <v>2448.3366000000001</v>
      </c>
      <c r="O358" s="693">
        <f t="shared" si="395"/>
        <v>0</v>
      </c>
      <c r="P358" s="693">
        <f t="shared" si="395"/>
        <v>0</v>
      </c>
      <c r="Q358" s="693">
        <f t="shared" si="395"/>
        <v>0</v>
      </c>
      <c r="R358" s="693">
        <f t="shared" si="395"/>
        <v>0</v>
      </c>
      <c r="S358" s="693">
        <f t="shared" si="395"/>
        <v>0</v>
      </c>
      <c r="T358" s="693">
        <f t="shared" si="395"/>
        <v>0</v>
      </c>
      <c r="U358" s="693">
        <f t="shared" si="395"/>
        <v>0</v>
      </c>
      <c r="V358" s="693">
        <f t="shared" si="395"/>
        <v>0</v>
      </c>
      <c r="W358" s="693">
        <f t="shared" si="395"/>
        <v>0</v>
      </c>
      <c r="X358" s="693">
        <f t="shared" si="395"/>
        <v>0</v>
      </c>
      <c r="Y358" s="693">
        <f t="shared" si="395"/>
        <v>0</v>
      </c>
      <c r="Z358" s="693">
        <f t="shared" si="395"/>
        <v>0</v>
      </c>
      <c r="AA358" s="693">
        <f t="shared" si="395"/>
        <v>0</v>
      </c>
      <c r="AB358" s="693">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3">
      <c r="B359" s="186" t="str">
        <f t="shared" si="390"/>
        <v>TFREBDL100</v>
      </c>
      <c r="C359" s="186"/>
      <c r="D359" s="187"/>
      <c r="E359" s="186"/>
      <c r="F359" s="170"/>
      <c r="G359" s="189"/>
      <c r="H359" s="170"/>
      <c r="I359" s="190">
        <f>AF$8</f>
        <v>2035</v>
      </c>
      <c r="J359" s="191"/>
      <c r="K359" s="191"/>
      <c r="L359" s="211" t="s">
        <v>1064</v>
      </c>
      <c r="M359" s="191" t="s">
        <v>747</v>
      </c>
      <c r="N359" s="693">
        <f t="shared" ref="N359:AB359" si="396">N355*LOOKUP($AD350,$AG$4:$AP$4,$AG$8:$AP$8)</f>
        <v>918.12622500000009</v>
      </c>
      <c r="O359" s="693">
        <f t="shared" si="396"/>
        <v>0</v>
      </c>
      <c r="P359" s="693">
        <f t="shared" si="396"/>
        <v>0</v>
      </c>
      <c r="Q359" s="693">
        <f t="shared" si="396"/>
        <v>0</v>
      </c>
      <c r="R359" s="693">
        <f t="shared" si="396"/>
        <v>0</v>
      </c>
      <c r="S359" s="693">
        <f t="shared" si="396"/>
        <v>0</v>
      </c>
      <c r="T359" s="693">
        <f t="shared" si="396"/>
        <v>0</v>
      </c>
      <c r="U359" s="693">
        <f t="shared" si="396"/>
        <v>0</v>
      </c>
      <c r="V359" s="693">
        <f t="shared" si="396"/>
        <v>0</v>
      </c>
      <c r="W359" s="693">
        <f t="shared" si="396"/>
        <v>0</v>
      </c>
      <c r="X359" s="693">
        <f t="shared" si="396"/>
        <v>0</v>
      </c>
      <c r="Y359" s="693">
        <f t="shared" si="396"/>
        <v>0</v>
      </c>
      <c r="Z359" s="693">
        <f t="shared" si="396"/>
        <v>0</v>
      </c>
      <c r="AA359" s="693">
        <f t="shared" si="396"/>
        <v>0</v>
      </c>
      <c r="AB359" s="693">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3">
      <c r="B360" s="186" t="str">
        <f t="shared" si="390"/>
        <v>TFREBDL100</v>
      </c>
      <c r="C360" s="186"/>
      <c r="D360" s="187"/>
      <c r="E360" s="186"/>
      <c r="F360" s="170"/>
      <c r="G360" s="189"/>
      <c r="H360" s="170"/>
      <c r="I360" s="190">
        <f>AF$9</f>
        <v>2040</v>
      </c>
      <c r="J360" s="191"/>
      <c r="K360" s="191"/>
      <c r="L360" s="211" t="s">
        <v>1064</v>
      </c>
      <c r="M360" s="191" t="s">
        <v>747</v>
      </c>
      <c r="N360" s="693">
        <f t="shared" ref="N360:AB360" si="397">N355*LOOKUP($AD350,$AG$4:$AP$4,$AG$9:$AP$9)</f>
        <v>30.604207500000001</v>
      </c>
      <c r="O360" s="693">
        <f t="shared" si="397"/>
        <v>0</v>
      </c>
      <c r="P360" s="693">
        <f t="shared" si="397"/>
        <v>0</v>
      </c>
      <c r="Q360" s="693">
        <f t="shared" si="397"/>
        <v>0</v>
      </c>
      <c r="R360" s="693">
        <f t="shared" si="397"/>
        <v>0</v>
      </c>
      <c r="S360" s="693">
        <f t="shared" si="397"/>
        <v>0</v>
      </c>
      <c r="T360" s="693">
        <f t="shared" si="397"/>
        <v>0</v>
      </c>
      <c r="U360" s="693">
        <f t="shared" si="397"/>
        <v>0</v>
      </c>
      <c r="V360" s="693">
        <f t="shared" si="397"/>
        <v>0</v>
      </c>
      <c r="W360" s="693">
        <f t="shared" si="397"/>
        <v>0</v>
      </c>
      <c r="X360" s="693">
        <f t="shared" si="397"/>
        <v>0</v>
      </c>
      <c r="Y360" s="693">
        <f t="shared" si="397"/>
        <v>0</v>
      </c>
      <c r="Z360" s="693">
        <f t="shared" si="397"/>
        <v>0</v>
      </c>
      <c r="AA360" s="693">
        <f t="shared" si="397"/>
        <v>0</v>
      </c>
      <c r="AB360" s="693">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3">
      <c r="B361" s="193" t="str">
        <f t="shared" si="390"/>
        <v>TFREBDL100</v>
      </c>
      <c r="C361" s="193"/>
      <c r="D361" s="194"/>
      <c r="E361" s="193"/>
      <c r="F361" s="196"/>
      <c r="G361" s="195"/>
      <c r="H361" s="196"/>
      <c r="I361" s="197">
        <f>AF$10</f>
        <v>2050</v>
      </c>
      <c r="J361" s="198"/>
      <c r="K361" s="198"/>
      <c r="L361" s="212" t="s">
        <v>1064</v>
      </c>
      <c r="M361" s="198" t="s">
        <v>747</v>
      </c>
      <c r="N361" s="694">
        <f t="shared" ref="N361:AB361" si="398">N355*LOOKUP($AD350,$AG$4:$AP$4,$AG$10:$AP$10)</f>
        <v>0</v>
      </c>
      <c r="O361" s="694">
        <f t="shared" si="398"/>
        <v>0</v>
      </c>
      <c r="P361" s="694">
        <f t="shared" si="398"/>
        <v>0</v>
      </c>
      <c r="Q361" s="694">
        <f t="shared" si="398"/>
        <v>0</v>
      </c>
      <c r="R361" s="694">
        <f t="shared" si="398"/>
        <v>0</v>
      </c>
      <c r="S361" s="694">
        <f t="shared" si="398"/>
        <v>0</v>
      </c>
      <c r="T361" s="694">
        <f t="shared" si="398"/>
        <v>0</v>
      </c>
      <c r="U361" s="694">
        <f t="shared" si="398"/>
        <v>0</v>
      </c>
      <c r="V361" s="694">
        <f t="shared" si="398"/>
        <v>0</v>
      </c>
      <c r="W361" s="694">
        <f t="shared" si="398"/>
        <v>0</v>
      </c>
      <c r="X361" s="694">
        <f t="shared" si="398"/>
        <v>0</v>
      </c>
      <c r="Y361" s="694">
        <f t="shared" si="398"/>
        <v>0</v>
      </c>
      <c r="Z361" s="694">
        <f t="shared" si="398"/>
        <v>0</v>
      </c>
      <c r="AA361" s="694">
        <f t="shared" si="398"/>
        <v>0</v>
      </c>
      <c r="AB361" s="694">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3">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699" t="str">
        <f t="shared" ref="AV362:AV365" si="400">MID(E362,1,7)</f>
        <v>TRABDL</v>
      </c>
      <c r="AW362" s="567">
        <f t="shared" ref="AW362:AW363" si="401">SUM(AX362:BL362)</f>
        <v>699.71940051738829</v>
      </c>
      <c r="AX362" s="720">
        <f>N$368*N$369*(1-N363-N364)/N$366/1000</f>
        <v>699.71940051738829</v>
      </c>
      <c r="AY362" s="720">
        <f t="shared" ref="AY362:BL362" si="402">O$368*O$369*(1-O363-O364)/O$366/1000</f>
        <v>0</v>
      </c>
      <c r="AZ362" s="720">
        <f t="shared" si="402"/>
        <v>0</v>
      </c>
      <c r="BA362" s="720">
        <f t="shared" si="402"/>
        <v>0</v>
      </c>
      <c r="BB362" s="720">
        <f t="shared" si="402"/>
        <v>0</v>
      </c>
      <c r="BC362" s="720">
        <f t="shared" si="402"/>
        <v>0</v>
      </c>
      <c r="BD362" s="720">
        <f t="shared" si="402"/>
        <v>0</v>
      </c>
      <c r="BE362" s="720">
        <f t="shared" si="402"/>
        <v>0</v>
      </c>
      <c r="BF362" s="720">
        <f t="shared" si="402"/>
        <v>0</v>
      </c>
      <c r="BG362" s="720">
        <f t="shared" si="402"/>
        <v>0</v>
      </c>
      <c r="BH362" s="720">
        <f t="shared" si="402"/>
        <v>0</v>
      </c>
      <c r="BI362" s="720">
        <f t="shared" si="402"/>
        <v>0</v>
      </c>
      <c r="BJ362" s="720">
        <f t="shared" si="402"/>
        <v>0</v>
      </c>
      <c r="BK362" s="720">
        <f t="shared" si="402"/>
        <v>0</v>
      </c>
      <c r="BL362" s="720">
        <f t="shared" si="402"/>
        <v>0</v>
      </c>
    </row>
    <row r="363" spans="1:64" x14ac:dyDescent="0.3">
      <c r="A363" s="22"/>
      <c r="B363" s="186" t="str">
        <f>B362</f>
        <v>TFREDST100</v>
      </c>
      <c r="C363" s="186"/>
      <c r="D363" s="187"/>
      <c r="E363" s="258" t="s">
        <v>185</v>
      </c>
      <c r="F363" s="170"/>
      <c r="G363" s="189"/>
      <c r="H363" s="170"/>
      <c r="I363" s="190"/>
      <c r="J363" s="191" t="s">
        <v>1156</v>
      </c>
      <c r="K363" s="191"/>
      <c r="L363" s="211" t="s">
        <v>101</v>
      </c>
      <c r="M363" s="191"/>
      <c r="N363" s="390">
        <f>1-N$29-N$28</f>
        <v>0.7669999999999999</v>
      </c>
      <c r="O363" s="390">
        <f t="shared" ref="O363:AB363" si="403">1-O$29-O$28</f>
        <v>0.7669999999999999</v>
      </c>
      <c r="P363" s="390">
        <f t="shared" si="403"/>
        <v>0.7669999999999999</v>
      </c>
      <c r="Q363" s="390">
        <f t="shared" si="403"/>
        <v>0.7669999999999999</v>
      </c>
      <c r="R363" s="390">
        <f t="shared" si="403"/>
        <v>0.7669999999999999</v>
      </c>
      <c r="S363" s="390">
        <f t="shared" si="403"/>
        <v>0.7669999999999999</v>
      </c>
      <c r="T363" s="390">
        <f t="shared" si="403"/>
        <v>0.7669999999999999</v>
      </c>
      <c r="U363" s="390">
        <f t="shared" si="403"/>
        <v>0.7669999999999999</v>
      </c>
      <c r="V363" s="390">
        <f t="shared" si="403"/>
        <v>0.7669999999999999</v>
      </c>
      <c r="W363" s="390">
        <f t="shared" si="403"/>
        <v>0.7669999999999999</v>
      </c>
      <c r="X363" s="390">
        <f t="shared" si="403"/>
        <v>0.7669999999999999</v>
      </c>
      <c r="Y363" s="390">
        <f t="shared" si="403"/>
        <v>0.7669999999999999</v>
      </c>
      <c r="Z363" s="390">
        <f t="shared" si="403"/>
        <v>0.7669999999999999</v>
      </c>
      <c r="AA363" s="390">
        <f t="shared" si="403"/>
        <v>0.7669999999999999</v>
      </c>
      <c r="AB363" s="390">
        <f t="shared" si="403"/>
        <v>0.7669999999999999</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699" t="str">
        <f t="shared" si="400"/>
        <v>TRADST</v>
      </c>
      <c r="AW363" s="567">
        <f t="shared" si="401"/>
        <v>3066.7701725533507</v>
      </c>
      <c r="AX363" s="720">
        <f>N$368*N$369*N363/N$366/1000</f>
        <v>3066.7701725533507</v>
      </c>
      <c r="AY363" s="720">
        <f t="shared" ref="AY363:BL363" si="404">O$368*O$369*O363/O$366/1000</f>
        <v>0</v>
      </c>
      <c r="AZ363" s="720">
        <f t="shared" si="404"/>
        <v>0</v>
      </c>
      <c r="BA363" s="720">
        <f t="shared" si="404"/>
        <v>0</v>
      </c>
      <c r="BB363" s="720">
        <f t="shared" si="404"/>
        <v>0</v>
      </c>
      <c r="BC363" s="720">
        <f t="shared" si="404"/>
        <v>0</v>
      </c>
      <c r="BD363" s="720">
        <f t="shared" si="404"/>
        <v>0</v>
      </c>
      <c r="BE363" s="720">
        <f t="shared" si="404"/>
        <v>0</v>
      </c>
      <c r="BF363" s="720">
        <f t="shared" si="404"/>
        <v>0</v>
      </c>
      <c r="BG363" s="720">
        <f t="shared" si="404"/>
        <v>0</v>
      </c>
      <c r="BH363" s="720">
        <f t="shared" si="404"/>
        <v>0</v>
      </c>
      <c r="BI363" s="720">
        <f t="shared" si="404"/>
        <v>0</v>
      </c>
      <c r="BJ363" s="720">
        <f t="shared" si="404"/>
        <v>0</v>
      </c>
      <c r="BK363" s="720">
        <f t="shared" si="404"/>
        <v>0</v>
      </c>
      <c r="BL363" s="720">
        <f t="shared" si="404"/>
        <v>0</v>
      </c>
    </row>
    <row r="364" spans="1:64" s="83" customFormat="1" x14ac:dyDescent="0.3">
      <c r="A364" s="82"/>
      <c r="B364" s="178" t="str">
        <f t="shared" ref="B364" si="405">B363</f>
        <v>TFREDST100</v>
      </c>
      <c r="C364" s="178"/>
      <c r="D364" s="179"/>
      <c r="E364" s="407" t="s">
        <v>989</v>
      </c>
      <c r="F364" s="182"/>
      <c r="G364" s="181"/>
      <c r="H364" s="182"/>
      <c r="I364" s="183"/>
      <c r="J364" s="184" t="s">
        <v>1156</v>
      </c>
      <c r="K364" s="184"/>
      <c r="L364" s="203" t="s">
        <v>101</v>
      </c>
      <c r="M364" s="184"/>
      <c r="N364" s="689">
        <f>N$28</f>
        <v>5.8000000000000003E-2</v>
      </c>
      <c r="O364" s="689">
        <f t="shared" ref="O364:AB364" si="406">O$28</f>
        <v>5.8000000000000003E-2</v>
      </c>
      <c r="P364" s="689">
        <f t="shared" si="406"/>
        <v>5.8000000000000003E-2</v>
      </c>
      <c r="Q364" s="689">
        <f t="shared" si="406"/>
        <v>5.8000000000000003E-2</v>
      </c>
      <c r="R364" s="689">
        <f t="shared" si="406"/>
        <v>5.8000000000000003E-2</v>
      </c>
      <c r="S364" s="689">
        <f t="shared" si="406"/>
        <v>5.8000000000000003E-2</v>
      </c>
      <c r="T364" s="689">
        <f t="shared" si="406"/>
        <v>5.8000000000000003E-2</v>
      </c>
      <c r="U364" s="689">
        <f t="shared" si="406"/>
        <v>5.8000000000000003E-2</v>
      </c>
      <c r="V364" s="689">
        <f t="shared" si="406"/>
        <v>5.8000000000000003E-2</v>
      </c>
      <c r="W364" s="689">
        <f t="shared" si="406"/>
        <v>5.8000000000000003E-2</v>
      </c>
      <c r="X364" s="689">
        <f t="shared" si="406"/>
        <v>5.8000000000000003E-2</v>
      </c>
      <c r="Y364" s="689">
        <f t="shared" si="406"/>
        <v>5.8000000000000003E-2</v>
      </c>
      <c r="Z364" s="689">
        <f t="shared" si="406"/>
        <v>5.8000000000000003E-2</v>
      </c>
      <c r="AA364" s="689">
        <f t="shared" si="406"/>
        <v>5.8000000000000003E-2</v>
      </c>
      <c r="AB364" s="689">
        <f t="shared" si="406"/>
        <v>5.8000000000000003E-2</v>
      </c>
      <c r="AD364" s="408"/>
      <c r="AE364" s="357"/>
      <c r="AF364" s="84"/>
      <c r="AG364" s="84"/>
      <c r="AH364" s="84"/>
      <c r="AI364" s="84"/>
      <c r="AJ364" s="84"/>
      <c r="AK364" s="84"/>
      <c r="AL364" s="84"/>
      <c r="AM364" s="84"/>
      <c r="AN364" s="84"/>
      <c r="AO364" s="84"/>
      <c r="AP364" s="84"/>
      <c r="AQ364" s="84"/>
      <c r="AR364" s="84"/>
      <c r="AS364" s="84"/>
      <c r="AT364" s="84"/>
      <c r="AV364" s="699" t="str">
        <f t="shared" ref="AV364" si="407">MID(E364,1,7)</f>
        <v>TRABDLM</v>
      </c>
      <c r="AW364" s="567">
        <f t="shared" ref="AW364" si="408">SUM(AX364:BL364)</f>
        <v>231.90700131433425</v>
      </c>
      <c r="AX364" s="720">
        <f>N$368*N$369*N364/N$366/1000</f>
        <v>231.90700131433425</v>
      </c>
      <c r="AY364" s="720">
        <f t="shared" ref="AY364" si="409">O$368*O$369*O364/O$366/1000</f>
        <v>0</v>
      </c>
      <c r="AZ364" s="720">
        <f t="shared" ref="AZ364" si="410">P$368*P$369*P364/P$366/1000</f>
        <v>0</v>
      </c>
      <c r="BA364" s="720">
        <f t="shared" ref="BA364" si="411">Q$368*Q$369*Q364/Q$366/1000</f>
        <v>0</v>
      </c>
      <c r="BB364" s="720">
        <f t="shared" ref="BB364" si="412">R$368*R$369*R364/R$366/1000</f>
        <v>0</v>
      </c>
      <c r="BC364" s="720">
        <f t="shared" ref="BC364" si="413">S$368*S$369*S364/S$366/1000</f>
        <v>0</v>
      </c>
      <c r="BD364" s="720">
        <f t="shared" ref="BD364" si="414">T$368*T$369*T364/T$366/1000</f>
        <v>0</v>
      </c>
      <c r="BE364" s="720">
        <f t="shared" ref="BE364" si="415">U$368*U$369*U364/U$366/1000</f>
        <v>0</v>
      </c>
      <c r="BF364" s="720">
        <f t="shared" ref="BF364" si="416">V$368*V$369*V364/V$366/1000</f>
        <v>0</v>
      </c>
      <c r="BG364" s="720">
        <f t="shared" ref="BG364" si="417">W$368*W$369*W364/W$366/1000</f>
        <v>0</v>
      </c>
      <c r="BH364" s="720">
        <f t="shared" ref="BH364" si="418">X$368*X$369*X364/X$366/1000</f>
        <v>0</v>
      </c>
      <c r="BI364" s="720">
        <f t="shared" ref="BI364" si="419">Y$368*Y$369*Y364/Y$366/1000</f>
        <v>0</v>
      </c>
      <c r="BJ364" s="720">
        <f t="shared" ref="BJ364" si="420">Z$368*Z$369*Z364/Z$366/1000</f>
        <v>0</v>
      </c>
      <c r="BK364" s="720">
        <f t="shared" ref="BK364" si="421">AA$368*AA$369*AA364/AA$366/1000</f>
        <v>0</v>
      </c>
      <c r="BL364" s="720">
        <f t="shared" ref="BL364" si="422">AB$368*AB$369*AB364/AB$366/1000</f>
        <v>0</v>
      </c>
    </row>
    <row r="365" spans="1:64" x14ac:dyDescent="0.3">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699" t="str">
        <f t="shared" si="400"/>
        <v/>
      </c>
      <c r="AW365" s="567"/>
      <c r="AX365" s="83"/>
      <c r="AY365" s="83"/>
      <c r="AZ365" s="83"/>
      <c r="BA365" s="83"/>
      <c r="BB365" s="83"/>
      <c r="BC365" s="83"/>
      <c r="BD365" s="83"/>
      <c r="BE365" s="83"/>
      <c r="BF365" s="83"/>
      <c r="BG365" s="83"/>
      <c r="BH365" s="83"/>
      <c r="BI365" s="83"/>
      <c r="BJ365" s="83"/>
      <c r="BK365" s="83"/>
      <c r="BL365" s="83"/>
    </row>
    <row r="366" spans="1:64" x14ac:dyDescent="0.3">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3">
      <c r="B367" s="186" t="str">
        <f t="shared" si="423"/>
        <v>TFREDST100</v>
      </c>
      <c r="C367" s="186"/>
      <c r="D367" s="187"/>
      <c r="E367" s="186"/>
      <c r="F367" s="170"/>
      <c r="G367" s="189"/>
      <c r="H367" s="170"/>
      <c r="I367" s="190"/>
      <c r="J367" s="191"/>
      <c r="K367" s="191" t="s">
        <v>748</v>
      </c>
      <c r="L367" s="191" t="s">
        <v>1127</v>
      </c>
      <c r="M367" s="191" t="s">
        <v>1174</v>
      </c>
      <c r="N367" s="368">
        <f t="shared" ref="N367:AB367" si="424">N$25</f>
        <v>6.7</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3">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33.446039177540499</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1">
        <f>SUM(AF368:AT368)</f>
        <v>1371.6099608770555</v>
      </c>
      <c r="AF368" s="85">
        <f t="shared" ref="AF368:AT368" si="425">N367*N368*N369/1000</f>
        <v>1371.6099608770555</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3">
      <c r="B369" s="186" t="str">
        <f t="shared" si="423"/>
        <v>TFREDST100</v>
      </c>
      <c r="C369" s="186"/>
      <c r="D369" s="187"/>
      <c r="E369" s="186"/>
      <c r="F369" s="170"/>
      <c r="G369" s="189"/>
      <c r="H369" s="170"/>
      <c r="I369" s="190">
        <f>$M$3</f>
        <v>2019</v>
      </c>
      <c r="J369" s="191"/>
      <c r="K369" s="191"/>
      <c r="L369" s="211" t="s">
        <v>1064</v>
      </c>
      <c r="M369" s="191" t="s">
        <v>747</v>
      </c>
      <c r="N369" s="693">
        <f>LOOKUP($C$362, T_Stock_Private!$C$122:$C$133,T_Stock_Private!D$122:D$133)*(1+N345)</f>
        <v>6120.8415000000005</v>
      </c>
      <c r="O369" s="693">
        <f>LOOKUP($C$362, T_Stock_Private!$C$122:$C$133,T_Stock_Private!E$122:E$133)*(1+O345)</f>
        <v>0</v>
      </c>
      <c r="P369" s="693">
        <f>LOOKUP($C$362, T_Stock_Private!$C$122:$C$133,T_Stock_Private!F$122:F$133)*(1+P345)</f>
        <v>0</v>
      </c>
      <c r="Q369" s="693">
        <f>LOOKUP($C$362, T_Stock_Private!$C$122:$C$133,T_Stock_Private!G$122:G$133)*(1+Q345)</f>
        <v>0</v>
      </c>
      <c r="R369" s="693">
        <f>LOOKUP($C$362, T_Stock_Private!$C$122:$C$133,T_Stock_Private!H$122:H$133)*(1+R345)</f>
        <v>0</v>
      </c>
      <c r="S369" s="693">
        <f>LOOKUP($C$362, T_Stock_Private!$C$122:$C$133,T_Stock_Private!I$122:I$133)*(1+S345)</f>
        <v>0</v>
      </c>
      <c r="T369" s="693">
        <f>LOOKUP($C$362, T_Stock_Private!$C$122:$C$133,T_Stock_Private!J$122:J$133)*(1+T345)</f>
        <v>0</v>
      </c>
      <c r="U369" s="693">
        <f>LOOKUP($C$362, T_Stock_Private!$C$122:$C$133,T_Stock_Private!K$122:K$133)*(1+U345)</f>
        <v>0</v>
      </c>
      <c r="V369" s="693">
        <f>LOOKUP($C$362, T_Stock_Private!$C$122:$C$133,T_Stock_Private!L$122:L$133)*(1+V345)</f>
        <v>0</v>
      </c>
      <c r="W369" s="693">
        <f>LOOKUP($C$362, T_Stock_Private!$C$122:$C$133,T_Stock_Private!M$122:M$133)*(1+W345)</f>
        <v>0</v>
      </c>
      <c r="X369" s="693">
        <f>LOOKUP($C$362, T_Stock_Private!$C$122:$C$133,T_Stock_Private!N$122:N$133)*(1+X345)</f>
        <v>0</v>
      </c>
      <c r="Y369" s="693">
        <f>LOOKUP($C$362, T_Stock_Private!$C$122:$C$133,T_Stock_Private!O$122:O$133)*(1+Y345)</f>
        <v>0</v>
      </c>
      <c r="Z369" s="693">
        <f>LOOKUP($C$362, T_Stock_Private!$C$122:$C$133,T_Stock_Private!P$122:P$133)*(1+Z345)</f>
        <v>0</v>
      </c>
      <c r="AA369" s="693">
        <f>LOOKUP($C$362, T_Stock_Private!$C$122:$C$133,T_Stock_Private!Q$122:Q$133)*(1+AA345)</f>
        <v>0</v>
      </c>
      <c r="AB369" s="693">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3">
      <c r="B370" s="186" t="str">
        <f t="shared" si="423"/>
        <v>TFREDST100</v>
      </c>
      <c r="C370" s="186"/>
      <c r="D370" s="187"/>
      <c r="E370" s="186"/>
      <c r="F370" s="170"/>
      <c r="G370" s="189"/>
      <c r="H370" s="170"/>
      <c r="I370" s="190">
        <f>AF$5</f>
        <v>2020</v>
      </c>
      <c r="J370" s="191"/>
      <c r="K370" s="191"/>
      <c r="L370" s="211" t="s">
        <v>1064</v>
      </c>
      <c r="M370" s="191" t="s">
        <v>747</v>
      </c>
      <c r="N370" s="693">
        <f t="shared" ref="N370:AB370" si="426">N369*LOOKUP($AD362,$AG$4:$AP$4,$AG$5:$AP$5)</f>
        <v>5814.7994250000002</v>
      </c>
      <c r="O370" s="693">
        <f t="shared" si="426"/>
        <v>0</v>
      </c>
      <c r="P370" s="693">
        <f t="shared" si="426"/>
        <v>0</v>
      </c>
      <c r="Q370" s="693">
        <f t="shared" si="426"/>
        <v>0</v>
      </c>
      <c r="R370" s="693">
        <f t="shared" si="426"/>
        <v>0</v>
      </c>
      <c r="S370" s="693">
        <f t="shared" si="426"/>
        <v>0</v>
      </c>
      <c r="T370" s="693">
        <f t="shared" si="426"/>
        <v>0</v>
      </c>
      <c r="U370" s="693">
        <f t="shared" si="426"/>
        <v>0</v>
      </c>
      <c r="V370" s="693">
        <f t="shared" si="426"/>
        <v>0</v>
      </c>
      <c r="W370" s="693">
        <f t="shared" si="426"/>
        <v>0</v>
      </c>
      <c r="X370" s="693">
        <f t="shared" si="426"/>
        <v>0</v>
      </c>
      <c r="Y370" s="693">
        <f t="shared" si="426"/>
        <v>0</v>
      </c>
      <c r="Z370" s="693">
        <f t="shared" si="426"/>
        <v>0</v>
      </c>
      <c r="AA370" s="693">
        <f t="shared" si="426"/>
        <v>0</v>
      </c>
      <c r="AB370" s="693">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3">
      <c r="B371" s="186" t="str">
        <f t="shared" si="423"/>
        <v>TFREDST100</v>
      </c>
      <c r="C371" s="186"/>
      <c r="D371" s="187"/>
      <c r="E371" s="186"/>
      <c r="F371" s="170"/>
      <c r="G371" s="189"/>
      <c r="H371" s="170"/>
      <c r="I371" s="190">
        <f>AF$6</f>
        <v>2025</v>
      </c>
      <c r="J371" s="191"/>
      <c r="K371" s="191"/>
      <c r="L371" s="211" t="s">
        <v>1064</v>
      </c>
      <c r="M371" s="191" t="s">
        <v>747</v>
      </c>
      <c r="N371" s="693">
        <f t="shared" ref="N371:AB371" si="427">N369*LOOKUP($AD362,$AG$4:$AP$4,$AG$6:$AP$6)</f>
        <v>4284.5890500000005</v>
      </c>
      <c r="O371" s="693">
        <f t="shared" si="427"/>
        <v>0</v>
      </c>
      <c r="P371" s="693">
        <f t="shared" si="427"/>
        <v>0</v>
      </c>
      <c r="Q371" s="693">
        <f t="shared" si="427"/>
        <v>0</v>
      </c>
      <c r="R371" s="693">
        <f t="shared" si="427"/>
        <v>0</v>
      </c>
      <c r="S371" s="693">
        <f t="shared" si="427"/>
        <v>0</v>
      </c>
      <c r="T371" s="693">
        <f t="shared" si="427"/>
        <v>0</v>
      </c>
      <c r="U371" s="693">
        <f t="shared" si="427"/>
        <v>0</v>
      </c>
      <c r="V371" s="693">
        <f t="shared" si="427"/>
        <v>0</v>
      </c>
      <c r="W371" s="693">
        <f t="shared" si="427"/>
        <v>0</v>
      </c>
      <c r="X371" s="693">
        <f t="shared" si="427"/>
        <v>0</v>
      </c>
      <c r="Y371" s="693">
        <f t="shared" si="427"/>
        <v>0</v>
      </c>
      <c r="Z371" s="693">
        <f t="shared" si="427"/>
        <v>0</v>
      </c>
      <c r="AA371" s="693">
        <f t="shared" si="427"/>
        <v>0</v>
      </c>
      <c r="AB371" s="693">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3">
      <c r="B372" s="186" t="str">
        <f t="shared" si="423"/>
        <v>TFREDST100</v>
      </c>
      <c r="C372" s="186"/>
      <c r="D372" s="187"/>
      <c r="E372" s="186"/>
      <c r="F372" s="170"/>
      <c r="G372" s="189"/>
      <c r="H372" s="170"/>
      <c r="I372" s="190">
        <f>AF$7</f>
        <v>2030</v>
      </c>
      <c r="J372" s="191"/>
      <c r="K372" s="191"/>
      <c r="L372" s="211" t="s">
        <v>1064</v>
      </c>
      <c r="M372" s="191" t="s">
        <v>747</v>
      </c>
      <c r="N372" s="693">
        <f t="shared" ref="N372:AB372" si="428">N369*LOOKUP($AD362,$AG$4:$AP$4,$AG$7:$AP$7)</f>
        <v>2448.3366000000001</v>
      </c>
      <c r="O372" s="693">
        <f t="shared" si="428"/>
        <v>0</v>
      </c>
      <c r="P372" s="693">
        <f t="shared" si="428"/>
        <v>0</v>
      </c>
      <c r="Q372" s="693">
        <f t="shared" si="428"/>
        <v>0</v>
      </c>
      <c r="R372" s="693">
        <f t="shared" si="428"/>
        <v>0</v>
      </c>
      <c r="S372" s="693">
        <f t="shared" si="428"/>
        <v>0</v>
      </c>
      <c r="T372" s="693">
        <f t="shared" si="428"/>
        <v>0</v>
      </c>
      <c r="U372" s="693">
        <f t="shared" si="428"/>
        <v>0</v>
      </c>
      <c r="V372" s="693">
        <f t="shared" si="428"/>
        <v>0</v>
      </c>
      <c r="W372" s="693">
        <f t="shared" si="428"/>
        <v>0</v>
      </c>
      <c r="X372" s="693">
        <f t="shared" si="428"/>
        <v>0</v>
      </c>
      <c r="Y372" s="693">
        <f t="shared" si="428"/>
        <v>0</v>
      </c>
      <c r="Z372" s="693">
        <f t="shared" si="428"/>
        <v>0</v>
      </c>
      <c r="AA372" s="693">
        <f t="shared" si="428"/>
        <v>0</v>
      </c>
      <c r="AB372" s="693">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3">
      <c r="B373" s="186" t="str">
        <f t="shared" si="423"/>
        <v>TFREDST100</v>
      </c>
      <c r="C373" s="186"/>
      <c r="D373" s="187"/>
      <c r="E373" s="186"/>
      <c r="F373" s="170"/>
      <c r="G373" s="189"/>
      <c r="H373" s="170"/>
      <c r="I373" s="190">
        <f>AF$8</f>
        <v>2035</v>
      </c>
      <c r="J373" s="191"/>
      <c r="K373" s="191"/>
      <c r="L373" s="211" t="s">
        <v>1064</v>
      </c>
      <c r="M373" s="191" t="s">
        <v>747</v>
      </c>
      <c r="N373" s="693">
        <f t="shared" ref="N373:AB373" si="429">N369*LOOKUP($AD362,$AG$4:$AP$4,$AG$8:$AP$8)</f>
        <v>918.12622500000009</v>
      </c>
      <c r="O373" s="693">
        <f t="shared" si="429"/>
        <v>0</v>
      </c>
      <c r="P373" s="693">
        <f t="shared" si="429"/>
        <v>0</v>
      </c>
      <c r="Q373" s="693">
        <f t="shared" si="429"/>
        <v>0</v>
      </c>
      <c r="R373" s="693">
        <f t="shared" si="429"/>
        <v>0</v>
      </c>
      <c r="S373" s="693">
        <f t="shared" si="429"/>
        <v>0</v>
      </c>
      <c r="T373" s="693">
        <f t="shared" si="429"/>
        <v>0</v>
      </c>
      <c r="U373" s="693">
        <f t="shared" si="429"/>
        <v>0</v>
      </c>
      <c r="V373" s="693">
        <f t="shared" si="429"/>
        <v>0</v>
      </c>
      <c r="W373" s="693">
        <f t="shared" si="429"/>
        <v>0</v>
      </c>
      <c r="X373" s="693">
        <f t="shared" si="429"/>
        <v>0</v>
      </c>
      <c r="Y373" s="693">
        <f t="shared" si="429"/>
        <v>0</v>
      </c>
      <c r="Z373" s="693">
        <f t="shared" si="429"/>
        <v>0</v>
      </c>
      <c r="AA373" s="693">
        <f t="shared" si="429"/>
        <v>0</v>
      </c>
      <c r="AB373" s="693">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3">
      <c r="B374" s="186" t="str">
        <f t="shared" si="423"/>
        <v>TFREDST100</v>
      </c>
      <c r="C374" s="186"/>
      <c r="D374" s="187"/>
      <c r="E374" s="186"/>
      <c r="F374" s="170"/>
      <c r="G374" s="189"/>
      <c r="H374" s="170"/>
      <c r="I374" s="190">
        <f>AF$9</f>
        <v>2040</v>
      </c>
      <c r="J374" s="191"/>
      <c r="K374" s="191"/>
      <c r="L374" s="211" t="s">
        <v>1064</v>
      </c>
      <c r="M374" s="191" t="s">
        <v>747</v>
      </c>
      <c r="N374" s="693">
        <f t="shared" ref="N374:AB374" si="430">N369*LOOKUP($AD362,$AG$4:$AP$4,$AG$9:$AP$9)</f>
        <v>30.604207500000001</v>
      </c>
      <c r="O374" s="693">
        <f t="shared" si="430"/>
        <v>0</v>
      </c>
      <c r="P374" s="693">
        <f t="shared" si="430"/>
        <v>0</v>
      </c>
      <c r="Q374" s="693">
        <f t="shared" si="430"/>
        <v>0</v>
      </c>
      <c r="R374" s="693">
        <f t="shared" si="430"/>
        <v>0</v>
      </c>
      <c r="S374" s="693">
        <f t="shared" si="430"/>
        <v>0</v>
      </c>
      <c r="T374" s="693">
        <f t="shared" si="430"/>
        <v>0</v>
      </c>
      <c r="U374" s="693">
        <f t="shared" si="430"/>
        <v>0</v>
      </c>
      <c r="V374" s="693">
        <f t="shared" si="430"/>
        <v>0</v>
      </c>
      <c r="W374" s="693">
        <f t="shared" si="430"/>
        <v>0</v>
      </c>
      <c r="X374" s="693">
        <f t="shared" si="430"/>
        <v>0</v>
      </c>
      <c r="Y374" s="693">
        <f t="shared" si="430"/>
        <v>0</v>
      </c>
      <c r="Z374" s="693">
        <f t="shared" si="430"/>
        <v>0</v>
      </c>
      <c r="AA374" s="693">
        <f t="shared" si="430"/>
        <v>0</v>
      </c>
      <c r="AB374" s="693">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3">
      <c r="B375" s="193" t="str">
        <f t="shared" si="423"/>
        <v>TFREDST100</v>
      </c>
      <c r="C375" s="193"/>
      <c r="D375" s="194"/>
      <c r="E375" s="193"/>
      <c r="F375" s="196"/>
      <c r="G375" s="195"/>
      <c r="H375" s="196"/>
      <c r="I375" s="197">
        <f>AF$10</f>
        <v>2050</v>
      </c>
      <c r="J375" s="198"/>
      <c r="K375" s="198"/>
      <c r="L375" s="212" t="s">
        <v>1064</v>
      </c>
      <c r="M375" s="198" t="s">
        <v>747</v>
      </c>
      <c r="N375" s="694">
        <f t="shared" ref="N375:AB375" si="431">N369*LOOKUP($AD362,$AG$4:$AP$4,$AG$10:$AP$10)</f>
        <v>0</v>
      </c>
      <c r="O375" s="694">
        <f t="shared" si="431"/>
        <v>0</v>
      </c>
      <c r="P375" s="694">
        <f t="shared" si="431"/>
        <v>0</v>
      </c>
      <c r="Q375" s="694">
        <f t="shared" si="431"/>
        <v>0</v>
      </c>
      <c r="R375" s="694">
        <f t="shared" si="431"/>
        <v>0</v>
      </c>
      <c r="S375" s="694">
        <f t="shared" si="431"/>
        <v>0</v>
      </c>
      <c r="T375" s="694">
        <f t="shared" si="431"/>
        <v>0</v>
      </c>
      <c r="U375" s="694">
        <f t="shared" si="431"/>
        <v>0</v>
      </c>
      <c r="V375" s="694">
        <f t="shared" si="431"/>
        <v>0</v>
      </c>
      <c r="W375" s="694">
        <f t="shared" si="431"/>
        <v>0</v>
      </c>
      <c r="X375" s="694">
        <f t="shared" si="431"/>
        <v>0</v>
      </c>
      <c r="Y375" s="694">
        <f t="shared" si="431"/>
        <v>0</v>
      </c>
      <c r="Z375" s="694">
        <f t="shared" si="431"/>
        <v>0</v>
      </c>
      <c r="AA375" s="694">
        <f t="shared" si="431"/>
        <v>0</v>
      </c>
      <c r="AB375" s="694">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3">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699" t="str">
        <f t="shared" ref="AV376:AV378" si="433">MID(E376,1,7)</f>
        <v>TRAELC</v>
      </c>
      <c r="AW376" s="567">
        <f t="shared" ref="AW376" si="434">SUM(AX376:BL376)</f>
        <v>0</v>
      </c>
    </row>
    <row r="377" spans="1:64" x14ac:dyDescent="0.3">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699" t="str">
        <f t="shared" si="433"/>
        <v/>
      </c>
      <c r="AW377" s="567"/>
      <c r="AX377" s="83"/>
      <c r="AY377" s="83"/>
      <c r="AZ377" s="83"/>
      <c r="BA377" s="83"/>
      <c r="BB377" s="83"/>
      <c r="BC377" s="83"/>
      <c r="BD377" s="83"/>
      <c r="BE377" s="83"/>
      <c r="BF377" s="83"/>
      <c r="BG377" s="83"/>
      <c r="BH377" s="83"/>
      <c r="BI377" s="83"/>
      <c r="BJ377" s="83"/>
      <c r="BK377" s="83"/>
      <c r="BL377" s="83"/>
    </row>
    <row r="378" spans="1:64" x14ac:dyDescent="0.3">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699" t="str">
        <f t="shared" si="433"/>
        <v/>
      </c>
      <c r="AW378" s="567"/>
      <c r="AX378" s="83"/>
      <c r="AY378" s="83"/>
      <c r="AZ378" s="83"/>
      <c r="BA378" s="83"/>
      <c r="BB378" s="83"/>
      <c r="BC378" s="83"/>
      <c r="BD378" s="83"/>
      <c r="BE378" s="83"/>
      <c r="BF378" s="83"/>
      <c r="BG378" s="83"/>
      <c r="BH378" s="83"/>
      <c r="BI378" s="83"/>
      <c r="BJ378" s="83"/>
      <c r="BK378" s="83"/>
      <c r="BL378" s="83"/>
    </row>
    <row r="379" spans="1:64" x14ac:dyDescent="0.3">
      <c r="B379" s="186" t="str">
        <f t="shared" si="435"/>
        <v>TFREELC100</v>
      </c>
      <c r="C379" s="186"/>
      <c r="D379" s="187"/>
      <c r="E379" s="186"/>
      <c r="F379" s="170"/>
      <c r="G379" s="189"/>
      <c r="H379" s="170"/>
      <c r="I379" s="190"/>
      <c r="J379" s="191"/>
      <c r="K379" s="191" t="s">
        <v>748</v>
      </c>
      <c r="L379" s="191" t="s">
        <v>1127</v>
      </c>
      <c r="M379" s="191" t="s">
        <v>1174</v>
      </c>
      <c r="N379" s="368">
        <f t="shared" ref="N379:AB379" si="436">N$25</f>
        <v>6.7</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3">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28.728000000000002</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1">
        <f>SUM(AF380:AT380)</f>
        <v>0.51911208720000013</v>
      </c>
      <c r="AF380" s="85">
        <f t="shared" ref="AF380:AT380" si="437">N379*N380*N381/1000</f>
        <v>0.51911208720000013</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3">
      <c r="B381" s="186" t="str">
        <f t="shared" si="435"/>
        <v>TFREELC100</v>
      </c>
      <c r="C381" s="186"/>
      <c r="D381" s="187"/>
      <c r="E381" s="186"/>
      <c r="F381" s="170"/>
      <c r="G381" s="189"/>
      <c r="H381" s="170"/>
      <c r="I381" s="190">
        <f>$M$3</f>
        <v>2019</v>
      </c>
      <c r="J381" s="191"/>
      <c r="K381" s="191"/>
      <c r="L381" s="211" t="s">
        <v>1064</v>
      </c>
      <c r="M381" s="191" t="s">
        <v>747</v>
      </c>
      <c r="N381" s="693">
        <f>LOOKUP($C$376, T_Stock_Private!$C$122:$C$133,T_Stock_Private!D$122:D$133)*(1+N345)</f>
        <v>2.6970000000000001</v>
      </c>
      <c r="O381" s="693">
        <f>LOOKUP($C$376, T_Stock_Private!$C$122:$C$133,T_Stock_Private!E$122:E$133)*(1+O345)</f>
        <v>0</v>
      </c>
      <c r="P381" s="693">
        <f>LOOKUP($C$376, T_Stock_Private!$C$122:$C$133,T_Stock_Private!F$122:F$133)*(1+P345)</f>
        <v>0</v>
      </c>
      <c r="Q381" s="693">
        <f>LOOKUP($C$376, T_Stock_Private!$C$122:$C$133,T_Stock_Private!G$122:G$133)*(1+Q345)</f>
        <v>0</v>
      </c>
      <c r="R381" s="693">
        <f>LOOKUP($C$376, T_Stock_Private!$C$122:$C$133,T_Stock_Private!H$122:H$133)*(1+R345)</f>
        <v>0</v>
      </c>
      <c r="S381" s="693">
        <f>LOOKUP($C$376, T_Stock_Private!$C$122:$C$133,T_Stock_Private!I$122:I$133)*(1+S345)</f>
        <v>0</v>
      </c>
      <c r="T381" s="693">
        <f>LOOKUP($C$376, T_Stock_Private!$C$122:$C$133,T_Stock_Private!J$122:J$133)*(1+T345)</f>
        <v>0</v>
      </c>
      <c r="U381" s="693">
        <f>LOOKUP($C$376, T_Stock_Private!$C$122:$C$133,T_Stock_Private!K$122:K$133)*(1+U345)</f>
        <v>0</v>
      </c>
      <c r="V381" s="693">
        <f>LOOKUP($C$376, T_Stock_Private!$C$122:$C$133,T_Stock_Private!L$122:L$133)*(1+V345)</f>
        <v>0</v>
      </c>
      <c r="W381" s="693">
        <f>LOOKUP($C$376, T_Stock_Private!$C$122:$C$133,T_Stock_Private!M$122:M$133)*(1+W345)</f>
        <v>0</v>
      </c>
      <c r="X381" s="693">
        <f>LOOKUP($C$376, T_Stock_Private!$C$122:$C$133,T_Stock_Private!N$122:N$133)*(1+X345)</f>
        <v>0</v>
      </c>
      <c r="Y381" s="693">
        <f>LOOKUP($C$376, T_Stock_Private!$C$122:$C$133,T_Stock_Private!O$122:O$133)*(1+Y345)</f>
        <v>0</v>
      </c>
      <c r="Z381" s="693">
        <f>LOOKUP($C$376, T_Stock_Private!$C$122:$C$133,T_Stock_Private!P$122:P$133)*(1+Z345)</f>
        <v>0</v>
      </c>
      <c r="AA381" s="693">
        <f>LOOKUP($C$376, T_Stock_Private!$C$122:$C$133,T_Stock_Private!Q$122:Q$133)*(1+AA345)</f>
        <v>0</v>
      </c>
      <c r="AB381" s="693">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3">
      <c r="B382" s="186" t="str">
        <f t="shared" si="435"/>
        <v>TFREELC100</v>
      </c>
      <c r="C382" s="186"/>
      <c r="D382" s="187"/>
      <c r="E382" s="186"/>
      <c r="F382" s="170"/>
      <c r="G382" s="189"/>
      <c r="H382" s="170"/>
      <c r="I382" s="190">
        <f>AF$5</f>
        <v>2020</v>
      </c>
      <c r="J382" s="191"/>
      <c r="K382" s="191"/>
      <c r="L382" s="211" t="s">
        <v>1064</v>
      </c>
      <c r="M382" s="191" t="s">
        <v>747</v>
      </c>
      <c r="N382" s="693">
        <f t="shared" ref="N382:AB382" si="438">N381*LOOKUP($AD376,$AG$4:$AP$4,$AG$5:$AP$5)</f>
        <v>2.6700300000000001</v>
      </c>
      <c r="O382" s="693">
        <f t="shared" si="438"/>
        <v>0</v>
      </c>
      <c r="P382" s="693">
        <f t="shared" si="438"/>
        <v>0</v>
      </c>
      <c r="Q382" s="693">
        <f t="shared" si="438"/>
        <v>0</v>
      </c>
      <c r="R382" s="693">
        <f t="shared" si="438"/>
        <v>0</v>
      </c>
      <c r="S382" s="693">
        <f t="shared" si="438"/>
        <v>0</v>
      </c>
      <c r="T382" s="693">
        <f t="shared" si="438"/>
        <v>0</v>
      </c>
      <c r="U382" s="693">
        <f t="shared" si="438"/>
        <v>0</v>
      </c>
      <c r="V382" s="693">
        <f t="shared" si="438"/>
        <v>0</v>
      </c>
      <c r="W382" s="693">
        <f t="shared" si="438"/>
        <v>0</v>
      </c>
      <c r="X382" s="693">
        <f t="shared" si="438"/>
        <v>0</v>
      </c>
      <c r="Y382" s="693">
        <f t="shared" si="438"/>
        <v>0</v>
      </c>
      <c r="Z382" s="693">
        <f t="shared" si="438"/>
        <v>0</v>
      </c>
      <c r="AA382" s="693">
        <f t="shared" si="438"/>
        <v>0</v>
      </c>
      <c r="AB382" s="693">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3">
      <c r="B383" s="186" t="str">
        <f t="shared" si="435"/>
        <v>TFREELC100</v>
      </c>
      <c r="C383" s="186"/>
      <c r="D383" s="187"/>
      <c r="E383" s="186"/>
      <c r="F383" s="170"/>
      <c r="G383" s="189"/>
      <c r="H383" s="170"/>
      <c r="I383" s="190">
        <f>AF$6</f>
        <v>2025</v>
      </c>
      <c r="J383" s="191"/>
      <c r="K383" s="191"/>
      <c r="L383" s="211" t="s">
        <v>1064</v>
      </c>
      <c r="M383" s="191" t="s">
        <v>747</v>
      </c>
      <c r="N383" s="693">
        <f t="shared" ref="N383:AB383" si="439">N381*LOOKUP($AD376,$AG$4:$AP$4,$AG$6:$AP$6)</f>
        <v>2.0227500000000003</v>
      </c>
      <c r="O383" s="693">
        <f t="shared" si="439"/>
        <v>0</v>
      </c>
      <c r="P383" s="693">
        <f t="shared" si="439"/>
        <v>0</v>
      </c>
      <c r="Q383" s="693">
        <f t="shared" si="439"/>
        <v>0</v>
      </c>
      <c r="R383" s="693">
        <f t="shared" si="439"/>
        <v>0</v>
      </c>
      <c r="S383" s="693">
        <f t="shared" si="439"/>
        <v>0</v>
      </c>
      <c r="T383" s="693">
        <f t="shared" si="439"/>
        <v>0</v>
      </c>
      <c r="U383" s="693">
        <f t="shared" si="439"/>
        <v>0</v>
      </c>
      <c r="V383" s="693">
        <f t="shared" si="439"/>
        <v>0</v>
      </c>
      <c r="W383" s="693">
        <f t="shared" si="439"/>
        <v>0</v>
      </c>
      <c r="X383" s="693">
        <f t="shared" si="439"/>
        <v>0</v>
      </c>
      <c r="Y383" s="693">
        <f t="shared" si="439"/>
        <v>0</v>
      </c>
      <c r="Z383" s="693">
        <f t="shared" si="439"/>
        <v>0</v>
      </c>
      <c r="AA383" s="693">
        <f t="shared" si="439"/>
        <v>0</v>
      </c>
      <c r="AB383" s="693">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3">
      <c r="B384" s="186" t="str">
        <f t="shared" si="435"/>
        <v>TFREELC100</v>
      </c>
      <c r="C384" s="186"/>
      <c r="D384" s="187"/>
      <c r="E384" s="186"/>
      <c r="F384" s="170"/>
      <c r="G384" s="189"/>
      <c r="H384" s="170"/>
      <c r="I384" s="190">
        <f>AF$7</f>
        <v>2030</v>
      </c>
      <c r="J384" s="191"/>
      <c r="K384" s="191"/>
      <c r="L384" s="211" t="s">
        <v>1064</v>
      </c>
      <c r="M384" s="191" t="s">
        <v>747</v>
      </c>
      <c r="N384" s="693">
        <f t="shared" ref="N384:AB384" si="440">N381*LOOKUP($AD376,$AG$4:$AP$4,$AG$7:$AP$7)</f>
        <v>1.3485</v>
      </c>
      <c r="O384" s="693">
        <f t="shared" si="440"/>
        <v>0</v>
      </c>
      <c r="P384" s="693">
        <f t="shared" si="440"/>
        <v>0</v>
      </c>
      <c r="Q384" s="693">
        <f t="shared" si="440"/>
        <v>0</v>
      </c>
      <c r="R384" s="693">
        <f t="shared" si="440"/>
        <v>0</v>
      </c>
      <c r="S384" s="693">
        <f t="shared" si="440"/>
        <v>0</v>
      </c>
      <c r="T384" s="693">
        <f t="shared" si="440"/>
        <v>0</v>
      </c>
      <c r="U384" s="693">
        <f t="shared" si="440"/>
        <v>0</v>
      </c>
      <c r="V384" s="693">
        <f t="shared" si="440"/>
        <v>0</v>
      </c>
      <c r="W384" s="693">
        <f t="shared" si="440"/>
        <v>0</v>
      </c>
      <c r="X384" s="693">
        <f t="shared" si="440"/>
        <v>0</v>
      </c>
      <c r="Y384" s="693">
        <f t="shared" si="440"/>
        <v>0</v>
      </c>
      <c r="Z384" s="693">
        <f t="shared" si="440"/>
        <v>0</v>
      </c>
      <c r="AA384" s="693">
        <f t="shared" si="440"/>
        <v>0</v>
      </c>
      <c r="AB384" s="693">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3">
      <c r="B385" s="186" t="str">
        <f t="shared" si="435"/>
        <v>TFREELC100</v>
      </c>
      <c r="C385" s="186"/>
      <c r="D385" s="187"/>
      <c r="E385" s="186"/>
      <c r="F385" s="170"/>
      <c r="G385" s="189"/>
      <c r="H385" s="170"/>
      <c r="I385" s="190">
        <f>AF$8</f>
        <v>2035</v>
      </c>
      <c r="J385" s="191"/>
      <c r="K385" s="191"/>
      <c r="L385" s="211" t="s">
        <v>1064</v>
      </c>
      <c r="M385" s="191" t="s">
        <v>747</v>
      </c>
      <c r="N385" s="693">
        <f t="shared" ref="N385:AB385" si="441">N381*LOOKUP($AD376,$AG$4:$AP$4,$AG$8:$AP$8)</f>
        <v>0.40455000000000002</v>
      </c>
      <c r="O385" s="693">
        <f t="shared" si="441"/>
        <v>0</v>
      </c>
      <c r="P385" s="693">
        <f t="shared" si="441"/>
        <v>0</v>
      </c>
      <c r="Q385" s="693">
        <f t="shared" si="441"/>
        <v>0</v>
      </c>
      <c r="R385" s="693">
        <f t="shared" si="441"/>
        <v>0</v>
      </c>
      <c r="S385" s="693">
        <f t="shared" si="441"/>
        <v>0</v>
      </c>
      <c r="T385" s="693">
        <f t="shared" si="441"/>
        <v>0</v>
      </c>
      <c r="U385" s="693">
        <f t="shared" si="441"/>
        <v>0</v>
      </c>
      <c r="V385" s="693">
        <f t="shared" si="441"/>
        <v>0</v>
      </c>
      <c r="W385" s="693">
        <f t="shared" si="441"/>
        <v>0</v>
      </c>
      <c r="X385" s="693">
        <f t="shared" si="441"/>
        <v>0</v>
      </c>
      <c r="Y385" s="693">
        <f t="shared" si="441"/>
        <v>0</v>
      </c>
      <c r="Z385" s="693">
        <f t="shared" si="441"/>
        <v>0</v>
      </c>
      <c r="AA385" s="693">
        <f t="shared" si="441"/>
        <v>0</v>
      </c>
      <c r="AB385" s="693">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3">
      <c r="B386" s="186" t="str">
        <f t="shared" si="435"/>
        <v>TFREELC100</v>
      </c>
      <c r="C386" s="186"/>
      <c r="D386" s="187"/>
      <c r="E386" s="186"/>
      <c r="F386" s="170"/>
      <c r="G386" s="189"/>
      <c r="H386" s="170"/>
      <c r="I386" s="190">
        <f>AF$9</f>
        <v>2040</v>
      </c>
      <c r="J386" s="191"/>
      <c r="K386" s="191"/>
      <c r="L386" s="211" t="s">
        <v>1064</v>
      </c>
      <c r="M386" s="191" t="s">
        <v>747</v>
      </c>
      <c r="N386" s="693">
        <f t="shared" ref="N386:AB386" si="442">N381*LOOKUP($AD376,$AG$4:$AP$4,$AG$9:$AP$9)</f>
        <v>1.3485E-2</v>
      </c>
      <c r="O386" s="693">
        <f t="shared" si="442"/>
        <v>0</v>
      </c>
      <c r="P386" s="693">
        <f t="shared" si="442"/>
        <v>0</v>
      </c>
      <c r="Q386" s="693">
        <f t="shared" si="442"/>
        <v>0</v>
      </c>
      <c r="R386" s="693">
        <f t="shared" si="442"/>
        <v>0</v>
      </c>
      <c r="S386" s="693">
        <f t="shared" si="442"/>
        <v>0</v>
      </c>
      <c r="T386" s="693">
        <f t="shared" si="442"/>
        <v>0</v>
      </c>
      <c r="U386" s="693">
        <f t="shared" si="442"/>
        <v>0</v>
      </c>
      <c r="V386" s="693">
        <f t="shared" si="442"/>
        <v>0</v>
      </c>
      <c r="W386" s="693">
        <f t="shared" si="442"/>
        <v>0</v>
      </c>
      <c r="X386" s="693">
        <f t="shared" si="442"/>
        <v>0</v>
      </c>
      <c r="Y386" s="693">
        <f t="shared" si="442"/>
        <v>0</v>
      </c>
      <c r="Z386" s="693">
        <f t="shared" si="442"/>
        <v>0</v>
      </c>
      <c r="AA386" s="693">
        <f t="shared" si="442"/>
        <v>0</v>
      </c>
      <c r="AB386" s="693">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3">
      <c r="B387" s="193" t="str">
        <f t="shared" si="435"/>
        <v>TFREELC100</v>
      </c>
      <c r="C387" s="193"/>
      <c r="D387" s="194"/>
      <c r="E387" s="193"/>
      <c r="F387" s="196"/>
      <c r="G387" s="195"/>
      <c r="H387" s="196"/>
      <c r="I387" s="197">
        <f>AF$10</f>
        <v>2050</v>
      </c>
      <c r="J387" s="198"/>
      <c r="K387" s="198"/>
      <c r="L387" s="212" t="s">
        <v>1064</v>
      </c>
      <c r="M387" s="198" t="s">
        <v>747</v>
      </c>
      <c r="N387" s="694">
        <f t="shared" ref="N387:AB387" si="443">N381*LOOKUP($AD376,$AG$4:$AP$4,$AG$10:$AP$10)</f>
        <v>0</v>
      </c>
      <c r="O387" s="694">
        <f t="shared" si="443"/>
        <v>0</v>
      </c>
      <c r="P387" s="694">
        <f t="shared" si="443"/>
        <v>0</v>
      </c>
      <c r="Q387" s="694">
        <f t="shared" si="443"/>
        <v>0</v>
      </c>
      <c r="R387" s="694">
        <f t="shared" si="443"/>
        <v>0</v>
      </c>
      <c r="S387" s="694">
        <f t="shared" si="443"/>
        <v>0</v>
      </c>
      <c r="T387" s="694">
        <f t="shared" si="443"/>
        <v>0</v>
      </c>
      <c r="U387" s="694">
        <f t="shared" si="443"/>
        <v>0</v>
      </c>
      <c r="V387" s="694">
        <f t="shared" si="443"/>
        <v>0</v>
      </c>
      <c r="W387" s="694">
        <f t="shared" si="443"/>
        <v>0</v>
      </c>
      <c r="X387" s="694">
        <f t="shared" si="443"/>
        <v>0</v>
      </c>
      <c r="Y387" s="694">
        <f t="shared" si="443"/>
        <v>0</v>
      </c>
      <c r="Z387" s="694">
        <f t="shared" si="443"/>
        <v>0</v>
      </c>
      <c r="AA387" s="694">
        <f t="shared" si="443"/>
        <v>0</v>
      </c>
      <c r="AB387" s="694">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3">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699" t="str">
        <f t="shared" ref="AV388:AV390" si="445">MID(E388,1,7)</f>
        <v>TRAETH</v>
      </c>
      <c r="AW388" s="567">
        <f t="shared" ref="AW388" si="446">SUM(AX388:BL388)</f>
        <v>0</v>
      </c>
    </row>
    <row r="389" spans="1:64" x14ac:dyDescent="0.3">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699" t="str">
        <f t="shared" si="445"/>
        <v/>
      </c>
      <c r="AW389" s="567"/>
      <c r="AX389" s="83"/>
      <c r="AY389" s="83"/>
      <c r="AZ389" s="83"/>
      <c r="BA389" s="83"/>
      <c r="BB389" s="83"/>
      <c r="BC389" s="83"/>
      <c r="BD389" s="83"/>
      <c r="BE389" s="83"/>
      <c r="BF389" s="83"/>
      <c r="BG389" s="83"/>
      <c r="BH389" s="83"/>
      <c r="BI389" s="83"/>
      <c r="BJ389" s="83"/>
      <c r="BK389" s="83"/>
      <c r="BL389" s="83"/>
    </row>
    <row r="390" spans="1:64" x14ac:dyDescent="0.3">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699" t="str">
        <f t="shared" si="445"/>
        <v/>
      </c>
      <c r="AW390" s="567"/>
      <c r="AX390" s="83"/>
      <c r="AY390" s="83"/>
      <c r="AZ390" s="83"/>
      <c r="BA390" s="83"/>
      <c r="BB390" s="83"/>
      <c r="BC390" s="83"/>
      <c r="BD390" s="83"/>
      <c r="BE390" s="83"/>
      <c r="BF390" s="83"/>
      <c r="BG390" s="83"/>
      <c r="BH390" s="83"/>
      <c r="BI390" s="83"/>
      <c r="BJ390" s="83"/>
      <c r="BK390" s="83"/>
      <c r="BL390" s="83"/>
    </row>
    <row r="391" spans="1:64" x14ac:dyDescent="0.3">
      <c r="A391" s="22"/>
      <c r="B391" s="186" t="str">
        <f>B390</f>
        <v>TFREETH100</v>
      </c>
      <c r="C391" s="186"/>
      <c r="D391" s="187"/>
      <c r="E391" s="186"/>
      <c r="F391" s="170"/>
      <c r="G391" s="189"/>
      <c r="H391" s="170"/>
      <c r="I391" s="190"/>
      <c r="J391" s="191"/>
      <c r="K391" s="191" t="s">
        <v>748</v>
      </c>
      <c r="L391" s="191" t="s">
        <v>1127</v>
      </c>
      <c r="M391" s="191" t="s">
        <v>1174</v>
      </c>
      <c r="N391" s="368">
        <f t="shared" ref="N391:AB391" si="448">N$25</f>
        <v>6.7</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3">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24.080939076923077</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1">
        <f>SUM(AF392:AT392)</f>
        <v>8.7028032205218455</v>
      </c>
      <c r="AF392" s="85">
        <f t="shared" ref="AF392:AT392" si="449">N391*N392*N393/1000</f>
        <v>8.7028032205218455</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3">
      <c r="A393" s="22"/>
      <c r="B393" s="186" t="str">
        <f>B392</f>
        <v>TFREETH100</v>
      </c>
      <c r="C393" s="186"/>
      <c r="D393" s="187"/>
      <c r="E393" s="186"/>
      <c r="F393" s="170"/>
      <c r="G393" s="189"/>
      <c r="H393" s="170"/>
      <c r="I393" s="190">
        <f>$M$3</f>
        <v>2019</v>
      </c>
      <c r="J393" s="191"/>
      <c r="K393" s="191"/>
      <c r="L393" s="211" t="s">
        <v>1064</v>
      </c>
      <c r="M393" s="191" t="s">
        <v>747</v>
      </c>
      <c r="N393" s="693">
        <f>LOOKUP($C$388, T_Stock_Private!$C$122:$C$133,T_Stock_Private!D$122:D$133)*(1+N345)</f>
        <v>53.94</v>
      </c>
      <c r="O393" s="693">
        <f>LOOKUP($C$388, T_Stock_Private!$C$122:$C$133,T_Stock_Private!E$122:E$133)*(1+O345)</f>
        <v>0</v>
      </c>
      <c r="P393" s="693">
        <f>LOOKUP($C$388, T_Stock_Private!$C$122:$C$133,T_Stock_Private!F$122:F$133)*(1+P345)</f>
        <v>0</v>
      </c>
      <c r="Q393" s="693">
        <f>LOOKUP($C$388, T_Stock_Private!$C$122:$C$133,T_Stock_Private!G$122:G$133)*(1+Q345)</f>
        <v>0</v>
      </c>
      <c r="R393" s="693">
        <f>LOOKUP($C$388, T_Stock_Private!$C$122:$C$133,T_Stock_Private!H$122:H$133)*(1+R345)</f>
        <v>0</v>
      </c>
      <c r="S393" s="693">
        <f>LOOKUP($C$388, T_Stock_Private!$C$122:$C$133,T_Stock_Private!I$122:I$133)*(1+S345)</f>
        <v>0</v>
      </c>
      <c r="T393" s="693">
        <f>LOOKUP($C$388, T_Stock_Private!$C$122:$C$133,T_Stock_Private!J$122:J$133)*(1+T345)</f>
        <v>0</v>
      </c>
      <c r="U393" s="693">
        <f>LOOKUP($C$388, T_Stock_Private!$C$122:$C$133,T_Stock_Private!K$122:K$133)*(1+U345)</f>
        <v>0</v>
      </c>
      <c r="V393" s="693">
        <f>LOOKUP($C$388, T_Stock_Private!$C$122:$C$133,T_Stock_Private!L$122:L$133)*(1+V345)</f>
        <v>0</v>
      </c>
      <c r="W393" s="693">
        <f>LOOKUP($C$388, T_Stock_Private!$C$122:$C$133,T_Stock_Private!M$122:M$133)*(1+W345)</f>
        <v>0</v>
      </c>
      <c r="X393" s="693">
        <f>LOOKUP($C$388, T_Stock_Private!$C$122:$C$133,T_Stock_Private!N$122:N$133)*(1+X345)</f>
        <v>0</v>
      </c>
      <c r="Y393" s="693">
        <f>LOOKUP($C$388, T_Stock_Private!$C$122:$C$133,T_Stock_Private!O$122:O$133)*(1+Y345)</f>
        <v>0</v>
      </c>
      <c r="Z393" s="693">
        <f>LOOKUP($C$388, T_Stock_Private!$C$122:$C$133,T_Stock_Private!P$122:P$133)*(1+Z345)</f>
        <v>0</v>
      </c>
      <c r="AA393" s="693">
        <f>LOOKUP($C$388, T_Stock_Private!$C$122:$C$133,T_Stock_Private!Q$122:Q$133)*(1+AA345)</f>
        <v>0</v>
      </c>
      <c r="AB393" s="693">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3">
      <c r="A394" s="22"/>
      <c r="B394" s="186" t="str">
        <f t="shared" si="447"/>
        <v>TFREETH100</v>
      </c>
      <c r="C394" s="186"/>
      <c r="D394" s="187"/>
      <c r="E394" s="186"/>
      <c r="F394" s="170"/>
      <c r="G394" s="189"/>
      <c r="H394" s="170"/>
      <c r="I394" s="190">
        <f>AF$5</f>
        <v>2020</v>
      </c>
      <c r="J394" s="191"/>
      <c r="K394" s="191"/>
      <c r="L394" s="211" t="s">
        <v>1064</v>
      </c>
      <c r="M394" s="191" t="s">
        <v>747</v>
      </c>
      <c r="N394" s="693">
        <f t="shared" ref="N394:AB394" si="450">N393*LOOKUP($AD388,$AG$4:$AP$4,$AG$5:$AP$5)</f>
        <v>51.242999999999995</v>
      </c>
      <c r="O394" s="693">
        <f t="shared" si="450"/>
        <v>0</v>
      </c>
      <c r="P394" s="693">
        <f t="shared" si="450"/>
        <v>0</v>
      </c>
      <c r="Q394" s="693">
        <f t="shared" si="450"/>
        <v>0</v>
      </c>
      <c r="R394" s="693">
        <f t="shared" si="450"/>
        <v>0</v>
      </c>
      <c r="S394" s="693">
        <f t="shared" si="450"/>
        <v>0</v>
      </c>
      <c r="T394" s="693">
        <f t="shared" si="450"/>
        <v>0</v>
      </c>
      <c r="U394" s="693">
        <f t="shared" si="450"/>
        <v>0</v>
      </c>
      <c r="V394" s="693">
        <f t="shared" si="450"/>
        <v>0</v>
      </c>
      <c r="W394" s="693">
        <f t="shared" si="450"/>
        <v>0</v>
      </c>
      <c r="X394" s="693">
        <f t="shared" si="450"/>
        <v>0</v>
      </c>
      <c r="Y394" s="693">
        <f t="shared" si="450"/>
        <v>0</v>
      </c>
      <c r="Z394" s="693">
        <f t="shared" si="450"/>
        <v>0</v>
      </c>
      <c r="AA394" s="693">
        <f t="shared" si="450"/>
        <v>0</v>
      </c>
      <c r="AB394" s="693">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3">
      <c r="A395" s="22"/>
      <c r="B395" s="186" t="str">
        <f t="shared" si="447"/>
        <v>TFREETH100</v>
      </c>
      <c r="C395" s="186"/>
      <c r="D395" s="187"/>
      <c r="E395" s="186"/>
      <c r="F395" s="170"/>
      <c r="G395" s="189"/>
      <c r="H395" s="170"/>
      <c r="I395" s="190">
        <f>AF$6</f>
        <v>2025</v>
      </c>
      <c r="J395" s="191"/>
      <c r="K395" s="191"/>
      <c r="L395" s="211" t="s">
        <v>1064</v>
      </c>
      <c r="M395" s="191" t="s">
        <v>747</v>
      </c>
      <c r="N395" s="693">
        <f t="shared" ref="N395:AB395" si="451">N393*LOOKUP($AD388,$AG$4:$AP$4,$AG$6:$AP$6)</f>
        <v>37.757999999999996</v>
      </c>
      <c r="O395" s="693">
        <f t="shared" si="451"/>
        <v>0</v>
      </c>
      <c r="P395" s="693">
        <f t="shared" si="451"/>
        <v>0</v>
      </c>
      <c r="Q395" s="693">
        <f t="shared" si="451"/>
        <v>0</v>
      </c>
      <c r="R395" s="693">
        <f t="shared" si="451"/>
        <v>0</v>
      </c>
      <c r="S395" s="693">
        <f t="shared" si="451"/>
        <v>0</v>
      </c>
      <c r="T395" s="693">
        <f t="shared" si="451"/>
        <v>0</v>
      </c>
      <c r="U395" s="693">
        <f t="shared" si="451"/>
        <v>0</v>
      </c>
      <c r="V395" s="693">
        <f t="shared" si="451"/>
        <v>0</v>
      </c>
      <c r="W395" s="693">
        <f t="shared" si="451"/>
        <v>0</v>
      </c>
      <c r="X395" s="693">
        <f t="shared" si="451"/>
        <v>0</v>
      </c>
      <c r="Y395" s="693">
        <f t="shared" si="451"/>
        <v>0</v>
      </c>
      <c r="Z395" s="693">
        <f t="shared" si="451"/>
        <v>0</v>
      </c>
      <c r="AA395" s="693">
        <f t="shared" si="451"/>
        <v>0</v>
      </c>
      <c r="AB395" s="693">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3">
      <c r="A396" s="22"/>
      <c r="B396" s="186" t="str">
        <f t="shared" si="447"/>
        <v>TFREETH100</v>
      </c>
      <c r="C396" s="186"/>
      <c r="D396" s="186"/>
      <c r="E396" s="186"/>
      <c r="F396" s="170"/>
      <c r="G396" s="189"/>
      <c r="H396" s="170"/>
      <c r="I396" s="190">
        <f>AF$7</f>
        <v>2030</v>
      </c>
      <c r="J396" s="191"/>
      <c r="K396" s="191"/>
      <c r="L396" s="211" t="s">
        <v>1064</v>
      </c>
      <c r="M396" s="191" t="s">
        <v>747</v>
      </c>
      <c r="N396" s="693">
        <f t="shared" ref="N396:AB396" si="452">N393*LOOKUP($AD388,$AG$4:$AP$4,$AG$7:$AP$7)</f>
        <v>21.576000000000001</v>
      </c>
      <c r="O396" s="693">
        <f t="shared" si="452"/>
        <v>0</v>
      </c>
      <c r="P396" s="693">
        <f t="shared" si="452"/>
        <v>0</v>
      </c>
      <c r="Q396" s="693">
        <f t="shared" si="452"/>
        <v>0</v>
      </c>
      <c r="R396" s="693">
        <f t="shared" si="452"/>
        <v>0</v>
      </c>
      <c r="S396" s="693">
        <f t="shared" si="452"/>
        <v>0</v>
      </c>
      <c r="T396" s="693">
        <f t="shared" si="452"/>
        <v>0</v>
      </c>
      <c r="U396" s="693">
        <f t="shared" si="452"/>
        <v>0</v>
      </c>
      <c r="V396" s="693">
        <f t="shared" si="452"/>
        <v>0</v>
      </c>
      <c r="W396" s="693">
        <f t="shared" si="452"/>
        <v>0</v>
      </c>
      <c r="X396" s="693">
        <f t="shared" si="452"/>
        <v>0</v>
      </c>
      <c r="Y396" s="693">
        <f t="shared" si="452"/>
        <v>0</v>
      </c>
      <c r="Z396" s="693">
        <f t="shared" si="452"/>
        <v>0</v>
      </c>
      <c r="AA396" s="693">
        <f t="shared" si="452"/>
        <v>0</v>
      </c>
      <c r="AB396" s="693">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3">
      <c r="A397" s="22"/>
      <c r="B397" s="186" t="str">
        <f t="shared" si="447"/>
        <v>TFREETH100</v>
      </c>
      <c r="C397" s="186"/>
      <c r="D397" s="186"/>
      <c r="E397" s="186"/>
      <c r="F397" s="170"/>
      <c r="G397" s="189"/>
      <c r="H397" s="170"/>
      <c r="I397" s="190">
        <f>AF$8</f>
        <v>2035</v>
      </c>
      <c r="J397" s="191"/>
      <c r="K397" s="191"/>
      <c r="L397" s="211" t="s">
        <v>1064</v>
      </c>
      <c r="M397" s="191" t="s">
        <v>747</v>
      </c>
      <c r="N397" s="693">
        <f t="shared" ref="N397:AB397" si="453">N393*LOOKUP($AD388,$AG$4:$AP$4,$AG$8:$AP$8)</f>
        <v>8.0909999999999993</v>
      </c>
      <c r="O397" s="693">
        <f t="shared" si="453"/>
        <v>0</v>
      </c>
      <c r="P397" s="693">
        <f t="shared" si="453"/>
        <v>0</v>
      </c>
      <c r="Q397" s="693">
        <f t="shared" si="453"/>
        <v>0</v>
      </c>
      <c r="R397" s="693">
        <f t="shared" si="453"/>
        <v>0</v>
      </c>
      <c r="S397" s="693">
        <f t="shared" si="453"/>
        <v>0</v>
      </c>
      <c r="T397" s="693">
        <f t="shared" si="453"/>
        <v>0</v>
      </c>
      <c r="U397" s="693">
        <f t="shared" si="453"/>
        <v>0</v>
      </c>
      <c r="V397" s="693">
        <f t="shared" si="453"/>
        <v>0</v>
      </c>
      <c r="W397" s="693">
        <f t="shared" si="453"/>
        <v>0</v>
      </c>
      <c r="X397" s="693">
        <f t="shared" si="453"/>
        <v>0</v>
      </c>
      <c r="Y397" s="693">
        <f t="shared" si="453"/>
        <v>0</v>
      </c>
      <c r="Z397" s="693">
        <f t="shared" si="453"/>
        <v>0</v>
      </c>
      <c r="AA397" s="693">
        <f t="shared" si="453"/>
        <v>0</v>
      </c>
      <c r="AB397" s="693">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3">
      <c r="A398" s="22"/>
      <c r="B398" s="186" t="str">
        <f t="shared" si="447"/>
        <v>TFREETH100</v>
      </c>
      <c r="C398" s="186"/>
      <c r="D398" s="186"/>
      <c r="E398" s="186"/>
      <c r="F398" s="170"/>
      <c r="G398" s="189"/>
      <c r="H398" s="170"/>
      <c r="I398" s="190">
        <f>AF$9</f>
        <v>2040</v>
      </c>
      <c r="J398" s="191"/>
      <c r="K398" s="191"/>
      <c r="L398" s="211" t="s">
        <v>1064</v>
      </c>
      <c r="M398" s="191" t="s">
        <v>747</v>
      </c>
      <c r="N398" s="693">
        <f t="shared" ref="N398:AB398" si="454">N393*LOOKUP($AD388,$AG$4:$AP$4,$AG$9:$AP$9)</f>
        <v>0.2697</v>
      </c>
      <c r="O398" s="693">
        <f t="shared" si="454"/>
        <v>0</v>
      </c>
      <c r="P398" s="693">
        <f t="shared" si="454"/>
        <v>0</v>
      </c>
      <c r="Q398" s="693">
        <f t="shared" si="454"/>
        <v>0</v>
      </c>
      <c r="R398" s="693">
        <f t="shared" si="454"/>
        <v>0</v>
      </c>
      <c r="S398" s="693">
        <f t="shared" si="454"/>
        <v>0</v>
      </c>
      <c r="T398" s="693">
        <f t="shared" si="454"/>
        <v>0</v>
      </c>
      <c r="U398" s="693">
        <f t="shared" si="454"/>
        <v>0</v>
      </c>
      <c r="V398" s="693">
        <f t="shared" si="454"/>
        <v>0</v>
      </c>
      <c r="W398" s="693">
        <f t="shared" si="454"/>
        <v>0</v>
      </c>
      <c r="X398" s="693">
        <f t="shared" si="454"/>
        <v>0</v>
      </c>
      <c r="Y398" s="693">
        <f t="shared" si="454"/>
        <v>0</v>
      </c>
      <c r="Z398" s="693">
        <f t="shared" si="454"/>
        <v>0</v>
      </c>
      <c r="AA398" s="693">
        <f t="shared" si="454"/>
        <v>0</v>
      </c>
      <c r="AB398" s="693">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3">
      <c r="A399" s="22"/>
      <c r="B399" s="193" t="str">
        <f t="shared" si="447"/>
        <v>TFREETH100</v>
      </c>
      <c r="C399" s="193"/>
      <c r="D399" s="193"/>
      <c r="E399" s="193"/>
      <c r="F399" s="196"/>
      <c r="G399" s="195"/>
      <c r="H399" s="196"/>
      <c r="I399" s="197">
        <f>AF$10</f>
        <v>2050</v>
      </c>
      <c r="J399" s="198"/>
      <c r="K399" s="198"/>
      <c r="L399" s="212" t="s">
        <v>1064</v>
      </c>
      <c r="M399" s="198" t="s">
        <v>747</v>
      </c>
      <c r="N399" s="694">
        <f t="shared" ref="N399:AB399" si="455">N393*LOOKUP($AD388,$AG$4:$AP$4,$AG$10:$AP$10)</f>
        <v>0</v>
      </c>
      <c r="O399" s="694">
        <f t="shared" si="455"/>
        <v>0</v>
      </c>
      <c r="P399" s="694">
        <f t="shared" si="455"/>
        <v>0</v>
      </c>
      <c r="Q399" s="694">
        <f t="shared" si="455"/>
        <v>0</v>
      </c>
      <c r="R399" s="694">
        <f t="shared" si="455"/>
        <v>0</v>
      </c>
      <c r="S399" s="694">
        <f t="shared" si="455"/>
        <v>0</v>
      </c>
      <c r="T399" s="694">
        <f t="shared" si="455"/>
        <v>0</v>
      </c>
      <c r="U399" s="694">
        <f t="shared" si="455"/>
        <v>0</v>
      </c>
      <c r="V399" s="694">
        <f t="shared" si="455"/>
        <v>0</v>
      </c>
      <c r="W399" s="694">
        <f t="shared" si="455"/>
        <v>0</v>
      </c>
      <c r="X399" s="694">
        <f t="shared" si="455"/>
        <v>0</v>
      </c>
      <c r="Y399" s="694">
        <f t="shared" si="455"/>
        <v>0</v>
      </c>
      <c r="Z399" s="694">
        <f t="shared" si="455"/>
        <v>0</v>
      </c>
      <c r="AA399" s="694">
        <f t="shared" si="455"/>
        <v>0</v>
      </c>
      <c r="AB399" s="694">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3">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699" t="str">
        <f t="shared" ref="AV400" si="457">MID(E400,1,7)</f>
        <v>TRABGS</v>
      </c>
      <c r="AW400" s="567">
        <f t="shared" ref="AW400" si="458">SUM(AX400:BL400)</f>
        <v>132.80829397763088</v>
      </c>
      <c r="AX400" s="720">
        <f>N$405*N$406*(1-N401)/N$403/1000</f>
        <v>132.80829397763088</v>
      </c>
      <c r="AY400" s="720">
        <f t="shared" ref="AY400:BL400" si="459">O$405*O$406*(1-O401)/O$403/1000</f>
        <v>0</v>
      </c>
      <c r="AZ400" s="720">
        <f t="shared" si="459"/>
        <v>0</v>
      </c>
      <c r="BA400" s="720">
        <f t="shared" si="459"/>
        <v>0</v>
      </c>
      <c r="BB400" s="720">
        <f t="shared" si="459"/>
        <v>0</v>
      </c>
      <c r="BC400" s="720">
        <f t="shared" si="459"/>
        <v>0</v>
      </c>
      <c r="BD400" s="720">
        <f t="shared" si="459"/>
        <v>0</v>
      </c>
      <c r="BE400" s="720">
        <f t="shared" si="459"/>
        <v>0</v>
      </c>
      <c r="BF400" s="720">
        <f t="shared" si="459"/>
        <v>0</v>
      </c>
      <c r="BG400" s="720">
        <f t="shared" si="459"/>
        <v>0</v>
      </c>
      <c r="BH400" s="720">
        <f t="shared" si="459"/>
        <v>0</v>
      </c>
      <c r="BI400" s="720">
        <f t="shared" si="459"/>
        <v>0</v>
      </c>
      <c r="BJ400" s="720">
        <f t="shared" si="459"/>
        <v>0</v>
      </c>
      <c r="BK400" s="720">
        <f t="shared" si="459"/>
        <v>0</v>
      </c>
      <c r="BL400" s="720">
        <f t="shared" si="459"/>
        <v>0</v>
      </c>
    </row>
    <row r="401" spans="1:64" x14ac:dyDescent="0.3">
      <c r="A401" s="22"/>
      <c r="B401" s="186" t="str">
        <f>B400</f>
        <v>TFREGAS100</v>
      </c>
      <c r="C401" s="186"/>
      <c r="D401" s="187"/>
      <c r="E401" s="258" t="s">
        <v>1038</v>
      </c>
      <c r="F401" s="170"/>
      <c r="G401" s="188"/>
      <c r="H401" s="170"/>
      <c r="I401" s="190"/>
      <c r="J401" s="191" t="s">
        <v>1156</v>
      </c>
      <c r="K401" s="191"/>
      <c r="L401" s="211" t="s">
        <v>101</v>
      </c>
      <c r="M401" s="191"/>
      <c r="N401" s="377">
        <f t="shared" ref="N401:AB401" si="460">1-N27</f>
        <v>5.0000000000000044E-2</v>
      </c>
      <c r="O401" s="377">
        <f t="shared" si="460"/>
        <v>5.0000000000000044E-2</v>
      </c>
      <c r="P401" s="377">
        <f t="shared" si="460"/>
        <v>5.0000000000000044E-2</v>
      </c>
      <c r="Q401" s="377">
        <f t="shared" si="460"/>
        <v>5.0000000000000044E-2</v>
      </c>
      <c r="R401" s="377">
        <f t="shared" si="460"/>
        <v>5.0000000000000044E-2</v>
      </c>
      <c r="S401" s="377">
        <f t="shared" si="460"/>
        <v>5.0000000000000044E-2</v>
      </c>
      <c r="T401" s="377">
        <f t="shared" si="460"/>
        <v>5.0000000000000044E-2</v>
      </c>
      <c r="U401" s="377">
        <f t="shared" si="460"/>
        <v>5.0000000000000044E-2</v>
      </c>
      <c r="V401" s="377">
        <f t="shared" si="460"/>
        <v>5.0000000000000044E-2</v>
      </c>
      <c r="W401" s="377">
        <f t="shared" si="460"/>
        <v>5.0000000000000044E-2</v>
      </c>
      <c r="X401" s="377">
        <f t="shared" si="460"/>
        <v>5.0000000000000044E-2</v>
      </c>
      <c r="Y401" s="377">
        <f t="shared" si="460"/>
        <v>5.0000000000000044E-2</v>
      </c>
      <c r="Z401" s="377">
        <f t="shared" si="460"/>
        <v>5.0000000000000044E-2</v>
      </c>
      <c r="AA401" s="377">
        <f t="shared" si="460"/>
        <v>5.0000000000000044E-2</v>
      </c>
      <c r="AB401" s="377">
        <f t="shared" si="460"/>
        <v>5.0000000000000044E-2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699" t="str">
        <f t="shared" ref="AV401:AV403" si="461">MID(E401,1,7)</f>
        <v>TRANGS</v>
      </c>
      <c r="AW401" s="567">
        <f t="shared" ref="AW401" si="462">SUM(AX401:BL401)</f>
        <v>6.9899102093490004</v>
      </c>
      <c r="AX401" s="720">
        <f>N$405*N$406*N401/N$403/1000</f>
        <v>6.9899102093490004</v>
      </c>
      <c r="AY401" s="720">
        <f t="shared" ref="AY401:BL401" si="463">O$405*O$406*O401/O$403/1000</f>
        <v>0</v>
      </c>
      <c r="AZ401" s="720">
        <f t="shared" si="463"/>
        <v>0</v>
      </c>
      <c r="BA401" s="720">
        <f t="shared" si="463"/>
        <v>0</v>
      </c>
      <c r="BB401" s="720">
        <f t="shared" si="463"/>
        <v>0</v>
      </c>
      <c r="BC401" s="720">
        <f t="shared" si="463"/>
        <v>0</v>
      </c>
      <c r="BD401" s="720">
        <f t="shared" si="463"/>
        <v>0</v>
      </c>
      <c r="BE401" s="720">
        <f t="shared" si="463"/>
        <v>0</v>
      </c>
      <c r="BF401" s="720">
        <f t="shared" si="463"/>
        <v>0</v>
      </c>
      <c r="BG401" s="720">
        <f t="shared" si="463"/>
        <v>0</v>
      </c>
      <c r="BH401" s="720">
        <f t="shared" si="463"/>
        <v>0</v>
      </c>
      <c r="BI401" s="720">
        <f t="shared" si="463"/>
        <v>0</v>
      </c>
      <c r="BJ401" s="720">
        <f t="shared" si="463"/>
        <v>0</v>
      </c>
      <c r="BK401" s="720">
        <f t="shared" si="463"/>
        <v>0</v>
      </c>
      <c r="BL401" s="720">
        <f t="shared" si="463"/>
        <v>0</v>
      </c>
    </row>
    <row r="402" spans="1:64" x14ac:dyDescent="0.3">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699" t="str">
        <f t="shared" si="461"/>
        <v/>
      </c>
      <c r="AW402" s="567"/>
      <c r="AX402" s="83"/>
      <c r="AY402" s="83"/>
      <c r="AZ402" s="83"/>
      <c r="BA402" s="83"/>
      <c r="BB402" s="83"/>
      <c r="BC402" s="83"/>
      <c r="BD402" s="83"/>
      <c r="BE402" s="83"/>
      <c r="BF402" s="83"/>
      <c r="BG402" s="83"/>
      <c r="BH402" s="83"/>
      <c r="BI402" s="83"/>
      <c r="BJ402" s="83"/>
      <c r="BK402" s="83"/>
      <c r="BL402" s="83"/>
    </row>
    <row r="403" spans="1:64" x14ac:dyDescent="0.3">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699" t="str">
        <f t="shared" si="461"/>
        <v/>
      </c>
      <c r="AW403" s="567"/>
      <c r="AX403" s="83"/>
      <c r="AY403" s="83"/>
      <c r="AZ403" s="83"/>
      <c r="BA403" s="83"/>
      <c r="BB403" s="83"/>
      <c r="BC403" s="83"/>
      <c r="BD403" s="83"/>
      <c r="BE403" s="83"/>
      <c r="BF403" s="83"/>
      <c r="BG403" s="83"/>
      <c r="BH403" s="83"/>
      <c r="BI403" s="83"/>
      <c r="BJ403" s="83"/>
      <c r="BK403" s="83"/>
      <c r="BL403" s="83"/>
    </row>
    <row r="404" spans="1:64" x14ac:dyDescent="0.3">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6.7</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3">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23.614928042553192</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1">
        <f>SUM(AF405:AT405)</f>
        <v>42.814178619691901</v>
      </c>
      <c r="AF405" s="85">
        <f t="shared" ref="AF405:AT405" si="466">N404*N405*N406/1000</f>
        <v>42.814178619691901</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3">
      <c r="A406" s="22"/>
      <c r="B406" s="186" t="str">
        <f t="shared" si="464"/>
        <v>TFREGAS100</v>
      </c>
      <c r="C406" s="186"/>
      <c r="D406" s="187"/>
      <c r="E406" s="186"/>
      <c r="F406" s="170"/>
      <c r="G406" s="189"/>
      <c r="H406" s="170"/>
      <c r="I406" s="190">
        <f>$M$3</f>
        <v>2019</v>
      </c>
      <c r="J406" s="191"/>
      <c r="K406" s="191"/>
      <c r="L406" s="211" t="s">
        <v>1064</v>
      </c>
      <c r="M406" s="191" t="s">
        <v>747</v>
      </c>
      <c r="N406" s="693">
        <f>LOOKUP($C$400, T_Stock_Private!$C$122:$C$133,T_Stock_Private!D$122:D$133)*(1+N345)</f>
        <v>270.59899999999999</v>
      </c>
      <c r="O406" s="693">
        <f>LOOKUP($C$400, T_Stock_Private!$C$122:$C$133,T_Stock_Private!E$122:E$133)*(1+O345)</f>
        <v>0</v>
      </c>
      <c r="P406" s="693">
        <f>LOOKUP($C$400, T_Stock_Private!$C$122:$C$133,T_Stock_Private!F$122:F$133)*(1+P345)</f>
        <v>0</v>
      </c>
      <c r="Q406" s="693">
        <f>LOOKUP($C$400, T_Stock_Private!$C$122:$C$133,T_Stock_Private!G$122:G$133)*(1+Q345)</f>
        <v>0</v>
      </c>
      <c r="R406" s="693">
        <f>LOOKUP($C$400, T_Stock_Private!$C$122:$C$133,T_Stock_Private!H$122:H$133)*(1+R345)</f>
        <v>0</v>
      </c>
      <c r="S406" s="693">
        <f>LOOKUP($C$400, T_Stock_Private!$C$122:$C$133,T_Stock_Private!I$122:I$133)*(1+S345)</f>
        <v>0</v>
      </c>
      <c r="T406" s="693">
        <f>LOOKUP($C$400, T_Stock_Private!$C$122:$C$133,T_Stock_Private!J$122:J$133)*(1+T345)</f>
        <v>0</v>
      </c>
      <c r="U406" s="693">
        <f>LOOKUP($C$400, T_Stock_Private!$C$122:$C$133,T_Stock_Private!K$122:K$133)*(1+U345)</f>
        <v>0</v>
      </c>
      <c r="V406" s="693">
        <f>LOOKUP($C$400, T_Stock_Private!$C$122:$C$133,T_Stock_Private!L$122:L$133)*(1+V345)</f>
        <v>0</v>
      </c>
      <c r="W406" s="693">
        <f>LOOKUP($C$400, T_Stock_Private!$C$122:$C$133,T_Stock_Private!M$122:M$133)*(1+W345)</f>
        <v>0</v>
      </c>
      <c r="X406" s="693">
        <f>LOOKUP($C$400, T_Stock_Private!$C$122:$C$133,T_Stock_Private!N$122:N$133)*(1+X345)</f>
        <v>0</v>
      </c>
      <c r="Y406" s="693">
        <f>LOOKUP($C$400, T_Stock_Private!$C$122:$C$133,T_Stock_Private!O$122:O$133)*(1+Y345)</f>
        <v>0</v>
      </c>
      <c r="Z406" s="693">
        <f>LOOKUP($C$400, T_Stock_Private!$C$122:$C$133,T_Stock_Private!P$122:P$133)*(1+Z345)</f>
        <v>0</v>
      </c>
      <c r="AA406" s="693">
        <f>LOOKUP($C$400, T_Stock_Private!$C$122:$C$133,T_Stock_Private!Q$122:Q$133)*(1+AA345)</f>
        <v>0</v>
      </c>
      <c r="AB406" s="693">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3">
      <c r="A407" s="22"/>
      <c r="B407" s="186" t="str">
        <f t="shared" si="464"/>
        <v>TFREGAS100</v>
      </c>
      <c r="C407" s="186"/>
      <c r="D407" s="187"/>
      <c r="E407" s="186"/>
      <c r="F407" s="170"/>
      <c r="G407" s="189"/>
      <c r="H407" s="170"/>
      <c r="I407" s="190">
        <f>AF$5</f>
        <v>2020</v>
      </c>
      <c r="J407" s="191"/>
      <c r="K407" s="191"/>
      <c r="L407" s="211" t="s">
        <v>1064</v>
      </c>
      <c r="M407" s="191" t="s">
        <v>747</v>
      </c>
      <c r="N407" s="693">
        <f t="shared" ref="N407:AB407" si="467">N406*LOOKUP($AD400,$AG$4:$AP$4,$AG$5:$AP$5)</f>
        <v>257.06905</v>
      </c>
      <c r="O407" s="693">
        <f t="shared" si="467"/>
        <v>0</v>
      </c>
      <c r="P407" s="693">
        <f t="shared" si="467"/>
        <v>0</v>
      </c>
      <c r="Q407" s="693">
        <f t="shared" si="467"/>
        <v>0</v>
      </c>
      <c r="R407" s="693">
        <f t="shared" si="467"/>
        <v>0</v>
      </c>
      <c r="S407" s="693">
        <f t="shared" si="467"/>
        <v>0</v>
      </c>
      <c r="T407" s="693">
        <f t="shared" si="467"/>
        <v>0</v>
      </c>
      <c r="U407" s="693">
        <f t="shared" si="467"/>
        <v>0</v>
      </c>
      <c r="V407" s="693">
        <f t="shared" si="467"/>
        <v>0</v>
      </c>
      <c r="W407" s="693">
        <f t="shared" si="467"/>
        <v>0</v>
      </c>
      <c r="X407" s="693">
        <f t="shared" si="467"/>
        <v>0</v>
      </c>
      <c r="Y407" s="693">
        <f t="shared" si="467"/>
        <v>0</v>
      </c>
      <c r="Z407" s="693">
        <f t="shared" si="467"/>
        <v>0</v>
      </c>
      <c r="AA407" s="693">
        <f t="shared" si="467"/>
        <v>0</v>
      </c>
      <c r="AB407" s="693">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3">
      <c r="A408" s="22"/>
      <c r="B408" s="186" t="str">
        <f t="shared" si="464"/>
        <v>TFREGAS100</v>
      </c>
      <c r="C408" s="186"/>
      <c r="D408" s="186"/>
      <c r="E408" s="186"/>
      <c r="F408" s="170"/>
      <c r="G408" s="189"/>
      <c r="H408" s="170"/>
      <c r="I408" s="190">
        <f>AF$6</f>
        <v>2025</v>
      </c>
      <c r="J408" s="191"/>
      <c r="K408" s="191"/>
      <c r="L408" s="211" t="s">
        <v>1064</v>
      </c>
      <c r="M408" s="191" t="s">
        <v>747</v>
      </c>
      <c r="N408" s="693">
        <f t="shared" ref="N408:AB408" si="468">N406*LOOKUP($AD400,$AG$4:$AP$4,$AG$6:$AP$6)</f>
        <v>189.41929999999999</v>
      </c>
      <c r="O408" s="693">
        <f t="shared" si="468"/>
        <v>0</v>
      </c>
      <c r="P408" s="693">
        <f t="shared" si="468"/>
        <v>0</v>
      </c>
      <c r="Q408" s="693">
        <f t="shared" si="468"/>
        <v>0</v>
      </c>
      <c r="R408" s="693">
        <f t="shared" si="468"/>
        <v>0</v>
      </c>
      <c r="S408" s="693">
        <f t="shared" si="468"/>
        <v>0</v>
      </c>
      <c r="T408" s="693">
        <f t="shared" si="468"/>
        <v>0</v>
      </c>
      <c r="U408" s="693">
        <f t="shared" si="468"/>
        <v>0</v>
      </c>
      <c r="V408" s="693">
        <f t="shared" si="468"/>
        <v>0</v>
      </c>
      <c r="W408" s="693">
        <f t="shared" si="468"/>
        <v>0</v>
      </c>
      <c r="X408" s="693">
        <f t="shared" si="468"/>
        <v>0</v>
      </c>
      <c r="Y408" s="693">
        <f t="shared" si="468"/>
        <v>0</v>
      </c>
      <c r="Z408" s="693">
        <f t="shared" si="468"/>
        <v>0</v>
      </c>
      <c r="AA408" s="693">
        <f t="shared" si="468"/>
        <v>0</v>
      </c>
      <c r="AB408" s="693">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3">
      <c r="A409" s="22"/>
      <c r="B409" s="186" t="str">
        <f t="shared" si="464"/>
        <v>TFREGAS100</v>
      </c>
      <c r="C409" s="186"/>
      <c r="D409" s="186"/>
      <c r="E409" s="186"/>
      <c r="F409" s="170"/>
      <c r="G409" s="189"/>
      <c r="H409" s="170"/>
      <c r="I409" s="190">
        <f>AF$7</f>
        <v>2030</v>
      </c>
      <c r="J409" s="191"/>
      <c r="K409" s="191"/>
      <c r="L409" s="211" t="s">
        <v>1064</v>
      </c>
      <c r="M409" s="191" t="s">
        <v>747</v>
      </c>
      <c r="N409" s="693">
        <f t="shared" ref="N409:AB409" si="469">N406*LOOKUP($AD400,$AG$4:$AP$4,$AG$7:$AP$7)</f>
        <v>108.2396</v>
      </c>
      <c r="O409" s="693">
        <f t="shared" si="469"/>
        <v>0</v>
      </c>
      <c r="P409" s="693">
        <f t="shared" si="469"/>
        <v>0</v>
      </c>
      <c r="Q409" s="693">
        <f t="shared" si="469"/>
        <v>0</v>
      </c>
      <c r="R409" s="693">
        <f t="shared" si="469"/>
        <v>0</v>
      </c>
      <c r="S409" s="693">
        <f t="shared" si="469"/>
        <v>0</v>
      </c>
      <c r="T409" s="693">
        <f t="shared" si="469"/>
        <v>0</v>
      </c>
      <c r="U409" s="693">
        <f t="shared" si="469"/>
        <v>0</v>
      </c>
      <c r="V409" s="693">
        <f t="shared" si="469"/>
        <v>0</v>
      </c>
      <c r="W409" s="693">
        <f t="shared" si="469"/>
        <v>0</v>
      </c>
      <c r="X409" s="693">
        <f t="shared" si="469"/>
        <v>0</v>
      </c>
      <c r="Y409" s="693">
        <f t="shared" si="469"/>
        <v>0</v>
      </c>
      <c r="Z409" s="693">
        <f t="shared" si="469"/>
        <v>0</v>
      </c>
      <c r="AA409" s="693">
        <f t="shared" si="469"/>
        <v>0</v>
      </c>
      <c r="AB409" s="693">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3">
      <c r="A410" s="22"/>
      <c r="B410" s="186" t="str">
        <f t="shared" si="464"/>
        <v>TFREGAS100</v>
      </c>
      <c r="C410" s="186"/>
      <c r="D410" s="186"/>
      <c r="E410" s="186"/>
      <c r="F410" s="170"/>
      <c r="G410" s="189"/>
      <c r="H410" s="170"/>
      <c r="I410" s="190">
        <f>AF$8</f>
        <v>2035</v>
      </c>
      <c r="J410" s="191"/>
      <c r="K410" s="191"/>
      <c r="L410" s="211" t="s">
        <v>1064</v>
      </c>
      <c r="M410" s="191" t="s">
        <v>747</v>
      </c>
      <c r="N410" s="693">
        <f t="shared" ref="N410:AB410" si="470">N406*LOOKUP($AD400,$AG$4:$AP$4,$AG$8:$AP$8)</f>
        <v>40.589849999999998</v>
      </c>
      <c r="O410" s="693">
        <f t="shared" si="470"/>
        <v>0</v>
      </c>
      <c r="P410" s="693">
        <f t="shared" si="470"/>
        <v>0</v>
      </c>
      <c r="Q410" s="693">
        <f t="shared" si="470"/>
        <v>0</v>
      </c>
      <c r="R410" s="693">
        <f t="shared" si="470"/>
        <v>0</v>
      </c>
      <c r="S410" s="693">
        <f t="shared" si="470"/>
        <v>0</v>
      </c>
      <c r="T410" s="693">
        <f t="shared" si="470"/>
        <v>0</v>
      </c>
      <c r="U410" s="693">
        <f t="shared" si="470"/>
        <v>0</v>
      </c>
      <c r="V410" s="693">
        <f t="shared" si="470"/>
        <v>0</v>
      </c>
      <c r="W410" s="693">
        <f t="shared" si="470"/>
        <v>0</v>
      </c>
      <c r="X410" s="693">
        <f t="shared" si="470"/>
        <v>0</v>
      </c>
      <c r="Y410" s="693">
        <f t="shared" si="470"/>
        <v>0</v>
      </c>
      <c r="Z410" s="693">
        <f t="shared" si="470"/>
        <v>0</v>
      </c>
      <c r="AA410" s="693">
        <f t="shared" si="470"/>
        <v>0</v>
      </c>
      <c r="AB410" s="693">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3">
      <c r="A411" s="22"/>
      <c r="B411" s="186" t="str">
        <f t="shared" si="464"/>
        <v>TFREGAS100</v>
      </c>
      <c r="C411" s="186"/>
      <c r="D411" s="186"/>
      <c r="E411" s="186"/>
      <c r="F411" s="170"/>
      <c r="G411" s="189"/>
      <c r="H411" s="170"/>
      <c r="I411" s="190">
        <f>AF$9</f>
        <v>2040</v>
      </c>
      <c r="J411" s="191"/>
      <c r="K411" s="191"/>
      <c r="L411" s="211" t="s">
        <v>1064</v>
      </c>
      <c r="M411" s="191" t="s">
        <v>747</v>
      </c>
      <c r="N411" s="693">
        <f t="shared" ref="N411:AB411" si="471">N406*LOOKUP($AD400,$AG$4:$AP$4,$AG$9:$AP$9)</f>
        <v>1.3529949999999999</v>
      </c>
      <c r="O411" s="693">
        <f t="shared" si="471"/>
        <v>0</v>
      </c>
      <c r="P411" s="693">
        <f t="shared" si="471"/>
        <v>0</v>
      </c>
      <c r="Q411" s="693">
        <f t="shared" si="471"/>
        <v>0</v>
      </c>
      <c r="R411" s="693">
        <f t="shared" si="471"/>
        <v>0</v>
      </c>
      <c r="S411" s="693">
        <f t="shared" si="471"/>
        <v>0</v>
      </c>
      <c r="T411" s="693">
        <f t="shared" si="471"/>
        <v>0</v>
      </c>
      <c r="U411" s="693">
        <f t="shared" si="471"/>
        <v>0</v>
      </c>
      <c r="V411" s="693">
        <f t="shared" si="471"/>
        <v>0</v>
      </c>
      <c r="W411" s="693">
        <f t="shared" si="471"/>
        <v>0</v>
      </c>
      <c r="X411" s="693">
        <f t="shared" si="471"/>
        <v>0</v>
      </c>
      <c r="Y411" s="693">
        <f t="shared" si="471"/>
        <v>0</v>
      </c>
      <c r="Z411" s="693">
        <f t="shared" si="471"/>
        <v>0</v>
      </c>
      <c r="AA411" s="693">
        <f t="shared" si="471"/>
        <v>0</v>
      </c>
      <c r="AB411" s="693">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3">
      <c r="A412" s="22"/>
      <c r="B412" s="193" t="str">
        <f t="shared" si="464"/>
        <v>TFREGAS100</v>
      </c>
      <c r="C412" s="193"/>
      <c r="D412" s="193"/>
      <c r="E412" s="193"/>
      <c r="F412" s="196"/>
      <c r="G412" s="195"/>
      <c r="H412" s="196"/>
      <c r="I412" s="197">
        <f>AF$10</f>
        <v>2050</v>
      </c>
      <c r="J412" s="198"/>
      <c r="K412" s="198"/>
      <c r="L412" s="212" t="s">
        <v>1064</v>
      </c>
      <c r="M412" s="198" t="s">
        <v>747</v>
      </c>
      <c r="N412" s="694">
        <f t="shared" ref="N412:AB412" si="472">N406*LOOKUP($AD400,$AG$4:$AP$4,$AG$10:$AP$10)</f>
        <v>0</v>
      </c>
      <c r="O412" s="694">
        <f t="shared" si="472"/>
        <v>0</v>
      </c>
      <c r="P412" s="694">
        <f t="shared" si="472"/>
        <v>0</v>
      </c>
      <c r="Q412" s="694">
        <f t="shared" si="472"/>
        <v>0</v>
      </c>
      <c r="R412" s="694">
        <f t="shared" si="472"/>
        <v>0</v>
      </c>
      <c r="S412" s="694">
        <f t="shared" si="472"/>
        <v>0</v>
      </c>
      <c r="T412" s="694">
        <f t="shared" si="472"/>
        <v>0</v>
      </c>
      <c r="U412" s="694">
        <f t="shared" si="472"/>
        <v>0</v>
      </c>
      <c r="V412" s="694">
        <f t="shared" si="472"/>
        <v>0</v>
      </c>
      <c r="W412" s="694">
        <f t="shared" si="472"/>
        <v>0</v>
      </c>
      <c r="X412" s="694">
        <f t="shared" si="472"/>
        <v>0</v>
      </c>
      <c r="Y412" s="694">
        <f t="shared" si="472"/>
        <v>0</v>
      </c>
      <c r="Z412" s="694">
        <f t="shared" si="472"/>
        <v>0</v>
      </c>
      <c r="AA412" s="694">
        <f t="shared" si="472"/>
        <v>0</v>
      </c>
      <c r="AB412" s="694">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3">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699" t="str">
        <f t="shared" ref="AV413:AV416" si="474">MID(E413,1,7)</f>
        <v>TRAGSL</v>
      </c>
      <c r="AW413" s="567">
        <f t="shared" ref="AW413:AW414" si="475">SUM(AX413:BL413)</f>
        <v>8.9233298224089399</v>
      </c>
      <c r="AX413" s="720">
        <f t="shared" ref="AX413:BL413" si="476">N$419*N$420*(1-N414)/N$417/1000</f>
        <v>8.9233298224089399</v>
      </c>
      <c r="AY413" s="720">
        <f t="shared" si="476"/>
        <v>0</v>
      </c>
      <c r="AZ413" s="720">
        <f t="shared" si="476"/>
        <v>0</v>
      </c>
      <c r="BA413" s="720">
        <f t="shared" si="476"/>
        <v>0</v>
      </c>
      <c r="BB413" s="720">
        <f t="shared" si="476"/>
        <v>0</v>
      </c>
      <c r="BC413" s="720">
        <f t="shared" si="476"/>
        <v>0</v>
      </c>
      <c r="BD413" s="720">
        <f t="shared" si="476"/>
        <v>0</v>
      </c>
      <c r="BE413" s="720">
        <f t="shared" si="476"/>
        <v>0</v>
      </c>
      <c r="BF413" s="720">
        <f t="shared" si="476"/>
        <v>0</v>
      </c>
      <c r="BG413" s="720">
        <f t="shared" si="476"/>
        <v>0</v>
      </c>
      <c r="BH413" s="720">
        <f t="shared" si="476"/>
        <v>0</v>
      </c>
      <c r="BI413" s="720">
        <f t="shared" si="476"/>
        <v>0</v>
      </c>
      <c r="BJ413" s="720">
        <f t="shared" si="476"/>
        <v>0</v>
      </c>
      <c r="BK413" s="720">
        <f t="shared" si="476"/>
        <v>0</v>
      </c>
      <c r="BL413" s="720">
        <f t="shared" si="476"/>
        <v>0</v>
      </c>
    </row>
    <row r="414" spans="1:64" x14ac:dyDescent="0.3">
      <c r="A414" s="22"/>
      <c r="B414" s="186" t="str">
        <f>B413</f>
        <v>TFREGSL100</v>
      </c>
      <c r="C414" s="186"/>
      <c r="D414" s="187"/>
      <c r="E414" s="407" t="s">
        <v>1011</v>
      </c>
      <c r="F414" s="170"/>
      <c r="G414" s="189"/>
      <c r="H414" s="170"/>
      <c r="I414" s="190"/>
      <c r="J414" s="191" t="s">
        <v>1126</v>
      </c>
      <c r="K414" s="191"/>
      <c r="L414" s="211" t="s">
        <v>101</v>
      </c>
      <c r="M414" s="191"/>
      <c r="N414" s="377">
        <f>N$30</f>
        <v>5.0999999999999997E-2</v>
      </c>
      <c r="O414" s="377">
        <f t="shared" ref="O414:AB414" si="477">O$30</f>
        <v>5.0999999999999997E-2</v>
      </c>
      <c r="P414" s="377">
        <f t="shared" si="477"/>
        <v>5.0999999999999997E-2</v>
      </c>
      <c r="Q414" s="377">
        <f t="shared" si="477"/>
        <v>5.0999999999999997E-2</v>
      </c>
      <c r="R414" s="377">
        <f t="shared" si="477"/>
        <v>5.0999999999999997E-2</v>
      </c>
      <c r="S414" s="377">
        <f t="shared" si="477"/>
        <v>5.0999999999999997E-2</v>
      </c>
      <c r="T414" s="377">
        <f t="shared" si="477"/>
        <v>5.0999999999999997E-2</v>
      </c>
      <c r="U414" s="377">
        <f t="shared" si="477"/>
        <v>5.0999999999999997E-2</v>
      </c>
      <c r="V414" s="377">
        <f t="shared" si="477"/>
        <v>5.0999999999999997E-2</v>
      </c>
      <c r="W414" s="377">
        <f t="shared" si="477"/>
        <v>5.0999999999999997E-2</v>
      </c>
      <c r="X414" s="377">
        <f t="shared" si="477"/>
        <v>5.0999999999999997E-2</v>
      </c>
      <c r="Y414" s="377">
        <f t="shared" si="477"/>
        <v>5.0999999999999997E-2</v>
      </c>
      <c r="Z414" s="377">
        <f t="shared" si="477"/>
        <v>5.0999999999999997E-2</v>
      </c>
      <c r="AA414" s="377">
        <f t="shared" si="477"/>
        <v>5.0999999999999997E-2</v>
      </c>
      <c r="AB414" s="377">
        <f t="shared" si="477"/>
        <v>5.0999999999999997E-2</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699" t="str">
        <f t="shared" si="474"/>
        <v>TRAETHM</v>
      </c>
      <c r="AW414" s="567">
        <f t="shared" si="475"/>
        <v>0.47954670278488504</v>
      </c>
      <c r="AX414" s="720">
        <f t="shared" ref="AX414:BL414" si="478">N$419*N$420*N414/N$417/1000</f>
        <v>0.47954670278488504</v>
      </c>
      <c r="AY414" s="720">
        <f t="shared" si="478"/>
        <v>0</v>
      </c>
      <c r="AZ414" s="720">
        <f t="shared" si="478"/>
        <v>0</v>
      </c>
      <c r="BA414" s="720">
        <f t="shared" si="478"/>
        <v>0</v>
      </c>
      <c r="BB414" s="720">
        <f t="shared" si="478"/>
        <v>0</v>
      </c>
      <c r="BC414" s="720">
        <f t="shared" si="478"/>
        <v>0</v>
      </c>
      <c r="BD414" s="720">
        <f t="shared" si="478"/>
        <v>0</v>
      </c>
      <c r="BE414" s="720">
        <f t="shared" si="478"/>
        <v>0</v>
      </c>
      <c r="BF414" s="720">
        <f t="shared" si="478"/>
        <v>0</v>
      </c>
      <c r="BG414" s="720">
        <f t="shared" si="478"/>
        <v>0</v>
      </c>
      <c r="BH414" s="720">
        <f t="shared" si="478"/>
        <v>0</v>
      </c>
      <c r="BI414" s="720">
        <f t="shared" si="478"/>
        <v>0</v>
      </c>
      <c r="BJ414" s="720">
        <f t="shared" si="478"/>
        <v>0</v>
      </c>
      <c r="BK414" s="720">
        <f t="shared" si="478"/>
        <v>0</v>
      </c>
      <c r="BL414" s="720">
        <f t="shared" si="478"/>
        <v>0</v>
      </c>
    </row>
    <row r="415" spans="1:64" x14ac:dyDescent="0.3">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699"/>
      <c r="AW415" s="567"/>
      <c r="AX415" s="720"/>
      <c r="AY415" s="720"/>
      <c r="AZ415" s="720"/>
      <c r="BA415" s="720"/>
      <c r="BB415" s="720"/>
      <c r="BC415" s="720"/>
      <c r="BD415" s="720"/>
      <c r="BE415" s="720"/>
      <c r="BF415" s="720"/>
      <c r="BG415" s="720"/>
      <c r="BH415" s="720"/>
      <c r="BI415" s="720"/>
      <c r="BJ415" s="720"/>
      <c r="BK415" s="720"/>
      <c r="BL415" s="720"/>
    </row>
    <row r="416" spans="1:64" x14ac:dyDescent="0.3">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699" t="str">
        <f t="shared" si="474"/>
        <v/>
      </c>
      <c r="AW416" s="567"/>
      <c r="AX416" s="83"/>
      <c r="AY416" s="83"/>
      <c r="AZ416" s="83"/>
      <c r="BA416" s="83"/>
      <c r="BB416" s="83"/>
      <c r="BC416" s="83"/>
      <c r="BD416" s="83"/>
      <c r="BE416" s="83"/>
      <c r="BF416" s="83"/>
      <c r="BG416" s="83"/>
      <c r="BH416" s="83"/>
      <c r="BI416" s="83"/>
      <c r="BJ416" s="83"/>
      <c r="BK416" s="83"/>
      <c r="BL416" s="83"/>
    </row>
    <row r="417" spans="1:64" x14ac:dyDescent="0.3">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699" t="str">
        <f t="shared" ref="AV417:AV418" si="481">MID(E417,1,7)</f>
        <v/>
      </c>
      <c r="AW417" s="567"/>
      <c r="AX417" s="83"/>
      <c r="AY417" s="83"/>
      <c r="AZ417" s="83"/>
      <c r="BA417" s="83"/>
      <c r="BB417" s="83"/>
      <c r="BC417" s="83"/>
      <c r="BD417" s="83"/>
      <c r="BE417" s="83"/>
      <c r="BF417" s="83"/>
      <c r="BG417" s="83"/>
      <c r="BH417" s="83"/>
      <c r="BI417" s="83"/>
      <c r="BJ417" s="83"/>
      <c r="BK417" s="83"/>
      <c r="BL417" s="83"/>
    </row>
    <row r="418" spans="1:64" x14ac:dyDescent="0.3">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6.7</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699" t="str">
        <f t="shared" si="481"/>
        <v/>
      </c>
      <c r="AW418" s="567"/>
      <c r="AX418" s="83"/>
      <c r="AY418" s="83"/>
      <c r="AZ418" s="83"/>
      <c r="BA418" s="83"/>
      <c r="BB418" s="83"/>
      <c r="BC418" s="83"/>
      <c r="BD418" s="83"/>
      <c r="BE418" s="83"/>
      <c r="BF418" s="83"/>
      <c r="BG418" s="83"/>
      <c r="BH418" s="83"/>
      <c r="BI418" s="83"/>
      <c r="BJ418" s="83"/>
      <c r="BK418" s="83"/>
      <c r="BL418" s="83"/>
    </row>
    <row r="419" spans="1:64" x14ac:dyDescent="0.3">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3.4090855126903556</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1">
        <f>SUM(AF419:AT419)</f>
        <v>3.3881008868169906</v>
      </c>
      <c r="AF419" s="85">
        <f t="shared" ref="AF419:AT419" si="483">N418*N419*N420/1000</f>
        <v>3.3881008868169906</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3">
      <c r="A420" s="22"/>
      <c r="B420" s="186" t="str">
        <f t="shared" si="479"/>
        <v>TFREGSL100</v>
      </c>
      <c r="C420" s="186"/>
      <c r="D420" s="187"/>
      <c r="E420" s="186"/>
      <c r="F420" s="170"/>
      <c r="G420" s="189"/>
      <c r="H420" s="170"/>
      <c r="I420" s="190">
        <f>$M$3</f>
        <v>2019</v>
      </c>
      <c r="J420" s="191"/>
      <c r="K420" s="191"/>
      <c r="L420" s="211" t="s">
        <v>1064</v>
      </c>
      <c r="M420" s="191" t="s">
        <v>747</v>
      </c>
      <c r="N420" s="693">
        <f>LOOKUP($C$413, T_Stock_Private!$C$122:$C$133,T_Stock_Private!D$122:D$133)*(1+N345)</f>
        <v>148.33500000000001</v>
      </c>
      <c r="O420" s="693">
        <f>LOOKUP($C$413, T_Stock_Private!$C$122:$C$133,T_Stock_Private!E$122:E$133)*(1+O345)</f>
        <v>0</v>
      </c>
      <c r="P420" s="693">
        <f>LOOKUP($C$413, T_Stock_Private!$C$122:$C$133,T_Stock_Private!F$122:F$133)*(1+P345)</f>
        <v>0</v>
      </c>
      <c r="Q420" s="693">
        <f>LOOKUP($C$413, T_Stock_Private!$C$122:$C$133,T_Stock_Private!G$122:G$133)*(1+Q345)</f>
        <v>0</v>
      </c>
      <c r="R420" s="693">
        <f>LOOKUP($C$413, T_Stock_Private!$C$122:$C$133,T_Stock_Private!H$122:H$133)*(1+R345)</f>
        <v>0</v>
      </c>
      <c r="S420" s="693">
        <f>LOOKUP($C$413, T_Stock_Private!$C$122:$C$133,T_Stock_Private!I$122:I$133)*(1+S345)</f>
        <v>0</v>
      </c>
      <c r="T420" s="693">
        <f>LOOKUP($C$413, T_Stock_Private!$C$122:$C$133,T_Stock_Private!J$122:J$133)*(1+T345)</f>
        <v>0</v>
      </c>
      <c r="U420" s="693">
        <f>LOOKUP($C$413, T_Stock_Private!$C$122:$C$133,T_Stock_Private!K$122:K$133)*(1+U345)</f>
        <v>0</v>
      </c>
      <c r="V420" s="693">
        <f>LOOKUP($C$413, T_Stock_Private!$C$122:$C$133,T_Stock_Private!L$122:L$133)*(1+V345)</f>
        <v>0</v>
      </c>
      <c r="W420" s="693">
        <f>LOOKUP($C$413, T_Stock_Private!$C$122:$C$133,T_Stock_Private!M$122:M$133)*(1+W345)</f>
        <v>0</v>
      </c>
      <c r="X420" s="693">
        <f>LOOKUP($C$413, T_Stock_Private!$C$122:$C$133,T_Stock_Private!N$122:N$133)*(1+X345)</f>
        <v>0</v>
      </c>
      <c r="Y420" s="693">
        <f>LOOKUP($C$413, T_Stock_Private!$C$122:$C$133,T_Stock_Private!O$122:O$133)*(1+Y345)</f>
        <v>0</v>
      </c>
      <c r="Z420" s="693">
        <f>LOOKUP($C$413, T_Stock_Private!$C$122:$C$133,T_Stock_Private!P$122:P$133)*(1+Z345)</f>
        <v>0</v>
      </c>
      <c r="AA420" s="693">
        <f>LOOKUP($C$413, T_Stock_Private!$C$122:$C$133,T_Stock_Private!Q$122:Q$133)*(1+AA345)</f>
        <v>0</v>
      </c>
      <c r="AB420" s="693">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3">
      <c r="A421" s="22"/>
      <c r="B421" s="186" t="str">
        <f t="shared" si="479"/>
        <v>TFREGSL100</v>
      </c>
      <c r="C421" s="186"/>
      <c r="D421" s="186"/>
      <c r="E421" s="186"/>
      <c r="F421" s="170"/>
      <c r="G421" s="189"/>
      <c r="H421" s="170"/>
      <c r="I421" s="190">
        <f>AF$5</f>
        <v>2020</v>
      </c>
      <c r="J421" s="191"/>
      <c r="K421" s="191"/>
      <c r="L421" s="211" t="s">
        <v>1064</v>
      </c>
      <c r="M421" s="191" t="s">
        <v>747</v>
      </c>
      <c r="N421" s="693">
        <f t="shared" ref="N421:AB421" si="484">N420*LOOKUP($AD413,$AG$4:$AP$4,$AG$5:$AP$5)</f>
        <v>140.91825</v>
      </c>
      <c r="O421" s="693">
        <f t="shared" si="484"/>
        <v>0</v>
      </c>
      <c r="P421" s="693">
        <f t="shared" si="484"/>
        <v>0</v>
      </c>
      <c r="Q421" s="693">
        <f t="shared" si="484"/>
        <v>0</v>
      </c>
      <c r="R421" s="693">
        <f t="shared" si="484"/>
        <v>0</v>
      </c>
      <c r="S421" s="693">
        <f t="shared" si="484"/>
        <v>0</v>
      </c>
      <c r="T421" s="693">
        <f t="shared" si="484"/>
        <v>0</v>
      </c>
      <c r="U421" s="693">
        <f t="shared" si="484"/>
        <v>0</v>
      </c>
      <c r="V421" s="693">
        <f t="shared" si="484"/>
        <v>0</v>
      </c>
      <c r="W421" s="693">
        <f t="shared" si="484"/>
        <v>0</v>
      </c>
      <c r="X421" s="693">
        <f t="shared" si="484"/>
        <v>0</v>
      </c>
      <c r="Y421" s="693">
        <f t="shared" si="484"/>
        <v>0</v>
      </c>
      <c r="Z421" s="693">
        <f t="shared" si="484"/>
        <v>0</v>
      </c>
      <c r="AA421" s="693">
        <f t="shared" si="484"/>
        <v>0</v>
      </c>
      <c r="AB421" s="693">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3">
      <c r="A422" s="22"/>
      <c r="B422" s="186" t="str">
        <f t="shared" si="479"/>
        <v>TFREGSL100</v>
      </c>
      <c r="C422" s="186"/>
      <c r="D422" s="186"/>
      <c r="E422" s="186"/>
      <c r="F422" s="170"/>
      <c r="G422" s="189"/>
      <c r="H422" s="170"/>
      <c r="I422" s="190">
        <f>AF$6</f>
        <v>2025</v>
      </c>
      <c r="J422" s="191"/>
      <c r="K422" s="191"/>
      <c r="L422" s="211" t="s">
        <v>1064</v>
      </c>
      <c r="M422" s="191" t="s">
        <v>747</v>
      </c>
      <c r="N422" s="693">
        <f t="shared" ref="N422:AB422" si="485">N420*LOOKUP($AD413,$AG$4:$AP$4,$AG$6:$AP$6)</f>
        <v>103.83450000000001</v>
      </c>
      <c r="O422" s="693">
        <f t="shared" si="485"/>
        <v>0</v>
      </c>
      <c r="P422" s="693">
        <f t="shared" si="485"/>
        <v>0</v>
      </c>
      <c r="Q422" s="693">
        <f t="shared" si="485"/>
        <v>0</v>
      </c>
      <c r="R422" s="693">
        <f t="shared" si="485"/>
        <v>0</v>
      </c>
      <c r="S422" s="693">
        <f t="shared" si="485"/>
        <v>0</v>
      </c>
      <c r="T422" s="693">
        <f t="shared" si="485"/>
        <v>0</v>
      </c>
      <c r="U422" s="693">
        <f t="shared" si="485"/>
        <v>0</v>
      </c>
      <c r="V422" s="693">
        <f t="shared" si="485"/>
        <v>0</v>
      </c>
      <c r="W422" s="693">
        <f t="shared" si="485"/>
        <v>0</v>
      </c>
      <c r="X422" s="693">
        <f t="shared" si="485"/>
        <v>0</v>
      </c>
      <c r="Y422" s="693">
        <f t="shared" si="485"/>
        <v>0</v>
      </c>
      <c r="Z422" s="693">
        <f t="shared" si="485"/>
        <v>0</v>
      </c>
      <c r="AA422" s="693">
        <f t="shared" si="485"/>
        <v>0</v>
      </c>
      <c r="AB422" s="693">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3">
      <c r="A423" s="22"/>
      <c r="B423" s="186" t="str">
        <f t="shared" si="479"/>
        <v>TFREGSL100</v>
      </c>
      <c r="C423" s="186"/>
      <c r="D423" s="186"/>
      <c r="E423" s="186"/>
      <c r="F423" s="170"/>
      <c r="G423" s="189"/>
      <c r="H423" s="170"/>
      <c r="I423" s="190">
        <f>AF$7</f>
        <v>2030</v>
      </c>
      <c r="J423" s="191"/>
      <c r="K423" s="191"/>
      <c r="L423" s="211" t="s">
        <v>1064</v>
      </c>
      <c r="M423" s="191" t="s">
        <v>747</v>
      </c>
      <c r="N423" s="693">
        <f t="shared" ref="N423:AB423" si="486">N420*LOOKUP($AD413,$AG$4:$AP$4,$AG$7:$AP$7)</f>
        <v>59.334000000000003</v>
      </c>
      <c r="O423" s="693">
        <f t="shared" si="486"/>
        <v>0</v>
      </c>
      <c r="P423" s="693">
        <f t="shared" si="486"/>
        <v>0</v>
      </c>
      <c r="Q423" s="693">
        <f t="shared" si="486"/>
        <v>0</v>
      </c>
      <c r="R423" s="693">
        <f t="shared" si="486"/>
        <v>0</v>
      </c>
      <c r="S423" s="693">
        <f t="shared" si="486"/>
        <v>0</v>
      </c>
      <c r="T423" s="693">
        <f t="shared" si="486"/>
        <v>0</v>
      </c>
      <c r="U423" s="693">
        <f t="shared" si="486"/>
        <v>0</v>
      </c>
      <c r="V423" s="693">
        <f t="shared" si="486"/>
        <v>0</v>
      </c>
      <c r="W423" s="693">
        <f t="shared" si="486"/>
        <v>0</v>
      </c>
      <c r="X423" s="693">
        <f t="shared" si="486"/>
        <v>0</v>
      </c>
      <c r="Y423" s="693">
        <f t="shared" si="486"/>
        <v>0</v>
      </c>
      <c r="Z423" s="693">
        <f t="shared" si="486"/>
        <v>0</v>
      </c>
      <c r="AA423" s="693">
        <f t="shared" si="486"/>
        <v>0</v>
      </c>
      <c r="AB423" s="693">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3">
      <c r="A424" s="22"/>
      <c r="B424" s="186" t="str">
        <f t="shared" si="479"/>
        <v>TFREGSL100</v>
      </c>
      <c r="C424" s="186"/>
      <c r="D424" s="186"/>
      <c r="E424" s="186"/>
      <c r="F424" s="170"/>
      <c r="G424" s="189"/>
      <c r="H424" s="170"/>
      <c r="I424" s="190">
        <f>AF$8</f>
        <v>2035</v>
      </c>
      <c r="J424" s="191"/>
      <c r="K424" s="191"/>
      <c r="L424" s="211" t="s">
        <v>1064</v>
      </c>
      <c r="M424" s="191" t="s">
        <v>747</v>
      </c>
      <c r="N424" s="693">
        <f t="shared" ref="N424:AB424" si="487">N420*LOOKUP($AD413,$AG$4:$AP$4,$AG$8:$AP$8)</f>
        <v>22.250250000000001</v>
      </c>
      <c r="O424" s="693">
        <f t="shared" si="487"/>
        <v>0</v>
      </c>
      <c r="P424" s="693">
        <f t="shared" si="487"/>
        <v>0</v>
      </c>
      <c r="Q424" s="693">
        <f t="shared" si="487"/>
        <v>0</v>
      </c>
      <c r="R424" s="693">
        <f t="shared" si="487"/>
        <v>0</v>
      </c>
      <c r="S424" s="693">
        <f t="shared" si="487"/>
        <v>0</v>
      </c>
      <c r="T424" s="693">
        <f t="shared" si="487"/>
        <v>0</v>
      </c>
      <c r="U424" s="693">
        <f t="shared" si="487"/>
        <v>0</v>
      </c>
      <c r="V424" s="693">
        <f t="shared" si="487"/>
        <v>0</v>
      </c>
      <c r="W424" s="693">
        <f t="shared" si="487"/>
        <v>0</v>
      </c>
      <c r="X424" s="693">
        <f t="shared" si="487"/>
        <v>0</v>
      </c>
      <c r="Y424" s="693">
        <f t="shared" si="487"/>
        <v>0</v>
      </c>
      <c r="Z424" s="693">
        <f t="shared" si="487"/>
        <v>0</v>
      </c>
      <c r="AA424" s="693">
        <f t="shared" si="487"/>
        <v>0</v>
      </c>
      <c r="AB424" s="693">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3">
      <c r="A425" s="22"/>
      <c r="B425" s="186" t="str">
        <f t="shared" si="479"/>
        <v>TFREGSL100</v>
      </c>
      <c r="C425" s="186"/>
      <c r="D425" s="186"/>
      <c r="E425" s="186"/>
      <c r="F425" s="170"/>
      <c r="G425" s="189"/>
      <c r="H425" s="170"/>
      <c r="I425" s="190">
        <f>AF$9</f>
        <v>2040</v>
      </c>
      <c r="J425" s="191"/>
      <c r="K425" s="191"/>
      <c r="L425" s="211" t="s">
        <v>1064</v>
      </c>
      <c r="M425" s="191" t="s">
        <v>747</v>
      </c>
      <c r="N425" s="693">
        <f t="shared" ref="N425:AB425" si="488">N420*LOOKUP($AD413,$AG$4:$AP$4,$AG$9:$AP$9)</f>
        <v>0.74167500000000008</v>
      </c>
      <c r="O425" s="693">
        <f t="shared" si="488"/>
        <v>0</v>
      </c>
      <c r="P425" s="693">
        <f t="shared" si="488"/>
        <v>0</v>
      </c>
      <c r="Q425" s="693">
        <f t="shared" si="488"/>
        <v>0</v>
      </c>
      <c r="R425" s="693">
        <f t="shared" si="488"/>
        <v>0</v>
      </c>
      <c r="S425" s="693">
        <f t="shared" si="488"/>
        <v>0</v>
      </c>
      <c r="T425" s="693">
        <f t="shared" si="488"/>
        <v>0</v>
      </c>
      <c r="U425" s="693">
        <f t="shared" si="488"/>
        <v>0</v>
      </c>
      <c r="V425" s="693">
        <f t="shared" si="488"/>
        <v>0</v>
      </c>
      <c r="W425" s="693">
        <f t="shared" si="488"/>
        <v>0</v>
      </c>
      <c r="X425" s="693">
        <f t="shared" si="488"/>
        <v>0</v>
      </c>
      <c r="Y425" s="693">
        <f t="shared" si="488"/>
        <v>0</v>
      </c>
      <c r="Z425" s="693">
        <f t="shared" si="488"/>
        <v>0</v>
      </c>
      <c r="AA425" s="693">
        <f t="shared" si="488"/>
        <v>0</v>
      </c>
      <c r="AB425" s="693">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3">
      <c r="A426" s="22"/>
      <c r="B426" s="193" t="str">
        <f t="shared" si="479"/>
        <v>TFREGSL100</v>
      </c>
      <c r="C426" s="193"/>
      <c r="D426" s="193"/>
      <c r="E426" s="193"/>
      <c r="F426" s="196"/>
      <c r="G426" s="195"/>
      <c r="H426" s="196"/>
      <c r="I426" s="197">
        <f>AF$10</f>
        <v>2050</v>
      </c>
      <c r="J426" s="198"/>
      <c r="K426" s="198"/>
      <c r="L426" s="212" t="s">
        <v>1064</v>
      </c>
      <c r="M426" s="198" t="s">
        <v>747</v>
      </c>
      <c r="N426" s="694">
        <f t="shared" ref="N426:AB426" si="489">N420*LOOKUP($AD413,$AG$4:$AP$4,$AG$10:$AP$10)</f>
        <v>0</v>
      </c>
      <c r="O426" s="694">
        <f t="shared" si="489"/>
        <v>0</v>
      </c>
      <c r="P426" s="694">
        <f t="shared" si="489"/>
        <v>0</v>
      </c>
      <c r="Q426" s="694">
        <f t="shared" si="489"/>
        <v>0</v>
      </c>
      <c r="R426" s="694">
        <f t="shared" si="489"/>
        <v>0</v>
      </c>
      <c r="S426" s="694">
        <f t="shared" si="489"/>
        <v>0</v>
      </c>
      <c r="T426" s="694">
        <f t="shared" si="489"/>
        <v>0</v>
      </c>
      <c r="U426" s="694">
        <f t="shared" si="489"/>
        <v>0</v>
      </c>
      <c r="V426" s="694">
        <f t="shared" si="489"/>
        <v>0</v>
      </c>
      <c r="W426" s="694">
        <f t="shared" si="489"/>
        <v>0</v>
      </c>
      <c r="X426" s="694">
        <f t="shared" si="489"/>
        <v>0</v>
      </c>
      <c r="Y426" s="694">
        <f t="shared" si="489"/>
        <v>0</v>
      </c>
      <c r="Z426" s="694">
        <f t="shared" si="489"/>
        <v>0</v>
      </c>
      <c r="AA426" s="694">
        <f t="shared" si="489"/>
        <v>0</v>
      </c>
      <c r="AB426" s="694">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3">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699" t="str">
        <f t="shared" ref="AV427:AV428" si="491">MID(E427,1,7)</f>
        <v>TRABDL</v>
      </c>
      <c r="AW427" s="567">
        <f t="shared" ref="AW427:AW428" si="492">SUM(AX427:BL427)</f>
        <v>0.84620396920372687</v>
      </c>
      <c r="AX427" s="720">
        <f>N$433*N$434*(1-N428)/N$431/1000</f>
        <v>0.84620396920372687</v>
      </c>
      <c r="AY427" s="720">
        <f t="shared" ref="AY427:BL427" si="493">O$433*O$434*(1-O428)/O$431/1000</f>
        <v>0</v>
      </c>
      <c r="AZ427" s="720">
        <f t="shared" si="493"/>
        <v>0</v>
      </c>
      <c r="BA427" s="720">
        <f t="shared" si="493"/>
        <v>0</v>
      </c>
      <c r="BB427" s="720">
        <f t="shared" si="493"/>
        <v>0</v>
      </c>
      <c r="BC427" s="720">
        <f t="shared" si="493"/>
        <v>0</v>
      </c>
      <c r="BD427" s="720">
        <f t="shared" si="493"/>
        <v>0</v>
      </c>
      <c r="BE427" s="720">
        <f t="shared" si="493"/>
        <v>0</v>
      </c>
      <c r="BF427" s="720">
        <f t="shared" si="493"/>
        <v>0</v>
      </c>
      <c r="BG427" s="720">
        <f t="shared" si="493"/>
        <v>0</v>
      </c>
      <c r="BH427" s="720">
        <f t="shared" si="493"/>
        <v>0</v>
      </c>
      <c r="BI427" s="720">
        <f t="shared" si="493"/>
        <v>0</v>
      </c>
      <c r="BJ427" s="720">
        <f t="shared" si="493"/>
        <v>0</v>
      </c>
      <c r="BK427" s="720">
        <f t="shared" si="493"/>
        <v>0</v>
      </c>
      <c r="BL427" s="720">
        <f t="shared" si="493"/>
        <v>0</v>
      </c>
    </row>
    <row r="428" spans="1:64" x14ac:dyDescent="0.3">
      <c r="A428" s="22"/>
      <c r="B428" s="186" t="str">
        <f>B427</f>
        <v>TFREHYD100</v>
      </c>
      <c r="C428" s="186"/>
      <c r="D428" s="187"/>
      <c r="E428" s="258" t="s">
        <v>185</v>
      </c>
      <c r="F428" s="170"/>
      <c r="G428" s="189"/>
      <c r="H428" s="170"/>
      <c r="I428" s="190"/>
      <c r="J428" s="191" t="str">
        <f>$J$363</f>
        <v>UP</v>
      </c>
      <c r="K428" s="191"/>
      <c r="L428" s="211" t="s">
        <v>101</v>
      </c>
      <c r="M428" s="191"/>
      <c r="N428" s="390">
        <f>1-N$29-N$28</f>
        <v>0.7669999999999999</v>
      </c>
      <c r="O428" s="390">
        <f t="shared" ref="O428:AB428" si="494">1-O$29-O$28</f>
        <v>0.7669999999999999</v>
      </c>
      <c r="P428" s="390">
        <f t="shared" si="494"/>
        <v>0.7669999999999999</v>
      </c>
      <c r="Q428" s="390">
        <f t="shared" si="494"/>
        <v>0.7669999999999999</v>
      </c>
      <c r="R428" s="390">
        <f t="shared" si="494"/>
        <v>0.7669999999999999</v>
      </c>
      <c r="S428" s="390">
        <f t="shared" si="494"/>
        <v>0.7669999999999999</v>
      </c>
      <c r="T428" s="390">
        <f t="shared" si="494"/>
        <v>0.7669999999999999</v>
      </c>
      <c r="U428" s="390">
        <f t="shared" si="494"/>
        <v>0.7669999999999999</v>
      </c>
      <c r="V428" s="390">
        <f t="shared" si="494"/>
        <v>0.7669999999999999</v>
      </c>
      <c r="W428" s="390">
        <f t="shared" si="494"/>
        <v>0.7669999999999999</v>
      </c>
      <c r="X428" s="390">
        <f t="shared" si="494"/>
        <v>0.7669999999999999</v>
      </c>
      <c r="Y428" s="390">
        <f t="shared" si="494"/>
        <v>0.7669999999999999</v>
      </c>
      <c r="Z428" s="390">
        <f t="shared" si="494"/>
        <v>0.7669999999999999</v>
      </c>
      <c r="AA428" s="390">
        <f t="shared" si="494"/>
        <v>0.7669999999999999</v>
      </c>
      <c r="AB428" s="390">
        <f t="shared" si="494"/>
        <v>0.7669999999999999</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699" t="str">
        <f t="shared" si="491"/>
        <v>TRADST</v>
      </c>
      <c r="AW428" s="567">
        <f t="shared" si="492"/>
        <v>2.7855727226577605</v>
      </c>
      <c r="AX428" s="720">
        <f>N$433*N$434*N428/N$431/1000</f>
        <v>2.7855727226577605</v>
      </c>
      <c r="AY428" s="720">
        <f t="shared" ref="AY428:BL428" si="495">O$433*O$434*O428/O$431/1000</f>
        <v>0</v>
      </c>
      <c r="AZ428" s="720">
        <f t="shared" si="495"/>
        <v>0</v>
      </c>
      <c r="BA428" s="720">
        <f t="shared" si="495"/>
        <v>0</v>
      </c>
      <c r="BB428" s="720">
        <f t="shared" si="495"/>
        <v>0</v>
      </c>
      <c r="BC428" s="720">
        <f t="shared" si="495"/>
        <v>0</v>
      </c>
      <c r="BD428" s="720">
        <f t="shared" si="495"/>
        <v>0</v>
      </c>
      <c r="BE428" s="720">
        <f t="shared" si="495"/>
        <v>0</v>
      </c>
      <c r="BF428" s="720">
        <f t="shared" si="495"/>
        <v>0</v>
      </c>
      <c r="BG428" s="720">
        <f t="shared" si="495"/>
        <v>0</v>
      </c>
      <c r="BH428" s="720">
        <f t="shared" si="495"/>
        <v>0</v>
      </c>
      <c r="BI428" s="720">
        <f t="shared" si="495"/>
        <v>0</v>
      </c>
      <c r="BJ428" s="720">
        <f t="shared" si="495"/>
        <v>0</v>
      </c>
      <c r="BK428" s="720">
        <f t="shared" si="495"/>
        <v>0</v>
      </c>
      <c r="BL428" s="720">
        <f t="shared" si="495"/>
        <v>0</v>
      </c>
    </row>
    <row r="429" spans="1:64" s="83" customFormat="1" x14ac:dyDescent="0.3">
      <c r="A429" s="82"/>
      <c r="B429" s="178" t="str">
        <f t="shared" ref="B429" si="496">B428</f>
        <v>TFREHYD100</v>
      </c>
      <c r="C429" s="178"/>
      <c r="D429" s="179"/>
      <c r="E429" s="407" t="s">
        <v>989</v>
      </c>
      <c r="F429" s="182"/>
      <c r="G429" s="181"/>
      <c r="H429" s="182"/>
      <c r="I429" s="183"/>
      <c r="J429" s="184" t="s">
        <v>1156</v>
      </c>
      <c r="K429" s="184"/>
      <c r="L429" s="203" t="s">
        <v>101</v>
      </c>
      <c r="M429" s="184"/>
      <c r="N429" s="689">
        <f>N$28</f>
        <v>5.8000000000000003E-2</v>
      </c>
      <c r="O429" s="689">
        <f t="shared" ref="O429:AB429" si="497">O$28</f>
        <v>5.8000000000000003E-2</v>
      </c>
      <c r="P429" s="689">
        <f t="shared" si="497"/>
        <v>5.8000000000000003E-2</v>
      </c>
      <c r="Q429" s="689">
        <f t="shared" si="497"/>
        <v>5.8000000000000003E-2</v>
      </c>
      <c r="R429" s="689">
        <f t="shared" si="497"/>
        <v>5.8000000000000003E-2</v>
      </c>
      <c r="S429" s="689">
        <f t="shared" si="497"/>
        <v>5.8000000000000003E-2</v>
      </c>
      <c r="T429" s="689">
        <f t="shared" si="497"/>
        <v>5.8000000000000003E-2</v>
      </c>
      <c r="U429" s="689">
        <f t="shared" si="497"/>
        <v>5.8000000000000003E-2</v>
      </c>
      <c r="V429" s="689">
        <f t="shared" si="497"/>
        <v>5.8000000000000003E-2</v>
      </c>
      <c r="W429" s="689">
        <f t="shared" si="497"/>
        <v>5.8000000000000003E-2</v>
      </c>
      <c r="X429" s="689">
        <f t="shared" si="497"/>
        <v>5.8000000000000003E-2</v>
      </c>
      <c r="Y429" s="689">
        <f t="shared" si="497"/>
        <v>5.8000000000000003E-2</v>
      </c>
      <c r="Z429" s="689">
        <f t="shared" si="497"/>
        <v>5.8000000000000003E-2</v>
      </c>
      <c r="AA429" s="689">
        <f t="shared" si="497"/>
        <v>5.8000000000000003E-2</v>
      </c>
      <c r="AB429" s="689">
        <f t="shared" si="497"/>
        <v>5.8000000000000003E-2</v>
      </c>
      <c r="AD429" s="408"/>
      <c r="AE429" s="357"/>
      <c r="AF429" s="84"/>
      <c r="AG429" s="84"/>
      <c r="AH429" s="84"/>
      <c r="AI429" s="84"/>
      <c r="AJ429" s="84"/>
      <c r="AK429" s="84"/>
      <c r="AL429" s="84"/>
      <c r="AM429" s="84"/>
      <c r="AN429" s="84"/>
      <c r="AO429" s="84"/>
      <c r="AP429" s="84"/>
      <c r="AQ429" s="84"/>
      <c r="AR429" s="84"/>
      <c r="AS429" s="84"/>
      <c r="AT429" s="84"/>
      <c r="AV429" s="699"/>
      <c r="AW429" s="567"/>
      <c r="AX429" s="707"/>
      <c r="AY429" s="35"/>
      <c r="AZ429" s="35"/>
      <c r="BA429" s="35"/>
      <c r="BB429" s="35"/>
      <c r="BC429" s="35"/>
      <c r="BD429" s="35"/>
      <c r="BE429" s="35"/>
      <c r="BF429" s="35"/>
      <c r="BG429" s="35"/>
      <c r="BH429" s="35"/>
      <c r="BI429" s="35"/>
      <c r="BJ429" s="35"/>
      <c r="BK429" s="35"/>
      <c r="BL429" s="35"/>
    </row>
    <row r="430" spans="1:64" x14ac:dyDescent="0.3">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699" t="str">
        <f t="shared" ref="AV430:AV432" si="498">MID(E430,1,7)</f>
        <v/>
      </c>
      <c r="AW430" s="567"/>
      <c r="AX430" s="83"/>
      <c r="AY430" s="83"/>
      <c r="AZ430" s="83"/>
      <c r="BA430" s="83"/>
      <c r="BB430" s="83"/>
      <c r="BC430" s="83"/>
      <c r="BD430" s="83"/>
      <c r="BE430" s="83"/>
      <c r="BF430" s="83"/>
      <c r="BG430" s="83"/>
      <c r="BH430" s="83"/>
      <c r="BI430" s="83"/>
      <c r="BJ430" s="83"/>
      <c r="BK430" s="83"/>
      <c r="BL430" s="83"/>
    </row>
    <row r="431" spans="1:64" x14ac:dyDescent="0.3">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699" t="str">
        <f t="shared" si="498"/>
        <v/>
      </c>
      <c r="AW431" s="567"/>
      <c r="AX431" s="83"/>
      <c r="AY431" s="83"/>
      <c r="AZ431" s="83"/>
      <c r="BA431" s="83"/>
      <c r="BB431" s="83"/>
      <c r="BC431" s="83"/>
      <c r="BD431" s="83"/>
      <c r="BE431" s="83"/>
      <c r="BF431" s="83"/>
      <c r="BG431" s="83"/>
      <c r="BH431" s="83"/>
      <c r="BI431" s="83"/>
      <c r="BJ431" s="83"/>
      <c r="BK431" s="83"/>
      <c r="BL431" s="83"/>
    </row>
    <row r="432" spans="1:64" x14ac:dyDescent="0.3">
      <c r="B432" s="186" t="str">
        <f t="shared" si="499"/>
        <v>TFREHYD100</v>
      </c>
      <c r="C432" s="186"/>
      <c r="D432" s="187"/>
      <c r="E432" s="186"/>
      <c r="F432" s="170"/>
      <c r="G432" s="189"/>
      <c r="H432" s="170"/>
      <c r="I432" s="190"/>
      <c r="J432" s="191"/>
      <c r="K432" s="191" t="s">
        <v>748</v>
      </c>
      <c r="L432" s="191" t="s">
        <v>1127</v>
      </c>
      <c r="M432" s="191" t="s">
        <v>1174</v>
      </c>
      <c r="N432" s="368">
        <f t="shared" ref="N432:AB432" si="500">N$25</f>
        <v>6.7</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699" t="str">
        <f t="shared" si="498"/>
        <v/>
      </c>
      <c r="AW432" s="567"/>
      <c r="AX432" s="83"/>
      <c r="AY432" s="83"/>
      <c r="AZ432" s="83"/>
      <c r="BA432" s="83"/>
      <c r="BB432" s="83"/>
      <c r="BC432" s="83"/>
      <c r="BD432" s="83"/>
      <c r="BE432" s="83"/>
      <c r="BF432" s="83"/>
      <c r="BG432" s="83"/>
      <c r="BH432" s="83"/>
      <c r="BI432" s="83"/>
      <c r="BJ432" s="83"/>
      <c r="BK432" s="83"/>
      <c r="BL432" s="83"/>
    </row>
    <row r="433" spans="1:64" x14ac:dyDescent="0.3">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28.728000000000002</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1">
        <f>SUM(AF433:AT433)</f>
        <v>1.3842988992000003</v>
      </c>
      <c r="AF433" s="85">
        <f t="shared" ref="AF433:AT433" si="501">N432*N433*N434/1000</f>
        <v>1.3842988992000003</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3">
      <c r="B434" s="186" t="str">
        <f t="shared" si="499"/>
        <v>TFREHYD100</v>
      </c>
      <c r="C434" s="186"/>
      <c r="D434" s="187"/>
      <c r="E434" s="186"/>
      <c r="F434" s="170"/>
      <c r="G434" s="189"/>
      <c r="H434" s="170"/>
      <c r="I434" s="190">
        <f>$M$3</f>
        <v>2019</v>
      </c>
      <c r="J434" s="191"/>
      <c r="K434" s="191"/>
      <c r="L434" s="211" t="s">
        <v>1064</v>
      </c>
      <c r="M434" s="191" t="s">
        <v>747</v>
      </c>
      <c r="N434" s="693">
        <f>LOOKUP($C$427, T_Stock_Private!$C$122:$C$133,T_Stock_Private!D$122:D$133)*(1+N345)</f>
        <v>7.1920000000000002</v>
      </c>
      <c r="O434" s="693">
        <f>LOOKUP($C$427, T_Stock_Private!$C$122:$C$133,T_Stock_Private!E$122:E$133)*(1+O345)</f>
        <v>0</v>
      </c>
      <c r="P434" s="693">
        <f>LOOKUP($C$427, T_Stock_Private!$C$122:$C$133,T_Stock_Private!F$122:F$133)*(1+P345)</f>
        <v>0</v>
      </c>
      <c r="Q434" s="693">
        <f>LOOKUP($C$427, T_Stock_Private!$C$122:$C$133,T_Stock_Private!G$122:G$133)*(1+Q345)</f>
        <v>0</v>
      </c>
      <c r="R434" s="693">
        <f>LOOKUP($C$427, T_Stock_Private!$C$122:$C$133,T_Stock_Private!H$122:H$133)*(1+R345)</f>
        <v>0</v>
      </c>
      <c r="S434" s="693">
        <f>LOOKUP($C$427, T_Stock_Private!$C$122:$C$133,T_Stock_Private!I$122:I$133)*(1+S345)</f>
        <v>0</v>
      </c>
      <c r="T434" s="693">
        <f>LOOKUP($C$427, T_Stock_Private!$C$122:$C$133,T_Stock_Private!J$122:J$133)*(1+T345)</f>
        <v>0</v>
      </c>
      <c r="U434" s="693">
        <f>LOOKUP($C$427, T_Stock_Private!$C$122:$C$133,T_Stock_Private!K$122:K$133)*(1+U345)</f>
        <v>0</v>
      </c>
      <c r="V434" s="693">
        <f>LOOKUP($C$427, T_Stock_Private!$C$122:$C$133,T_Stock_Private!L$122:L$133)*(1+V345)</f>
        <v>0</v>
      </c>
      <c r="W434" s="693">
        <f>LOOKUP($C$427, T_Stock_Private!$C$122:$C$133,T_Stock_Private!M$122:M$133)*(1+W345)</f>
        <v>0</v>
      </c>
      <c r="X434" s="693">
        <f>LOOKUP($C$427, T_Stock_Private!$C$122:$C$133,T_Stock_Private!N$122:N$133)*(1+X345)</f>
        <v>0</v>
      </c>
      <c r="Y434" s="693">
        <f>LOOKUP($C$427, T_Stock_Private!$C$122:$C$133,T_Stock_Private!O$122:O$133)*(1+Y345)</f>
        <v>0</v>
      </c>
      <c r="Z434" s="693">
        <f>LOOKUP($C$427, T_Stock_Private!$C$122:$C$133,T_Stock_Private!P$122:P$133)*(1+Z345)</f>
        <v>0</v>
      </c>
      <c r="AA434" s="693">
        <f>LOOKUP($C$427, T_Stock_Private!$C$122:$C$133,T_Stock_Private!Q$122:Q$133)*(1+AA345)</f>
        <v>0</v>
      </c>
      <c r="AB434" s="693">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3">
      <c r="B435" s="186" t="str">
        <f t="shared" si="499"/>
        <v>TFREHYD100</v>
      </c>
      <c r="C435" s="186"/>
      <c r="D435" s="187"/>
      <c r="E435" s="186"/>
      <c r="F435" s="170"/>
      <c r="G435" s="189"/>
      <c r="H435" s="170"/>
      <c r="I435" s="190">
        <f>AF$5</f>
        <v>2020</v>
      </c>
      <c r="J435" s="191"/>
      <c r="K435" s="191"/>
      <c r="L435" s="211" t="s">
        <v>1064</v>
      </c>
      <c r="M435" s="191" t="s">
        <v>747</v>
      </c>
      <c r="N435" s="693">
        <f t="shared" ref="N435:AB435" si="502">N434*LOOKUP($AD427,$AG$4:$AP$4,$AG$5:$AP$5)</f>
        <v>7.1200799999999997</v>
      </c>
      <c r="O435" s="693">
        <f t="shared" si="502"/>
        <v>0</v>
      </c>
      <c r="P435" s="693">
        <f t="shared" si="502"/>
        <v>0</v>
      </c>
      <c r="Q435" s="693">
        <f t="shared" si="502"/>
        <v>0</v>
      </c>
      <c r="R435" s="693">
        <f t="shared" si="502"/>
        <v>0</v>
      </c>
      <c r="S435" s="693">
        <f t="shared" si="502"/>
        <v>0</v>
      </c>
      <c r="T435" s="693">
        <f t="shared" si="502"/>
        <v>0</v>
      </c>
      <c r="U435" s="693">
        <f t="shared" si="502"/>
        <v>0</v>
      </c>
      <c r="V435" s="693">
        <f t="shared" si="502"/>
        <v>0</v>
      </c>
      <c r="W435" s="693">
        <f t="shared" si="502"/>
        <v>0</v>
      </c>
      <c r="X435" s="693">
        <f t="shared" si="502"/>
        <v>0</v>
      </c>
      <c r="Y435" s="693">
        <f t="shared" si="502"/>
        <v>0</v>
      </c>
      <c r="Z435" s="693">
        <f t="shared" si="502"/>
        <v>0</v>
      </c>
      <c r="AA435" s="693">
        <f t="shared" si="502"/>
        <v>0</v>
      </c>
      <c r="AB435" s="693">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3">
      <c r="B436" s="186" t="str">
        <f t="shared" si="499"/>
        <v>TFREHYD100</v>
      </c>
      <c r="C436" s="186"/>
      <c r="D436" s="187"/>
      <c r="E436" s="186"/>
      <c r="F436" s="170"/>
      <c r="G436" s="189"/>
      <c r="H436" s="170"/>
      <c r="I436" s="190">
        <f>AF$6</f>
        <v>2025</v>
      </c>
      <c r="J436" s="191"/>
      <c r="K436" s="191"/>
      <c r="L436" s="211" t="s">
        <v>1064</v>
      </c>
      <c r="M436" s="191" t="s">
        <v>747</v>
      </c>
      <c r="N436" s="693">
        <f t="shared" ref="N436:AB436" si="503">N434*LOOKUP($AD427,$AG$4:$AP$4,$AG$6:$AP$6)</f>
        <v>5.3940000000000001</v>
      </c>
      <c r="O436" s="693">
        <f t="shared" si="503"/>
        <v>0</v>
      </c>
      <c r="P436" s="693">
        <f t="shared" si="503"/>
        <v>0</v>
      </c>
      <c r="Q436" s="693">
        <f t="shared" si="503"/>
        <v>0</v>
      </c>
      <c r="R436" s="693">
        <f t="shared" si="503"/>
        <v>0</v>
      </c>
      <c r="S436" s="693">
        <f t="shared" si="503"/>
        <v>0</v>
      </c>
      <c r="T436" s="693">
        <f t="shared" si="503"/>
        <v>0</v>
      </c>
      <c r="U436" s="693">
        <f t="shared" si="503"/>
        <v>0</v>
      </c>
      <c r="V436" s="693">
        <f t="shared" si="503"/>
        <v>0</v>
      </c>
      <c r="W436" s="693">
        <f t="shared" si="503"/>
        <v>0</v>
      </c>
      <c r="X436" s="693">
        <f t="shared" si="503"/>
        <v>0</v>
      </c>
      <c r="Y436" s="693">
        <f t="shared" si="503"/>
        <v>0</v>
      </c>
      <c r="Z436" s="693">
        <f t="shared" si="503"/>
        <v>0</v>
      </c>
      <c r="AA436" s="693">
        <f t="shared" si="503"/>
        <v>0</v>
      </c>
      <c r="AB436" s="693">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3">
      <c r="B437" s="186" t="str">
        <f t="shared" si="499"/>
        <v>TFREHYD100</v>
      </c>
      <c r="C437" s="186"/>
      <c r="D437" s="187"/>
      <c r="E437" s="186"/>
      <c r="F437" s="170"/>
      <c r="G437" s="189"/>
      <c r="H437" s="170"/>
      <c r="I437" s="190">
        <f>AF$7</f>
        <v>2030</v>
      </c>
      <c r="J437" s="191"/>
      <c r="K437" s="191"/>
      <c r="L437" s="211" t="s">
        <v>1064</v>
      </c>
      <c r="M437" s="191" t="s">
        <v>747</v>
      </c>
      <c r="N437" s="693">
        <f t="shared" ref="N437:AB437" si="504">N434*LOOKUP($AD427,$AG$4:$AP$4,$AG$7:$AP$7)</f>
        <v>3.5960000000000001</v>
      </c>
      <c r="O437" s="693">
        <f t="shared" si="504"/>
        <v>0</v>
      </c>
      <c r="P437" s="693">
        <f t="shared" si="504"/>
        <v>0</v>
      </c>
      <c r="Q437" s="693">
        <f t="shared" si="504"/>
        <v>0</v>
      </c>
      <c r="R437" s="693">
        <f t="shared" si="504"/>
        <v>0</v>
      </c>
      <c r="S437" s="693">
        <f t="shared" si="504"/>
        <v>0</v>
      </c>
      <c r="T437" s="693">
        <f t="shared" si="504"/>
        <v>0</v>
      </c>
      <c r="U437" s="693">
        <f t="shared" si="504"/>
        <v>0</v>
      </c>
      <c r="V437" s="693">
        <f t="shared" si="504"/>
        <v>0</v>
      </c>
      <c r="W437" s="693">
        <f t="shared" si="504"/>
        <v>0</v>
      </c>
      <c r="X437" s="693">
        <f t="shared" si="504"/>
        <v>0</v>
      </c>
      <c r="Y437" s="693">
        <f t="shared" si="504"/>
        <v>0</v>
      </c>
      <c r="Z437" s="693">
        <f t="shared" si="504"/>
        <v>0</v>
      </c>
      <c r="AA437" s="693">
        <f t="shared" si="504"/>
        <v>0</v>
      </c>
      <c r="AB437" s="693">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3">
      <c r="B438" s="186" t="str">
        <f t="shared" si="499"/>
        <v>TFREHYD100</v>
      </c>
      <c r="C438" s="186"/>
      <c r="D438" s="187"/>
      <c r="E438" s="186"/>
      <c r="F438" s="170"/>
      <c r="G438" s="189"/>
      <c r="H438" s="170"/>
      <c r="I438" s="190">
        <f>AF$8</f>
        <v>2035</v>
      </c>
      <c r="J438" s="191"/>
      <c r="K438" s="191"/>
      <c r="L438" s="211" t="s">
        <v>1064</v>
      </c>
      <c r="M438" s="191" t="s">
        <v>747</v>
      </c>
      <c r="N438" s="693">
        <f t="shared" ref="N438:AB438" si="505">N434*LOOKUP($AD427,$AG$4:$AP$4,$AG$8:$AP$8)</f>
        <v>1.0788</v>
      </c>
      <c r="O438" s="693">
        <f t="shared" si="505"/>
        <v>0</v>
      </c>
      <c r="P438" s="693">
        <f t="shared" si="505"/>
        <v>0</v>
      </c>
      <c r="Q438" s="693">
        <f t="shared" si="505"/>
        <v>0</v>
      </c>
      <c r="R438" s="693">
        <f t="shared" si="505"/>
        <v>0</v>
      </c>
      <c r="S438" s="693">
        <f t="shared" si="505"/>
        <v>0</v>
      </c>
      <c r="T438" s="693">
        <f t="shared" si="505"/>
        <v>0</v>
      </c>
      <c r="U438" s="693">
        <f t="shared" si="505"/>
        <v>0</v>
      </c>
      <c r="V438" s="693">
        <f t="shared" si="505"/>
        <v>0</v>
      </c>
      <c r="W438" s="693">
        <f t="shared" si="505"/>
        <v>0</v>
      </c>
      <c r="X438" s="693">
        <f t="shared" si="505"/>
        <v>0</v>
      </c>
      <c r="Y438" s="693">
        <f t="shared" si="505"/>
        <v>0</v>
      </c>
      <c r="Z438" s="693">
        <f t="shared" si="505"/>
        <v>0</v>
      </c>
      <c r="AA438" s="693">
        <f t="shared" si="505"/>
        <v>0</v>
      </c>
      <c r="AB438" s="693">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3">
      <c r="B439" s="186" t="str">
        <f t="shared" si="499"/>
        <v>TFREHYD100</v>
      </c>
      <c r="C439" s="186"/>
      <c r="D439" s="187"/>
      <c r="E439" s="186"/>
      <c r="F439" s="170"/>
      <c r="G439" s="189"/>
      <c r="H439" s="170"/>
      <c r="I439" s="190">
        <f>AF$9</f>
        <v>2040</v>
      </c>
      <c r="J439" s="191"/>
      <c r="K439" s="191"/>
      <c r="L439" s="211" t="s">
        <v>1064</v>
      </c>
      <c r="M439" s="191" t="s">
        <v>747</v>
      </c>
      <c r="N439" s="693">
        <f t="shared" ref="N439:AB439" si="506">N434*LOOKUP($AD427,$AG$4:$AP$4,$AG$9:$AP$9)</f>
        <v>3.5959999999999999E-2</v>
      </c>
      <c r="O439" s="693">
        <f t="shared" si="506"/>
        <v>0</v>
      </c>
      <c r="P439" s="693">
        <f t="shared" si="506"/>
        <v>0</v>
      </c>
      <c r="Q439" s="693">
        <f t="shared" si="506"/>
        <v>0</v>
      </c>
      <c r="R439" s="693">
        <f t="shared" si="506"/>
        <v>0</v>
      </c>
      <c r="S439" s="693">
        <f t="shared" si="506"/>
        <v>0</v>
      </c>
      <c r="T439" s="693">
        <f t="shared" si="506"/>
        <v>0</v>
      </c>
      <c r="U439" s="693">
        <f t="shared" si="506"/>
        <v>0</v>
      </c>
      <c r="V439" s="693">
        <f t="shared" si="506"/>
        <v>0</v>
      </c>
      <c r="W439" s="693">
        <f t="shared" si="506"/>
        <v>0</v>
      </c>
      <c r="X439" s="693">
        <f t="shared" si="506"/>
        <v>0</v>
      </c>
      <c r="Y439" s="693">
        <f t="shared" si="506"/>
        <v>0</v>
      </c>
      <c r="Z439" s="693">
        <f t="shared" si="506"/>
        <v>0</v>
      </c>
      <c r="AA439" s="693">
        <f t="shared" si="506"/>
        <v>0</v>
      </c>
      <c r="AB439" s="693">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3">
      <c r="B440" s="193" t="str">
        <f t="shared" si="499"/>
        <v>TFREHYD100</v>
      </c>
      <c r="C440" s="193"/>
      <c r="D440" s="194"/>
      <c r="E440" s="193"/>
      <c r="F440" s="196"/>
      <c r="G440" s="195"/>
      <c r="H440" s="196"/>
      <c r="I440" s="197">
        <f>AF$10</f>
        <v>2050</v>
      </c>
      <c r="J440" s="198"/>
      <c r="K440" s="198"/>
      <c r="L440" s="212" t="s">
        <v>1064</v>
      </c>
      <c r="M440" s="198" t="s">
        <v>747</v>
      </c>
      <c r="N440" s="694">
        <f t="shared" ref="N440:AB440" si="507">N434*LOOKUP($AD427,$AG$4:$AP$4,$AG$10:$AP$10)</f>
        <v>0</v>
      </c>
      <c r="O440" s="694">
        <f t="shared" si="507"/>
        <v>0</v>
      </c>
      <c r="P440" s="694">
        <f t="shared" si="507"/>
        <v>0</v>
      </c>
      <c r="Q440" s="694">
        <f t="shared" si="507"/>
        <v>0</v>
      </c>
      <c r="R440" s="694">
        <f t="shared" si="507"/>
        <v>0</v>
      </c>
      <c r="S440" s="694">
        <f t="shared" si="507"/>
        <v>0</v>
      </c>
      <c r="T440" s="694">
        <f t="shared" si="507"/>
        <v>0</v>
      </c>
      <c r="U440" s="694">
        <f t="shared" si="507"/>
        <v>0</v>
      </c>
      <c r="V440" s="694">
        <f t="shared" si="507"/>
        <v>0</v>
      </c>
      <c r="W440" s="694">
        <f t="shared" si="507"/>
        <v>0</v>
      </c>
      <c r="X440" s="694">
        <f t="shared" si="507"/>
        <v>0</v>
      </c>
      <c r="Y440" s="694">
        <f t="shared" si="507"/>
        <v>0</v>
      </c>
      <c r="Z440" s="694">
        <f t="shared" si="507"/>
        <v>0</v>
      </c>
      <c r="AA440" s="694">
        <f t="shared" si="507"/>
        <v>0</v>
      </c>
      <c r="AB440" s="694">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3">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699" t="str">
        <f t="shared" ref="AV441:AV443" si="509">MID(E441,1,7)</f>
        <v>TRAGSL</v>
      </c>
      <c r="AW441" s="567">
        <f t="shared" ref="AW441:AW442" si="510">SUM(AX441:BL441)</f>
        <v>0</v>
      </c>
    </row>
    <row r="442" spans="1:64" s="83" customFormat="1" x14ac:dyDescent="0.3">
      <c r="A442" s="82"/>
      <c r="B442" s="178" t="str">
        <f>B441</f>
        <v>TFREHYG100</v>
      </c>
      <c r="C442" s="178"/>
      <c r="D442" s="179"/>
      <c r="E442" s="407" t="s">
        <v>1011</v>
      </c>
      <c r="F442" s="182"/>
      <c r="G442" s="181"/>
      <c r="H442" s="182"/>
      <c r="I442" s="183"/>
      <c r="J442" s="184" t="s">
        <v>1126</v>
      </c>
      <c r="K442" s="184"/>
      <c r="L442" s="203" t="s">
        <v>101</v>
      </c>
      <c r="M442" s="184"/>
      <c r="N442" s="390">
        <f>N$30</f>
        <v>5.0999999999999997E-2</v>
      </c>
      <c r="O442" s="390">
        <f t="shared" ref="O442:AB442" si="511">O$30</f>
        <v>5.0999999999999997E-2</v>
      </c>
      <c r="P442" s="390">
        <f t="shared" si="511"/>
        <v>5.0999999999999997E-2</v>
      </c>
      <c r="Q442" s="390">
        <f t="shared" si="511"/>
        <v>5.0999999999999997E-2</v>
      </c>
      <c r="R442" s="390">
        <f t="shared" si="511"/>
        <v>5.0999999999999997E-2</v>
      </c>
      <c r="S442" s="390">
        <f t="shared" si="511"/>
        <v>5.0999999999999997E-2</v>
      </c>
      <c r="T442" s="390">
        <f t="shared" si="511"/>
        <v>5.0999999999999997E-2</v>
      </c>
      <c r="U442" s="390">
        <f t="shared" si="511"/>
        <v>5.0999999999999997E-2</v>
      </c>
      <c r="V442" s="390">
        <f t="shared" si="511"/>
        <v>5.0999999999999997E-2</v>
      </c>
      <c r="W442" s="390">
        <f t="shared" si="511"/>
        <v>5.0999999999999997E-2</v>
      </c>
      <c r="X442" s="390">
        <f t="shared" si="511"/>
        <v>5.0999999999999997E-2</v>
      </c>
      <c r="Y442" s="390">
        <f t="shared" si="511"/>
        <v>5.0999999999999997E-2</v>
      </c>
      <c r="Z442" s="390">
        <f t="shared" si="511"/>
        <v>5.0999999999999997E-2</v>
      </c>
      <c r="AA442" s="390">
        <f t="shared" si="511"/>
        <v>5.0999999999999997E-2</v>
      </c>
      <c r="AB442" s="390">
        <f t="shared" si="511"/>
        <v>5.0999999999999997E-2</v>
      </c>
      <c r="AD442" s="66" t="str">
        <f>IF(COUNTIF($AG$4:$AP$4,AD441)=1,"ok","MISSING")</f>
        <v>ok</v>
      </c>
      <c r="AF442" s="333"/>
      <c r="AV442" s="699" t="str">
        <f t="shared" si="509"/>
        <v>TRAETHM</v>
      </c>
      <c r="AW442" s="567">
        <f t="shared" si="510"/>
        <v>0</v>
      </c>
    </row>
    <row r="443" spans="1:64" s="83" customFormat="1" x14ac:dyDescent="0.3">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699" t="str">
        <f t="shared" si="509"/>
        <v/>
      </c>
      <c r="AW443" s="567"/>
    </row>
    <row r="444" spans="1:64" s="83" customFormat="1" x14ac:dyDescent="0.3">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699" t="str">
        <f t="shared" ref="AV444:AV445" si="513">MID(E444,1,7)</f>
        <v/>
      </c>
      <c r="AW444" s="567"/>
    </row>
    <row r="445" spans="1:64" s="83" customFormat="1" x14ac:dyDescent="0.3">
      <c r="B445" s="178" t="str">
        <f>B444</f>
        <v>TFREHYG100</v>
      </c>
      <c r="C445" s="178"/>
      <c r="D445" s="179"/>
      <c r="E445" s="178"/>
      <c r="F445" s="182"/>
      <c r="G445" s="181"/>
      <c r="H445" s="182"/>
      <c r="I445" s="183"/>
      <c r="J445" s="184"/>
      <c r="K445" s="184" t="s">
        <v>748</v>
      </c>
      <c r="L445" s="184" t="s">
        <v>1127</v>
      </c>
      <c r="M445" s="184" t="s">
        <v>1174</v>
      </c>
      <c r="N445" s="368">
        <f t="shared" ref="N445:AB445" si="514">N$25</f>
        <v>6.7</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699" t="str">
        <f t="shared" si="513"/>
        <v/>
      </c>
      <c r="AW445" s="567"/>
    </row>
    <row r="446" spans="1:64" s="83" customFormat="1" x14ac:dyDescent="0.3">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28.728000000000002</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1">
        <f>SUM(AF446:AT446)</f>
        <v>1.2112615368000001</v>
      </c>
      <c r="AF446" s="85">
        <f t="shared" ref="AF446:AT446" si="515">N445*N446*N447/1000</f>
        <v>1.2112615368000001</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3">
      <c r="B447" s="178" t="str">
        <f>B446</f>
        <v>TFREHYG100</v>
      </c>
      <c r="C447" s="178"/>
      <c r="D447" s="179"/>
      <c r="E447" s="178"/>
      <c r="F447" s="182"/>
      <c r="G447" s="181"/>
      <c r="H447" s="182"/>
      <c r="I447" s="183">
        <f>$M$3</f>
        <v>2019</v>
      </c>
      <c r="J447" s="184"/>
      <c r="K447" s="184"/>
      <c r="L447" s="203" t="s">
        <v>1064</v>
      </c>
      <c r="M447" s="184" t="s">
        <v>747</v>
      </c>
      <c r="N447" s="693">
        <f>LOOKUP($C$441, T_Stock_Private!$C$122:$C$133, T_Stock_Private!D$122:D$133)*(1+N345)</f>
        <v>6.2930000000000001</v>
      </c>
      <c r="O447" s="693">
        <f>LOOKUP($C$441, T_Stock_Private!$C$122:$C$133, T_Stock_Private!E$122:E$133)*(1+O345)</f>
        <v>0</v>
      </c>
      <c r="P447" s="693">
        <f>LOOKUP($C$441, T_Stock_Private!$C$122:$C$133, T_Stock_Private!F$122:F$133)*(1+P345)</f>
        <v>0</v>
      </c>
      <c r="Q447" s="693">
        <f>LOOKUP($C$441, T_Stock_Private!$C$122:$C$133, T_Stock_Private!G$122:G$133)*(1+Q345)</f>
        <v>0</v>
      </c>
      <c r="R447" s="693">
        <f>LOOKUP($C$441, T_Stock_Private!$C$122:$C$133, T_Stock_Private!H$122:H$133)*(1+R345)</f>
        <v>0</v>
      </c>
      <c r="S447" s="693">
        <f>LOOKUP($C$441, T_Stock_Private!$C$122:$C$133, T_Stock_Private!I$122:I$133)*(1+S345)</f>
        <v>0</v>
      </c>
      <c r="T447" s="693">
        <f>LOOKUP($C$441, T_Stock_Private!$C$122:$C$133, T_Stock_Private!J$122:J$133)*(1+T345)</f>
        <v>0</v>
      </c>
      <c r="U447" s="693">
        <f>LOOKUP($C$441, T_Stock_Private!$C$122:$C$133, T_Stock_Private!K$122:K$133)*(1+U345)</f>
        <v>0</v>
      </c>
      <c r="V447" s="693">
        <f>LOOKUP($C$441, T_Stock_Private!$C$122:$C$133, T_Stock_Private!L$122:L$133)*(1+V345)</f>
        <v>0</v>
      </c>
      <c r="W447" s="693">
        <f>LOOKUP($C$441, T_Stock_Private!$C$122:$C$133, T_Stock_Private!M$122:M$133)*(1+W345)</f>
        <v>0</v>
      </c>
      <c r="X447" s="693">
        <f>LOOKUP($C$441, T_Stock_Private!$C$122:$C$133, T_Stock_Private!N$122:N$133)*(1+X345)</f>
        <v>0</v>
      </c>
      <c r="Y447" s="693">
        <f>LOOKUP($C$441, T_Stock_Private!$C$122:$C$133, T_Stock_Private!O$122:O$133)*(1+Y345)</f>
        <v>0</v>
      </c>
      <c r="Z447" s="693">
        <f>LOOKUP($C$441, T_Stock_Private!$C$122:$C$133, T_Stock_Private!P$122:P$133)*(1+Z345)</f>
        <v>0</v>
      </c>
      <c r="AA447" s="693">
        <f>LOOKUP($C$441, T_Stock_Private!$C$122:$C$133, T_Stock_Private!Q$122:Q$133)*(1+AA345)</f>
        <v>0</v>
      </c>
      <c r="AB447" s="693">
        <f>LOOKUP($C$441, T_Stock_Private!$C$122:$C$133, T_Stock_Private!R$122:R$133)*(1+AB345)</f>
        <v>0</v>
      </c>
      <c r="AC447" s="89"/>
    </row>
    <row r="448" spans="1:64" s="83" customFormat="1" x14ac:dyDescent="0.3">
      <c r="B448" s="178" t="str">
        <f t="shared" si="512"/>
        <v>TFREHYG100</v>
      </c>
      <c r="C448" s="178"/>
      <c r="D448" s="179"/>
      <c r="E448" s="178"/>
      <c r="F448" s="182"/>
      <c r="G448" s="181"/>
      <c r="H448" s="182"/>
      <c r="I448" s="183">
        <f>AF$5</f>
        <v>2020</v>
      </c>
      <c r="J448" s="184"/>
      <c r="K448" s="184"/>
      <c r="L448" s="203" t="s">
        <v>1064</v>
      </c>
      <c r="M448" s="184" t="s">
        <v>747</v>
      </c>
      <c r="N448" s="693">
        <f t="shared" ref="N448:AB448" si="516">N447*LOOKUP($AD441,$AG$4:$AP$4,$AG$5:$AP$5)</f>
        <v>6.2300700000000004</v>
      </c>
      <c r="O448" s="693">
        <f t="shared" si="516"/>
        <v>0</v>
      </c>
      <c r="P448" s="693">
        <f t="shared" si="516"/>
        <v>0</v>
      </c>
      <c r="Q448" s="693">
        <f t="shared" si="516"/>
        <v>0</v>
      </c>
      <c r="R448" s="693">
        <f t="shared" si="516"/>
        <v>0</v>
      </c>
      <c r="S448" s="693">
        <f t="shared" si="516"/>
        <v>0</v>
      </c>
      <c r="T448" s="693">
        <f t="shared" si="516"/>
        <v>0</v>
      </c>
      <c r="U448" s="693">
        <f t="shared" si="516"/>
        <v>0</v>
      </c>
      <c r="V448" s="693">
        <f t="shared" si="516"/>
        <v>0</v>
      </c>
      <c r="W448" s="693">
        <f t="shared" si="516"/>
        <v>0</v>
      </c>
      <c r="X448" s="693">
        <f t="shared" si="516"/>
        <v>0</v>
      </c>
      <c r="Y448" s="693">
        <f t="shared" si="516"/>
        <v>0</v>
      </c>
      <c r="Z448" s="693">
        <f t="shared" si="516"/>
        <v>0</v>
      </c>
      <c r="AA448" s="693">
        <f t="shared" si="516"/>
        <v>0</v>
      </c>
      <c r="AB448" s="693">
        <f t="shared" si="516"/>
        <v>0</v>
      </c>
    </row>
    <row r="449" spans="1:64" s="83" customFormat="1" x14ac:dyDescent="0.3">
      <c r="B449" s="178" t="str">
        <f t="shared" si="512"/>
        <v>TFREHYG100</v>
      </c>
      <c r="C449" s="178"/>
      <c r="D449" s="179"/>
      <c r="E449" s="178"/>
      <c r="F449" s="182"/>
      <c r="G449" s="181"/>
      <c r="H449" s="182"/>
      <c r="I449" s="183">
        <f>AF$6</f>
        <v>2025</v>
      </c>
      <c r="J449" s="184"/>
      <c r="K449" s="184"/>
      <c r="L449" s="203" t="s">
        <v>1064</v>
      </c>
      <c r="M449" s="184" t="s">
        <v>747</v>
      </c>
      <c r="N449" s="693">
        <f t="shared" ref="N449:AB449" si="517">N447*LOOKUP($AD441,$AG$4:$AP$4,$AG$6:$AP$6)</f>
        <v>4.7197500000000003</v>
      </c>
      <c r="O449" s="693">
        <f t="shared" si="517"/>
        <v>0</v>
      </c>
      <c r="P449" s="693">
        <f t="shared" si="517"/>
        <v>0</v>
      </c>
      <c r="Q449" s="693">
        <f t="shared" si="517"/>
        <v>0</v>
      </c>
      <c r="R449" s="693">
        <f t="shared" si="517"/>
        <v>0</v>
      </c>
      <c r="S449" s="693">
        <f t="shared" si="517"/>
        <v>0</v>
      </c>
      <c r="T449" s="693">
        <f t="shared" si="517"/>
        <v>0</v>
      </c>
      <c r="U449" s="693">
        <f t="shared" si="517"/>
        <v>0</v>
      </c>
      <c r="V449" s="693">
        <f t="shared" si="517"/>
        <v>0</v>
      </c>
      <c r="W449" s="693">
        <f t="shared" si="517"/>
        <v>0</v>
      </c>
      <c r="X449" s="693">
        <f t="shared" si="517"/>
        <v>0</v>
      </c>
      <c r="Y449" s="693">
        <f t="shared" si="517"/>
        <v>0</v>
      </c>
      <c r="Z449" s="693">
        <f t="shared" si="517"/>
        <v>0</v>
      </c>
      <c r="AA449" s="693">
        <f t="shared" si="517"/>
        <v>0</v>
      </c>
      <c r="AB449" s="693">
        <f t="shared" si="517"/>
        <v>0</v>
      </c>
    </row>
    <row r="450" spans="1:64" s="83" customFormat="1" x14ac:dyDescent="0.3">
      <c r="B450" s="178" t="str">
        <f t="shared" si="512"/>
        <v>TFREHYG100</v>
      </c>
      <c r="C450" s="178"/>
      <c r="D450" s="179"/>
      <c r="E450" s="178"/>
      <c r="F450" s="182"/>
      <c r="G450" s="181"/>
      <c r="H450" s="182"/>
      <c r="I450" s="183">
        <f>AF$7</f>
        <v>2030</v>
      </c>
      <c r="J450" s="184"/>
      <c r="K450" s="184"/>
      <c r="L450" s="203" t="s">
        <v>1064</v>
      </c>
      <c r="M450" s="184" t="s">
        <v>747</v>
      </c>
      <c r="N450" s="693">
        <f t="shared" ref="N450:AB450" si="518">N447*LOOKUP($AD441,$AG$4:$AP$4,$AG$7:$AP$7)</f>
        <v>3.1465000000000001</v>
      </c>
      <c r="O450" s="693">
        <f t="shared" si="518"/>
        <v>0</v>
      </c>
      <c r="P450" s="693">
        <f t="shared" si="518"/>
        <v>0</v>
      </c>
      <c r="Q450" s="693">
        <f t="shared" si="518"/>
        <v>0</v>
      </c>
      <c r="R450" s="693">
        <f t="shared" si="518"/>
        <v>0</v>
      </c>
      <c r="S450" s="693">
        <f t="shared" si="518"/>
        <v>0</v>
      </c>
      <c r="T450" s="693">
        <f t="shared" si="518"/>
        <v>0</v>
      </c>
      <c r="U450" s="693">
        <f t="shared" si="518"/>
        <v>0</v>
      </c>
      <c r="V450" s="693">
        <f t="shared" si="518"/>
        <v>0</v>
      </c>
      <c r="W450" s="693">
        <f t="shared" si="518"/>
        <v>0</v>
      </c>
      <c r="X450" s="693">
        <f t="shared" si="518"/>
        <v>0</v>
      </c>
      <c r="Y450" s="693">
        <f t="shared" si="518"/>
        <v>0</v>
      </c>
      <c r="Z450" s="693">
        <f t="shared" si="518"/>
        <v>0</v>
      </c>
      <c r="AA450" s="693">
        <f t="shared" si="518"/>
        <v>0</v>
      </c>
      <c r="AB450" s="693">
        <f t="shared" si="518"/>
        <v>0</v>
      </c>
    </row>
    <row r="451" spans="1:64" s="83" customFormat="1" x14ac:dyDescent="0.3">
      <c r="B451" s="178" t="str">
        <f t="shared" si="512"/>
        <v>TFREHYG100</v>
      </c>
      <c r="C451" s="178"/>
      <c r="D451" s="179"/>
      <c r="E451" s="178"/>
      <c r="F451" s="182"/>
      <c r="G451" s="181"/>
      <c r="H451" s="182"/>
      <c r="I451" s="183">
        <f>AF$8</f>
        <v>2035</v>
      </c>
      <c r="J451" s="184"/>
      <c r="K451" s="184"/>
      <c r="L451" s="203" t="s">
        <v>1064</v>
      </c>
      <c r="M451" s="184" t="s">
        <v>747</v>
      </c>
      <c r="N451" s="693">
        <f t="shared" ref="N451:AB451" si="519">N447*LOOKUP($AD441,$AG$4:$AP$4,$AG$8:$AP$8)</f>
        <v>0.94394999999999996</v>
      </c>
      <c r="O451" s="693">
        <f t="shared" si="519"/>
        <v>0</v>
      </c>
      <c r="P451" s="693">
        <f t="shared" si="519"/>
        <v>0</v>
      </c>
      <c r="Q451" s="693">
        <f t="shared" si="519"/>
        <v>0</v>
      </c>
      <c r="R451" s="693">
        <f t="shared" si="519"/>
        <v>0</v>
      </c>
      <c r="S451" s="693">
        <f t="shared" si="519"/>
        <v>0</v>
      </c>
      <c r="T451" s="693">
        <f t="shared" si="519"/>
        <v>0</v>
      </c>
      <c r="U451" s="693">
        <f t="shared" si="519"/>
        <v>0</v>
      </c>
      <c r="V451" s="693">
        <f t="shared" si="519"/>
        <v>0</v>
      </c>
      <c r="W451" s="693">
        <f t="shared" si="519"/>
        <v>0</v>
      </c>
      <c r="X451" s="693">
        <f t="shared" si="519"/>
        <v>0</v>
      </c>
      <c r="Y451" s="693">
        <f t="shared" si="519"/>
        <v>0</v>
      </c>
      <c r="Z451" s="693">
        <f t="shared" si="519"/>
        <v>0</v>
      </c>
      <c r="AA451" s="693">
        <f t="shared" si="519"/>
        <v>0</v>
      </c>
      <c r="AB451" s="693">
        <f t="shared" si="519"/>
        <v>0</v>
      </c>
    </row>
    <row r="452" spans="1:64" s="83" customFormat="1" x14ac:dyDescent="0.3">
      <c r="B452" s="178" t="str">
        <f t="shared" si="512"/>
        <v>TFREHYG100</v>
      </c>
      <c r="C452" s="178"/>
      <c r="D452" s="179"/>
      <c r="E452" s="178"/>
      <c r="F452" s="182"/>
      <c r="G452" s="181"/>
      <c r="H452" s="182"/>
      <c r="I452" s="183">
        <f>AF$9</f>
        <v>2040</v>
      </c>
      <c r="J452" s="184"/>
      <c r="K452" s="184"/>
      <c r="L452" s="203" t="s">
        <v>1064</v>
      </c>
      <c r="M452" s="184" t="s">
        <v>747</v>
      </c>
      <c r="N452" s="693">
        <f t="shared" ref="N452:AB452" si="520">N447*LOOKUP($AD441,$AG$4:$AP$4,$AG$9:$AP$9)</f>
        <v>3.1465E-2</v>
      </c>
      <c r="O452" s="693">
        <f t="shared" si="520"/>
        <v>0</v>
      </c>
      <c r="P452" s="693">
        <f t="shared" si="520"/>
        <v>0</v>
      </c>
      <c r="Q452" s="693">
        <f t="shared" si="520"/>
        <v>0</v>
      </c>
      <c r="R452" s="693">
        <f t="shared" si="520"/>
        <v>0</v>
      </c>
      <c r="S452" s="693">
        <f t="shared" si="520"/>
        <v>0</v>
      </c>
      <c r="T452" s="693">
        <f t="shared" si="520"/>
        <v>0</v>
      </c>
      <c r="U452" s="693">
        <f t="shared" si="520"/>
        <v>0</v>
      </c>
      <c r="V452" s="693">
        <f t="shared" si="520"/>
        <v>0</v>
      </c>
      <c r="W452" s="693">
        <f t="shared" si="520"/>
        <v>0</v>
      </c>
      <c r="X452" s="693">
        <f t="shared" si="520"/>
        <v>0</v>
      </c>
      <c r="Y452" s="693">
        <f t="shared" si="520"/>
        <v>0</v>
      </c>
      <c r="Z452" s="693">
        <f t="shared" si="520"/>
        <v>0</v>
      </c>
      <c r="AA452" s="693">
        <f t="shared" si="520"/>
        <v>0</v>
      </c>
      <c r="AB452" s="693">
        <f t="shared" si="520"/>
        <v>0</v>
      </c>
    </row>
    <row r="453" spans="1:64" s="83" customFormat="1" x14ac:dyDescent="0.3">
      <c r="B453" s="204" t="str">
        <f t="shared" si="512"/>
        <v>TFREHYG100</v>
      </c>
      <c r="C453" s="204"/>
      <c r="D453" s="205"/>
      <c r="E453" s="204"/>
      <c r="F453" s="206"/>
      <c r="G453" s="207"/>
      <c r="H453" s="206"/>
      <c r="I453" s="208">
        <f>AF$10</f>
        <v>2050</v>
      </c>
      <c r="J453" s="209"/>
      <c r="K453" s="209"/>
      <c r="L453" s="210" t="s">
        <v>1064</v>
      </c>
      <c r="M453" s="209" t="s">
        <v>747</v>
      </c>
      <c r="N453" s="694">
        <f t="shared" ref="N453:AB453" si="521">N447*LOOKUP($AD441,$AG$4:$AP$4,$AG$10:$AP$10)</f>
        <v>0</v>
      </c>
      <c r="O453" s="694">
        <f t="shared" si="521"/>
        <v>0</v>
      </c>
      <c r="P453" s="694">
        <f t="shared" si="521"/>
        <v>0</v>
      </c>
      <c r="Q453" s="694">
        <f t="shared" si="521"/>
        <v>0</v>
      </c>
      <c r="R453" s="694">
        <f t="shared" si="521"/>
        <v>0</v>
      </c>
      <c r="S453" s="694">
        <f t="shared" si="521"/>
        <v>0</v>
      </c>
      <c r="T453" s="694">
        <f t="shared" si="521"/>
        <v>0</v>
      </c>
      <c r="U453" s="694">
        <f t="shared" si="521"/>
        <v>0</v>
      </c>
      <c r="V453" s="694">
        <f t="shared" si="521"/>
        <v>0</v>
      </c>
      <c r="W453" s="694">
        <f t="shared" si="521"/>
        <v>0</v>
      </c>
      <c r="X453" s="694">
        <f t="shared" si="521"/>
        <v>0</v>
      </c>
      <c r="Y453" s="694">
        <f t="shared" si="521"/>
        <v>0</v>
      </c>
      <c r="Z453" s="694">
        <f t="shared" si="521"/>
        <v>0</v>
      </c>
      <c r="AA453" s="694">
        <f t="shared" si="521"/>
        <v>0</v>
      </c>
      <c r="AB453" s="694">
        <f t="shared" si="521"/>
        <v>0</v>
      </c>
    </row>
    <row r="454" spans="1:64" s="83" customFormat="1" x14ac:dyDescent="0.3">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699" t="str">
        <f t="shared" ref="AV454:AV456" si="523">MID(E454,1,7)</f>
        <v>TRALPG</v>
      </c>
      <c r="AW454" s="567">
        <f t="shared" ref="AW454" si="524">SUM(AX454:BL454)</f>
        <v>0</v>
      </c>
    </row>
    <row r="455" spans="1:64" x14ac:dyDescent="0.3">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699" t="str">
        <f t="shared" si="523"/>
        <v/>
      </c>
      <c r="AW455" s="567"/>
      <c r="AX455" s="83"/>
      <c r="AY455" s="83"/>
      <c r="AZ455" s="83"/>
      <c r="BA455" s="83"/>
      <c r="BB455" s="83"/>
      <c r="BC455" s="83"/>
      <c r="BD455" s="83"/>
      <c r="BE455" s="83"/>
      <c r="BF455" s="83"/>
      <c r="BG455" s="83"/>
      <c r="BH455" s="83"/>
      <c r="BI455" s="83"/>
      <c r="BJ455" s="83"/>
      <c r="BK455" s="83"/>
      <c r="BL455" s="83"/>
    </row>
    <row r="456" spans="1:64" x14ac:dyDescent="0.3">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699" t="str">
        <f t="shared" si="523"/>
        <v/>
      </c>
      <c r="AW456" s="567"/>
      <c r="AX456" s="83"/>
      <c r="AY456" s="83"/>
      <c r="AZ456" s="83"/>
      <c r="BA456" s="83"/>
      <c r="BB456" s="83"/>
      <c r="BC456" s="83"/>
      <c r="BD456" s="83"/>
      <c r="BE456" s="83"/>
      <c r="BF456" s="83"/>
      <c r="BG456" s="83"/>
      <c r="BH456" s="83"/>
      <c r="BI456" s="83"/>
      <c r="BJ456" s="83"/>
      <c r="BK456" s="83"/>
      <c r="BL456" s="83"/>
    </row>
    <row r="457" spans="1:64" x14ac:dyDescent="0.3">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6.7</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699" t="str">
        <f t="shared" ref="AV457:AV458" si="527">MID(E457,1,7)</f>
        <v/>
      </c>
      <c r="AW457" s="567"/>
    </row>
    <row r="458" spans="1:64" x14ac:dyDescent="0.3">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0</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1">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699" t="str">
        <f t="shared" si="527"/>
        <v/>
      </c>
      <c r="AW458" s="567"/>
    </row>
    <row r="459" spans="1:64" x14ac:dyDescent="0.3">
      <c r="A459" s="22"/>
      <c r="B459" s="186" t="str">
        <f t="shared" si="525"/>
        <v>TFRELPG100</v>
      </c>
      <c r="C459" s="186"/>
      <c r="D459" s="187"/>
      <c r="E459" s="186"/>
      <c r="F459" s="170"/>
      <c r="G459" s="189"/>
      <c r="H459" s="170"/>
      <c r="I459" s="190">
        <f>$M$3</f>
        <v>2019</v>
      </c>
      <c r="J459" s="191"/>
      <c r="K459" s="191"/>
      <c r="L459" s="211" t="s">
        <v>1064</v>
      </c>
      <c r="M459" s="191" t="s">
        <v>747</v>
      </c>
      <c r="N459" s="693">
        <f>LOOKUP($C$454, T_Stock_Private!$C$122:$C$133, T_Stock_Private!D$122:D$133)*(1+N345)</f>
        <v>0</v>
      </c>
      <c r="O459" s="693">
        <f>LOOKUP($C$454, T_Stock_Private!$C$122:$C$133, T_Stock_Private!E$122:E$133)*(1+O345)</f>
        <v>0</v>
      </c>
      <c r="P459" s="693">
        <f>LOOKUP($C$454, T_Stock_Private!$C$122:$C$133, T_Stock_Private!F$122:F$133)*(1+P345)</f>
        <v>0</v>
      </c>
      <c r="Q459" s="693">
        <f>LOOKUP($C$454, T_Stock_Private!$C$122:$C$133, T_Stock_Private!G$122:G$133)*(1+Q345)</f>
        <v>0</v>
      </c>
      <c r="R459" s="693">
        <f>LOOKUP($C$454, T_Stock_Private!$C$122:$C$133, T_Stock_Private!H$122:H$133)*(1+R345)</f>
        <v>0</v>
      </c>
      <c r="S459" s="693">
        <f>LOOKUP($C$454, T_Stock_Private!$C$122:$C$133, T_Stock_Private!I$122:I$133)*(1+S345)</f>
        <v>0</v>
      </c>
      <c r="T459" s="693">
        <f>LOOKUP($C$454, T_Stock_Private!$C$122:$C$133, T_Stock_Private!J$122:J$133)*(1+T345)</f>
        <v>0</v>
      </c>
      <c r="U459" s="693">
        <f>LOOKUP($C$454, T_Stock_Private!$C$122:$C$133, T_Stock_Private!K$122:K$133)*(1+U345)</f>
        <v>0</v>
      </c>
      <c r="V459" s="693">
        <f>LOOKUP($C$454, T_Stock_Private!$C$122:$C$133, T_Stock_Private!L$122:L$133)*(1+V345)</f>
        <v>0</v>
      </c>
      <c r="W459" s="693">
        <f>LOOKUP($C$454, T_Stock_Private!$C$122:$C$133, T_Stock_Private!M$122:M$133)*(1+W345)</f>
        <v>0</v>
      </c>
      <c r="X459" s="693">
        <f>LOOKUP($C$454, T_Stock_Private!$C$122:$C$133, T_Stock_Private!N$122:N$133)*(1+X345)</f>
        <v>0</v>
      </c>
      <c r="Y459" s="693">
        <f>LOOKUP($C$454, T_Stock_Private!$C$122:$C$133, T_Stock_Private!O$122:O$133)*(1+Y345)</f>
        <v>0</v>
      </c>
      <c r="Z459" s="693">
        <f>LOOKUP($C$454, T_Stock_Private!$C$122:$C$133, T_Stock_Private!P$122:P$133)*(1+Z345)</f>
        <v>0</v>
      </c>
      <c r="AA459" s="693">
        <f>LOOKUP($C$454, T_Stock_Private!$C$122:$C$133, T_Stock_Private!Q$122:Q$133)*(1+AA345)</f>
        <v>0</v>
      </c>
      <c r="AB459" s="693">
        <f>LOOKUP($C$454, T_Stock_Private!$C$122:$C$133, T_Stock_Private!R$122:R$133)*(1+AB345)</f>
        <v>0</v>
      </c>
      <c r="AC459" s="89"/>
    </row>
    <row r="460" spans="1:64" x14ac:dyDescent="0.3">
      <c r="A460" s="22"/>
      <c r="B460" s="186" t="str">
        <f t="shared" si="525"/>
        <v>TFRELPG100</v>
      </c>
      <c r="C460" s="186"/>
      <c r="D460" s="187"/>
      <c r="E460" s="186"/>
      <c r="F460" s="170"/>
      <c r="G460" s="189"/>
      <c r="H460" s="170"/>
      <c r="I460" s="190">
        <f>AF$5</f>
        <v>2020</v>
      </c>
      <c r="J460" s="191"/>
      <c r="K460" s="191"/>
      <c r="L460" s="211" t="s">
        <v>1064</v>
      </c>
      <c r="M460" s="191" t="s">
        <v>747</v>
      </c>
      <c r="N460" s="693">
        <f t="shared" ref="N460:AB460" si="529">N459*LOOKUP($AD454,$AG$4:$AP$4,$AG$5:$AP$5)</f>
        <v>0</v>
      </c>
      <c r="O460" s="693">
        <f t="shared" si="529"/>
        <v>0</v>
      </c>
      <c r="P460" s="693">
        <f t="shared" si="529"/>
        <v>0</v>
      </c>
      <c r="Q460" s="693">
        <f t="shared" si="529"/>
        <v>0</v>
      </c>
      <c r="R460" s="693">
        <f t="shared" si="529"/>
        <v>0</v>
      </c>
      <c r="S460" s="693">
        <f t="shared" si="529"/>
        <v>0</v>
      </c>
      <c r="T460" s="693">
        <f t="shared" si="529"/>
        <v>0</v>
      </c>
      <c r="U460" s="693">
        <f t="shared" si="529"/>
        <v>0</v>
      </c>
      <c r="V460" s="693">
        <f t="shared" si="529"/>
        <v>0</v>
      </c>
      <c r="W460" s="693">
        <f t="shared" si="529"/>
        <v>0</v>
      </c>
      <c r="X460" s="693">
        <f t="shared" si="529"/>
        <v>0</v>
      </c>
      <c r="Y460" s="693">
        <f t="shared" si="529"/>
        <v>0</v>
      </c>
      <c r="Z460" s="693">
        <f t="shared" si="529"/>
        <v>0</v>
      </c>
      <c r="AA460" s="693">
        <f t="shared" si="529"/>
        <v>0</v>
      </c>
      <c r="AB460" s="693">
        <f t="shared" si="529"/>
        <v>0</v>
      </c>
    </row>
    <row r="461" spans="1:64" x14ac:dyDescent="0.3">
      <c r="A461" s="22"/>
      <c r="B461" s="186" t="str">
        <f t="shared" si="525"/>
        <v>TFRELPG100</v>
      </c>
      <c r="C461" s="186"/>
      <c r="D461" s="187"/>
      <c r="E461" s="186"/>
      <c r="F461" s="170"/>
      <c r="G461" s="189"/>
      <c r="H461" s="170"/>
      <c r="I461" s="190">
        <f>AF$6</f>
        <v>2025</v>
      </c>
      <c r="J461" s="191"/>
      <c r="K461" s="191"/>
      <c r="L461" s="211" t="s">
        <v>1064</v>
      </c>
      <c r="M461" s="191" t="s">
        <v>747</v>
      </c>
      <c r="N461" s="693">
        <f t="shared" ref="N461:AB461" si="530">N459*LOOKUP($AD454,$AG$4:$AP$4,$AG$6:$AP$6)</f>
        <v>0</v>
      </c>
      <c r="O461" s="693">
        <f t="shared" si="530"/>
        <v>0</v>
      </c>
      <c r="P461" s="693">
        <f t="shared" si="530"/>
        <v>0</v>
      </c>
      <c r="Q461" s="693">
        <f t="shared" si="530"/>
        <v>0</v>
      </c>
      <c r="R461" s="693">
        <f t="shared" si="530"/>
        <v>0</v>
      </c>
      <c r="S461" s="693">
        <f t="shared" si="530"/>
        <v>0</v>
      </c>
      <c r="T461" s="693">
        <f t="shared" si="530"/>
        <v>0</v>
      </c>
      <c r="U461" s="693">
        <f t="shared" si="530"/>
        <v>0</v>
      </c>
      <c r="V461" s="693">
        <f t="shared" si="530"/>
        <v>0</v>
      </c>
      <c r="W461" s="693">
        <f t="shared" si="530"/>
        <v>0</v>
      </c>
      <c r="X461" s="693">
        <f t="shared" si="530"/>
        <v>0</v>
      </c>
      <c r="Y461" s="693">
        <f t="shared" si="530"/>
        <v>0</v>
      </c>
      <c r="Z461" s="693">
        <f t="shared" si="530"/>
        <v>0</v>
      </c>
      <c r="AA461" s="693">
        <f t="shared" si="530"/>
        <v>0</v>
      </c>
      <c r="AB461" s="693">
        <f t="shared" si="530"/>
        <v>0</v>
      </c>
    </row>
    <row r="462" spans="1:64" x14ac:dyDescent="0.3">
      <c r="A462" s="22"/>
      <c r="B462" s="186" t="str">
        <f t="shared" si="525"/>
        <v>TFRELPG100</v>
      </c>
      <c r="C462" s="186"/>
      <c r="D462" s="187"/>
      <c r="E462" s="186"/>
      <c r="F462" s="170"/>
      <c r="G462" s="189"/>
      <c r="H462" s="170"/>
      <c r="I462" s="190">
        <f>AF$7</f>
        <v>2030</v>
      </c>
      <c r="J462" s="191"/>
      <c r="K462" s="191"/>
      <c r="L462" s="211" t="s">
        <v>1064</v>
      </c>
      <c r="M462" s="191" t="s">
        <v>747</v>
      </c>
      <c r="N462" s="693">
        <f t="shared" ref="N462:AB462" si="531">N459*LOOKUP($AD454,$AG$4:$AP$4,$AG$7:$AP$7)</f>
        <v>0</v>
      </c>
      <c r="O462" s="693">
        <f t="shared" si="531"/>
        <v>0</v>
      </c>
      <c r="P462" s="693">
        <f t="shared" si="531"/>
        <v>0</v>
      </c>
      <c r="Q462" s="693">
        <f t="shared" si="531"/>
        <v>0</v>
      </c>
      <c r="R462" s="693">
        <f t="shared" si="531"/>
        <v>0</v>
      </c>
      <c r="S462" s="693">
        <f t="shared" si="531"/>
        <v>0</v>
      </c>
      <c r="T462" s="693">
        <f t="shared" si="531"/>
        <v>0</v>
      </c>
      <c r="U462" s="693">
        <f t="shared" si="531"/>
        <v>0</v>
      </c>
      <c r="V462" s="693">
        <f t="shared" si="531"/>
        <v>0</v>
      </c>
      <c r="W462" s="693">
        <f t="shared" si="531"/>
        <v>0</v>
      </c>
      <c r="X462" s="693">
        <f t="shared" si="531"/>
        <v>0</v>
      </c>
      <c r="Y462" s="693">
        <f t="shared" si="531"/>
        <v>0</v>
      </c>
      <c r="Z462" s="693">
        <f t="shared" si="531"/>
        <v>0</v>
      </c>
      <c r="AA462" s="693">
        <f t="shared" si="531"/>
        <v>0</v>
      </c>
      <c r="AB462" s="693">
        <f t="shared" si="531"/>
        <v>0</v>
      </c>
    </row>
    <row r="463" spans="1:64" x14ac:dyDescent="0.3">
      <c r="A463" s="22"/>
      <c r="B463" s="186" t="str">
        <f t="shared" si="525"/>
        <v>TFRELPG100</v>
      </c>
      <c r="C463" s="186"/>
      <c r="D463" s="187"/>
      <c r="E463" s="186"/>
      <c r="F463" s="170"/>
      <c r="G463" s="189"/>
      <c r="H463" s="170"/>
      <c r="I463" s="190">
        <f>AF$8</f>
        <v>2035</v>
      </c>
      <c r="J463" s="191"/>
      <c r="K463" s="191"/>
      <c r="L463" s="211" t="s">
        <v>1064</v>
      </c>
      <c r="M463" s="191" t="s">
        <v>747</v>
      </c>
      <c r="N463" s="693">
        <f t="shared" ref="N463:AB463" si="532">N459*LOOKUP($AD454,$AG$4:$AP$4,$AG$8:$AP$8)</f>
        <v>0</v>
      </c>
      <c r="O463" s="693">
        <f t="shared" si="532"/>
        <v>0</v>
      </c>
      <c r="P463" s="693">
        <f t="shared" si="532"/>
        <v>0</v>
      </c>
      <c r="Q463" s="693">
        <f t="shared" si="532"/>
        <v>0</v>
      </c>
      <c r="R463" s="693">
        <f t="shared" si="532"/>
        <v>0</v>
      </c>
      <c r="S463" s="693">
        <f t="shared" si="532"/>
        <v>0</v>
      </c>
      <c r="T463" s="693">
        <f t="shared" si="532"/>
        <v>0</v>
      </c>
      <c r="U463" s="693">
        <f t="shared" si="532"/>
        <v>0</v>
      </c>
      <c r="V463" s="693">
        <f t="shared" si="532"/>
        <v>0</v>
      </c>
      <c r="W463" s="693">
        <f t="shared" si="532"/>
        <v>0</v>
      </c>
      <c r="X463" s="693">
        <f t="shared" si="532"/>
        <v>0</v>
      </c>
      <c r="Y463" s="693">
        <f t="shared" si="532"/>
        <v>0</v>
      </c>
      <c r="Z463" s="693">
        <f t="shared" si="532"/>
        <v>0</v>
      </c>
      <c r="AA463" s="693">
        <f t="shared" si="532"/>
        <v>0</v>
      </c>
      <c r="AB463" s="693">
        <f t="shared" si="532"/>
        <v>0</v>
      </c>
    </row>
    <row r="464" spans="1:64" x14ac:dyDescent="0.3">
      <c r="A464" s="22"/>
      <c r="B464" s="186" t="str">
        <f t="shared" si="525"/>
        <v>TFRELPG100</v>
      </c>
      <c r="C464" s="186"/>
      <c r="D464" s="187"/>
      <c r="E464" s="186"/>
      <c r="F464" s="170"/>
      <c r="G464" s="189"/>
      <c r="H464" s="170"/>
      <c r="I464" s="190">
        <f>AF$9</f>
        <v>2040</v>
      </c>
      <c r="J464" s="191"/>
      <c r="K464" s="191"/>
      <c r="L464" s="211" t="s">
        <v>1064</v>
      </c>
      <c r="M464" s="191" t="s">
        <v>747</v>
      </c>
      <c r="N464" s="693">
        <f t="shared" ref="N464:AB464" si="533">N459*LOOKUP($AD454,$AG$4:$AP$4,$AG$9:$AP$9)</f>
        <v>0</v>
      </c>
      <c r="O464" s="693">
        <f t="shared" si="533"/>
        <v>0</v>
      </c>
      <c r="P464" s="693">
        <f t="shared" si="533"/>
        <v>0</v>
      </c>
      <c r="Q464" s="693">
        <f t="shared" si="533"/>
        <v>0</v>
      </c>
      <c r="R464" s="693">
        <f t="shared" si="533"/>
        <v>0</v>
      </c>
      <c r="S464" s="693">
        <f t="shared" si="533"/>
        <v>0</v>
      </c>
      <c r="T464" s="693">
        <f t="shared" si="533"/>
        <v>0</v>
      </c>
      <c r="U464" s="693">
        <f t="shared" si="533"/>
        <v>0</v>
      </c>
      <c r="V464" s="693">
        <f t="shared" si="533"/>
        <v>0</v>
      </c>
      <c r="W464" s="693">
        <f t="shared" si="533"/>
        <v>0</v>
      </c>
      <c r="X464" s="693">
        <f t="shared" si="533"/>
        <v>0</v>
      </c>
      <c r="Y464" s="693">
        <f t="shared" si="533"/>
        <v>0</v>
      </c>
      <c r="Z464" s="693">
        <f t="shared" si="533"/>
        <v>0</v>
      </c>
      <c r="AA464" s="693">
        <f t="shared" si="533"/>
        <v>0</v>
      </c>
      <c r="AB464" s="693">
        <f t="shared" si="533"/>
        <v>0</v>
      </c>
    </row>
    <row r="465" spans="1:64" x14ac:dyDescent="0.3">
      <c r="A465" s="22"/>
      <c r="B465" s="193" t="str">
        <f t="shared" si="525"/>
        <v>TFRELPG100</v>
      </c>
      <c r="C465" s="193"/>
      <c r="D465" s="194"/>
      <c r="E465" s="193"/>
      <c r="F465" s="196"/>
      <c r="G465" s="195"/>
      <c r="H465" s="196"/>
      <c r="I465" s="197">
        <f>AF$10</f>
        <v>2050</v>
      </c>
      <c r="J465" s="198"/>
      <c r="K465" s="198"/>
      <c r="L465" s="212" t="s">
        <v>1064</v>
      </c>
      <c r="M465" s="198" t="s">
        <v>747</v>
      </c>
      <c r="N465" s="694">
        <f t="shared" ref="N465:AB465" si="534">N459*LOOKUP($AD454,$AG$4:$AP$4,$AG$10:$AP$10)</f>
        <v>0</v>
      </c>
      <c r="O465" s="694">
        <f t="shared" si="534"/>
        <v>0</v>
      </c>
      <c r="P465" s="694">
        <f t="shared" si="534"/>
        <v>0</v>
      </c>
      <c r="Q465" s="694">
        <f t="shared" si="534"/>
        <v>0</v>
      </c>
      <c r="R465" s="694">
        <f t="shared" si="534"/>
        <v>0</v>
      </c>
      <c r="S465" s="694">
        <f t="shared" si="534"/>
        <v>0</v>
      </c>
      <c r="T465" s="694">
        <f t="shared" si="534"/>
        <v>0</v>
      </c>
      <c r="U465" s="694">
        <f t="shared" si="534"/>
        <v>0</v>
      </c>
      <c r="V465" s="694">
        <f t="shared" si="534"/>
        <v>0</v>
      </c>
      <c r="W465" s="694">
        <f t="shared" si="534"/>
        <v>0</v>
      </c>
      <c r="X465" s="694">
        <f t="shared" si="534"/>
        <v>0</v>
      </c>
      <c r="Y465" s="694">
        <f t="shared" si="534"/>
        <v>0</v>
      </c>
      <c r="Z465" s="694">
        <f t="shared" si="534"/>
        <v>0</v>
      </c>
      <c r="AA465" s="694">
        <f t="shared" si="534"/>
        <v>0</v>
      </c>
      <c r="AB465" s="694">
        <f t="shared" si="534"/>
        <v>0</v>
      </c>
    </row>
    <row r="466" spans="1:64" s="83" customFormat="1" x14ac:dyDescent="0.3">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699" t="str">
        <f t="shared" ref="AV466:AV469" si="536">MID(E466,1,7)</f>
        <v>TRABDL</v>
      </c>
      <c r="AW466" s="567">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3">
      <c r="A467" s="82"/>
      <c r="B467" s="178" t="str">
        <f>B466</f>
        <v>TFREPYD100</v>
      </c>
      <c r="C467" s="178"/>
      <c r="D467" s="179"/>
      <c r="E467" s="407" t="s">
        <v>185</v>
      </c>
      <c r="F467" s="182"/>
      <c r="G467" s="181"/>
      <c r="H467" s="182"/>
      <c r="I467" s="183"/>
      <c r="J467" s="191" t="str">
        <f>$J$363</f>
        <v>UP</v>
      </c>
      <c r="K467" s="184"/>
      <c r="L467" s="203" t="s">
        <v>101</v>
      </c>
      <c r="M467" s="184"/>
      <c r="N467" s="390">
        <f>1-N$29-N$28</f>
        <v>0.7669999999999999</v>
      </c>
      <c r="O467" s="390">
        <f t="shared" ref="O467:AB467" si="538">1-O$29-O$28</f>
        <v>0.7669999999999999</v>
      </c>
      <c r="P467" s="390">
        <f t="shared" si="538"/>
        <v>0.7669999999999999</v>
      </c>
      <c r="Q467" s="390">
        <f t="shared" si="538"/>
        <v>0.7669999999999999</v>
      </c>
      <c r="R467" s="390">
        <f t="shared" si="538"/>
        <v>0.7669999999999999</v>
      </c>
      <c r="S467" s="390">
        <f t="shared" si="538"/>
        <v>0.7669999999999999</v>
      </c>
      <c r="T467" s="390">
        <f t="shared" si="538"/>
        <v>0.7669999999999999</v>
      </c>
      <c r="U467" s="390">
        <f t="shared" si="538"/>
        <v>0.7669999999999999</v>
      </c>
      <c r="V467" s="390">
        <f t="shared" si="538"/>
        <v>0.7669999999999999</v>
      </c>
      <c r="W467" s="390">
        <f t="shared" si="538"/>
        <v>0.7669999999999999</v>
      </c>
      <c r="X467" s="390">
        <f t="shared" si="538"/>
        <v>0.7669999999999999</v>
      </c>
      <c r="Y467" s="390">
        <f t="shared" si="538"/>
        <v>0.7669999999999999</v>
      </c>
      <c r="Z467" s="390">
        <f t="shared" si="538"/>
        <v>0.7669999999999999</v>
      </c>
      <c r="AA467" s="390">
        <f t="shared" si="538"/>
        <v>0.7669999999999999</v>
      </c>
      <c r="AB467" s="390">
        <f t="shared" si="538"/>
        <v>0.7669999999999999</v>
      </c>
      <c r="AD467" s="66" t="str">
        <f>IF(COUNTIF($AG$4:$AP$4,AD466)=1,"ok","MISSING")</f>
        <v>ok</v>
      </c>
      <c r="AF467" s="333"/>
      <c r="AV467" s="699" t="str">
        <f t="shared" si="536"/>
        <v>TRADST</v>
      </c>
      <c r="AW467" s="567">
        <f t="shared" si="537"/>
        <v>0</v>
      </c>
      <c r="AX467" s="35"/>
      <c r="AY467" s="35"/>
      <c r="AZ467" s="35"/>
      <c r="BA467" s="35"/>
      <c r="BB467" s="35"/>
      <c r="BC467" s="35"/>
      <c r="BD467" s="35"/>
      <c r="BE467" s="35"/>
      <c r="BF467" s="35"/>
      <c r="BG467" s="35"/>
      <c r="BH467" s="35"/>
      <c r="BI467" s="35"/>
      <c r="BJ467" s="35"/>
      <c r="BK467" s="35"/>
      <c r="BL467" s="35"/>
    </row>
    <row r="468" spans="1:64" s="83" customFormat="1" x14ac:dyDescent="0.3">
      <c r="A468" s="82"/>
      <c r="B468" s="178" t="str">
        <f t="shared" ref="B468" si="539">B467</f>
        <v>TFREPYD100</v>
      </c>
      <c r="C468" s="178"/>
      <c r="D468" s="179"/>
      <c r="E468" s="407" t="s">
        <v>989</v>
      </c>
      <c r="F468" s="182"/>
      <c r="G468" s="181"/>
      <c r="H468" s="182"/>
      <c r="I468" s="183"/>
      <c r="J468" s="184" t="s">
        <v>1156</v>
      </c>
      <c r="K468" s="184"/>
      <c r="L468" s="203" t="s">
        <v>101</v>
      </c>
      <c r="M468" s="184"/>
      <c r="N468" s="689">
        <f>N$28</f>
        <v>5.8000000000000003E-2</v>
      </c>
      <c r="O468" s="689">
        <f t="shared" ref="O468:AB468" si="540">O$28</f>
        <v>5.8000000000000003E-2</v>
      </c>
      <c r="P468" s="689">
        <f t="shared" si="540"/>
        <v>5.8000000000000003E-2</v>
      </c>
      <c r="Q468" s="689">
        <f t="shared" si="540"/>
        <v>5.8000000000000003E-2</v>
      </c>
      <c r="R468" s="689">
        <f t="shared" si="540"/>
        <v>5.8000000000000003E-2</v>
      </c>
      <c r="S468" s="689">
        <f t="shared" si="540"/>
        <v>5.8000000000000003E-2</v>
      </c>
      <c r="T468" s="689">
        <f t="shared" si="540"/>
        <v>5.8000000000000003E-2</v>
      </c>
      <c r="U468" s="689">
        <f t="shared" si="540"/>
        <v>5.8000000000000003E-2</v>
      </c>
      <c r="V468" s="689">
        <f t="shared" si="540"/>
        <v>5.8000000000000003E-2</v>
      </c>
      <c r="W468" s="689">
        <f t="shared" si="540"/>
        <v>5.8000000000000003E-2</v>
      </c>
      <c r="X468" s="689">
        <f t="shared" si="540"/>
        <v>5.8000000000000003E-2</v>
      </c>
      <c r="Y468" s="689">
        <f t="shared" si="540"/>
        <v>5.8000000000000003E-2</v>
      </c>
      <c r="Z468" s="689">
        <f t="shared" si="540"/>
        <v>5.8000000000000003E-2</v>
      </c>
      <c r="AA468" s="689">
        <f t="shared" si="540"/>
        <v>5.8000000000000003E-2</v>
      </c>
      <c r="AB468" s="689">
        <f t="shared" si="540"/>
        <v>5.8000000000000003E-2</v>
      </c>
      <c r="AD468" s="408"/>
      <c r="AE468" s="357"/>
      <c r="AF468" s="84"/>
      <c r="AG468" s="84"/>
      <c r="AH468" s="84"/>
      <c r="AI468" s="84"/>
      <c r="AJ468" s="84"/>
      <c r="AK468" s="84"/>
      <c r="AL468" s="84"/>
      <c r="AM468" s="84"/>
      <c r="AN468" s="84"/>
      <c r="AO468" s="84"/>
      <c r="AP468" s="84"/>
      <c r="AQ468" s="84"/>
      <c r="AR468" s="84"/>
      <c r="AS468" s="84"/>
      <c r="AT468" s="84"/>
      <c r="AV468" s="699"/>
      <c r="AW468" s="567"/>
      <c r="AX468" s="707"/>
      <c r="AY468" s="35"/>
      <c r="AZ468" s="35"/>
      <c r="BA468" s="35"/>
      <c r="BB468" s="35"/>
      <c r="BC468" s="35"/>
      <c r="BD468" s="35"/>
      <c r="BE468" s="35"/>
      <c r="BF468" s="35"/>
      <c r="BG468" s="35"/>
      <c r="BH468" s="35"/>
      <c r="BI468" s="35"/>
      <c r="BJ468" s="35"/>
      <c r="BK468" s="35"/>
      <c r="BL468" s="35"/>
    </row>
    <row r="469" spans="1:64" s="83" customFormat="1" x14ac:dyDescent="0.3">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699" t="str">
        <f t="shared" si="536"/>
        <v/>
      </c>
      <c r="AW469" s="567"/>
    </row>
    <row r="470" spans="1:64" s="83" customFormat="1" x14ac:dyDescent="0.3">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699" t="str">
        <f t="shared" ref="AV470:AV471" si="542">MID(E470,1,7)</f>
        <v/>
      </c>
      <c r="AW470" s="567"/>
    </row>
    <row r="471" spans="1:64" s="83" customFormat="1" x14ac:dyDescent="0.3">
      <c r="B471" s="178" t="str">
        <f>B470</f>
        <v>TFREPYD100</v>
      </c>
      <c r="C471" s="178"/>
      <c r="D471" s="179"/>
      <c r="E471" s="178"/>
      <c r="F471" s="182"/>
      <c r="G471" s="181"/>
      <c r="H471" s="182"/>
      <c r="I471" s="183"/>
      <c r="J471" s="184"/>
      <c r="K471" s="184" t="s">
        <v>748</v>
      </c>
      <c r="L471" s="184" t="s">
        <v>1127</v>
      </c>
      <c r="M471" s="184" t="s">
        <v>1174</v>
      </c>
      <c r="N471" s="368">
        <f t="shared" ref="N471:AB471" si="543">N$25</f>
        <v>6.7</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699" t="str">
        <f t="shared" si="542"/>
        <v/>
      </c>
      <c r="AW471" s="567"/>
    </row>
    <row r="472" spans="1:64" s="83" customFormat="1" x14ac:dyDescent="0.3">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28.728000000000002</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1">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3">
      <c r="B473" s="178" t="str">
        <f>B472</f>
        <v>TFREPYD100</v>
      </c>
      <c r="C473" s="178"/>
      <c r="D473" s="179"/>
      <c r="E473" s="178"/>
      <c r="F473" s="182"/>
      <c r="G473" s="181"/>
      <c r="H473" s="182"/>
      <c r="I473" s="183">
        <f>$M$3</f>
        <v>2019</v>
      </c>
      <c r="J473" s="184"/>
      <c r="K473" s="184"/>
      <c r="L473" s="203" t="s">
        <v>1064</v>
      </c>
      <c r="M473" s="184" t="s">
        <v>747</v>
      </c>
      <c r="N473" s="693">
        <f>LOOKUP($C$466, T_Stock_Private!$C$122:$C$133, T_Stock_Private!D$122:D$133)*(1+N345)</f>
        <v>0</v>
      </c>
      <c r="O473" s="693">
        <f>LOOKUP($C$466, T_Stock_Private!$C$122:$C$133, T_Stock_Private!E$122:E$133)*(1+O345)</f>
        <v>0</v>
      </c>
      <c r="P473" s="693">
        <f>LOOKUP($C$466, T_Stock_Private!$C$122:$C$133, T_Stock_Private!F$122:F$133)*(1+P345)</f>
        <v>0</v>
      </c>
      <c r="Q473" s="693">
        <f>LOOKUP($C$466, T_Stock_Private!$C$122:$C$133, T_Stock_Private!G$122:G$133)*(1+Q345)</f>
        <v>0</v>
      </c>
      <c r="R473" s="693">
        <f>LOOKUP($C$466, T_Stock_Private!$C$122:$C$133, T_Stock_Private!H$122:H$133)*(1+R345)</f>
        <v>0</v>
      </c>
      <c r="S473" s="693">
        <f>LOOKUP($C$466, T_Stock_Private!$C$122:$C$133, T_Stock_Private!I$122:I$133)*(1+S345)</f>
        <v>0</v>
      </c>
      <c r="T473" s="693">
        <f>LOOKUP($C$466, T_Stock_Private!$C$122:$C$133, T_Stock_Private!J$122:J$133)*(1+T345)</f>
        <v>0</v>
      </c>
      <c r="U473" s="693">
        <f>LOOKUP($C$466, T_Stock_Private!$C$122:$C$133, T_Stock_Private!K$122:K$133)*(1+U345)</f>
        <v>0</v>
      </c>
      <c r="V473" s="693">
        <f>LOOKUP($C$466, T_Stock_Private!$C$122:$C$133, T_Stock_Private!L$122:L$133)*(1+V345)</f>
        <v>0</v>
      </c>
      <c r="W473" s="693">
        <f>LOOKUP($C$466, T_Stock_Private!$C$122:$C$133, T_Stock_Private!M$122:M$133)*(1+W345)</f>
        <v>0</v>
      </c>
      <c r="X473" s="693">
        <f>LOOKUP($C$466, T_Stock_Private!$C$122:$C$133, T_Stock_Private!N$122:N$133)*(1+X345)</f>
        <v>0</v>
      </c>
      <c r="Y473" s="693">
        <f>LOOKUP($C$466, T_Stock_Private!$C$122:$C$133, T_Stock_Private!O$122:O$133)*(1+Y345)</f>
        <v>0</v>
      </c>
      <c r="Z473" s="693">
        <f>LOOKUP($C$466, T_Stock_Private!$C$122:$C$133, T_Stock_Private!P$122:P$133)*(1+Z345)</f>
        <v>0</v>
      </c>
      <c r="AA473" s="693">
        <f>LOOKUP($C$466, T_Stock_Private!$C$122:$C$133, T_Stock_Private!Q$122:Q$133)*(1+AA345)</f>
        <v>0</v>
      </c>
      <c r="AB473" s="693">
        <f>LOOKUP($C$466, T_Stock_Private!$C$122:$C$133, T_Stock_Private!R$122:R$133)*(1+AB345)</f>
        <v>0</v>
      </c>
      <c r="AC473" s="89"/>
    </row>
    <row r="474" spans="1:64" s="83" customFormat="1" x14ac:dyDescent="0.3">
      <c r="B474" s="178" t="str">
        <f t="shared" si="541"/>
        <v>TFREPYD100</v>
      </c>
      <c r="C474" s="178"/>
      <c r="D474" s="179"/>
      <c r="E474" s="178"/>
      <c r="F474" s="182"/>
      <c r="G474" s="181"/>
      <c r="H474" s="182"/>
      <c r="I474" s="183">
        <f>AF$5</f>
        <v>2020</v>
      </c>
      <c r="J474" s="184"/>
      <c r="K474" s="184"/>
      <c r="L474" s="203" t="s">
        <v>1064</v>
      </c>
      <c r="M474" s="184" t="s">
        <v>747</v>
      </c>
      <c r="N474" s="693">
        <f t="shared" ref="N474:AB474" si="545">N473*LOOKUP($AD466,$AG$4:$AP$4,$AG$5:$AP$5)</f>
        <v>0</v>
      </c>
      <c r="O474" s="693">
        <f t="shared" si="545"/>
        <v>0</v>
      </c>
      <c r="P474" s="693">
        <f t="shared" si="545"/>
        <v>0</v>
      </c>
      <c r="Q474" s="693">
        <f t="shared" si="545"/>
        <v>0</v>
      </c>
      <c r="R474" s="693">
        <f t="shared" si="545"/>
        <v>0</v>
      </c>
      <c r="S474" s="693">
        <f t="shared" si="545"/>
        <v>0</v>
      </c>
      <c r="T474" s="693">
        <f t="shared" si="545"/>
        <v>0</v>
      </c>
      <c r="U474" s="693">
        <f t="shared" si="545"/>
        <v>0</v>
      </c>
      <c r="V474" s="693">
        <f t="shared" si="545"/>
        <v>0</v>
      </c>
      <c r="W474" s="693">
        <f t="shared" si="545"/>
        <v>0</v>
      </c>
      <c r="X474" s="693">
        <f t="shared" si="545"/>
        <v>0</v>
      </c>
      <c r="Y474" s="693">
        <f t="shared" si="545"/>
        <v>0</v>
      </c>
      <c r="Z474" s="693">
        <f t="shared" si="545"/>
        <v>0</v>
      </c>
      <c r="AA474" s="693">
        <f t="shared" si="545"/>
        <v>0</v>
      </c>
      <c r="AB474" s="693">
        <f t="shared" si="545"/>
        <v>0</v>
      </c>
    </row>
    <row r="475" spans="1:64" s="83" customFormat="1" x14ac:dyDescent="0.3">
      <c r="B475" s="178" t="str">
        <f t="shared" si="541"/>
        <v>TFREPYD100</v>
      </c>
      <c r="C475" s="178"/>
      <c r="D475" s="179"/>
      <c r="E475" s="178"/>
      <c r="F475" s="182"/>
      <c r="G475" s="181"/>
      <c r="H475" s="182"/>
      <c r="I475" s="183">
        <f>AF$6</f>
        <v>2025</v>
      </c>
      <c r="J475" s="184"/>
      <c r="K475" s="184"/>
      <c r="L475" s="203" t="s">
        <v>1064</v>
      </c>
      <c r="M475" s="184" t="s">
        <v>747</v>
      </c>
      <c r="N475" s="693">
        <f t="shared" ref="N475:AB475" si="546">N473*LOOKUP($AD466,$AG$4:$AP$4,$AG$6:$AP$6)</f>
        <v>0</v>
      </c>
      <c r="O475" s="693">
        <f t="shared" si="546"/>
        <v>0</v>
      </c>
      <c r="P475" s="693">
        <f t="shared" si="546"/>
        <v>0</v>
      </c>
      <c r="Q475" s="693">
        <f t="shared" si="546"/>
        <v>0</v>
      </c>
      <c r="R475" s="693">
        <f t="shared" si="546"/>
        <v>0</v>
      </c>
      <c r="S475" s="693">
        <f t="shared" si="546"/>
        <v>0</v>
      </c>
      <c r="T475" s="693">
        <f t="shared" si="546"/>
        <v>0</v>
      </c>
      <c r="U475" s="693">
        <f t="shared" si="546"/>
        <v>0</v>
      </c>
      <c r="V475" s="693">
        <f t="shared" si="546"/>
        <v>0</v>
      </c>
      <c r="W475" s="693">
        <f t="shared" si="546"/>
        <v>0</v>
      </c>
      <c r="X475" s="693">
        <f t="shared" si="546"/>
        <v>0</v>
      </c>
      <c r="Y475" s="693">
        <f t="shared" si="546"/>
        <v>0</v>
      </c>
      <c r="Z475" s="693">
        <f t="shared" si="546"/>
        <v>0</v>
      </c>
      <c r="AA475" s="693">
        <f t="shared" si="546"/>
        <v>0</v>
      </c>
      <c r="AB475" s="693">
        <f t="shared" si="546"/>
        <v>0</v>
      </c>
    </row>
    <row r="476" spans="1:64" s="83" customFormat="1" x14ac:dyDescent="0.3">
      <c r="B476" s="178" t="str">
        <f t="shared" si="541"/>
        <v>TFREPYD100</v>
      </c>
      <c r="C476" s="178"/>
      <c r="D476" s="179"/>
      <c r="E476" s="178"/>
      <c r="F476" s="182"/>
      <c r="G476" s="181"/>
      <c r="H476" s="182"/>
      <c r="I476" s="183">
        <f>AF$7</f>
        <v>2030</v>
      </c>
      <c r="J476" s="184"/>
      <c r="K476" s="184"/>
      <c r="L476" s="203" t="s">
        <v>1064</v>
      </c>
      <c r="M476" s="184" t="s">
        <v>747</v>
      </c>
      <c r="N476" s="693">
        <f t="shared" ref="N476:AB476" si="547">N473*LOOKUP($AD466,$AG$4:$AP$4,$AG$7:$AP$7)</f>
        <v>0</v>
      </c>
      <c r="O476" s="693">
        <f t="shared" si="547"/>
        <v>0</v>
      </c>
      <c r="P476" s="693">
        <f t="shared" si="547"/>
        <v>0</v>
      </c>
      <c r="Q476" s="693">
        <f t="shared" si="547"/>
        <v>0</v>
      </c>
      <c r="R476" s="693">
        <f t="shared" si="547"/>
        <v>0</v>
      </c>
      <c r="S476" s="693">
        <f t="shared" si="547"/>
        <v>0</v>
      </c>
      <c r="T476" s="693">
        <f t="shared" si="547"/>
        <v>0</v>
      </c>
      <c r="U476" s="693">
        <f t="shared" si="547"/>
        <v>0</v>
      </c>
      <c r="V476" s="693">
        <f t="shared" si="547"/>
        <v>0</v>
      </c>
      <c r="W476" s="693">
        <f t="shared" si="547"/>
        <v>0</v>
      </c>
      <c r="X476" s="693">
        <f t="shared" si="547"/>
        <v>0</v>
      </c>
      <c r="Y476" s="693">
        <f t="shared" si="547"/>
        <v>0</v>
      </c>
      <c r="Z476" s="693">
        <f t="shared" si="547"/>
        <v>0</v>
      </c>
      <c r="AA476" s="693">
        <f t="shared" si="547"/>
        <v>0</v>
      </c>
      <c r="AB476" s="693">
        <f t="shared" si="547"/>
        <v>0</v>
      </c>
    </row>
    <row r="477" spans="1:64" s="83" customFormat="1" x14ac:dyDescent="0.3">
      <c r="B477" s="178" t="str">
        <f t="shared" si="541"/>
        <v>TFREPYD100</v>
      </c>
      <c r="C477" s="178"/>
      <c r="D477" s="179"/>
      <c r="E477" s="178"/>
      <c r="F477" s="182"/>
      <c r="G477" s="181"/>
      <c r="H477" s="182"/>
      <c r="I477" s="183">
        <f>AF$8</f>
        <v>2035</v>
      </c>
      <c r="J477" s="184"/>
      <c r="K477" s="184"/>
      <c r="L477" s="203" t="s">
        <v>1064</v>
      </c>
      <c r="M477" s="184" t="s">
        <v>747</v>
      </c>
      <c r="N477" s="693">
        <f t="shared" ref="N477:AB477" si="548">N473*LOOKUP($AD466,$AG$4:$AP$4,$AG$8:$AP$8)</f>
        <v>0</v>
      </c>
      <c r="O477" s="693">
        <f t="shared" si="548"/>
        <v>0</v>
      </c>
      <c r="P477" s="693">
        <f t="shared" si="548"/>
        <v>0</v>
      </c>
      <c r="Q477" s="693">
        <f t="shared" si="548"/>
        <v>0</v>
      </c>
      <c r="R477" s="693">
        <f t="shared" si="548"/>
        <v>0</v>
      </c>
      <c r="S477" s="693">
        <f t="shared" si="548"/>
        <v>0</v>
      </c>
      <c r="T477" s="693">
        <f t="shared" si="548"/>
        <v>0</v>
      </c>
      <c r="U477" s="693">
        <f t="shared" si="548"/>
        <v>0</v>
      </c>
      <c r="V477" s="693">
        <f t="shared" si="548"/>
        <v>0</v>
      </c>
      <c r="W477" s="693">
        <f t="shared" si="548"/>
        <v>0</v>
      </c>
      <c r="X477" s="693">
        <f t="shared" si="548"/>
        <v>0</v>
      </c>
      <c r="Y477" s="693">
        <f t="shared" si="548"/>
        <v>0</v>
      </c>
      <c r="Z477" s="693">
        <f t="shared" si="548"/>
        <v>0</v>
      </c>
      <c r="AA477" s="693">
        <f t="shared" si="548"/>
        <v>0</v>
      </c>
      <c r="AB477" s="693">
        <f t="shared" si="548"/>
        <v>0</v>
      </c>
    </row>
    <row r="478" spans="1:64" s="83" customFormat="1" x14ac:dyDescent="0.3">
      <c r="B478" s="178" t="str">
        <f t="shared" si="541"/>
        <v>TFREPYD100</v>
      </c>
      <c r="C478" s="178"/>
      <c r="D478" s="179"/>
      <c r="E478" s="178"/>
      <c r="F478" s="182"/>
      <c r="G478" s="181"/>
      <c r="H478" s="182"/>
      <c r="I478" s="183">
        <f>AF$9</f>
        <v>2040</v>
      </c>
      <c r="J478" s="184"/>
      <c r="K478" s="184"/>
      <c r="L478" s="203" t="s">
        <v>1064</v>
      </c>
      <c r="M478" s="184" t="s">
        <v>747</v>
      </c>
      <c r="N478" s="693">
        <f t="shared" ref="N478:AB478" si="549">N473*LOOKUP($AD466,$AG$4:$AP$4,$AG$9:$AP$9)</f>
        <v>0</v>
      </c>
      <c r="O478" s="693">
        <f t="shared" si="549"/>
        <v>0</v>
      </c>
      <c r="P478" s="693">
        <f t="shared" si="549"/>
        <v>0</v>
      </c>
      <c r="Q478" s="693">
        <f t="shared" si="549"/>
        <v>0</v>
      </c>
      <c r="R478" s="693">
        <f t="shared" si="549"/>
        <v>0</v>
      </c>
      <c r="S478" s="693">
        <f t="shared" si="549"/>
        <v>0</v>
      </c>
      <c r="T478" s="693">
        <f t="shared" si="549"/>
        <v>0</v>
      </c>
      <c r="U478" s="693">
        <f t="shared" si="549"/>
        <v>0</v>
      </c>
      <c r="V478" s="693">
        <f t="shared" si="549"/>
        <v>0</v>
      </c>
      <c r="W478" s="693">
        <f t="shared" si="549"/>
        <v>0</v>
      </c>
      <c r="X478" s="693">
        <f t="shared" si="549"/>
        <v>0</v>
      </c>
      <c r="Y478" s="693">
        <f t="shared" si="549"/>
        <v>0</v>
      </c>
      <c r="Z478" s="693">
        <f t="shared" si="549"/>
        <v>0</v>
      </c>
      <c r="AA478" s="693">
        <f t="shared" si="549"/>
        <v>0</v>
      </c>
      <c r="AB478" s="693">
        <f t="shared" si="549"/>
        <v>0</v>
      </c>
    </row>
    <row r="479" spans="1:64" s="83" customFormat="1" x14ac:dyDescent="0.3">
      <c r="B479" s="204" t="str">
        <f t="shared" si="541"/>
        <v>TFREPYD100</v>
      </c>
      <c r="C479" s="204"/>
      <c r="D479" s="205"/>
      <c r="E479" s="204"/>
      <c r="F479" s="206"/>
      <c r="G479" s="207"/>
      <c r="H479" s="206"/>
      <c r="I479" s="208">
        <f>AF$10</f>
        <v>2050</v>
      </c>
      <c r="J479" s="209"/>
      <c r="K479" s="209"/>
      <c r="L479" s="210" t="s">
        <v>1064</v>
      </c>
      <c r="M479" s="209" t="s">
        <v>747</v>
      </c>
      <c r="N479" s="694">
        <f t="shared" ref="N479:AB479" si="550">N473*LOOKUP($AD466,$AG$4:$AP$4,$AG$10:$AP$10)</f>
        <v>0</v>
      </c>
      <c r="O479" s="694">
        <f t="shared" si="550"/>
        <v>0</v>
      </c>
      <c r="P479" s="694">
        <f t="shared" si="550"/>
        <v>0</v>
      </c>
      <c r="Q479" s="694">
        <f t="shared" si="550"/>
        <v>0</v>
      </c>
      <c r="R479" s="694">
        <f t="shared" si="550"/>
        <v>0</v>
      </c>
      <c r="S479" s="694">
        <f t="shared" si="550"/>
        <v>0</v>
      </c>
      <c r="T479" s="694">
        <f t="shared" si="550"/>
        <v>0</v>
      </c>
      <c r="U479" s="694">
        <f t="shared" si="550"/>
        <v>0</v>
      </c>
      <c r="V479" s="694">
        <f t="shared" si="550"/>
        <v>0</v>
      </c>
      <c r="W479" s="694">
        <f t="shared" si="550"/>
        <v>0</v>
      </c>
      <c r="X479" s="694">
        <f t="shared" si="550"/>
        <v>0</v>
      </c>
      <c r="Y479" s="694">
        <f t="shared" si="550"/>
        <v>0</v>
      </c>
      <c r="Z479" s="694">
        <f t="shared" si="550"/>
        <v>0</v>
      </c>
      <c r="AA479" s="694">
        <f t="shared" si="550"/>
        <v>0</v>
      </c>
      <c r="AB479" s="694">
        <f t="shared" si="550"/>
        <v>0</v>
      </c>
    </row>
    <row r="480" spans="1:64" s="83" customFormat="1" x14ac:dyDescent="0.3">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699" t="str">
        <f t="shared" ref="AV480:AV482" si="552">MID(E480,1,7)</f>
        <v>TRAGSL</v>
      </c>
      <c r="AW480" s="567">
        <f t="shared" ref="AW480:AW481" si="553">SUM(AX480:BL480)</f>
        <v>0</v>
      </c>
    </row>
    <row r="481" spans="1:64" s="83" customFormat="1" x14ac:dyDescent="0.3">
      <c r="A481" s="82"/>
      <c r="B481" s="178" t="str">
        <f>B480</f>
        <v>TFREPYG100</v>
      </c>
      <c r="C481" s="178"/>
      <c r="D481" s="179"/>
      <c r="E481" s="407" t="s">
        <v>1011</v>
      </c>
      <c r="F481" s="182"/>
      <c r="G481" s="181"/>
      <c r="H481" s="182"/>
      <c r="I481" s="183"/>
      <c r="J481" s="184" t="s">
        <v>1126</v>
      </c>
      <c r="K481" s="184"/>
      <c r="L481" s="203" t="s">
        <v>101</v>
      </c>
      <c r="M481" s="184"/>
      <c r="N481" s="390">
        <f>N$30</f>
        <v>5.0999999999999997E-2</v>
      </c>
      <c r="O481" s="390">
        <f t="shared" ref="O481:AB481" si="554">O$30</f>
        <v>5.0999999999999997E-2</v>
      </c>
      <c r="P481" s="390">
        <f t="shared" si="554"/>
        <v>5.0999999999999997E-2</v>
      </c>
      <c r="Q481" s="390">
        <f t="shared" si="554"/>
        <v>5.0999999999999997E-2</v>
      </c>
      <c r="R481" s="390">
        <f t="shared" si="554"/>
        <v>5.0999999999999997E-2</v>
      </c>
      <c r="S481" s="390">
        <f t="shared" si="554"/>
        <v>5.0999999999999997E-2</v>
      </c>
      <c r="T481" s="390">
        <f t="shared" si="554"/>
        <v>5.0999999999999997E-2</v>
      </c>
      <c r="U481" s="390">
        <f t="shared" si="554"/>
        <v>5.0999999999999997E-2</v>
      </c>
      <c r="V481" s="390">
        <f t="shared" si="554"/>
        <v>5.0999999999999997E-2</v>
      </c>
      <c r="W481" s="390">
        <f t="shared" si="554"/>
        <v>5.0999999999999997E-2</v>
      </c>
      <c r="X481" s="390">
        <f t="shared" si="554"/>
        <v>5.0999999999999997E-2</v>
      </c>
      <c r="Y481" s="390">
        <f t="shared" si="554"/>
        <v>5.0999999999999997E-2</v>
      </c>
      <c r="Z481" s="390">
        <f t="shared" si="554"/>
        <v>5.0999999999999997E-2</v>
      </c>
      <c r="AA481" s="390">
        <f t="shared" si="554"/>
        <v>5.0999999999999997E-2</v>
      </c>
      <c r="AB481" s="390">
        <f t="shared" si="554"/>
        <v>5.0999999999999997E-2</v>
      </c>
      <c r="AD481" s="66" t="str">
        <f>IF(COUNTIF($AG$4:$AP$4,AD480)=1,"ok","MISSING")</f>
        <v>ok</v>
      </c>
      <c r="AF481" s="333"/>
      <c r="AV481" s="699" t="str">
        <f t="shared" si="552"/>
        <v>TRAETHM</v>
      </c>
      <c r="AW481" s="567">
        <f t="shared" si="553"/>
        <v>0</v>
      </c>
    </row>
    <row r="482" spans="1:64" s="83" customFormat="1" x14ac:dyDescent="0.3">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699" t="str">
        <f t="shared" si="552"/>
        <v/>
      </c>
      <c r="AW482" s="567"/>
    </row>
    <row r="483" spans="1:64" s="83" customFormat="1" x14ac:dyDescent="0.3">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699" t="str">
        <f t="shared" ref="AV483:AV484" si="556">MID(E483,1,7)</f>
        <v/>
      </c>
      <c r="AW483" s="567"/>
    </row>
    <row r="484" spans="1:64" s="83" customFormat="1" x14ac:dyDescent="0.3">
      <c r="B484" s="178" t="str">
        <f>B483</f>
        <v>TFREPYG100</v>
      </c>
      <c r="C484" s="178"/>
      <c r="D484" s="179"/>
      <c r="E484" s="178"/>
      <c r="F484" s="182"/>
      <c r="G484" s="181"/>
      <c r="H484" s="182"/>
      <c r="I484" s="183"/>
      <c r="J484" s="184"/>
      <c r="K484" s="184" t="s">
        <v>748</v>
      </c>
      <c r="L484" s="184" t="s">
        <v>1127</v>
      </c>
      <c r="M484" s="184" t="s">
        <v>1174</v>
      </c>
      <c r="N484" s="368">
        <f t="shared" ref="N484:AB484" si="557">N$25</f>
        <v>6.7</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699" t="str">
        <f t="shared" si="556"/>
        <v/>
      </c>
      <c r="AW484" s="567"/>
    </row>
    <row r="485" spans="1:64" s="83" customFormat="1" x14ac:dyDescent="0.3">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28.728000000000002</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1">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3">
      <c r="B486" s="178" t="str">
        <f>B485</f>
        <v>TFREPYG100</v>
      </c>
      <c r="C486" s="178"/>
      <c r="D486" s="179"/>
      <c r="E486" s="178"/>
      <c r="F486" s="182"/>
      <c r="G486" s="181"/>
      <c r="H486" s="182"/>
      <c r="I486" s="183">
        <f>$M$3</f>
        <v>2019</v>
      </c>
      <c r="J486" s="184"/>
      <c r="K486" s="184"/>
      <c r="L486" s="203" t="s">
        <v>1064</v>
      </c>
      <c r="M486" s="184" t="s">
        <v>747</v>
      </c>
      <c r="N486" s="693">
        <f>LOOKUP($C$480, T_Stock_Private!$C$122:$C$133, T_Stock_Private!D$122:D$133)*(1+N345)</f>
        <v>0</v>
      </c>
      <c r="O486" s="693">
        <f>LOOKUP($C$480, T_Stock_Private!$C$122:$C$133, T_Stock_Private!E$122:E$133)*(1+O345)</f>
        <v>0</v>
      </c>
      <c r="P486" s="693">
        <f>LOOKUP($C$480, T_Stock_Private!$C$122:$C$133, T_Stock_Private!F$122:F$133)*(1+P345)</f>
        <v>0</v>
      </c>
      <c r="Q486" s="693">
        <f>LOOKUP($C$480, T_Stock_Private!$C$122:$C$133, T_Stock_Private!G$122:G$133)*(1+Q345)</f>
        <v>0</v>
      </c>
      <c r="R486" s="693">
        <f>LOOKUP($C$480, T_Stock_Private!$C$122:$C$133, T_Stock_Private!H$122:H$133)*(1+R345)</f>
        <v>0</v>
      </c>
      <c r="S486" s="693">
        <f>LOOKUP($C$480, T_Stock_Private!$C$122:$C$133, T_Stock_Private!I$122:I$133)*(1+S345)</f>
        <v>0</v>
      </c>
      <c r="T486" s="693">
        <f>LOOKUP($C$480, T_Stock_Private!$C$122:$C$133, T_Stock_Private!J$122:J$133)*(1+T345)</f>
        <v>0</v>
      </c>
      <c r="U486" s="693">
        <f>LOOKUP($C$480, T_Stock_Private!$C$122:$C$133, T_Stock_Private!K$122:K$133)*(1+U345)</f>
        <v>0</v>
      </c>
      <c r="V486" s="693">
        <f>LOOKUP($C$480, T_Stock_Private!$C$122:$C$133, T_Stock_Private!L$122:L$133)*(1+V345)</f>
        <v>0</v>
      </c>
      <c r="W486" s="693">
        <f>LOOKUP($C$480, T_Stock_Private!$C$122:$C$133, T_Stock_Private!M$122:M$133)*(1+W345)</f>
        <v>0</v>
      </c>
      <c r="X486" s="693">
        <f>LOOKUP($C$480, T_Stock_Private!$C$122:$C$133, T_Stock_Private!N$122:N$133)*(1+X345)</f>
        <v>0</v>
      </c>
      <c r="Y486" s="693">
        <f>LOOKUP($C$480, T_Stock_Private!$C$122:$C$133, T_Stock_Private!O$122:O$133)*(1+Y345)</f>
        <v>0</v>
      </c>
      <c r="Z486" s="693">
        <f>LOOKUP($C$480, T_Stock_Private!$C$122:$C$133, T_Stock_Private!P$122:P$133)*(1+Z345)</f>
        <v>0</v>
      </c>
      <c r="AA486" s="693">
        <f>LOOKUP($C$480, T_Stock_Private!$C$122:$C$133, T_Stock_Private!Q$122:Q$133)*(1+AA345)</f>
        <v>0</v>
      </c>
      <c r="AB486" s="693">
        <f>LOOKUP($C$480, T_Stock_Private!$C$122:$C$133, T_Stock_Private!R$122:R$133)*(1+AB345)</f>
        <v>0</v>
      </c>
      <c r="AC486" s="89"/>
    </row>
    <row r="487" spans="1:64" s="83" customFormat="1" x14ac:dyDescent="0.3">
      <c r="B487" s="178" t="str">
        <f t="shared" si="555"/>
        <v>TFREPYG100</v>
      </c>
      <c r="C487" s="178"/>
      <c r="D487" s="179"/>
      <c r="E487" s="178"/>
      <c r="F487" s="182"/>
      <c r="G487" s="181"/>
      <c r="H487" s="182"/>
      <c r="I487" s="183">
        <f>AF$5</f>
        <v>2020</v>
      </c>
      <c r="J487" s="184"/>
      <c r="K487" s="184"/>
      <c r="L487" s="203" t="s">
        <v>1064</v>
      </c>
      <c r="M487" s="184" t="s">
        <v>747</v>
      </c>
      <c r="N487" s="693">
        <f t="shared" ref="N487:AB487" si="559">N486*LOOKUP($AD480,$AG$4:$AP$4,$AG$5:$AP$5)</f>
        <v>0</v>
      </c>
      <c r="O487" s="693">
        <f t="shared" si="559"/>
        <v>0</v>
      </c>
      <c r="P487" s="693">
        <f t="shared" si="559"/>
        <v>0</v>
      </c>
      <c r="Q487" s="693">
        <f t="shared" si="559"/>
        <v>0</v>
      </c>
      <c r="R487" s="693">
        <f t="shared" si="559"/>
        <v>0</v>
      </c>
      <c r="S487" s="693">
        <f t="shared" si="559"/>
        <v>0</v>
      </c>
      <c r="T487" s="693">
        <f t="shared" si="559"/>
        <v>0</v>
      </c>
      <c r="U487" s="693">
        <f t="shared" si="559"/>
        <v>0</v>
      </c>
      <c r="V487" s="693">
        <f t="shared" si="559"/>
        <v>0</v>
      </c>
      <c r="W487" s="693">
        <f t="shared" si="559"/>
        <v>0</v>
      </c>
      <c r="X487" s="693">
        <f t="shared" si="559"/>
        <v>0</v>
      </c>
      <c r="Y487" s="693">
        <f t="shared" si="559"/>
        <v>0</v>
      </c>
      <c r="Z487" s="693">
        <f t="shared" si="559"/>
        <v>0</v>
      </c>
      <c r="AA487" s="693">
        <f t="shared" si="559"/>
        <v>0</v>
      </c>
      <c r="AB487" s="693">
        <f t="shared" si="559"/>
        <v>0</v>
      </c>
    </row>
    <row r="488" spans="1:64" s="83" customFormat="1" x14ac:dyDescent="0.3">
      <c r="B488" s="178" t="str">
        <f t="shared" si="555"/>
        <v>TFREPYG100</v>
      </c>
      <c r="C488" s="178"/>
      <c r="D488" s="179"/>
      <c r="E488" s="178"/>
      <c r="F488" s="182"/>
      <c r="G488" s="181"/>
      <c r="H488" s="182"/>
      <c r="I488" s="183">
        <f>AF$6</f>
        <v>2025</v>
      </c>
      <c r="J488" s="184"/>
      <c r="K488" s="184"/>
      <c r="L488" s="203" t="s">
        <v>1064</v>
      </c>
      <c r="M488" s="184" t="s">
        <v>747</v>
      </c>
      <c r="N488" s="693">
        <f t="shared" ref="N488:AB488" si="560">N486*LOOKUP($AD480,$AG$4:$AP$4,$AG$6:$AP$6)</f>
        <v>0</v>
      </c>
      <c r="O488" s="693">
        <f t="shared" si="560"/>
        <v>0</v>
      </c>
      <c r="P488" s="693">
        <f t="shared" si="560"/>
        <v>0</v>
      </c>
      <c r="Q488" s="693">
        <f t="shared" si="560"/>
        <v>0</v>
      </c>
      <c r="R488" s="693">
        <f t="shared" si="560"/>
        <v>0</v>
      </c>
      <c r="S488" s="693">
        <f t="shared" si="560"/>
        <v>0</v>
      </c>
      <c r="T488" s="693">
        <f t="shared" si="560"/>
        <v>0</v>
      </c>
      <c r="U488" s="693">
        <f t="shared" si="560"/>
        <v>0</v>
      </c>
      <c r="V488" s="693">
        <f t="shared" si="560"/>
        <v>0</v>
      </c>
      <c r="W488" s="693">
        <f t="shared" si="560"/>
        <v>0</v>
      </c>
      <c r="X488" s="693">
        <f t="shared" si="560"/>
        <v>0</v>
      </c>
      <c r="Y488" s="693">
        <f t="shared" si="560"/>
        <v>0</v>
      </c>
      <c r="Z488" s="693">
        <f t="shared" si="560"/>
        <v>0</v>
      </c>
      <c r="AA488" s="693">
        <f t="shared" si="560"/>
        <v>0</v>
      </c>
      <c r="AB488" s="693">
        <f t="shared" si="560"/>
        <v>0</v>
      </c>
    </row>
    <row r="489" spans="1:64" s="83" customFormat="1" x14ac:dyDescent="0.3">
      <c r="B489" s="178" t="str">
        <f t="shared" si="555"/>
        <v>TFREPYG100</v>
      </c>
      <c r="C489" s="178"/>
      <c r="D489" s="179"/>
      <c r="E489" s="178"/>
      <c r="F489" s="182"/>
      <c r="G489" s="181"/>
      <c r="H489" s="182"/>
      <c r="I489" s="183">
        <f>AF$7</f>
        <v>2030</v>
      </c>
      <c r="J489" s="184"/>
      <c r="K489" s="184"/>
      <c r="L489" s="203" t="s">
        <v>1064</v>
      </c>
      <c r="M489" s="184" t="s">
        <v>747</v>
      </c>
      <c r="N489" s="693">
        <f t="shared" ref="N489:AB489" si="561">N486*LOOKUP($AD480,$AG$4:$AP$4,$AG$7:$AP$7)</f>
        <v>0</v>
      </c>
      <c r="O489" s="693">
        <f t="shared" si="561"/>
        <v>0</v>
      </c>
      <c r="P489" s="693">
        <f t="shared" si="561"/>
        <v>0</v>
      </c>
      <c r="Q489" s="693">
        <f t="shared" si="561"/>
        <v>0</v>
      </c>
      <c r="R489" s="693">
        <f t="shared" si="561"/>
        <v>0</v>
      </c>
      <c r="S489" s="693">
        <f t="shared" si="561"/>
        <v>0</v>
      </c>
      <c r="T489" s="693">
        <f t="shared" si="561"/>
        <v>0</v>
      </c>
      <c r="U489" s="693">
        <f t="shared" si="561"/>
        <v>0</v>
      </c>
      <c r="V489" s="693">
        <f t="shared" si="561"/>
        <v>0</v>
      </c>
      <c r="W489" s="693">
        <f t="shared" si="561"/>
        <v>0</v>
      </c>
      <c r="X489" s="693">
        <f t="shared" si="561"/>
        <v>0</v>
      </c>
      <c r="Y489" s="693">
        <f t="shared" si="561"/>
        <v>0</v>
      </c>
      <c r="Z489" s="693">
        <f t="shared" si="561"/>
        <v>0</v>
      </c>
      <c r="AA489" s="693">
        <f t="shared" si="561"/>
        <v>0</v>
      </c>
      <c r="AB489" s="693">
        <f t="shared" si="561"/>
        <v>0</v>
      </c>
    </row>
    <row r="490" spans="1:64" s="83" customFormat="1" x14ac:dyDescent="0.3">
      <c r="B490" s="178" t="str">
        <f t="shared" si="555"/>
        <v>TFREPYG100</v>
      </c>
      <c r="C490" s="178"/>
      <c r="D490" s="179"/>
      <c r="E490" s="178"/>
      <c r="F490" s="182"/>
      <c r="G490" s="181"/>
      <c r="H490" s="182"/>
      <c r="I490" s="183">
        <f>AF$8</f>
        <v>2035</v>
      </c>
      <c r="J490" s="184"/>
      <c r="K490" s="184"/>
      <c r="L490" s="203" t="s">
        <v>1064</v>
      </c>
      <c r="M490" s="184" t="s">
        <v>747</v>
      </c>
      <c r="N490" s="693">
        <f t="shared" ref="N490:AB490" si="562">N486*LOOKUP($AD480,$AG$4:$AP$4,$AG$8:$AP$8)</f>
        <v>0</v>
      </c>
      <c r="O490" s="693">
        <f t="shared" si="562"/>
        <v>0</v>
      </c>
      <c r="P490" s="693">
        <f t="shared" si="562"/>
        <v>0</v>
      </c>
      <c r="Q490" s="693">
        <f t="shared" si="562"/>
        <v>0</v>
      </c>
      <c r="R490" s="693">
        <f t="shared" si="562"/>
        <v>0</v>
      </c>
      <c r="S490" s="693">
        <f t="shared" si="562"/>
        <v>0</v>
      </c>
      <c r="T490" s="693">
        <f t="shared" si="562"/>
        <v>0</v>
      </c>
      <c r="U490" s="693">
        <f t="shared" si="562"/>
        <v>0</v>
      </c>
      <c r="V490" s="693">
        <f t="shared" si="562"/>
        <v>0</v>
      </c>
      <c r="W490" s="693">
        <f t="shared" si="562"/>
        <v>0</v>
      </c>
      <c r="X490" s="693">
        <f t="shared" si="562"/>
        <v>0</v>
      </c>
      <c r="Y490" s="693">
        <f t="shared" si="562"/>
        <v>0</v>
      </c>
      <c r="Z490" s="693">
        <f t="shared" si="562"/>
        <v>0</v>
      </c>
      <c r="AA490" s="693">
        <f t="shared" si="562"/>
        <v>0</v>
      </c>
      <c r="AB490" s="693">
        <f t="shared" si="562"/>
        <v>0</v>
      </c>
    </row>
    <row r="491" spans="1:64" s="83" customFormat="1" x14ac:dyDescent="0.3">
      <c r="B491" s="178" t="str">
        <f t="shared" si="555"/>
        <v>TFREPYG100</v>
      </c>
      <c r="C491" s="178"/>
      <c r="D491" s="179"/>
      <c r="E491" s="178"/>
      <c r="F491" s="182"/>
      <c r="G491" s="181"/>
      <c r="H491" s="182"/>
      <c r="I491" s="183">
        <f>AF$9</f>
        <v>2040</v>
      </c>
      <c r="J491" s="184"/>
      <c r="K491" s="184"/>
      <c r="L491" s="203" t="s">
        <v>1064</v>
      </c>
      <c r="M491" s="184" t="s">
        <v>747</v>
      </c>
      <c r="N491" s="693">
        <f t="shared" ref="N491:AB491" si="563">N486*LOOKUP($AD480,$AG$4:$AP$4,$AG$9:$AP$9)</f>
        <v>0</v>
      </c>
      <c r="O491" s="693">
        <f t="shared" si="563"/>
        <v>0</v>
      </c>
      <c r="P491" s="693">
        <f t="shared" si="563"/>
        <v>0</v>
      </c>
      <c r="Q491" s="693">
        <f t="shared" si="563"/>
        <v>0</v>
      </c>
      <c r="R491" s="693">
        <f t="shared" si="563"/>
        <v>0</v>
      </c>
      <c r="S491" s="693">
        <f t="shared" si="563"/>
        <v>0</v>
      </c>
      <c r="T491" s="693">
        <f t="shared" si="563"/>
        <v>0</v>
      </c>
      <c r="U491" s="693">
        <f t="shared" si="563"/>
        <v>0</v>
      </c>
      <c r="V491" s="693">
        <f t="shared" si="563"/>
        <v>0</v>
      </c>
      <c r="W491" s="693">
        <f t="shared" si="563"/>
        <v>0</v>
      </c>
      <c r="X491" s="693">
        <f t="shared" si="563"/>
        <v>0</v>
      </c>
      <c r="Y491" s="693">
        <f t="shared" si="563"/>
        <v>0</v>
      </c>
      <c r="Z491" s="693">
        <f t="shared" si="563"/>
        <v>0</v>
      </c>
      <c r="AA491" s="693">
        <f t="shared" si="563"/>
        <v>0</v>
      </c>
      <c r="AB491" s="693">
        <f t="shared" si="563"/>
        <v>0</v>
      </c>
    </row>
    <row r="492" spans="1:64" s="83" customFormat="1" x14ac:dyDescent="0.3">
      <c r="B492" s="204" t="str">
        <f t="shared" si="555"/>
        <v>TFREPYG100</v>
      </c>
      <c r="C492" s="204"/>
      <c r="D492" s="205"/>
      <c r="E492" s="204"/>
      <c r="F492" s="206"/>
      <c r="G492" s="207"/>
      <c r="H492" s="206"/>
      <c r="I492" s="208">
        <f>AF$10</f>
        <v>2050</v>
      </c>
      <c r="J492" s="209"/>
      <c r="K492" s="209"/>
      <c r="L492" s="210" t="s">
        <v>1064</v>
      </c>
      <c r="M492" s="209" t="s">
        <v>747</v>
      </c>
      <c r="N492" s="694">
        <f t="shared" ref="N492:AB492" si="564">N486*LOOKUP($AD480,$AG$4:$AP$4,$AG$10:$AP$10)</f>
        <v>0</v>
      </c>
      <c r="O492" s="694">
        <f t="shared" si="564"/>
        <v>0</v>
      </c>
      <c r="P492" s="694">
        <f t="shared" si="564"/>
        <v>0</v>
      </c>
      <c r="Q492" s="694">
        <f t="shared" si="564"/>
        <v>0</v>
      </c>
      <c r="R492" s="694">
        <f t="shared" si="564"/>
        <v>0</v>
      </c>
      <c r="S492" s="694">
        <f t="shared" si="564"/>
        <v>0</v>
      </c>
      <c r="T492" s="694">
        <f t="shared" si="564"/>
        <v>0</v>
      </c>
      <c r="U492" s="694">
        <f t="shared" si="564"/>
        <v>0</v>
      </c>
      <c r="V492" s="694">
        <f t="shared" si="564"/>
        <v>0</v>
      </c>
      <c r="W492" s="694">
        <f t="shared" si="564"/>
        <v>0</v>
      </c>
      <c r="X492" s="694">
        <f t="shared" si="564"/>
        <v>0</v>
      </c>
      <c r="Y492" s="694">
        <f t="shared" si="564"/>
        <v>0</v>
      </c>
      <c r="Z492" s="694">
        <f t="shared" si="564"/>
        <v>0</v>
      </c>
      <c r="AA492" s="694">
        <f t="shared" si="564"/>
        <v>0</v>
      </c>
      <c r="AB492" s="694">
        <f t="shared" si="564"/>
        <v>0</v>
      </c>
    </row>
    <row r="493" spans="1:64" x14ac:dyDescent="0.3">
      <c r="AV493" s="83"/>
      <c r="AW493" s="83"/>
      <c r="AX493" s="83"/>
      <c r="AY493" s="83"/>
      <c r="AZ493" s="83"/>
      <c r="BA493" s="83"/>
      <c r="BB493" s="83"/>
      <c r="BC493" s="83"/>
      <c r="BD493" s="83"/>
      <c r="BE493" s="83"/>
      <c r="BF493" s="83"/>
      <c r="BG493" s="83"/>
      <c r="BH493" s="83"/>
      <c r="BI493" s="83"/>
      <c r="BJ493" s="83"/>
      <c r="BK493" s="83"/>
      <c r="BL493" s="83"/>
    </row>
    <row r="494" spans="1:64" x14ac:dyDescent="0.3">
      <c r="AV494" s="83"/>
      <c r="AW494" s="83"/>
      <c r="AX494" s="83"/>
      <c r="AY494" s="83"/>
      <c r="AZ494" s="83"/>
      <c r="BA494" s="83"/>
      <c r="BB494" s="83"/>
      <c r="BC494" s="83"/>
      <c r="BD494" s="83"/>
      <c r="BE494" s="83"/>
      <c r="BF494" s="83"/>
      <c r="BG494" s="83"/>
      <c r="BH494" s="83"/>
      <c r="BI494" s="83"/>
      <c r="BJ494" s="83"/>
      <c r="BK494" s="83"/>
      <c r="BL494" s="83"/>
    </row>
    <row r="496" spans="1:64" s="33" customFormat="1" hidden="1" x14ac:dyDescent="0.3">
      <c r="A496" s="44"/>
      <c r="B496" s="474"/>
      <c r="D496" s="44"/>
      <c r="E496" s="44"/>
      <c r="F496" s="44"/>
      <c r="G496" s="44"/>
      <c r="M496" s="473" t="s">
        <v>1151</v>
      </c>
      <c r="N496" s="481">
        <v>0</v>
      </c>
      <c r="O496" s="481">
        <v>0</v>
      </c>
      <c r="P496" s="481">
        <v>0</v>
      </c>
      <c r="Q496" s="481">
        <v>0</v>
      </c>
      <c r="R496" s="481">
        <v>0</v>
      </c>
      <c r="S496" s="481">
        <v>0</v>
      </c>
      <c r="T496" s="481">
        <v>0</v>
      </c>
      <c r="U496" s="481">
        <v>0</v>
      </c>
      <c r="V496" s="481">
        <v>0</v>
      </c>
      <c r="W496" s="481">
        <v>0</v>
      </c>
      <c r="X496" s="481">
        <v>0</v>
      </c>
      <c r="Y496" s="481">
        <v>0</v>
      </c>
      <c r="Z496" s="481">
        <v>0</v>
      </c>
      <c r="AA496" s="481">
        <v>0</v>
      </c>
      <c r="AB496" s="481">
        <v>0</v>
      </c>
      <c r="AF496" s="77"/>
      <c r="AG496" s="77"/>
      <c r="AH496" s="77"/>
      <c r="AI496" s="77"/>
      <c r="AJ496" s="77"/>
      <c r="AK496" s="77"/>
      <c r="AL496" s="77"/>
    </row>
    <row r="497" spans="1:64" hidden="1" x14ac:dyDescent="0.3">
      <c r="B497" s="32" t="s">
        <v>1173</v>
      </c>
      <c r="C497" s="88"/>
      <c r="D497" s="26"/>
      <c r="I497" s="36"/>
      <c r="M497" s="473" t="s">
        <v>1153</v>
      </c>
      <c r="N497" s="481">
        <v>0</v>
      </c>
      <c r="O497" s="481">
        <v>0</v>
      </c>
      <c r="P497" s="481">
        <v>0</v>
      </c>
      <c r="Q497" s="481">
        <v>0</v>
      </c>
      <c r="R497" s="481">
        <v>0</v>
      </c>
      <c r="S497" s="481">
        <v>0</v>
      </c>
      <c r="T497" s="481">
        <v>0</v>
      </c>
      <c r="U497" s="481">
        <v>0</v>
      </c>
      <c r="V497" s="481">
        <v>0</v>
      </c>
      <c r="W497" s="481">
        <v>0</v>
      </c>
      <c r="X497" s="481">
        <v>0</v>
      </c>
      <c r="Y497" s="481">
        <v>0</v>
      </c>
      <c r="Z497" s="481">
        <v>0</v>
      </c>
      <c r="AA497" s="481">
        <v>0</v>
      </c>
      <c r="AB497" s="481">
        <v>0</v>
      </c>
    </row>
    <row r="498" spans="1:64" hidden="1" x14ac:dyDescent="0.3">
      <c r="M498" s="35"/>
    </row>
    <row r="499" spans="1:64" s="22" customFormat="1" hidden="1" x14ac:dyDescent="0.3">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hidden="1" x14ac:dyDescent="0.3">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0" t="s">
        <v>85</v>
      </c>
      <c r="AW500" s="700" t="s">
        <v>421</v>
      </c>
      <c r="AX500" s="700" t="str">
        <f t="shared" ref="AX500:BL500" si="567">N$2</f>
        <v>Z01</v>
      </c>
      <c r="AY500" s="700" t="str">
        <f t="shared" si="567"/>
        <v>Z02</v>
      </c>
      <c r="AZ500" s="700" t="str">
        <f t="shared" si="567"/>
        <v>Z03</v>
      </c>
      <c r="BA500" s="700" t="str">
        <f t="shared" si="567"/>
        <v>Z04</v>
      </c>
      <c r="BB500" s="700" t="str">
        <f t="shared" si="567"/>
        <v>Z05</v>
      </c>
      <c r="BC500" s="700" t="str">
        <f t="shared" si="567"/>
        <v>Z06</v>
      </c>
      <c r="BD500" s="700" t="str">
        <f t="shared" si="567"/>
        <v>Z07</v>
      </c>
      <c r="BE500" s="700" t="str">
        <f t="shared" si="567"/>
        <v>Z08</v>
      </c>
      <c r="BF500" s="700" t="str">
        <f t="shared" si="567"/>
        <v>Z09</v>
      </c>
      <c r="BG500" s="700" t="str">
        <f t="shared" si="567"/>
        <v>Z10</v>
      </c>
      <c r="BH500" s="700" t="str">
        <f t="shared" si="567"/>
        <v>Z11</v>
      </c>
      <c r="BI500" s="700" t="str">
        <f t="shared" si="567"/>
        <v>Z12</v>
      </c>
      <c r="BJ500" s="700" t="str">
        <f t="shared" si="567"/>
        <v>Z13</v>
      </c>
      <c r="BK500" s="700" t="str">
        <f t="shared" si="567"/>
        <v>Z14</v>
      </c>
      <c r="BL500" s="700" t="str">
        <f t="shared" si="567"/>
        <v>Z15</v>
      </c>
    </row>
    <row r="501" spans="1:64" s="22" customFormat="1" hidden="1" x14ac:dyDescent="0.3">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4" t="str">
        <f>IF(AE505-SUM(N16:AB16)&lt;0,"too small",IF(AE505-SUM(N16:AB16)&gt;0.001,"Too big","ok"))</f>
        <v>ok</v>
      </c>
      <c r="AF501" s="618" t="str">
        <f t="shared" ref="AF501:AT501" si="568">IF(AF505-N16&lt;0,"too small",IF(AF505-N16&gt;0.001,"Too big","ok"))</f>
        <v>ok</v>
      </c>
      <c r="AG501" s="618" t="str">
        <f t="shared" si="568"/>
        <v>ok</v>
      </c>
      <c r="AH501" s="618" t="str">
        <f t="shared" si="568"/>
        <v>ok</v>
      </c>
      <c r="AI501" s="618" t="str">
        <f t="shared" si="568"/>
        <v>ok</v>
      </c>
      <c r="AJ501" s="618" t="str">
        <f t="shared" si="568"/>
        <v>ok</v>
      </c>
      <c r="AK501" s="618" t="str">
        <f t="shared" si="568"/>
        <v>ok</v>
      </c>
      <c r="AL501" s="618" t="str">
        <f t="shared" si="568"/>
        <v>ok</v>
      </c>
      <c r="AM501" s="618" t="str">
        <f t="shared" si="568"/>
        <v>ok</v>
      </c>
      <c r="AN501" s="618" t="str">
        <f t="shared" si="568"/>
        <v>ok</v>
      </c>
      <c r="AO501" s="618" t="str">
        <f t="shared" si="568"/>
        <v>ok</v>
      </c>
      <c r="AP501" s="618" t="str">
        <f t="shared" si="568"/>
        <v>ok</v>
      </c>
      <c r="AQ501" s="618" t="str">
        <f t="shared" si="568"/>
        <v>ok</v>
      </c>
      <c r="AR501" s="618" t="str">
        <f t="shared" si="568"/>
        <v>ok</v>
      </c>
      <c r="AS501" s="618" t="str">
        <f t="shared" si="568"/>
        <v>ok</v>
      </c>
      <c r="AT501" s="618" t="str">
        <f t="shared" si="568"/>
        <v>ok</v>
      </c>
      <c r="AV501" s="398" t="s">
        <v>103</v>
      </c>
      <c r="AW501" s="721">
        <f>SUM(AX501:BL501)</f>
        <v>0</v>
      </c>
      <c r="AX501" s="717">
        <f>SUM(AX502:AX536)</f>
        <v>0</v>
      </c>
      <c r="AY501" s="717">
        <f t="shared" ref="AY501:BL501" si="569">SUM(AY502:AY536)</f>
        <v>0</v>
      </c>
      <c r="AZ501" s="717">
        <f t="shared" si="569"/>
        <v>0</v>
      </c>
      <c r="BA501" s="717">
        <f t="shared" si="569"/>
        <v>0</v>
      </c>
      <c r="BB501" s="717">
        <f t="shared" si="569"/>
        <v>0</v>
      </c>
      <c r="BC501" s="717">
        <f t="shared" si="569"/>
        <v>0</v>
      </c>
      <c r="BD501" s="717">
        <f t="shared" si="569"/>
        <v>0</v>
      </c>
      <c r="BE501" s="717">
        <f t="shared" si="569"/>
        <v>0</v>
      </c>
      <c r="BF501" s="717">
        <f t="shared" si="569"/>
        <v>0</v>
      </c>
      <c r="BG501" s="717">
        <f t="shared" si="569"/>
        <v>0</v>
      </c>
      <c r="BH501" s="717">
        <f t="shared" si="569"/>
        <v>0</v>
      </c>
      <c r="BI501" s="717">
        <f t="shared" si="569"/>
        <v>0</v>
      </c>
      <c r="BJ501" s="717">
        <f t="shared" si="569"/>
        <v>0</v>
      </c>
      <c r="BK501" s="717">
        <f t="shared" si="569"/>
        <v>0</v>
      </c>
      <c r="BL501" s="717">
        <f t="shared" si="569"/>
        <v>0</v>
      </c>
    </row>
    <row r="502" spans="1:64" s="83" customFormat="1" hidden="1" x14ac:dyDescent="0.3">
      <c r="A502" s="82"/>
      <c r="B502" s="178" t="str">
        <f>C502</f>
        <v>TLEFELC100</v>
      </c>
      <c r="C502" s="178" t="s">
        <v>556</v>
      </c>
      <c r="D502" s="179" t="s">
        <v>869</v>
      </c>
      <c r="E502" s="180" t="s">
        <v>682</v>
      </c>
      <c r="F502" s="182"/>
      <c r="G502" s="181"/>
      <c r="H502" s="182"/>
      <c r="I502" s="183"/>
      <c r="J502" s="184"/>
      <c r="K502" s="184"/>
      <c r="L502" s="203" t="s">
        <v>1106</v>
      </c>
      <c r="M502" s="184" t="s">
        <v>1155</v>
      </c>
      <c r="N502" s="566">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5"/>
      <c r="AG502" s="585"/>
      <c r="AH502" s="585"/>
      <c r="AI502" s="585"/>
      <c r="AJ502" s="585"/>
      <c r="AK502" s="585"/>
      <c r="AL502" s="585"/>
      <c r="AM502" s="585"/>
      <c r="AN502" s="585"/>
      <c r="AO502" s="585"/>
      <c r="AP502" s="585"/>
      <c r="AQ502" s="585"/>
      <c r="AR502" s="585"/>
      <c r="AS502" s="585"/>
      <c r="AT502" s="585"/>
      <c r="AV502" s="699" t="str">
        <f>MID(E502,1,7)</f>
        <v>TRAELC</v>
      </c>
      <c r="AW502" s="567">
        <f>SUM(AX502:BL502)</f>
        <v>0</v>
      </c>
      <c r="AX502" s="567">
        <f>N505*N506/N503/1000</f>
        <v>0</v>
      </c>
      <c r="AY502" s="567">
        <f t="shared" ref="AY502:BL502" si="571">O505*O506/O503/1000</f>
        <v>0</v>
      </c>
      <c r="AZ502" s="567">
        <f t="shared" si="571"/>
        <v>0</v>
      </c>
      <c r="BA502" s="567">
        <f t="shared" si="571"/>
        <v>0</v>
      </c>
      <c r="BB502" s="567">
        <f t="shared" si="571"/>
        <v>0</v>
      </c>
      <c r="BC502" s="567">
        <f t="shared" si="571"/>
        <v>0</v>
      </c>
      <c r="BD502" s="567">
        <f t="shared" si="571"/>
        <v>0</v>
      </c>
      <c r="BE502" s="567">
        <f t="shared" si="571"/>
        <v>0</v>
      </c>
      <c r="BF502" s="567">
        <f t="shared" si="571"/>
        <v>0</v>
      </c>
      <c r="BG502" s="567">
        <f t="shared" si="571"/>
        <v>0</v>
      </c>
      <c r="BH502" s="567">
        <f t="shared" si="571"/>
        <v>0</v>
      </c>
      <c r="BI502" s="567">
        <f t="shared" si="571"/>
        <v>0</v>
      </c>
      <c r="BJ502" s="567">
        <f t="shared" si="571"/>
        <v>0</v>
      </c>
      <c r="BK502" s="567">
        <f t="shared" si="571"/>
        <v>0</v>
      </c>
      <c r="BL502" s="567">
        <f t="shared" si="571"/>
        <v>0</v>
      </c>
    </row>
    <row r="503" spans="1:64" s="83" customFormat="1" hidden="1" x14ac:dyDescent="0.3">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699" t="str">
        <f>MID(E503,1,7)</f>
        <v/>
      </c>
      <c r="AW503" s="567"/>
      <c r="AX503" s="567"/>
      <c r="AY503" s="567"/>
      <c r="AZ503" s="567"/>
      <c r="BA503" s="567"/>
      <c r="BB503" s="567"/>
      <c r="BC503" s="567"/>
      <c r="BD503" s="567"/>
      <c r="BE503" s="567"/>
      <c r="BF503" s="567"/>
      <c r="BG503" s="567"/>
      <c r="BH503" s="567"/>
      <c r="BI503" s="567"/>
      <c r="BJ503" s="567"/>
      <c r="BK503" s="567"/>
      <c r="BL503" s="567"/>
    </row>
    <row r="504" spans="1:64" s="83" customFormat="1" hidden="1" x14ac:dyDescent="0.3">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699" t="str">
        <f t="shared" ref="AV504" si="573">MID(E504,1,7)</f>
        <v/>
      </c>
      <c r="AW504" s="704"/>
      <c r="AX504" s="567"/>
      <c r="AY504" s="704"/>
      <c r="AZ504" s="704"/>
      <c r="BA504" s="704"/>
      <c r="BB504" s="704"/>
      <c r="BC504" s="704"/>
      <c r="BD504" s="704"/>
      <c r="BE504" s="704"/>
      <c r="BF504" s="704"/>
      <c r="BG504" s="704"/>
      <c r="BH504" s="704"/>
      <c r="BI504" s="704"/>
      <c r="BJ504" s="704"/>
      <c r="BK504" s="704"/>
      <c r="BL504" s="704"/>
    </row>
    <row r="505" spans="1:64" s="83" customFormat="1" hidden="1" x14ac:dyDescent="0.3">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hidden="1" x14ac:dyDescent="0.3">
      <c r="A506" s="82"/>
      <c r="B506" s="178" t="str">
        <f>B505</f>
        <v>TLEFELC100</v>
      </c>
      <c r="C506" s="178"/>
      <c r="D506" s="179"/>
      <c r="E506" s="178"/>
      <c r="F506" s="182"/>
      <c r="G506" s="181"/>
      <c r="H506" s="182"/>
      <c r="I506" s="183">
        <f>$M$3</f>
        <v>2019</v>
      </c>
      <c r="J506" s="184"/>
      <c r="K506" s="184"/>
      <c r="L506" s="203" t="s">
        <v>1064</v>
      </c>
      <c r="M506" s="184" t="s">
        <v>747</v>
      </c>
      <c r="N506" s="693">
        <f>T_Stock_Private!D155*(1+N497)</f>
        <v>0</v>
      </c>
      <c r="O506" s="693">
        <f>T_Stock_Private!E155*(1+O497)</f>
        <v>0</v>
      </c>
      <c r="P506" s="693">
        <f>T_Stock_Private!F155*(1+P497)</f>
        <v>0</v>
      </c>
      <c r="Q506" s="693">
        <f>T_Stock_Private!G155*(1+Q497)</f>
        <v>0</v>
      </c>
      <c r="R506" s="693">
        <f>T_Stock_Private!H155*(1+R497)</f>
        <v>0</v>
      </c>
      <c r="S506" s="693">
        <f>T_Stock_Private!I155*(1+S497)</f>
        <v>0</v>
      </c>
      <c r="T506" s="693">
        <f>T_Stock_Private!J155*(1+T497)</f>
        <v>0</v>
      </c>
      <c r="U506" s="693">
        <f>T_Stock_Private!K155*(1+U497)</f>
        <v>0</v>
      </c>
      <c r="V506" s="693">
        <f>T_Stock_Private!L155*(1+V497)</f>
        <v>0</v>
      </c>
      <c r="W506" s="693">
        <f>T_Stock_Private!M155*(1+W497)</f>
        <v>0</v>
      </c>
      <c r="X506" s="693">
        <f>T_Stock_Private!N155*(1+X497)</f>
        <v>0</v>
      </c>
      <c r="Y506" s="693">
        <f>T_Stock_Private!O155*(1+Y497)</f>
        <v>0</v>
      </c>
      <c r="Z506" s="693">
        <f>T_Stock_Private!P155*(1+Z497)</f>
        <v>0</v>
      </c>
      <c r="AA506" s="693">
        <f>T_Stock_Private!Q155*(1+AA497)</f>
        <v>0</v>
      </c>
      <c r="AB506" s="693">
        <f>T_Stock_Private!R155*(1+AB497)</f>
        <v>0</v>
      </c>
    </row>
    <row r="507" spans="1:64" s="83" customFormat="1" hidden="1" x14ac:dyDescent="0.3">
      <c r="A507" s="82"/>
      <c r="B507" s="178" t="str">
        <f t="shared" si="574"/>
        <v>TLEFELC100</v>
      </c>
      <c r="C507" s="178"/>
      <c r="D507" s="179"/>
      <c r="E507" s="178"/>
      <c r="F507" s="182"/>
      <c r="G507" s="181"/>
      <c r="H507" s="182"/>
      <c r="I507" s="183">
        <f>AF$5</f>
        <v>2020</v>
      </c>
      <c r="J507" s="184"/>
      <c r="K507" s="184"/>
      <c r="L507" s="203" t="s">
        <v>1064</v>
      </c>
      <c r="M507" s="184" t="s">
        <v>747</v>
      </c>
      <c r="N507" s="693">
        <f t="shared" ref="N507:AB507" si="576">N$506*LOOKUP($AD$502,$AG$4:$AS$4,$AG5:$AS5)</f>
        <v>0</v>
      </c>
      <c r="O507" s="693">
        <f t="shared" si="576"/>
        <v>0</v>
      </c>
      <c r="P507" s="693">
        <f t="shared" si="576"/>
        <v>0</v>
      </c>
      <c r="Q507" s="693">
        <f t="shared" si="576"/>
        <v>0</v>
      </c>
      <c r="R507" s="693">
        <f t="shared" si="576"/>
        <v>0</v>
      </c>
      <c r="S507" s="693">
        <f t="shared" si="576"/>
        <v>0</v>
      </c>
      <c r="T507" s="693">
        <f t="shared" si="576"/>
        <v>0</v>
      </c>
      <c r="U507" s="693">
        <f t="shared" si="576"/>
        <v>0</v>
      </c>
      <c r="V507" s="693">
        <f t="shared" si="576"/>
        <v>0</v>
      </c>
      <c r="W507" s="693">
        <f t="shared" si="576"/>
        <v>0</v>
      </c>
      <c r="X507" s="693">
        <f t="shared" si="576"/>
        <v>0</v>
      </c>
      <c r="Y507" s="693">
        <f t="shared" si="576"/>
        <v>0</v>
      </c>
      <c r="Z507" s="693">
        <f t="shared" si="576"/>
        <v>0</v>
      </c>
      <c r="AA507" s="693">
        <f t="shared" si="576"/>
        <v>0</v>
      </c>
      <c r="AB507" s="693">
        <f t="shared" si="576"/>
        <v>0</v>
      </c>
    </row>
    <row r="508" spans="1:64" s="83" customFormat="1" hidden="1" x14ac:dyDescent="0.3">
      <c r="A508" s="82"/>
      <c r="B508" s="178" t="str">
        <f t="shared" si="574"/>
        <v>TLEFELC100</v>
      </c>
      <c r="C508" s="178"/>
      <c r="D508" s="179"/>
      <c r="E508" s="178"/>
      <c r="F508" s="182"/>
      <c r="G508" s="181"/>
      <c r="H508" s="182"/>
      <c r="I508" s="183">
        <f>AF$6</f>
        <v>2025</v>
      </c>
      <c r="J508" s="184"/>
      <c r="K508" s="184"/>
      <c r="L508" s="203" t="s">
        <v>1064</v>
      </c>
      <c r="M508" s="184" t="s">
        <v>747</v>
      </c>
      <c r="N508" s="693">
        <f t="shared" ref="N508:AB508" si="577">N$506*LOOKUP($AD$502,$AG$4:$AS$4,$AG6:$AS6)</f>
        <v>0</v>
      </c>
      <c r="O508" s="693">
        <f t="shared" si="577"/>
        <v>0</v>
      </c>
      <c r="P508" s="693">
        <f t="shared" si="577"/>
        <v>0</v>
      </c>
      <c r="Q508" s="693">
        <f t="shared" si="577"/>
        <v>0</v>
      </c>
      <c r="R508" s="693">
        <f t="shared" si="577"/>
        <v>0</v>
      </c>
      <c r="S508" s="693">
        <f t="shared" si="577"/>
        <v>0</v>
      </c>
      <c r="T508" s="693">
        <f t="shared" si="577"/>
        <v>0</v>
      </c>
      <c r="U508" s="693">
        <f t="shared" si="577"/>
        <v>0</v>
      </c>
      <c r="V508" s="693">
        <f t="shared" si="577"/>
        <v>0</v>
      </c>
      <c r="W508" s="693">
        <f t="shared" si="577"/>
        <v>0</v>
      </c>
      <c r="X508" s="693">
        <f t="shared" si="577"/>
        <v>0</v>
      </c>
      <c r="Y508" s="693">
        <f t="shared" si="577"/>
        <v>0</v>
      </c>
      <c r="Z508" s="693">
        <f t="shared" si="577"/>
        <v>0</v>
      </c>
      <c r="AA508" s="693">
        <f t="shared" si="577"/>
        <v>0</v>
      </c>
      <c r="AB508" s="693">
        <f t="shared" si="577"/>
        <v>0</v>
      </c>
    </row>
    <row r="509" spans="1:64" s="83" customFormat="1" hidden="1" x14ac:dyDescent="0.3">
      <c r="A509" s="82"/>
      <c r="B509" s="178" t="str">
        <f t="shared" si="574"/>
        <v>TLEFELC100</v>
      </c>
      <c r="C509" s="178"/>
      <c r="D509" s="179"/>
      <c r="E509" s="178"/>
      <c r="F509" s="182"/>
      <c r="G509" s="181"/>
      <c r="H509" s="182"/>
      <c r="I509" s="183">
        <f>AF$7</f>
        <v>2030</v>
      </c>
      <c r="J509" s="184"/>
      <c r="K509" s="184"/>
      <c r="L509" s="203" t="s">
        <v>1064</v>
      </c>
      <c r="M509" s="184" t="s">
        <v>747</v>
      </c>
      <c r="N509" s="693">
        <f t="shared" ref="N509:AB509" si="578">N$506*LOOKUP($AD$502,$AG$4:$AS$4,$AG7:$AS7)</f>
        <v>0</v>
      </c>
      <c r="O509" s="693">
        <f t="shared" si="578"/>
        <v>0</v>
      </c>
      <c r="P509" s="693">
        <f t="shared" si="578"/>
        <v>0</v>
      </c>
      <c r="Q509" s="693">
        <f t="shared" si="578"/>
        <v>0</v>
      </c>
      <c r="R509" s="693">
        <f t="shared" si="578"/>
        <v>0</v>
      </c>
      <c r="S509" s="693">
        <f t="shared" si="578"/>
        <v>0</v>
      </c>
      <c r="T509" s="693">
        <f t="shared" si="578"/>
        <v>0</v>
      </c>
      <c r="U509" s="693">
        <f t="shared" si="578"/>
        <v>0</v>
      </c>
      <c r="V509" s="693">
        <f t="shared" si="578"/>
        <v>0</v>
      </c>
      <c r="W509" s="693">
        <f t="shared" si="578"/>
        <v>0</v>
      </c>
      <c r="X509" s="693">
        <f t="shared" si="578"/>
        <v>0</v>
      </c>
      <c r="Y509" s="693">
        <f t="shared" si="578"/>
        <v>0</v>
      </c>
      <c r="Z509" s="693">
        <f t="shared" si="578"/>
        <v>0</v>
      </c>
      <c r="AA509" s="693">
        <f t="shared" si="578"/>
        <v>0</v>
      </c>
      <c r="AB509" s="693">
        <f t="shared" si="578"/>
        <v>0</v>
      </c>
    </row>
    <row r="510" spans="1:64" s="83" customFormat="1" hidden="1" x14ac:dyDescent="0.3">
      <c r="A510" s="82"/>
      <c r="B510" s="178" t="str">
        <f t="shared" si="574"/>
        <v>TLEFELC100</v>
      </c>
      <c r="C510" s="178"/>
      <c r="D510" s="179"/>
      <c r="E510" s="178"/>
      <c r="F510" s="182"/>
      <c r="G510" s="181"/>
      <c r="H510" s="182"/>
      <c r="I510" s="183">
        <f>AF$8</f>
        <v>2035</v>
      </c>
      <c r="J510" s="184"/>
      <c r="K510" s="184"/>
      <c r="L510" s="203" t="s">
        <v>1064</v>
      </c>
      <c r="M510" s="184" t="s">
        <v>747</v>
      </c>
      <c r="N510" s="693">
        <f t="shared" ref="N510:AB510" si="579">N$506*LOOKUP($AD$502,$AG$4:$AS$4,$AG8:$AS8)</f>
        <v>0</v>
      </c>
      <c r="O510" s="693">
        <f t="shared" si="579"/>
        <v>0</v>
      </c>
      <c r="P510" s="693">
        <f t="shared" si="579"/>
        <v>0</v>
      </c>
      <c r="Q510" s="693">
        <f t="shared" si="579"/>
        <v>0</v>
      </c>
      <c r="R510" s="693">
        <f t="shared" si="579"/>
        <v>0</v>
      </c>
      <c r="S510" s="693">
        <f t="shared" si="579"/>
        <v>0</v>
      </c>
      <c r="T510" s="693">
        <f t="shared" si="579"/>
        <v>0</v>
      </c>
      <c r="U510" s="693">
        <f t="shared" si="579"/>
        <v>0</v>
      </c>
      <c r="V510" s="693">
        <f t="shared" si="579"/>
        <v>0</v>
      </c>
      <c r="W510" s="693">
        <f t="shared" si="579"/>
        <v>0</v>
      </c>
      <c r="X510" s="693">
        <f t="shared" si="579"/>
        <v>0</v>
      </c>
      <c r="Y510" s="693">
        <f t="shared" si="579"/>
        <v>0</v>
      </c>
      <c r="Z510" s="693">
        <f t="shared" si="579"/>
        <v>0</v>
      </c>
      <c r="AA510" s="693">
        <f t="shared" si="579"/>
        <v>0</v>
      </c>
      <c r="AB510" s="693">
        <f t="shared" si="579"/>
        <v>0</v>
      </c>
    </row>
    <row r="511" spans="1:64" s="83" customFormat="1" hidden="1" x14ac:dyDescent="0.3">
      <c r="A511" s="82"/>
      <c r="B511" s="178" t="str">
        <f t="shared" si="574"/>
        <v>TLEFELC100</v>
      </c>
      <c r="C511" s="178"/>
      <c r="D511" s="179"/>
      <c r="E511" s="178"/>
      <c r="F511" s="182"/>
      <c r="G511" s="181"/>
      <c r="H511" s="182"/>
      <c r="I511" s="183">
        <f>AF$9</f>
        <v>2040</v>
      </c>
      <c r="J511" s="184"/>
      <c r="K511" s="184"/>
      <c r="L511" s="203" t="s">
        <v>1064</v>
      </c>
      <c r="M511" s="184" t="s">
        <v>747</v>
      </c>
      <c r="N511" s="693">
        <f t="shared" ref="N511:AB511" si="580">N$506*LOOKUP($AD$502,$AG$4:$AS$4,$AG9:$AS9)</f>
        <v>0</v>
      </c>
      <c r="O511" s="693">
        <f t="shared" si="580"/>
        <v>0</v>
      </c>
      <c r="P511" s="693">
        <f t="shared" si="580"/>
        <v>0</v>
      </c>
      <c r="Q511" s="693">
        <f t="shared" si="580"/>
        <v>0</v>
      </c>
      <c r="R511" s="693">
        <f t="shared" si="580"/>
        <v>0</v>
      </c>
      <c r="S511" s="693">
        <f t="shared" si="580"/>
        <v>0</v>
      </c>
      <c r="T511" s="693">
        <f t="shared" si="580"/>
        <v>0</v>
      </c>
      <c r="U511" s="693">
        <f t="shared" si="580"/>
        <v>0</v>
      </c>
      <c r="V511" s="693">
        <f t="shared" si="580"/>
        <v>0</v>
      </c>
      <c r="W511" s="693">
        <f t="shared" si="580"/>
        <v>0</v>
      </c>
      <c r="X511" s="693">
        <f t="shared" si="580"/>
        <v>0</v>
      </c>
      <c r="Y511" s="693">
        <f t="shared" si="580"/>
        <v>0</v>
      </c>
      <c r="Z511" s="693">
        <f t="shared" si="580"/>
        <v>0</v>
      </c>
      <c r="AA511" s="693">
        <f t="shared" si="580"/>
        <v>0</v>
      </c>
      <c r="AB511" s="693">
        <f t="shared" si="580"/>
        <v>0</v>
      </c>
    </row>
    <row r="512" spans="1:64" s="83" customFormat="1" hidden="1" x14ac:dyDescent="0.3">
      <c r="A512" s="82"/>
      <c r="B512" s="204" t="str">
        <f t="shared" si="574"/>
        <v>TLEFELC100</v>
      </c>
      <c r="C512" s="204"/>
      <c r="D512" s="205"/>
      <c r="E512" s="204"/>
      <c r="F512" s="206"/>
      <c r="G512" s="207"/>
      <c r="H512" s="206"/>
      <c r="I512" s="208">
        <f>AF$10</f>
        <v>2050</v>
      </c>
      <c r="J512" s="209"/>
      <c r="K512" s="209"/>
      <c r="L512" s="210" t="s">
        <v>1064</v>
      </c>
      <c r="M512" s="209" t="s">
        <v>747</v>
      </c>
      <c r="N512" s="694">
        <f t="shared" ref="N512:AB512" si="581">N$506*LOOKUP($AD$502,$AG$4:$AS$4,$AG10:$AS10)</f>
        <v>0</v>
      </c>
      <c r="O512" s="694">
        <f t="shared" si="581"/>
        <v>0</v>
      </c>
      <c r="P512" s="694">
        <f t="shared" si="581"/>
        <v>0</v>
      </c>
      <c r="Q512" s="694">
        <f t="shared" si="581"/>
        <v>0</v>
      </c>
      <c r="R512" s="694">
        <f t="shared" si="581"/>
        <v>0</v>
      </c>
      <c r="S512" s="694">
        <f t="shared" si="581"/>
        <v>0</v>
      </c>
      <c r="T512" s="694">
        <f t="shared" si="581"/>
        <v>0</v>
      </c>
      <c r="U512" s="694">
        <f t="shared" si="581"/>
        <v>0</v>
      </c>
      <c r="V512" s="694">
        <f t="shared" si="581"/>
        <v>0</v>
      </c>
      <c r="W512" s="694">
        <f t="shared" si="581"/>
        <v>0</v>
      </c>
      <c r="X512" s="694">
        <f t="shared" si="581"/>
        <v>0</v>
      </c>
      <c r="Y512" s="694">
        <f t="shared" si="581"/>
        <v>0</v>
      </c>
      <c r="Z512" s="694">
        <f t="shared" si="581"/>
        <v>0</v>
      </c>
      <c r="AA512" s="694">
        <f t="shared" si="581"/>
        <v>0</v>
      </c>
      <c r="AB512" s="694">
        <f t="shared" si="581"/>
        <v>0</v>
      </c>
      <c r="AD512" s="409"/>
    </row>
    <row r="513" spans="1:64" s="83" customFormat="1" hidden="1" x14ac:dyDescent="0.3">
      <c r="A513" s="82"/>
      <c r="B513" s="178" t="str">
        <f>C513</f>
        <v>TYNF100</v>
      </c>
      <c r="C513" s="178" t="s">
        <v>565</v>
      </c>
      <c r="D513" s="179" t="s">
        <v>899</v>
      </c>
      <c r="E513" s="407" t="s">
        <v>680</v>
      </c>
      <c r="F513" s="182"/>
      <c r="G513" s="181"/>
      <c r="H513" s="182"/>
      <c r="I513" s="183"/>
      <c r="J513" s="184"/>
      <c r="K513" s="184"/>
      <c r="L513" s="203" t="s">
        <v>1106</v>
      </c>
      <c r="M513" s="184" t="s">
        <v>1155</v>
      </c>
      <c r="N513" s="566">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4" t="str">
        <f>IF(AE516-AD18&lt;0,"too small",IF(AE516-AD18&gt;0.05,"Too big","ok"))</f>
        <v>ok</v>
      </c>
      <c r="AF513" s="618" t="str">
        <f t="shared" ref="AF513:AT513" si="583">IF(AF516-N18&lt;0,"too small",IF(AF516-N18&gt;0.001,"Too big","ok"))</f>
        <v>ok</v>
      </c>
      <c r="AG513" s="618" t="str">
        <f t="shared" si="583"/>
        <v>ok</v>
      </c>
      <c r="AH513" s="618" t="str">
        <f t="shared" si="583"/>
        <v>ok</v>
      </c>
      <c r="AI513" s="618" t="str">
        <f t="shared" si="583"/>
        <v>ok</v>
      </c>
      <c r="AJ513" s="618" t="str">
        <f t="shared" si="583"/>
        <v>ok</v>
      </c>
      <c r="AK513" s="618" t="str">
        <f t="shared" si="583"/>
        <v>ok</v>
      </c>
      <c r="AL513" s="618" t="str">
        <f t="shared" si="583"/>
        <v>ok</v>
      </c>
      <c r="AM513" s="618" t="str">
        <f t="shared" si="583"/>
        <v>ok</v>
      </c>
      <c r="AN513" s="618" t="str">
        <f t="shared" si="583"/>
        <v>ok</v>
      </c>
      <c r="AO513" s="618" t="str">
        <f t="shared" si="583"/>
        <v>ok</v>
      </c>
      <c r="AP513" s="618" t="str">
        <f t="shared" si="583"/>
        <v>ok</v>
      </c>
      <c r="AQ513" s="618" t="str">
        <f t="shared" si="583"/>
        <v>ok</v>
      </c>
      <c r="AR513" s="618" t="str">
        <f t="shared" si="583"/>
        <v>ok</v>
      </c>
      <c r="AS513" s="618" t="str">
        <f t="shared" si="583"/>
        <v>ok</v>
      </c>
      <c r="AT513" s="618" t="str">
        <f t="shared" si="583"/>
        <v>ok</v>
      </c>
      <c r="AV513" s="699" t="str">
        <f t="shared" ref="AV513:AV514" si="584">MID(E513,1,7)</f>
        <v>TRAHUM</v>
      </c>
      <c r="AW513" s="567">
        <f t="shared" ref="AW513" si="585">SUM(AX513:BL513)</f>
        <v>0</v>
      </c>
      <c r="AX513" s="720">
        <f>N516*N517/N514/1000</f>
        <v>0</v>
      </c>
      <c r="AY513" s="720">
        <f t="shared" ref="AY513:BL513" si="586">O516*O517/O514/1000</f>
        <v>0</v>
      </c>
      <c r="AZ513" s="720">
        <f t="shared" si="586"/>
        <v>0</v>
      </c>
      <c r="BA513" s="720">
        <f t="shared" si="586"/>
        <v>0</v>
      </c>
      <c r="BB513" s="720">
        <f t="shared" si="586"/>
        <v>0</v>
      </c>
      <c r="BC513" s="720">
        <f t="shared" si="586"/>
        <v>0</v>
      </c>
      <c r="BD513" s="720">
        <f t="shared" si="586"/>
        <v>0</v>
      </c>
      <c r="BE513" s="720">
        <f t="shared" si="586"/>
        <v>0</v>
      </c>
      <c r="BF513" s="720">
        <f t="shared" si="586"/>
        <v>0</v>
      </c>
      <c r="BG513" s="720">
        <f t="shared" si="586"/>
        <v>0</v>
      </c>
      <c r="BH513" s="720">
        <f t="shared" si="586"/>
        <v>0</v>
      </c>
      <c r="BI513" s="720">
        <f t="shared" si="586"/>
        <v>0</v>
      </c>
      <c r="BJ513" s="720">
        <f t="shared" si="586"/>
        <v>0</v>
      </c>
      <c r="BK513" s="720">
        <f t="shared" si="586"/>
        <v>0</v>
      </c>
      <c r="BL513" s="720">
        <f t="shared" si="586"/>
        <v>0</v>
      </c>
    </row>
    <row r="514" spans="1:64" s="83" customFormat="1" hidden="1" x14ac:dyDescent="0.3">
      <c r="A514" s="82"/>
      <c r="B514" s="178" t="str">
        <f>B513</f>
        <v>TYNF100</v>
      </c>
      <c r="C514" s="178"/>
      <c r="D514" s="179"/>
      <c r="E514" s="178"/>
      <c r="F514" s="557"/>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699" t="str">
        <f t="shared" si="584"/>
        <v/>
      </c>
      <c r="AW514" s="567"/>
    </row>
    <row r="515" spans="1:64" s="83" customFormat="1" hidden="1" x14ac:dyDescent="0.3">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hidden="1" x14ac:dyDescent="0.3">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hidden="1" x14ac:dyDescent="0.3">
      <c r="A517" s="82"/>
      <c r="B517" s="178" t="str">
        <f>B516</f>
        <v>TYNF100</v>
      </c>
      <c r="C517" s="178"/>
      <c r="D517" s="179"/>
      <c r="E517" s="178"/>
      <c r="F517" s="182"/>
      <c r="G517" s="181"/>
      <c r="H517" s="182"/>
      <c r="I517" s="183">
        <f>$M$3</f>
        <v>2019</v>
      </c>
      <c r="J517" s="184"/>
      <c r="K517" s="184"/>
      <c r="L517" s="203" t="s">
        <v>1064</v>
      </c>
      <c r="M517" s="184" t="s">
        <v>747</v>
      </c>
      <c r="N517" s="693">
        <f>T_Stock_Private!D145*(1+N497)</f>
        <v>0</v>
      </c>
      <c r="O517" s="693">
        <f>T_Stock_Private!E145*(1+O497)</f>
        <v>0</v>
      </c>
      <c r="P517" s="693">
        <f>T_Stock_Private!F145*(1+P497)</f>
        <v>0</v>
      </c>
      <c r="Q517" s="693">
        <f>T_Stock_Private!G145*(1+Q497)</f>
        <v>0</v>
      </c>
      <c r="R517" s="693">
        <f>T_Stock_Private!H145*(1+R497)</f>
        <v>0</v>
      </c>
      <c r="S517" s="693">
        <f>T_Stock_Private!I145*(1+S497)</f>
        <v>0</v>
      </c>
      <c r="T517" s="693">
        <f>T_Stock_Private!J145*(1+T497)</f>
        <v>0</v>
      </c>
      <c r="U517" s="693">
        <f>T_Stock_Private!K145*(1+U497)</f>
        <v>0</v>
      </c>
      <c r="V517" s="693">
        <f>T_Stock_Private!L145*(1+V497)</f>
        <v>0</v>
      </c>
      <c r="W517" s="693">
        <f>T_Stock_Private!M145*(1+W497)</f>
        <v>0</v>
      </c>
      <c r="X517" s="693">
        <f>T_Stock_Private!N145*(1+X497)</f>
        <v>0</v>
      </c>
      <c r="Y517" s="693">
        <f>T_Stock_Private!O145*(1+Y497)</f>
        <v>0</v>
      </c>
      <c r="Z517" s="693">
        <f>T_Stock_Private!P145*(1+Z497)</f>
        <v>0</v>
      </c>
      <c r="AA517" s="693">
        <f>T_Stock_Private!Q145*(1+AA497)</f>
        <v>0</v>
      </c>
      <c r="AB517" s="693">
        <f>T_Stock_Private!R145*(1+AB497)</f>
        <v>0</v>
      </c>
    </row>
    <row r="518" spans="1:64" s="83" customFormat="1" hidden="1" x14ac:dyDescent="0.3">
      <c r="A518" s="82"/>
      <c r="B518" s="178" t="str">
        <f t="shared" si="589"/>
        <v>TYNF100</v>
      </c>
      <c r="C518" s="178"/>
      <c r="D518" s="179"/>
      <c r="E518" s="178"/>
      <c r="F518" s="182"/>
      <c r="G518" s="181"/>
      <c r="H518" s="182"/>
      <c r="I518" s="183">
        <f>AF$5</f>
        <v>2020</v>
      </c>
      <c r="J518" s="184"/>
      <c r="K518" s="184"/>
      <c r="L518" s="203" t="s">
        <v>1064</v>
      </c>
      <c r="M518" s="184" t="s">
        <v>747</v>
      </c>
      <c r="N518" s="693">
        <f t="shared" ref="N518:AB518" si="591">N$517*LOOKUP($AD$513,$AG$4:$AS$4,$AG5:$AS5)</f>
        <v>0</v>
      </c>
      <c r="O518" s="693">
        <f t="shared" si="591"/>
        <v>0</v>
      </c>
      <c r="P518" s="693">
        <f t="shared" si="591"/>
        <v>0</v>
      </c>
      <c r="Q518" s="693">
        <f t="shared" si="591"/>
        <v>0</v>
      </c>
      <c r="R518" s="693">
        <f t="shared" si="591"/>
        <v>0</v>
      </c>
      <c r="S518" s="693">
        <f t="shared" si="591"/>
        <v>0</v>
      </c>
      <c r="T518" s="693">
        <f t="shared" si="591"/>
        <v>0</v>
      </c>
      <c r="U518" s="693">
        <f t="shared" si="591"/>
        <v>0</v>
      </c>
      <c r="V518" s="693">
        <f t="shared" si="591"/>
        <v>0</v>
      </c>
      <c r="W518" s="693">
        <f t="shared" si="591"/>
        <v>0</v>
      </c>
      <c r="X518" s="693">
        <f t="shared" si="591"/>
        <v>0</v>
      </c>
      <c r="Y518" s="693">
        <f t="shared" si="591"/>
        <v>0</v>
      </c>
      <c r="Z518" s="693">
        <f t="shared" si="591"/>
        <v>0</v>
      </c>
      <c r="AA518" s="693">
        <f t="shared" si="591"/>
        <v>0</v>
      </c>
      <c r="AB518" s="693">
        <f t="shared" si="591"/>
        <v>0</v>
      </c>
    </row>
    <row r="519" spans="1:64" s="83" customFormat="1" hidden="1" x14ac:dyDescent="0.3">
      <c r="A519" s="82"/>
      <c r="B519" s="178" t="str">
        <f t="shared" si="589"/>
        <v>TYNF100</v>
      </c>
      <c r="C519" s="178"/>
      <c r="D519" s="179"/>
      <c r="E519" s="178"/>
      <c r="F519" s="182"/>
      <c r="G519" s="181"/>
      <c r="H519" s="182"/>
      <c r="I519" s="183">
        <f>AF$6</f>
        <v>2025</v>
      </c>
      <c r="J519" s="184"/>
      <c r="K519" s="184"/>
      <c r="L519" s="203" t="s">
        <v>1064</v>
      </c>
      <c r="M519" s="184" t="s">
        <v>747</v>
      </c>
      <c r="N519" s="693">
        <f t="shared" ref="N519:AB519" si="592">N$517*LOOKUP($AD$513,$AG$4:$AS$4,$AG6:$AS6)</f>
        <v>0</v>
      </c>
      <c r="O519" s="693">
        <f t="shared" si="592"/>
        <v>0</v>
      </c>
      <c r="P519" s="693">
        <f t="shared" si="592"/>
        <v>0</v>
      </c>
      <c r="Q519" s="693">
        <f t="shared" si="592"/>
        <v>0</v>
      </c>
      <c r="R519" s="693">
        <f t="shared" si="592"/>
        <v>0</v>
      </c>
      <c r="S519" s="693">
        <f t="shared" si="592"/>
        <v>0</v>
      </c>
      <c r="T519" s="693">
        <f t="shared" si="592"/>
        <v>0</v>
      </c>
      <c r="U519" s="693">
        <f t="shared" si="592"/>
        <v>0</v>
      </c>
      <c r="V519" s="693">
        <f t="shared" si="592"/>
        <v>0</v>
      </c>
      <c r="W519" s="693">
        <f t="shared" si="592"/>
        <v>0</v>
      </c>
      <c r="X519" s="693">
        <f t="shared" si="592"/>
        <v>0</v>
      </c>
      <c r="Y519" s="693">
        <f t="shared" si="592"/>
        <v>0</v>
      </c>
      <c r="Z519" s="693">
        <f t="shared" si="592"/>
        <v>0</v>
      </c>
      <c r="AA519" s="693">
        <f t="shared" si="592"/>
        <v>0</v>
      </c>
      <c r="AB519" s="693">
        <f t="shared" si="592"/>
        <v>0</v>
      </c>
    </row>
    <row r="520" spans="1:64" s="83" customFormat="1" hidden="1" x14ac:dyDescent="0.3">
      <c r="A520" s="82"/>
      <c r="B520" s="178" t="str">
        <f t="shared" si="589"/>
        <v>TYNF100</v>
      </c>
      <c r="C520" s="178"/>
      <c r="D520" s="179"/>
      <c r="E520" s="178"/>
      <c r="F520" s="182"/>
      <c r="G520" s="181"/>
      <c r="H520" s="182"/>
      <c r="I520" s="183">
        <f>AF$7</f>
        <v>2030</v>
      </c>
      <c r="J520" s="184"/>
      <c r="K520" s="184"/>
      <c r="L520" s="203" t="s">
        <v>1064</v>
      </c>
      <c r="M520" s="184" t="s">
        <v>747</v>
      </c>
      <c r="N520" s="693">
        <f t="shared" ref="N520:AB520" si="593">N$517*LOOKUP($AD$513,$AG$4:$AS$4,$AG7:$AS7)</f>
        <v>0</v>
      </c>
      <c r="O520" s="693">
        <f t="shared" si="593"/>
        <v>0</v>
      </c>
      <c r="P520" s="693">
        <f t="shared" si="593"/>
        <v>0</v>
      </c>
      <c r="Q520" s="693">
        <f t="shared" si="593"/>
        <v>0</v>
      </c>
      <c r="R520" s="693">
        <f t="shared" si="593"/>
        <v>0</v>
      </c>
      <c r="S520" s="693">
        <f t="shared" si="593"/>
        <v>0</v>
      </c>
      <c r="T520" s="693">
        <f t="shared" si="593"/>
        <v>0</v>
      </c>
      <c r="U520" s="693">
        <f t="shared" si="593"/>
        <v>0</v>
      </c>
      <c r="V520" s="693">
        <f t="shared" si="593"/>
        <v>0</v>
      </c>
      <c r="W520" s="693">
        <f t="shared" si="593"/>
        <v>0</v>
      </c>
      <c r="X520" s="693">
        <f t="shared" si="593"/>
        <v>0</v>
      </c>
      <c r="Y520" s="693">
        <f t="shared" si="593"/>
        <v>0</v>
      </c>
      <c r="Z520" s="693">
        <f t="shared" si="593"/>
        <v>0</v>
      </c>
      <c r="AA520" s="693">
        <f t="shared" si="593"/>
        <v>0</v>
      </c>
      <c r="AB520" s="693">
        <f t="shared" si="593"/>
        <v>0</v>
      </c>
    </row>
    <row r="521" spans="1:64" s="83" customFormat="1" hidden="1" x14ac:dyDescent="0.3">
      <c r="A521" s="82"/>
      <c r="B521" s="178" t="str">
        <f t="shared" si="589"/>
        <v>TYNF100</v>
      </c>
      <c r="C521" s="178"/>
      <c r="D521" s="179"/>
      <c r="E521" s="178"/>
      <c r="F521" s="182"/>
      <c r="G521" s="181"/>
      <c r="H521" s="182"/>
      <c r="I521" s="183">
        <f>AF$8</f>
        <v>2035</v>
      </c>
      <c r="J521" s="184"/>
      <c r="K521" s="184"/>
      <c r="L521" s="203" t="s">
        <v>1064</v>
      </c>
      <c r="M521" s="184" t="s">
        <v>747</v>
      </c>
      <c r="N521" s="693">
        <f t="shared" ref="N521:AB521" si="594">N$517*LOOKUP($AD$513,$AG$4:$AS$4,$AG8:$AS8)</f>
        <v>0</v>
      </c>
      <c r="O521" s="693">
        <f t="shared" si="594"/>
        <v>0</v>
      </c>
      <c r="P521" s="693">
        <f t="shared" si="594"/>
        <v>0</v>
      </c>
      <c r="Q521" s="693">
        <f t="shared" si="594"/>
        <v>0</v>
      </c>
      <c r="R521" s="693">
        <f t="shared" si="594"/>
        <v>0</v>
      </c>
      <c r="S521" s="693">
        <f t="shared" si="594"/>
        <v>0</v>
      </c>
      <c r="T521" s="693">
        <f t="shared" si="594"/>
        <v>0</v>
      </c>
      <c r="U521" s="693">
        <f t="shared" si="594"/>
        <v>0</v>
      </c>
      <c r="V521" s="693">
        <f t="shared" si="594"/>
        <v>0</v>
      </c>
      <c r="W521" s="693">
        <f t="shared" si="594"/>
        <v>0</v>
      </c>
      <c r="X521" s="693">
        <f t="shared" si="594"/>
        <v>0</v>
      </c>
      <c r="Y521" s="693">
        <f t="shared" si="594"/>
        <v>0</v>
      </c>
      <c r="Z521" s="693">
        <f t="shared" si="594"/>
        <v>0</v>
      </c>
      <c r="AA521" s="693">
        <f t="shared" si="594"/>
        <v>0</v>
      </c>
      <c r="AB521" s="693">
        <f t="shared" si="594"/>
        <v>0</v>
      </c>
    </row>
    <row r="522" spans="1:64" s="83" customFormat="1" hidden="1" x14ac:dyDescent="0.3">
      <c r="A522" s="82"/>
      <c r="B522" s="178" t="str">
        <f t="shared" si="589"/>
        <v>TYNF100</v>
      </c>
      <c r="C522" s="178"/>
      <c r="D522" s="179"/>
      <c r="E522" s="178"/>
      <c r="F522" s="182"/>
      <c r="G522" s="181"/>
      <c r="H522" s="182"/>
      <c r="I522" s="183">
        <f>AF$9</f>
        <v>2040</v>
      </c>
      <c r="J522" s="184"/>
      <c r="K522" s="184"/>
      <c r="L522" s="203" t="s">
        <v>1064</v>
      </c>
      <c r="M522" s="184" t="s">
        <v>747</v>
      </c>
      <c r="N522" s="693">
        <f t="shared" ref="N522:AB522" si="595">N$517*LOOKUP($AD$513,$AG$4:$AS$4,$AG9:$AS9)</f>
        <v>0</v>
      </c>
      <c r="O522" s="693">
        <f t="shared" si="595"/>
        <v>0</v>
      </c>
      <c r="P522" s="693">
        <f t="shared" si="595"/>
        <v>0</v>
      </c>
      <c r="Q522" s="693">
        <f t="shared" si="595"/>
        <v>0</v>
      </c>
      <c r="R522" s="693">
        <f t="shared" si="595"/>
        <v>0</v>
      </c>
      <c r="S522" s="693">
        <f t="shared" si="595"/>
        <v>0</v>
      </c>
      <c r="T522" s="693">
        <f t="shared" si="595"/>
        <v>0</v>
      </c>
      <c r="U522" s="693">
        <f t="shared" si="595"/>
        <v>0</v>
      </c>
      <c r="V522" s="693">
        <f t="shared" si="595"/>
        <v>0</v>
      </c>
      <c r="W522" s="693">
        <f t="shared" si="595"/>
        <v>0</v>
      </c>
      <c r="X522" s="693">
        <f t="shared" si="595"/>
        <v>0</v>
      </c>
      <c r="Y522" s="693">
        <f t="shared" si="595"/>
        <v>0</v>
      </c>
      <c r="Z522" s="693">
        <f t="shared" si="595"/>
        <v>0</v>
      </c>
      <c r="AA522" s="693">
        <f t="shared" si="595"/>
        <v>0</v>
      </c>
      <c r="AB522" s="693">
        <f t="shared" si="595"/>
        <v>0</v>
      </c>
    </row>
    <row r="523" spans="1:64" s="83" customFormat="1" hidden="1" x14ac:dyDescent="0.3">
      <c r="A523" s="82"/>
      <c r="B523" s="204" t="str">
        <f t="shared" si="589"/>
        <v>TYNF100</v>
      </c>
      <c r="C523" s="204"/>
      <c r="D523" s="205"/>
      <c r="E523" s="204"/>
      <c r="F523" s="206"/>
      <c r="G523" s="207"/>
      <c r="H523" s="206"/>
      <c r="I523" s="208">
        <f>AF$10</f>
        <v>2050</v>
      </c>
      <c r="J523" s="209"/>
      <c r="K523" s="209"/>
      <c r="L523" s="210" t="s">
        <v>1064</v>
      </c>
      <c r="M523" s="209" t="s">
        <v>747</v>
      </c>
      <c r="N523" s="694">
        <f t="shared" ref="N523:AB523" si="596">N$517*LOOKUP($AD$513,$AG$4:$AS$4,$AG10:$AS10)</f>
        <v>0</v>
      </c>
      <c r="O523" s="694">
        <f t="shared" si="596"/>
        <v>0</v>
      </c>
      <c r="P523" s="694">
        <f t="shared" si="596"/>
        <v>0</v>
      </c>
      <c r="Q523" s="694">
        <f t="shared" si="596"/>
        <v>0</v>
      </c>
      <c r="R523" s="694">
        <f t="shared" si="596"/>
        <v>0</v>
      </c>
      <c r="S523" s="694">
        <f t="shared" si="596"/>
        <v>0</v>
      </c>
      <c r="T523" s="694">
        <f t="shared" si="596"/>
        <v>0</v>
      </c>
      <c r="U523" s="694">
        <f t="shared" si="596"/>
        <v>0</v>
      </c>
      <c r="V523" s="694">
        <f t="shared" si="596"/>
        <v>0</v>
      </c>
      <c r="W523" s="694">
        <f t="shared" si="596"/>
        <v>0</v>
      </c>
      <c r="X523" s="694">
        <f t="shared" si="596"/>
        <v>0</v>
      </c>
      <c r="Y523" s="694">
        <f t="shared" si="596"/>
        <v>0</v>
      </c>
      <c r="Z523" s="694">
        <f t="shared" si="596"/>
        <v>0</v>
      </c>
      <c r="AA523" s="694">
        <f t="shared" si="596"/>
        <v>0</v>
      </c>
      <c r="AB523" s="694">
        <f t="shared" si="596"/>
        <v>0</v>
      </c>
      <c r="AD523" s="409"/>
    </row>
    <row r="524" spans="1:64" s="83" customFormat="1" hidden="1" x14ac:dyDescent="0.3">
      <c r="A524" s="82"/>
      <c r="B524" s="178" t="str">
        <f>C524</f>
        <v>TYEF100</v>
      </c>
      <c r="C524" s="178" t="s">
        <v>564</v>
      </c>
      <c r="D524" s="179" t="s">
        <v>895</v>
      </c>
      <c r="E524" s="180"/>
      <c r="F524" s="182"/>
      <c r="G524" s="557" t="s">
        <v>425</v>
      </c>
      <c r="H524" s="182"/>
      <c r="I524" s="183"/>
      <c r="J524" s="184"/>
      <c r="K524" s="184"/>
      <c r="L524" s="203" t="s">
        <v>1106</v>
      </c>
      <c r="M524" s="184" t="s">
        <v>1155</v>
      </c>
      <c r="N524" s="566">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4" t="str">
        <f>IF(AE529-AD17&lt;0,"too small",IF(AE529-AD17&gt;0.001,"Too big","ok"))</f>
        <v>ok</v>
      </c>
      <c r="AF524" s="618" t="str">
        <f t="shared" ref="AF524:AT524" si="598">IF(AF529-N17&lt;0,"too small",IF(AF529-N17&gt;0.001,"Too big","ok"))</f>
        <v>ok</v>
      </c>
      <c r="AG524" s="618" t="str">
        <f t="shared" si="598"/>
        <v>ok</v>
      </c>
      <c r="AH524" s="618" t="str">
        <f t="shared" si="598"/>
        <v>ok</v>
      </c>
      <c r="AI524" s="618" t="str">
        <f t="shared" si="598"/>
        <v>ok</v>
      </c>
      <c r="AJ524" s="618" t="str">
        <f t="shared" si="598"/>
        <v>ok</v>
      </c>
      <c r="AK524" s="618" t="str">
        <f t="shared" si="598"/>
        <v>ok</v>
      </c>
      <c r="AL524" s="618" t="str">
        <f t="shared" si="598"/>
        <v>ok</v>
      </c>
      <c r="AM524" s="618" t="str">
        <f t="shared" si="598"/>
        <v>ok</v>
      </c>
      <c r="AN524" s="618" t="str">
        <f t="shared" si="598"/>
        <v>ok</v>
      </c>
      <c r="AO524" s="618" t="str">
        <f t="shared" si="598"/>
        <v>ok</v>
      </c>
      <c r="AP524" s="618" t="str">
        <f t="shared" si="598"/>
        <v>ok</v>
      </c>
      <c r="AQ524" s="618" t="str">
        <f t="shared" si="598"/>
        <v>ok</v>
      </c>
      <c r="AR524" s="618" t="str">
        <f t="shared" si="598"/>
        <v>ok</v>
      </c>
      <c r="AS524" s="618" t="str">
        <f t="shared" si="598"/>
        <v>ok</v>
      </c>
      <c r="AT524" s="618" t="str">
        <f t="shared" si="598"/>
        <v>ok</v>
      </c>
      <c r="AV524" s="699" t="str">
        <f t="shared" ref="AV524:AV525" si="599">MID(E524,1,7)</f>
        <v/>
      </c>
      <c r="AW524" s="567"/>
    </row>
    <row r="525" spans="1:64" s="83" customFormat="1" hidden="1" x14ac:dyDescent="0.3">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699" t="str">
        <f t="shared" si="599"/>
        <v>TRAHUM</v>
      </c>
      <c r="AW525" s="567">
        <f t="shared" ref="AW525" si="601">SUM(AX525:BL525)</f>
        <v>0</v>
      </c>
      <c r="AX525" s="705">
        <f t="shared" ref="AX525:BL525" si="602">N$529*N$530*(1-N527)/N525/1000</f>
        <v>0</v>
      </c>
      <c r="AY525" s="705">
        <f t="shared" si="602"/>
        <v>0</v>
      </c>
      <c r="AZ525" s="705">
        <f t="shared" si="602"/>
        <v>0</v>
      </c>
      <c r="BA525" s="705">
        <f t="shared" si="602"/>
        <v>0</v>
      </c>
      <c r="BB525" s="705">
        <f t="shared" si="602"/>
        <v>0</v>
      </c>
      <c r="BC525" s="705">
        <f t="shared" si="602"/>
        <v>0</v>
      </c>
      <c r="BD525" s="705">
        <f t="shared" si="602"/>
        <v>0</v>
      </c>
      <c r="BE525" s="705">
        <f t="shared" si="602"/>
        <v>0</v>
      </c>
      <c r="BF525" s="705">
        <f t="shared" si="602"/>
        <v>0</v>
      </c>
      <c r="BG525" s="705">
        <f t="shared" si="602"/>
        <v>0</v>
      </c>
      <c r="BH525" s="705">
        <f t="shared" si="602"/>
        <v>0</v>
      </c>
      <c r="BI525" s="705">
        <f t="shared" si="602"/>
        <v>0</v>
      </c>
      <c r="BJ525" s="705">
        <f t="shared" si="602"/>
        <v>0</v>
      </c>
      <c r="BK525" s="705">
        <f t="shared" si="602"/>
        <v>0</v>
      </c>
      <c r="BL525" s="705">
        <f t="shared" si="602"/>
        <v>0</v>
      </c>
    </row>
    <row r="526" spans="1:64" s="83" customFormat="1" hidden="1" x14ac:dyDescent="0.3">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699" t="str">
        <f t="shared" ref="AV526" si="604">MID(E526,1,7)</f>
        <v>TRAELC</v>
      </c>
      <c r="AW526" s="567">
        <f t="shared" ref="AW526" si="605">SUM(AX526:BL526)</f>
        <v>0</v>
      </c>
      <c r="AX526" s="705">
        <f t="shared" ref="AX526:BL526" si="606">N$529*N$530*N527/N526/1000</f>
        <v>0</v>
      </c>
      <c r="AY526" s="705">
        <f t="shared" si="606"/>
        <v>0</v>
      </c>
      <c r="AZ526" s="705">
        <f t="shared" si="606"/>
        <v>0</v>
      </c>
      <c r="BA526" s="705">
        <f t="shared" si="606"/>
        <v>0</v>
      </c>
      <c r="BB526" s="705">
        <f t="shared" si="606"/>
        <v>0</v>
      </c>
      <c r="BC526" s="705">
        <f t="shared" si="606"/>
        <v>0</v>
      </c>
      <c r="BD526" s="705">
        <f t="shared" si="606"/>
        <v>0</v>
      </c>
      <c r="BE526" s="705">
        <f t="shared" si="606"/>
        <v>0</v>
      </c>
      <c r="BF526" s="705">
        <f t="shared" si="606"/>
        <v>0</v>
      </c>
      <c r="BG526" s="705">
        <f t="shared" si="606"/>
        <v>0</v>
      </c>
      <c r="BH526" s="705">
        <f t="shared" si="606"/>
        <v>0</v>
      </c>
      <c r="BI526" s="705">
        <f t="shared" si="606"/>
        <v>0</v>
      </c>
      <c r="BJ526" s="705">
        <f t="shared" si="606"/>
        <v>0</v>
      </c>
      <c r="BK526" s="705">
        <f t="shared" si="606"/>
        <v>0</v>
      </c>
      <c r="BL526" s="705">
        <f t="shared" si="606"/>
        <v>0</v>
      </c>
    </row>
    <row r="527" spans="1:64" s="83" customFormat="1" hidden="1" x14ac:dyDescent="0.3">
      <c r="A527" s="82"/>
      <c r="B527" s="178" t="str">
        <f t="shared" si="603"/>
        <v>TYEF100</v>
      </c>
      <c r="C527" s="178"/>
      <c r="D527" s="179"/>
      <c r="E527" s="178" t="s">
        <v>682</v>
      </c>
      <c r="F527" s="182"/>
      <c r="G527" s="173"/>
      <c r="H527" s="182"/>
      <c r="I527" s="183"/>
      <c r="J527" s="184" t="s">
        <v>1126</v>
      </c>
      <c r="K527" s="184"/>
      <c r="L527" s="184" t="s">
        <v>1175</v>
      </c>
      <c r="M527" s="184"/>
      <c r="N527" s="627">
        <v>0.3</v>
      </c>
      <c r="O527" s="627">
        <v>0.3</v>
      </c>
      <c r="P527" s="627">
        <v>0.3</v>
      </c>
      <c r="Q527" s="627">
        <v>0.3</v>
      </c>
      <c r="R527" s="627">
        <v>0.3</v>
      </c>
      <c r="S527" s="627">
        <v>0.3</v>
      </c>
      <c r="T527" s="627">
        <v>0.3</v>
      </c>
      <c r="U527" s="627">
        <v>0.3</v>
      </c>
      <c r="V527" s="627">
        <v>0.3</v>
      </c>
      <c r="W527" s="627">
        <v>0.3</v>
      </c>
      <c r="X527" s="627">
        <v>0.3</v>
      </c>
      <c r="Y527" s="627">
        <v>0.3</v>
      </c>
      <c r="Z527" s="627">
        <v>0.3</v>
      </c>
      <c r="AA527" s="627">
        <v>0.3</v>
      </c>
      <c r="AB527" s="627">
        <v>0.3</v>
      </c>
      <c r="AE527" s="332"/>
      <c r="AV527" s="699"/>
      <c r="AW527" s="567"/>
    </row>
    <row r="528" spans="1:64" s="83" customFormat="1" hidden="1" x14ac:dyDescent="0.3">
      <c r="A528" s="82"/>
      <c r="B528" s="178" t="str">
        <f>B525</f>
        <v>TYEF100</v>
      </c>
      <c r="C528" s="178"/>
      <c r="D528" s="179"/>
      <c r="E528" s="178"/>
      <c r="F528" s="557"/>
      <c r="G528" s="557"/>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hidden="1" x14ac:dyDescent="0.3">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hidden="1" x14ac:dyDescent="0.3">
      <c r="A530" s="82"/>
      <c r="B530" s="178" t="str">
        <f>B529</f>
        <v>TYEF100</v>
      </c>
      <c r="C530" s="178"/>
      <c r="D530" s="179"/>
      <c r="E530" s="178"/>
      <c r="F530" s="182"/>
      <c r="G530" s="181"/>
      <c r="H530" s="182"/>
      <c r="I530" s="183">
        <f>$M$3</f>
        <v>2019</v>
      </c>
      <c r="J530" s="184"/>
      <c r="K530" s="184"/>
      <c r="L530" s="203" t="s">
        <v>1064</v>
      </c>
      <c r="M530" s="184" t="s">
        <v>747</v>
      </c>
      <c r="N530" s="693">
        <f>T_Stock_Private!D144*(1+TF_Private!N497)</f>
        <v>0</v>
      </c>
      <c r="O530" s="693">
        <f>T_Stock_Private!E144*(1+TF_Private!O497)</f>
        <v>0</v>
      </c>
      <c r="P530" s="693">
        <f>T_Stock_Private!F144*(1+TF_Private!P497)</f>
        <v>0</v>
      </c>
      <c r="Q530" s="693">
        <f>T_Stock_Private!G144*(1+TF_Private!Q497)</f>
        <v>0</v>
      </c>
      <c r="R530" s="693">
        <f>T_Stock_Private!H144*(1+TF_Private!R497)</f>
        <v>0</v>
      </c>
      <c r="S530" s="693">
        <f>T_Stock_Private!I144*(1+TF_Private!S497)</f>
        <v>0</v>
      </c>
      <c r="T530" s="693">
        <f>T_Stock_Private!J144*(1+TF_Private!T497)</f>
        <v>0</v>
      </c>
      <c r="U530" s="693">
        <f>T_Stock_Private!K144*(1+TF_Private!U497)</f>
        <v>0</v>
      </c>
      <c r="V530" s="693">
        <f>T_Stock_Private!L144*(1+TF_Private!V497)</f>
        <v>0</v>
      </c>
      <c r="W530" s="693">
        <f>T_Stock_Private!M144*(1+TF_Private!W497)</f>
        <v>0</v>
      </c>
      <c r="X530" s="693">
        <f>T_Stock_Private!N144*(1+TF_Private!X497)</f>
        <v>0</v>
      </c>
      <c r="Y530" s="693">
        <f>T_Stock_Private!O144*(1+TF_Private!Y497)</f>
        <v>0</v>
      </c>
      <c r="Z530" s="693">
        <f>T_Stock_Private!P144*(1+TF_Private!Z497)</f>
        <v>0</v>
      </c>
      <c r="AA530" s="693">
        <f>T_Stock_Private!Q144*(1+TF_Private!AA497)</f>
        <v>0</v>
      </c>
      <c r="AB530" s="693">
        <f>T_Stock_Private!R144*(1+TF_Private!AB497)</f>
        <v>0</v>
      </c>
    </row>
    <row r="531" spans="1:46" s="83" customFormat="1" hidden="1" x14ac:dyDescent="0.3">
      <c r="A531" s="82"/>
      <c r="B531" s="178" t="str">
        <f t="shared" si="608"/>
        <v>TYEF100</v>
      </c>
      <c r="C531" s="178"/>
      <c r="D531" s="179"/>
      <c r="E531" s="178"/>
      <c r="F531" s="182"/>
      <c r="G531" s="181"/>
      <c r="H531" s="182"/>
      <c r="I531" s="183">
        <f>AF$5</f>
        <v>2020</v>
      </c>
      <c r="J531" s="184"/>
      <c r="K531" s="184"/>
      <c r="L531" s="203" t="s">
        <v>1064</v>
      </c>
      <c r="M531" s="184" t="s">
        <v>747</v>
      </c>
      <c r="N531" s="693">
        <f t="shared" ref="N531:AB531" si="610">N$530*LOOKUP($AD$524,$AG$4:$AP$4,$AG5:$AP5)</f>
        <v>0</v>
      </c>
      <c r="O531" s="693">
        <f t="shared" si="610"/>
        <v>0</v>
      </c>
      <c r="P531" s="693">
        <f t="shared" si="610"/>
        <v>0</v>
      </c>
      <c r="Q531" s="693">
        <f t="shared" si="610"/>
        <v>0</v>
      </c>
      <c r="R531" s="693">
        <f t="shared" si="610"/>
        <v>0</v>
      </c>
      <c r="S531" s="693">
        <f t="shared" si="610"/>
        <v>0</v>
      </c>
      <c r="T531" s="693">
        <f t="shared" si="610"/>
        <v>0</v>
      </c>
      <c r="U531" s="693">
        <f t="shared" si="610"/>
        <v>0</v>
      </c>
      <c r="V531" s="693">
        <f t="shared" si="610"/>
        <v>0</v>
      </c>
      <c r="W531" s="693">
        <f t="shared" si="610"/>
        <v>0</v>
      </c>
      <c r="X531" s="693">
        <f t="shared" si="610"/>
        <v>0</v>
      </c>
      <c r="Y531" s="693">
        <f t="shared" si="610"/>
        <v>0</v>
      </c>
      <c r="Z531" s="693">
        <f t="shared" si="610"/>
        <v>0</v>
      </c>
      <c r="AA531" s="693">
        <f t="shared" si="610"/>
        <v>0</v>
      </c>
      <c r="AB531" s="693">
        <f t="shared" si="610"/>
        <v>0</v>
      </c>
    </row>
    <row r="532" spans="1:46" s="83" customFormat="1" hidden="1" x14ac:dyDescent="0.3">
      <c r="A532" s="82"/>
      <c r="B532" s="178" t="str">
        <f t="shared" si="608"/>
        <v>TYEF100</v>
      </c>
      <c r="C532" s="178"/>
      <c r="D532" s="179"/>
      <c r="E532" s="178"/>
      <c r="F532" s="182"/>
      <c r="G532" s="181"/>
      <c r="H532" s="182"/>
      <c r="I532" s="183">
        <f>AF$6</f>
        <v>2025</v>
      </c>
      <c r="J532" s="184"/>
      <c r="K532" s="184"/>
      <c r="L532" s="203" t="s">
        <v>1064</v>
      </c>
      <c r="M532" s="184" t="s">
        <v>747</v>
      </c>
      <c r="N532" s="693">
        <f t="shared" ref="N532:AB532" si="611">N$530*LOOKUP($AD$524,$AG$4:$AP$4,$AG6:$AP6)</f>
        <v>0</v>
      </c>
      <c r="O532" s="693">
        <f t="shared" si="611"/>
        <v>0</v>
      </c>
      <c r="P532" s="693">
        <f t="shared" si="611"/>
        <v>0</v>
      </c>
      <c r="Q532" s="693">
        <f t="shared" si="611"/>
        <v>0</v>
      </c>
      <c r="R532" s="693">
        <f t="shared" si="611"/>
        <v>0</v>
      </c>
      <c r="S532" s="693">
        <f t="shared" si="611"/>
        <v>0</v>
      </c>
      <c r="T532" s="693">
        <f t="shared" si="611"/>
        <v>0</v>
      </c>
      <c r="U532" s="693">
        <f t="shared" si="611"/>
        <v>0</v>
      </c>
      <c r="V532" s="693">
        <f t="shared" si="611"/>
        <v>0</v>
      </c>
      <c r="W532" s="693">
        <f t="shared" si="611"/>
        <v>0</v>
      </c>
      <c r="X532" s="693">
        <f t="shared" si="611"/>
        <v>0</v>
      </c>
      <c r="Y532" s="693">
        <f t="shared" si="611"/>
        <v>0</v>
      </c>
      <c r="Z532" s="693">
        <f t="shared" si="611"/>
        <v>0</v>
      </c>
      <c r="AA532" s="693">
        <f t="shared" si="611"/>
        <v>0</v>
      </c>
      <c r="AB532" s="693">
        <f t="shared" si="611"/>
        <v>0</v>
      </c>
    </row>
    <row r="533" spans="1:46" s="83" customFormat="1" hidden="1" x14ac:dyDescent="0.3">
      <c r="A533" s="82"/>
      <c r="B533" s="178" t="str">
        <f t="shared" si="608"/>
        <v>TYEF100</v>
      </c>
      <c r="C533" s="178"/>
      <c r="D533" s="179"/>
      <c r="E533" s="178"/>
      <c r="F533" s="182"/>
      <c r="G533" s="181"/>
      <c r="H533" s="182"/>
      <c r="I533" s="183">
        <f>AF$7</f>
        <v>2030</v>
      </c>
      <c r="J533" s="184"/>
      <c r="K533" s="184"/>
      <c r="L533" s="203" t="s">
        <v>1064</v>
      </c>
      <c r="M533" s="184" t="s">
        <v>747</v>
      </c>
      <c r="N533" s="693">
        <f t="shared" ref="N533:AB533" si="612">N$530*LOOKUP($AD$524,$AG$4:$AP$4,$AG7:$AP7)</f>
        <v>0</v>
      </c>
      <c r="O533" s="693">
        <f t="shared" si="612"/>
        <v>0</v>
      </c>
      <c r="P533" s="693">
        <f t="shared" si="612"/>
        <v>0</v>
      </c>
      <c r="Q533" s="693">
        <f t="shared" si="612"/>
        <v>0</v>
      </c>
      <c r="R533" s="693">
        <f t="shared" si="612"/>
        <v>0</v>
      </c>
      <c r="S533" s="693">
        <f t="shared" si="612"/>
        <v>0</v>
      </c>
      <c r="T533" s="693">
        <f t="shared" si="612"/>
        <v>0</v>
      </c>
      <c r="U533" s="693">
        <f t="shared" si="612"/>
        <v>0</v>
      </c>
      <c r="V533" s="693">
        <f t="shared" si="612"/>
        <v>0</v>
      </c>
      <c r="W533" s="693">
        <f t="shared" si="612"/>
        <v>0</v>
      </c>
      <c r="X533" s="693">
        <f t="shared" si="612"/>
        <v>0</v>
      </c>
      <c r="Y533" s="693">
        <f t="shared" si="612"/>
        <v>0</v>
      </c>
      <c r="Z533" s="693">
        <f t="shared" si="612"/>
        <v>0</v>
      </c>
      <c r="AA533" s="693">
        <f t="shared" si="612"/>
        <v>0</v>
      </c>
      <c r="AB533" s="693">
        <f t="shared" si="612"/>
        <v>0</v>
      </c>
    </row>
    <row r="534" spans="1:46" s="83" customFormat="1" hidden="1" x14ac:dyDescent="0.3">
      <c r="A534" s="82"/>
      <c r="B534" s="178" t="str">
        <f t="shared" si="608"/>
        <v>TYEF100</v>
      </c>
      <c r="C534" s="178"/>
      <c r="D534" s="179"/>
      <c r="E534" s="178"/>
      <c r="F534" s="182"/>
      <c r="G534" s="181"/>
      <c r="H534" s="182"/>
      <c r="I534" s="183">
        <f>AF$8</f>
        <v>2035</v>
      </c>
      <c r="J534" s="184"/>
      <c r="K534" s="184"/>
      <c r="L534" s="203" t="s">
        <v>1064</v>
      </c>
      <c r="M534" s="184" t="s">
        <v>747</v>
      </c>
      <c r="N534" s="693">
        <f t="shared" ref="N534:AB534" si="613">N$530*LOOKUP($AD$524,$AG$4:$AP$4,$AG8:$AP8)</f>
        <v>0</v>
      </c>
      <c r="O534" s="693">
        <f t="shared" si="613"/>
        <v>0</v>
      </c>
      <c r="P534" s="693">
        <f t="shared" si="613"/>
        <v>0</v>
      </c>
      <c r="Q534" s="693">
        <f t="shared" si="613"/>
        <v>0</v>
      </c>
      <c r="R534" s="693">
        <f t="shared" si="613"/>
        <v>0</v>
      </c>
      <c r="S534" s="693">
        <f t="shared" si="613"/>
        <v>0</v>
      </c>
      <c r="T534" s="693">
        <f t="shared" si="613"/>
        <v>0</v>
      </c>
      <c r="U534" s="693">
        <f t="shared" si="613"/>
        <v>0</v>
      </c>
      <c r="V534" s="693">
        <f t="shared" si="613"/>
        <v>0</v>
      </c>
      <c r="W534" s="693">
        <f t="shared" si="613"/>
        <v>0</v>
      </c>
      <c r="X534" s="693">
        <f t="shared" si="613"/>
        <v>0</v>
      </c>
      <c r="Y534" s="693">
        <f t="shared" si="613"/>
        <v>0</v>
      </c>
      <c r="Z534" s="693">
        <f t="shared" si="613"/>
        <v>0</v>
      </c>
      <c r="AA534" s="693">
        <f t="shared" si="613"/>
        <v>0</v>
      </c>
      <c r="AB534" s="693">
        <f t="shared" si="613"/>
        <v>0</v>
      </c>
    </row>
    <row r="535" spans="1:46" s="83" customFormat="1" hidden="1" x14ac:dyDescent="0.3">
      <c r="A535" s="82"/>
      <c r="B535" s="178" t="str">
        <f t="shared" si="608"/>
        <v>TYEF100</v>
      </c>
      <c r="C535" s="178"/>
      <c r="D535" s="179"/>
      <c r="E535" s="178"/>
      <c r="F535" s="182"/>
      <c r="G535" s="181"/>
      <c r="H535" s="182"/>
      <c r="I535" s="183">
        <f>AF$9</f>
        <v>2040</v>
      </c>
      <c r="J535" s="184"/>
      <c r="K535" s="184"/>
      <c r="L535" s="203" t="s">
        <v>1064</v>
      </c>
      <c r="M535" s="184" t="s">
        <v>747</v>
      </c>
      <c r="N535" s="693">
        <f t="shared" ref="N535:AB535" si="614">N$530*LOOKUP($AD$524,$AG$4:$AP$4,$AG9:$AP9)</f>
        <v>0</v>
      </c>
      <c r="O535" s="693">
        <f t="shared" si="614"/>
        <v>0</v>
      </c>
      <c r="P535" s="693">
        <f t="shared" si="614"/>
        <v>0</v>
      </c>
      <c r="Q535" s="693">
        <f t="shared" si="614"/>
        <v>0</v>
      </c>
      <c r="R535" s="693">
        <f t="shared" si="614"/>
        <v>0</v>
      </c>
      <c r="S535" s="693">
        <f t="shared" si="614"/>
        <v>0</v>
      </c>
      <c r="T535" s="693">
        <f t="shared" si="614"/>
        <v>0</v>
      </c>
      <c r="U535" s="693">
        <f t="shared" si="614"/>
        <v>0</v>
      </c>
      <c r="V535" s="693">
        <f t="shared" si="614"/>
        <v>0</v>
      </c>
      <c r="W535" s="693">
        <f t="shared" si="614"/>
        <v>0</v>
      </c>
      <c r="X535" s="693">
        <f t="shared" si="614"/>
        <v>0</v>
      </c>
      <c r="Y535" s="693">
        <f t="shared" si="614"/>
        <v>0</v>
      </c>
      <c r="Z535" s="693">
        <f t="shared" si="614"/>
        <v>0</v>
      </c>
      <c r="AA535" s="693">
        <f t="shared" si="614"/>
        <v>0</v>
      </c>
      <c r="AB535" s="693">
        <f t="shared" si="614"/>
        <v>0</v>
      </c>
    </row>
    <row r="536" spans="1:46" s="83" customFormat="1" hidden="1" x14ac:dyDescent="0.3">
      <c r="A536" s="82"/>
      <c r="B536" s="204" t="str">
        <f t="shared" si="608"/>
        <v>TYEF100</v>
      </c>
      <c r="C536" s="204"/>
      <c r="D536" s="205"/>
      <c r="E536" s="204"/>
      <c r="F536" s="206"/>
      <c r="G536" s="207"/>
      <c r="H536" s="206"/>
      <c r="I536" s="208">
        <f>AF$10</f>
        <v>2050</v>
      </c>
      <c r="J536" s="209"/>
      <c r="K536" s="209"/>
      <c r="L536" s="210" t="s">
        <v>1064</v>
      </c>
      <c r="M536" s="209" t="s">
        <v>747</v>
      </c>
      <c r="N536" s="694">
        <f t="shared" ref="N536:AB536" si="615">N$530*LOOKUP($AD$524,$AG$4:$AP$4,$AG10:$AP10)</f>
        <v>0</v>
      </c>
      <c r="O536" s="694">
        <f t="shared" si="615"/>
        <v>0</v>
      </c>
      <c r="P536" s="694">
        <f t="shared" si="615"/>
        <v>0</v>
      </c>
      <c r="Q536" s="694">
        <f t="shared" si="615"/>
        <v>0</v>
      </c>
      <c r="R536" s="694">
        <f t="shared" si="615"/>
        <v>0</v>
      </c>
      <c r="S536" s="694">
        <f t="shared" si="615"/>
        <v>0</v>
      </c>
      <c r="T536" s="694">
        <f t="shared" si="615"/>
        <v>0</v>
      </c>
      <c r="U536" s="694">
        <f t="shared" si="615"/>
        <v>0</v>
      </c>
      <c r="V536" s="694">
        <f t="shared" si="615"/>
        <v>0</v>
      </c>
      <c r="W536" s="694">
        <f t="shared" si="615"/>
        <v>0</v>
      </c>
      <c r="X536" s="694">
        <f t="shared" si="615"/>
        <v>0</v>
      </c>
      <c r="Y536" s="694">
        <f t="shared" si="615"/>
        <v>0</v>
      </c>
      <c r="Z536" s="694">
        <f t="shared" si="615"/>
        <v>0</v>
      </c>
      <c r="AA536" s="694">
        <f t="shared" si="615"/>
        <v>0</v>
      </c>
      <c r="AB536" s="694">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D35" sqref="D35"/>
    </sheetView>
  </sheetViews>
  <sheetFormatPr defaultRowHeight="14.4" x14ac:dyDescent="0.3"/>
  <cols>
    <col min="2" max="2" width="15.6640625" customWidth="1"/>
    <col min="3" max="3" width="11.6640625" customWidth="1"/>
    <col min="4" max="4" width="16" customWidth="1"/>
  </cols>
  <sheetData>
    <row r="2" spans="2:19" s="3" customFormat="1" x14ac:dyDescent="0.3">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3">
      <c r="B3" s="394" t="s">
        <v>72</v>
      </c>
      <c r="C3" s="394" t="s">
        <v>394</v>
      </c>
      <c r="D3" s="395" t="str">
        <f>TYW!AD54</f>
        <v>ok</v>
      </c>
      <c r="E3" s="866" t="str">
        <f>TYW!AE54</f>
        <v>ok</v>
      </c>
      <c r="F3" s="866" t="str">
        <f>TYW!AF54</f>
        <v>ok</v>
      </c>
      <c r="G3" s="866" t="str">
        <f>TYW!AG54</f>
        <v>ok</v>
      </c>
      <c r="H3" s="866" t="str">
        <f>TYW!AH54</f>
        <v>ok</v>
      </c>
      <c r="I3" s="866" t="str">
        <f>TYW!AI54</f>
        <v>ok</v>
      </c>
      <c r="J3" s="866" t="str">
        <f>TYW!AJ54</f>
        <v>ok</v>
      </c>
      <c r="K3" s="866" t="str">
        <f>TYW!AK54</f>
        <v>ok</v>
      </c>
      <c r="L3" s="866" t="str">
        <f>TYW!AL54</f>
        <v>ok</v>
      </c>
      <c r="M3" s="866" t="str">
        <f>TYW!AM54</f>
        <v>ok</v>
      </c>
      <c r="N3" s="866" t="str">
        <f>TYW!AN54</f>
        <v>ok</v>
      </c>
      <c r="O3" s="866" t="str">
        <f>TYW!AO54</f>
        <v>ok</v>
      </c>
      <c r="P3" s="866" t="str">
        <f>TYW!AP54</f>
        <v>ok</v>
      </c>
      <c r="Q3" s="866" t="str">
        <f>TYW!AQ54</f>
        <v>ok</v>
      </c>
      <c r="R3" s="866" t="str">
        <f>TYW!AR54</f>
        <v>ok</v>
      </c>
      <c r="S3" s="866" t="str">
        <f>TYW!AS54</f>
        <v>ok</v>
      </c>
    </row>
    <row r="4" spans="2:19" x14ac:dyDescent="0.3">
      <c r="B4" s="394" t="s">
        <v>72</v>
      </c>
      <c r="C4" s="394" t="s">
        <v>470</v>
      </c>
      <c r="D4" s="395" t="str">
        <f>TYW!AD107</f>
        <v>ok</v>
      </c>
      <c r="E4" s="866" t="str">
        <f>TYW!AE107</f>
        <v>ok</v>
      </c>
      <c r="F4" s="866" t="str">
        <f>TYW!AF107</f>
        <v>ok</v>
      </c>
      <c r="G4" s="866" t="str">
        <f>TYW!AG107</f>
        <v>ok</v>
      </c>
      <c r="H4" s="866" t="str">
        <f>TYW!AH107</f>
        <v>ok</v>
      </c>
      <c r="I4" s="866" t="str">
        <f>TYW!AI107</f>
        <v>ok</v>
      </c>
      <c r="J4" s="866" t="str">
        <f>TYW!AJ107</f>
        <v>ok</v>
      </c>
      <c r="K4" s="866" t="str">
        <f>TYW!AK107</f>
        <v>ok</v>
      </c>
      <c r="L4" s="866" t="str">
        <f>TYW!AL107</f>
        <v>ok</v>
      </c>
      <c r="M4" s="866" t="str">
        <f>TYW!AM107</f>
        <v>ok</v>
      </c>
      <c r="N4" s="866" t="str">
        <f>TYW!AN107</f>
        <v>ok</v>
      </c>
      <c r="O4" s="866" t="str">
        <f>TYW!AO107</f>
        <v>ok</v>
      </c>
      <c r="P4" s="866" t="str">
        <f>TYW!AP107</f>
        <v>ok</v>
      </c>
      <c r="Q4" s="866" t="str">
        <f>TYW!AQ107</f>
        <v>ok</v>
      </c>
      <c r="R4" s="866" t="str">
        <f>TYW!AR107</f>
        <v>ok</v>
      </c>
      <c r="S4" s="866" t="str">
        <f>TYW!AS107</f>
        <v>ok</v>
      </c>
    </row>
    <row r="5" spans="2:19" x14ac:dyDescent="0.3">
      <c r="B5" s="394" t="s">
        <v>72</v>
      </c>
      <c r="C5" s="394" t="s">
        <v>398</v>
      </c>
      <c r="D5" s="395" t="str">
        <f>TYW!AD29</f>
        <v>ok</v>
      </c>
      <c r="E5" s="866" t="str">
        <f>TYW!AE29</f>
        <v>ok</v>
      </c>
      <c r="F5" s="866" t="str">
        <f>TYW!AF29</f>
        <v>ok</v>
      </c>
      <c r="G5" s="866" t="str">
        <f>TYW!AG29</f>
        <v>ok</v>
      </c>
      <c r="H5" s="866" t="str">
        <f>TYW!AH29</f>
        <v>ok</v>
      </c>
      <c r="I5" s="866" t="str">
        <f>TYW!AI29</f>
        <v>ok</v>
      </c>
      <c r="J5" s="866" t="str">
        <f>TYW!AJ29</f>
        <v>ok</v>
      </c>
      <c r="K5" s="866" t="str">
        <f>TYW!AK29</f>
        <v>ok</v>
      </c>
      <c r="L5" s="866" t="str">
        <f>TYW!AL29</f>
        <v>ok</v>
      </c>
      <c r="M5" s="866" t="str">
        <f>TYW!AM29</f>
        <v>ok</v>
      </c>
      <c r="N5" s="866" t="str">
        <f>TYW!AN29</f>
        <v>ok</v>
      </c>
      <c r="O5" s="866" t="str">
        <f>TYW!AO29</f>
        <v>ok</v>
      </c>
      <c r="P5" s="866" t="str">
        <f>TYW!AP29</f>
        <v>ok</v>
      </c>
      <c r="Q5" s="866" t="str">
        <f>TYW!AQ29</f>
        <v>ok</v>
      </c>
      <c r="R5" s="866" t="str">
        <f>TYW!AR29</f>
        <v>ok</v>
      </c>
      <c r="S5" s="866" t="str">
        <f>TYW!AS29</f>
        <v>ok</v>
      </c>
    </row>
    <row r="6" spans="2:19" x14ac:dyDescent="0.3">
      <c r="B6" s="394" t="s">
        <v>72</v>
      </c>
      <c r="C6" s="394" t="s">
        <v>473</v>
      </c>
      <c r="D6" s="395" t="str">
        <f>TYW!AD82</f>
        <v>ok</v>
      </c>
      <c r="E6" s="866" t="str">
        <f>TYW!AE82</f>
        <v>ok</v>
      </c>
      <c r="F6" s="866" t="str">
        <f>TYW!AF82</f>
        <v>ok</v>
      </c>
      <c r="G6" s="866" t="str">
        <f>TYW!AG82</f>
        <v>ok</v>
      </c>
      <c r="H6" s="866" t="str">
        <f>TYW!AH82</f>
        <v>ok</v>
      </c>
      <c r="I6" s="866" t="str">
        <f>TYW!AI82</f>
        <v>ok</v>
      </c>
      <c r="J6" s="866" t="str">
        <f>TYW!AJ82</f>
        <v>ok</v>
      </c>
      <c r="K6" s="866" t="str">
        <f>TYW!AK82</f>
        <v>ok</v>
      </c>
      <c r="L6" s="866" t="str">
        <f>TYW!AL82</f>
        <v>ok</v>
      </c>
      <c r="M6" s="866" t="str">
        <f>TYW!AM82</f>
        <v>ok</v>
      </c>
      <c r="N6" s="866" t="str">
        <f>TYW!AN82</f>
        <v>ok</v>
      </c>
      <c r="O6" s="866" t="str">
        <f>TYW!AO82</f>
        <v>ok</v>
      </c>
      <c r="P6" s="866" t="str">
        <f>TYW!AP82</f>
        <v>ok</v>
      </c>
      <c r="Q6" s="866" t="str">
        <f>TYW!AQ82</f>
        <v>ok</v>
      </c>
      <c r="R6" s="866" t="str">
        <f>TYW!AR82</f>
        <v>ok</v>
      </c>
      <c r="S6" s="866" t="str">
        <f>TYW!AS82</f>
        <v>ok</v>
      </c>
    </row>
    <row r="7" spans="2:19" x14ac:dyDescent="0.3">
      <c r="B7" s="394" t="s">
        <v>72</v>
      </c>
      <c r="C7" s="394" t="s">
        <v>396</v>
      </c>
      <c r="D7" s="395" t="str">
        <f>TYW!AD43</f>
        <v>ok</v>
      </c>
      <c r="E7" s="866" t="str">
        <f>TYW!AE43</f>
        <v>ok</v>
      </c>
      <c r="F7" s="866" t="str">
        <f>TYW!AF43</f>
        <v>ok</v>
      </c>
      <c r="G7" s="866" t="str">
        <f>TYW!AG43</f>
        <v>ok</v>
      </c>
      <c r="H7" s="866" t="str">
        <f>TYW!AH43</f>
        <v>ok</v>
      </c>
      <c r="I7" s="866" t="str">
        <f>TYW!AI43</f>
        <v>ok</v>
      </c>
      <c r="J7" s="866" t="str">
        <f>TYW!AJ43</f>
        <v>ok</v>
      </c>
      <c r="K7" s="866" t="str">
        <f>TYW!AK43</f>
        <v>ok</v>
      </c>
      <c r="L7" s="866" t="str">
        <f>TYW!AL43</f>
        <v>ok</v>
      </c>
      <c r="M7" s="866" t="str">
        <f>TYW!AM43</f>
        <v>ok</v>
      </c>
      <c r="N7" s="866" t="str">
        <f>TYW!AN43</f>
        <v>ok</v>
      </c>
      <c r="O7" s="866" t="str">
        <f>TYW!AO43</f>
        <v>ok</v>
      </c>
      <c r="P7" s="866" t="str">
        <f>TYW!AP43</f>
        <v>ok</v>
      </c>
      <c r="Q7" s="866" t="str">
        <f>TYW!AQ43</f>
        <v>ok</v>
      </c>
      <c r="R7" s="866" t="str">
        <f>TYW!AR43</f>
        <v>ok</v>
      </c>
      <c r="S7" s="866" t="str">
        <f>TYW!AS43</f>
        <v>ok</v>
      </c>
    </row>
    <row r="8" spans="2:19" x14ac:dyDescent="0.3">
      <c r="B8" s="394" t="s">
        <v>72</v>
      </c>
      <c r="C8" s="394" t="s">
        <v>476</v>
      </c>
      <c r="D8" s="395" t="str">
        <f>TYW!AD96</f>
        <v>ok</v>
      </c>
      <c r="E8" s="866" t="str">
        <f>TYW!AE96</f>
        <v>ok</v>
      </c>
      <c r="F8" s="866" t="str">
        <f>TYW!AF96</f>
        <v>ok</v>
      </c>
      <c r="G8" s="866" t="str">
        <f>TYW!AG96</f>
        <v>ok</v>
      </c>
      <c r="H8" s="866" t="str">
        <f>TYW!AH96</f>
        <v>ok</v>
      </c>
      <c r="I8" s="866" t="str">
        <f>TYW!AI96</f>
        <v>ok</v>
      </c>
      <c r="J8" s="866" t="str">
        <f>TYW!AJ96</f>
        <v>ok</v>
      </c>
      <c r="K8" s="866" t="str">
        <f>TYW!AK96</f>
        <v>ok</v>
      </c>
      <c r="L8" s="866" t="str">
        <f>TYW!AL96</f>
        <v>ok</v>
      </c>
      <c r="M8" s="866" t="str">
        <f>TYW!AM96</f>
        <v>ok</v>
      </c>
      <c r="N8" s="866" t="str">
        <f>TYW!AN96</f>
        <v>ok</v>
      </c>
      <c r="O8" s="866" t="str">
        <f>TYW!AO96</f>
        <v>ok</v>
      </c>
      <c r="P8" s="866" t="str">
        <f>TYW!AP96</f>
        <v>ok</v>
      </c>
      <c r="Q8" s="866" t="str">
        <f>TYW!AQ96</f>
        <v>ok</v>
      </c>
      <c r="R8" s="866" t="str">
        <f>TYW!AR96</f>
        <v>ok</v>
      </c>
      <c r="S8" s="866" t="str">
        <f>TYW!AS96</f>
        <v>ok</v>
      </c>
    </row>
    <row r="9" spans="2:19" x14ac:dyDescent="0.3">
      <c r="B9" s="394" t="s">
        <v>74</v>
      </c>
      <c r="C9" s="394" t="s">
        <v>487</v>
      </c>
      <c r="D9" s="395" t="str">
        <f>TC_Private!AE31</f>
        <v>Too small</v>
      </c>
      <c r="E9" s="866" t="str">
        <f>TC_Private!AF31</f>
        <v>Too small</v>
      </c>
      <c r="F9" s="866" t="str">
        <f>TC_Private!AG31</f>
        <v>ok</v>
      </c>
      <c r="G9" s="866" t="str">
        <f>TC_Private!AH31</f>
        <v>ok</v>
      </c>
      <c r="H9" s="866" t="str">
        <f>TC_Private!AI31</f>
        <v>ok</v>
      </c>
      <c r="I9" s="866" t="str">
        <f>TC_Private!AJ31</f>
        <v>ok</v>
      </c>
      <c r="J9" s="866" t="str">
        <f>TC_Private!AK31</f>
        <v>ok</v>
      </c>
      <c r="K9" s="866" t="str">
        <f>TC_Private!AL31</f>
        <v>ok</v>
      </c>
      <c r="L9" s="866" t="str">
        <f>TC_Private!AM31</f>
        <v>ok</v>
      </c>
      <c r="M9" s="866" t="str">
        <f>TC_Private!AN31</f>
        <v>ok</v>
      </c>
      <c r="N9" s="866" t="str">
        <f>TC_Private!AO31</f>
        <v>ok</v>
      </c>
      <c r="O9" s="866" t="str">
        <f>TC_Private!AP31</f>
        <v>ok</v>
      </c>
      <c r="P9" s="866" t="str">
        <f>TC_Private!AQ31</f>
        <v>ok</v>
      </c>
      <c r="Q9" s="866" t="str">
        <f>TC_Private!AR31</f>
        <v>ok</v>
      </c>
      <c r="R9" s="866" t="str">
        <f>TC_Private!AS31</f>
        <v>ok</v>
      </c>
      <c r="S9" s="866" t="str">
        <f>TC_Private!AT31</f>
        <v>ok</v>
      </c>
    </row>
    <row r="10" spans="2:19" x14ac:dyDescent="0.3">
      <c r="B10" s="394" t="s">
        <v>75</v>
      </c>
      <c r="C10" s="394" t="s">
        <v>487</v>
      </c>
      <c r="D10" s="395" t="str">
        <f>TC_City!AE31</f>
        <v>ok</v>
      </c>
      <c r="E10" s="866" t="str">
        <f>TC_City!AF31</f>
        <v>ok</v>
      </c>
      <c r="F10" s="866" t="str">
        <f>TC_City!AG31</f>
        <v>ok</v>
      </c>
      <c r="G10" s="866" t="str">
        <f>TC_City!AH31</f>
        <v>ok</v>
      </c>
      <c r="H10" s="866" t="str">
        <f>TC_City!AI31</f>
        <v>ok</v>
      </c>
      <c r="I10" s="866" t="str">
        <f>TC_City!AJ31</f>
        <v>ok</v>
      </c>
      <c r="J10" s="866" t="str">
        <f>TC_City!AK31</f>
        <v>ok</v>
      </c>
      <c r="K10" s="866" t="str">
        <f>TC_City!AL31</f>
        <v>ok</v>
      </c>
      <c r="L10" s="866" t="str">
        <f>TC_City!AM31</f>
        <v>ok</v>
      </c>
      <c r="M10" s="866" t="str">
        <f>TC_City!AN31</f>
        <v>ok</v>
      </c>
      <c r="N10" s="866" t="str">
        <f>TC_City!AO31</f>
        <v>ok</v>
      </c>
      <c r="O10" s="866" t="str">
        <f>TC_City!AP31</f>
        <v>ok</v>
      </c>
      <c r="P10" s="866" t="str">
        <f>TC_City!AQ31</f>
        <v>ok</v>
      </c>
      <c r="Q10" s="866" t="str">
        <f>TC_City!AR31</f>
        <v>ok</v>
      </c>
      <c r="R10" s="866" t="str">
        <f>TC_City!AS31</f>
        <v>ok</v>
      </c>
      <c r="S10" s="866" t="str">
        <f>TC_City!AT31</f>
        <v>ok</v>
      </c>
    </row>
    <row r="11" spans="2:19" x14ac:dyDescent="0.3">
      <c r="B11" s="394" t="s">
        <v>76</v>
      </c>
      <c r="C11" s="394" t="s">
        <v>76</v>
      </c>
      <c r="D11" s="395" t="str">
        <f>TMO!AE30</f>
        <v>ok</v>
      </c>
      <c r="E11" s="866" t="str">
        <f>TMO!AF30</f>
        <v>ok</v>
      </c>
      <c r="F11" s="866" t="str">
        <f>TMO!AG30</f>
        <v>ok</v>
      </c>
      <c r="G11" s="866" t="str">
        <f>TMO!AH30</f>
        <v>ok</v>
      </c>
      <c r="H11" s="866" t="str">
        <f>TMO!AI30</f>
        <v>ok</v>
      </c>
      <c r="I11" s="866" t="str">
        <f>TMO!AJ30</f>
        <v>ok</v>
      </c>
      <c r="J11" s="866" t="str">
        <f>TMO!AK30</f>
        <v>ok</v>
      </c>
      <c r="K11" s="866" t="str">
        <f>TMO!AL30</f>
        <v>ok</v>
      </c>
      <c r="L11" s="866" t="str">
        <f>TMO!AM30</f>
        <v>ok</v>
      </c>
      <c r="M11" s="866" t="str">
        <f>TMO!AN30</f>
        <v>ok</v>
      </c>
      <c r="N11" s="866" t="str">
        <f>TMO!AO30</f>
        <v>ok</v>
      </c>
      <c r="O11" s="866" t="str">
        <f>TMO!AP30</f>
        <v>ok</v>
      </c>
      <c r="P11" s="866" t="str">
        <f>TMO!AQ30</f>
        <v>ok</v>
      </c>
      <c r="Q11" s="866" t="str">
        <f>TMO!AR30</f>
        <v>ok</v>
      </c>
      <c r="R11" s="866" t="str">
        <f>TMO!AS30</f>
        <v>ok</v>
      </c>
      <c r="S11" s="866" t="str">
        <f>TMO!AT30</f>
        <v>ok</v>
      </c>
    </row>
    <row r="12" spans="2:19" x14ac:dyDescent="0.3">
      <c r="B12" s="394" t="s">
        <v>76</v>
      </c>
      <c r="C12" s="394" t="s">
        <v>494</v>
      </c>
      <c r="D12" s="395" t="str">
        <f>TMO!AE61</f>
        <v>ok</v>
      </c>
      <c r="E12" s="866" t="str">
        <f>TMO!AF61</f>
        <v>ok</v>
      </c>
      <c r="F12" s="866" t="str">
        <f>TMO!AG61</f>
        <v>ok</v>
      </c>
      <c r="G12" s="866" t="str">
        <f>TMO!AH61</f>
        <v>ok</v>
      </c>
      <c r="H12" s="866" t="str">
        <f>TMO!AI61</f>
        <v>ok</v>
      </c>
      <c r="I12" s="866" t="str">
        <f>TMO!AJ61</f>
        <v>ok</v>
      </c>
      <c r="J12" s="866" t="str">
        <f>TMO!AK61</f>
        <v>ok</v>
      </c>
      <c r="K12" s="866" t="str">
        <f>TMO!AL61</f>
        <v>ok</v>
      </c>
      <c r="L12" s="866" t="str">
        <f>TMO!AM61</f>
        <v>ok</v>
      </c>
      <c r="M12" s="866" t="str">
        <f>TMO!AN61</f>
        <v>ok</v>
      </c>
      <c r="N12" s="866" t="str">
        <f>TMO!AO61</f>
        <v>ok</v>
      </c>
      <c r="O12" s="866" t="str">
        <f>TMO!AP61</f>
        <v>ok</v>
      </c>
      <c r="P12" s="866" t="str">
        <f>TMO!AQ61</f>
        <v>ok</v>
      </c>
      <c r="Q12" s="866" t="str">
        <f>TMO!AR61</f>
        <v>ok</v>
      </c>
      <c r="R12" s="866" t="str">
        <f>TMO!AS61</f>
        <v>ok</v>
      </c>
      <c r="S12" s="866" t="str">
        <f>TMO!AT61</f>
        <v>ok</v>
      </c>
    </row>
    <row r="13" spans="2:19" x14ac:dyDescent="0.3">
      <c r="B13" s="394" t="s">
        <v>77</v>
      </c>
      <c r="C13" s="394" t="s">
        <v>1237</v>
      </c>
      <c r="D13" s="395" t="str">
        <f>TB!AE34</f>
        <v>Too big</v>
      </c>
      <c r="E13" s="866" t="str">
        <f>TB!AF34</f>
        <v>Too big</v>
      </c>
      <c r="F13" s="866" t="str">
        <f>TB!AG34</f>
        <v>ok</v>
      </c>
      <c r="G13" s="866" t="str">
        <f>TB!AH34</f>
        <v>ok</v>
      </c>
      <c r="H13" s="866" t="str">
        <f>TB!AI34</f>
        <v>ok</v>
      </c>
      <c r="I13" s="866" t="str">
        <f>TB!AJ34</f>
        <v>ok</v>
      </c>
      <c r="J13" s="866" t="str">
        <f>TB!AK34</f>
        <v>ok</v>
      </c>
      <c r="K13" s="866" t="str">
        <f>TB!AL34</f>
        <v>ok</v>
      </c>
      <c r="L13" s="866" t="str">
        <f>TB!AM34</f>
        <v>ok</v>
      </c>
      <c r="M13" s="866" t="str">
        <f>TB!AN34</f>
        <v>ok</v>
      </c>
      <c r="N13" s="866" t="str">
        <f>TB!AO34</f>
        <v>ok</v>
      </c>
      <c r="O13" s="866" t="str">
        <f>TB!AP34</f>
        <v>ok</v>
      </c>
      <c r="P13" s="866" t="str">
        <f>TB!AQ34</f>
        <v>ok</v>
      </c>
      <c r="Q13" s="866" t="str">
        <f>TB!AR34</f>
        <v>ok</v>
      </c>
      <c r="R13" s="866" t="str">
        <f>TB!AS34</f>
        <v>ok</v>
      </c>
      <c r="S13" s="866" t="str">
        <f>TB!AT34</f>
        <v>ok</v>
      </c>
    </row>
    <row r="14" spans="2:19" x14ac:dyDescent="0.3">
      <c r="B14" s="394" t="s">
        <v>77</v>
      </c>
      <c r="C14" s="394" t="s">
        <v>1238</v>
      </c>
      <c r="D14" s="395" t="str">
        <f>TB!AE184</f>
        <v>too small</v>
      </c>
      <c r="E14" s="866" t="str">
        <f>TB!AF184</f>
        <v>too small</v>
      </c>
      <c r="F14" s="866" t="str">
        <f>TB!AG184</f>
        <v>ok</v>
      </c>
      <c r="G14" s="866" t="str">
        <f>TB!AH184</f>
        <v>ok</v>
      </c>
      <c r="H14" s="866" t="str">
        <f>TB!AI184</f>
        <v>ok</v>
      </c>
      <c r="I14" s="866" t="str">
        <f>TB!AJ184</f>
        <v>ok</v>
      </c>
      <c r="J14" s="866" t="str">
        <f>TB!AK184</f>
        <v>ok</v>
      </c>
      <c r="K14" s="866" t="str">
        <f>TB!AL184</f>
        <v>ok</v>
      </c>
      <c r="L14" s="866" t="str">
        <f>TB!AM184</f>
        <v>ok</v>
      </c>
      <c r="M14" s="866" t="str">
        <f>TB!AN184</f>
        <v>ok</v>
      </c>
      <c r="N14" s="866" t="str">
        <f>TB!AO184</f>
        <v>ok</v>
      </c>
      <c r="O14" s="866" t="str">
        <f>TB!AP184</f>
        <v>ok</v>
      </c>
      <c r="P14" s="866" t="str">
        <f>TB!AQ184</f>
        <v>ok</v>
      </c>
      <c r="Q14" s="866" t="str">
        <f>TB!AR184</f>
        <v>ok</v>
      </c>
      <c r="R14" s="866" t="str">
        <f>TB!AS184</f>
        <v>ok</v>
      </c>
      <c r="S14" s="866" t="str">
        <f>TB!AT184</f>
        <v>ok</v>
      </c>
    </row>
    <row r="15" spans="2:19" x14ac:dyDescent="0.3">
      <c r="B15" s="394" t="s">
        <v>78</v>
      </c>
      <c r="C15" s="394" t="s">
        <v>499</v>
      </c>
      <c r="D15" s="395" t="str">
        <f>TF_Private!AE45</f>
        <v>Too big</v>
      </c>
      <c r="E15" s="866" t="str">
        <f>TF_Private!AF45</f>
        <v>Too big</v>
      </c>
      <c r="F15" s="866" t="str">
        <f>TF_Private!AG45</f>
        <v>ok</v>
      </c>
      <c r="G15" s="866" t="str">
        <f>TF_Private!AH45</f>
        <v>ok</v>
      </c>
      <c r="H15" s="866" t="str">
        <f>TF_Private!AI45</f>
        <v>ok</v>
      </c>
      <c r="I15" s="866" t="str">
        <f>TF_Private!AJ45</f>
        <v>ok</v>
      </c>
      <c r="J15" s="866" t="str">
        <f>TF_Private!AK45</f>
        <v>ok</v>
      </c>
      <c r="K15" s="866" t="str">
        <f>TF_Private!AL45</f>
        <v>ok</v>
      </c>
      <c r="L15" s="866" t="str">
        <f>TF_Private!AM45</f>
        <v>ok</v>
      </c>
      <c r="M15" s="866" t="str">
        <f>TF_Private!AN45</f>
        <v>ok</v>
      </c>
      <c r="N15" s="866" t="str">
        <f>TF_Private!AO45</f>
        <v>ok</v>
      </c>
      <c r="O15" s="866" t="str">
        <f>TF_Private!AP45</f>
        <v>ok</v>
      </c>
      <c r="P15" s="866" t="str">
        <f>TF_Private!AQ45</f>
        <v>ok</v>
      </c>
      <c r="Q15" s="866" t="str">
        <f>TF_Private!AR45</f>
        <v>ok</v>
      </c>
      <c r="R15" s="866" t="str">
        <f>TF_Private!AS45</f>
        <v>ok</v>
      </c>
      <c r="S15" s="866" t="str">
        <f>TF_Private!AT45</f>
        <v>ok</v>
      </c>
    </row>
    <row r="16" spans="2:19" x14ac:dyDescent="0.3">
      <c r="B16" s="394" t="s">
        <v>78</v>
      </c>
      <c r="C16" s="394" t="s">
        <v>502</v>
      </c>
      <c r="D16" s="395" t="e">
        <f>TF_Private!AE200</f>
        <v>#REF!</v>
      </c>
      <c r="E16" s="866" t="e">
        <f>TF_Private!AF200</f>
        <v>#REF!</v>
      </c>
      <c r="F16" s="866" t="e">
        <f>TF_Private!AG200</f>
        <v>#REF!</v>
      </c>
      <c r="G16" s="866" t="e">
        <f>TF_Private!AH200</f>
        <v>#REF!</v>
      </c>
      <c r="H16" s="866" t="e">
        <f>TF_Private!AI200</f>
        <v>#REF!</v>
      </c>
      <c r="I16" s="866" t="e">
        <f>TF_Private!AJ200</f>
        <v>#REF!</v>
      </c>
      <c r="J16" s="866" t="e">
        <f>TF_Private!AK200</f>
        <v>#REF!</v>
      </c>
      <c r="K16" s="866" t="e">
        <f>TF_Private!AL200</f>
        <v>#REF!</v>
      </c>
      <c r="L16" s="866" t="e">
        <f>TF_Private!AM200</f>
        <v>#REF!</v>
      </c>
      <c r="M16" s="866" t="e">
        <f>TF_Private!AN200</f>
        <v>#REF!</v>
      </c>
      <c r="N16" s="866" t="e">
        <f>TF_Private!AO200</f>
        <v>#REF!</v>
      </c>
      <c r="O16" s="866" t="e">
        <f>TF_Private!AP200</f>
        <v>#REF!</v>
      </c>
      <c r="P16" s="866" t="e">
        <f>TF_Private!AQ200</f>
        <v>#REF!</v>
      </c>
      <c r="Q16" s="866" t="e">
        <f>TF_Private!AR200</f>
        <v>#REF!</v>
      </c>
      <c r="R16" s="866" t="e">
        <f>TF_Private!AS200</f>
        <v>#REF!</v>
      </c>
      <c r="S16" s="866" t="e">
        <f>TF_Private!AT200</f>
        <v>#REF!</v>
      </c>
    </row>
    <row r="17" spans="2:19" x14ac:dyDescent="0.3">
      <c r="B17" s="394" t="s">
        <v>78</v>
      </c>
      <c r="C17" s="394" t="s">
        <v>504</v>
      </c>
      <c r="D17" s="395" t="str">
        <f>TF_Private!AE349</f>
        <v>Too big</v>
      </c>
      <c r="E17" s="866" t="str">
        <f>TF_Private!AF349</f>
        <v>Too big</v>
      </c>
      <c r="F17" s="866" t="str">
        <f>TF_Private!AG349</f>
        <v>ok</v>
      </c>
      <c r="G17" s="866" t="str">
        <f>TF_Private!AH349</f>
        <v>ok</v>
      </c>
      <c r="H17" s="866" t="str">
        <f>TF_Private!AI349</f>
        <v>ok</v>
      </c>
      <c r="I17" s="866" t="str">
        <f>TF_Private!AJ349</f>
        <v>ok</v>
      </c>
      <c r="J17" s="866" t="str">
        <f>TF_Private!AK349</f>
        <v>ok</v>
      </c>
      <c r="K17" s="866" t="str">
        <f>TF_Private!AL349</f>
        <v>ok</v>
      </c>
      <c r="L17" s="866" t="str">
        <f>TF_Private!AM349</f>
        <v>ok</v>
      </c>
      <c r="M17" s="866" t="str">
        <f>TF_Private!AN349</f>
        <v>ok</v>
      </c>
      <c r="N17" s="866" t="str">
        <f>TF_Private!AO349</f>
        <v>ok</v>
      </c>
      <c r="O17" s="866" t="str">
        <f>TF_Private!AP349</f>
        <v>ok</v>
      </c>
      <c r="P17" s="866" t="str">
        <f>TF_Private!AQ349</f>
        <v>ok</v>
      </c>
      <c r="Q17" s="866" t="str">
        <f>TF_Private!AR349</f>
        <v>ok</v>
      </c>
      <c r="R17" s="866" t="str">
        <f>TF_Private!AS349</f>
        <v>ok</v>
      </c>
      <c r="S17" s="866" t="str">
        <f>TF_Private!AT349</f>
        <v>ok</v>
      </c>
    </row>
    <row r="18" spans="2:19" x14ac:dyDescent="0.3">
      <c r="B18" s="394" t="s">
        <v>78</v>
      </c>
      <c r="C18" s="394" t="s">
        <v>427</v>
      </c>
      <c r="D18" s="395" t="str">
        <f>TF_Private!AE501</f>
        <v>ok</v>
      </c>
      <c r="E18" s="866" t="str">
        <f>TF_Private!AF501</f>
        <v>ok</v>
      </c>
      <c r="F18" s="866" t="str">
        <f>TF_Private!AG501</f>
        <v>ok</v>
      </c>
      <c r="G18" s="866" t="str">
        <f>TF_Private!AH501</f>
        <v>ok</v>
      </c>
      <c r="H18" s="866" t="str">
        <f>TF_Private!AI501</f>
        <v>ok</v>
      </c>
      <c r="I18" s="866" t="str">
        <f>TF_Private!AJ501</f>
        <v>ok</v>
      </c>
      <c r="J18" s="866" t="str">
        <f>TF_Private!AK501</f>
        <v>ok</v>
      </c>
      <c r="K18" s="866" t="str">
        <f>TF_Private!AL501</f>
        <v>ok</v>
      </c>
      <c r="L18" s="866" t="str">
        <f>TF_Private!AM501</f>
        <v>ok</v>
      </c>
      <c r="M18" s="866" t="str">
        <f>TF_Private!AN501</f>
        <v>ok</v>
      </c>
      <c r="N18" s="866" t="str">
        <f>TF_Private!AO501</f>
        <v>ok</v>
      </c>
      <c r="O18" s="866" t="str">
        <f>TF_Private!AP501</f>
        <v>ok</v>
      </c>
      <c r="P18" s="866" t="str">
        <f>TF_Private!AQ501</f>
        <v>ok</v>
      </c>
      <c r="Q18" s="866" t="str">
        <f>TF_Private!AR501</f>
        <v>ok</v>
      </c>
      <c r="R18" s="866" t="str">
        <f>TF_Private!AS501</f>
        <v>ok</v>
      </c>
      <c r="S18" s="866" t="str">
        <f>TF_Private!AT501</f>
        <v>ok</v>
      </c>
    </row>
    <row r="19" spans="2:19" x14ac:dyDescent="0.3">
      <c r="B19" s="394" t="s">
        <v>78</v>
      </c>
      <c r="C19" s="394" t="s">
        <v>425</v>
      </c>
      <c r="D19" s="395" t="str">
        <f>TF_Private!AE524</f>
        <v>ok</v>
      </c>
      <c r="E19" s="866" t="str">
        <f>TF_Private!AF524</f>
        <v>ok</v>
      </c>
      <c r="F19" s="866" t="str">
        <f>TF_Private!AG524</f>
        <v>ok</v>
      </c>
      <c r="G19" s="866" t="str">
        <f>TF_Private!AH524</f>
        <v>ok</v>
      </c>
      <c r="H19" s="866" t="str">
        <f>TF_Private!AI524</f>
        <v>ok</v>
      </c>
      <c r="I19" s="866" t="str">
        <f>TF_Private!AJ524</f>
        <v>ok</v>
      </c>
      <c r="J19" s="866" t="str">
        <f>TF_Private!AK524</f>
        <v>ok</v>
      </c>
      <c r="K19" s="866" t="str">
        <f>TF_Private!AL524</f>
        <v>ok</v>
      </c>
      <c r="L19" s="866" t="str">
        <f>TF_Private!AM524</f>
        <v>ok</v>
      </c>
      <c r="M19" s="866" t="str">
        <f>TF_Private!AN524</f>
        <v>ok</v>
      </c>
      <c r="N19" s="866" t="str">
        <f>TF_Private!AO524</f>
        <v>ok</v>
      </c>
      <c r="O19" s="866" t="str">
        <f>TF_Private!AP524</f>
        <v>ok</v>
      </c>
      <c r="P19" s="866" t="str">
        <f>TF_Private!AQ524</f>
        <v>ok</v>
      </c>
      <c r="Q19" s="866" t="str">
        <f>TF_Private!AR524</f>
        <v>ok</v>
      </c>
      <c r="R19" s="866" t="str">
        <f>TF_Private!AS524</f>
        <v>ok</v>
      </c>
      <c r="S19" s="866" t="str">
        <f>TF_Private!AT524</f>
        <v>ok</v>
      </c>
    </row>
    <row r="20" spans="2:19" x14ac:dyDescent="0.3">
      <c r="B20" s="394" t="s">
        <v>78</v>
      </c>
      <c r="C20" s="394" t="s">
        <v>423</v>
      </c>
      <c r="D20" s="395" t="str">
        <f>TF_Private!AE513</f>
        <v>ok</v>
      </c>
      <c r="E20" s="866" t="str">
        <f>TF_Private!AF513</f>
        <v>ok</v>
      </c>
      <c r="F20" s="866" t="str">
        <f>TF_Private!AG513</f>
        <v>ok</v>
      </c>
      <c r="G20" s="866" t="str">
        <f>TF_Private!AH513</f>
        <v>ok</v>
      </c>
      <c r="H20" s="866" t="str">
        <f>TF_Private!AI513</f>
        <v>ok</v>
      </c>
      <c r="I20" s="866" t="str">
        <f>TF_Private!AJ513</f>
        <v>ok</v>
      </c>
      <c r="J20" s="866" t="str">
        <f>TF_Private!AK513</f>
        <v>ok</v>
      </c>
      <c r="K20" s="866" t="str">
        <f>TF_Private!AL513</f>
        <v>ok</v>
      </c>
      <c r="L20" s="866" t="str">
        <f>TF_Private!AM513</f>
        <v>ok</v>
      </c>
      <c r="M20" s="866" t="str">
        <f>TF_Private!AN513</f>
        <v>ok</v>
      </c>
      <c r="N20" s="866" t="str">
        <f>TF_Private!AO513</f>
        <v>ok</v>
      </c>
      <c r="O20" s="866" t="str">
        <f>TF_Private!AP513</f>
        <v>ok</v>
      </c>
      <c r="P20" s="866" t="str">
        <f>TF_Private!AQ513</f>
        <v>ok</v>
      </c>
      <c r="Q20" s="866" t="str">
        <f>TF_Private!AR513</f>
        <v>ok</v>
      </c>
      <c r="R20" s="866" t="str">
        <f>TF_Private!AS513</f>
        <v>ok</v>
      </c>
      <c r="S20" s="866" t="str">
        <f>TF_Private!AT513</f>
        <v>ok</v>
      </c>
    </row>
    <row r="21" spans="2:19" x14ac:dyDescent="0.3">
      <c r="B21" s="394" t="s">
        <v>506</v>
      </c>
      <c r="C21" s="394" t="s">
        <v>499</v>
      </c>
      <c r="D21" s="395" t="str">
        <f>TF_City!AE84</f>
        <v>ok</v>
      </c>
      <c r="E21" s="866" t="str">
        <f>TF_City!AF84</f>
        <v>ok</v>
      </c>
      <c r="F21" s="866" t="str">
        <f>TF_City!AG84</f>
        <v>ok</v>
      </c>
      <c r="G21" s="866" t="str">
        <f>TF_City!AH84</f>
        <v>ok</v>
      </c>
      <c r="H21" s="866" t="str">
        <f>TF_City!AI84</f>
        <v>ok</v>
      </c>
      <c r="I21" s="866" t="str">
        <f>TF_City!AJ84</f>
        <v>ok</v>
      </c>
      <c r="J21" s="866" t="str">
        <f>TF_City!AK84</f>
        <v>ok</v>
      </c>
      <c r="K21" s="866" t="str">
        <f>TF_City!AL84</f>
        <v>ok</v>
      </c>
      <c r="L21" s="866" t="str">
        <f>TF_City!AM84</f>
        <v>ok</v>
      </c>
      <c r="M21" s="866" t="str">
        <f>TF_City!AN84</f>
        <v>ok</v>
      </c>
      <c r="N21" s="866" t="str">
        <f>TF_City!AO84</f>
        <v>ok</v>
      </c>
      <c r="O21" s="866" t="str">
        <f>TF_City!AP84</f>
        <v>ok</v>
      </c>
      <c r="P21" s="866" t="str">
        <f>TF_City!AQ84</f>
        <v>ok</v>
      </c>
      <c r="Q21" s="866" t="str">
        <f>TF_City!AR84</f>
        <v>ok</v>
      </c>
      <c r="R21" s="866" t="str">
        <f>TF_City!AS84</f>
        <v>ok</v>
      </c>
      <c r="S21" s="866" t="str">
        <f>TF_City!AT84</f>
        <v>ok</v>
      </c>
    </row>
    <row r="22" spans="2:19" x14ac:dyDescent="0.3">
      <c r="B22" s="394" t="s">
        <v>506</v>
      </c>
      <c r="C22" s="394" t="s">
        <v>502</v>
      </c>
      <c r="D22" s="395" t="str">
        <f>TF_City!AE233</f>
        <v>ok</v>
      </c>
      <c r="E22" s="866" t="str">
        <f>TF_City!AF233</f>
        <v>ok</v>
      </c>
      <c r="F22" s="866" t="str">
        <f>TF_City!AG233</f>
        <v>ok</v>
      </c>
      <c r="G22" s="866" t="str">
        <f>TF_City!AH233</f>
        <v>ok</v>
      </c>
      <c r="H22" s="866" t="str">
        <f>TF_City!AI233</f>
        <v>ok</v>
      </c>
      <c r="I22" s="866" t="str">
        <f>TF_City!AJ233</f>
        <v>ok</v>
      </c>
      <c r="J22" s="866" t="str">
        <f>TF_City!AK233</f>
        <v>ok</v>
      </c>
      <c r="K22" s="866" t="str">
        <f>TF_City!AL233</f>
        <v>ok</v>
      </c>
      <c r="L22" s="866" t="str">
        <f>TF_City!AM233</f>
        <v>ok</v>
      </c>
      <c r="M22" s="866" t="str">
        <f>TF_City!AN233</f>
        <v>ok</v>
      </c>
      <c r="N22" s="866" t="str">
        <f>TF_City!AO233</f>
        <v>ok</v>
      </c>
      <c r="O22" s="866" t="str">
        <f>TF_City!AP233</f>
        <v>ok</v>
      </c>
      <c r="P22" s="866" t="str">
        <f>TF_City!AQ233</f>
        <v>ok</v>
      </c>
      <c r="Q22" s="866" t="str">
        <f>TF_City!AR233</f>
        <v>ok</v>
      </c>
      <c r="R22" s="866" t="str">
        <f>TF_City!AS233</f>
        <v>ok</v>
      </c>
      <c r="S22" s="866" t="str">
        <f>TF_City!AT233</f>
        <v>ok</v>
      </c>
    </row>
    <row r="23" spans="2:19" x14ac:dyDescent="0.3">
      <c r="B23" s="394" t="s">
        <v>506</v>
      </c>
      <c r="C23" s="394" t="s">
        <v>504</v>
      </c>
      <c r="D23" s="395" t="str">
        <f>TF_City!AE380</f>
        <v>ok</v>
      </c>
      <c r="E23" s="866" t="str">
        <f>TF_City!AF380</f>
        <v>ok</v>
      </c>
      <c r="F23" s="866" t="str">
        <f>TF_City!AG380</f>
        <v>ok</v>
      </c>
      <c r="G23" s="866" t="str">
        <f>TF_City!AH380</f>
        <v>ok</v>
      </c>
      <c r="H23" s="866" t="str">
        <f>TF_City!AI380</f>
        <v>ok</v>
      </c>
      <c r="I23" s="866" t="str">
        <f>TF_City!AJ380</f>
        <v>ok</v>
      </c>
      <c r="J23" s="866" t="str">
        <f>TF_City!AK380</f>
        <v>ok</v>
      </c>
      <c r="K23" s="866" t="str">
        <f>TF_City!AL380</f>
        <v>ok</v>
      </c>
      <c r="L23" s="866" t="str">
        <f>TF_City!AM380</f>
        <v>ok</v>
      </c>
      <c r="M23" s="866" t="str">
        <f>TF_City!AN380</f>
        <v>ok</v>
      </c>
      <c r="N23" s="866" t="str">
        <f>TF_City!AO380</f>
        <v>ok</v>
      </c>
      <c r="O23" s="866" t="str">
        <f>TF_City!AP380</f>
        <v>ok</v>
      </c>
      <c r="P23" s="866" t="str">
        <f>TF_City!AQ380</f>
        <v>ok</v>
      </c>
      <c r="Q23" s="866" t="str">
        <f>TF_City!AR380</f>
        <v>ok</v>
      </c>
      <c r="R23" s="866" t="str">
        <f>TF_City!AS380</f>
        <v>ok</v>
      </c>
      <c r="S23" s="866" t="str">
        <f>TF_City!AT380</f>
        <v>ok</v>
      </c>
    </row>
    <row r="24" spans="2:19" x14ac:dyDescent="0.3">
      <c r="B24" s="394" t="s">
        <v>506</v>
      </c>
      <c r="C24" s="394" t="s">
        <v>633</v>
      </c>
      <c r="D24" s="395" t="str">
        <f>TF_City!AE41</f>
        <v>ok</v>
      </c>
      <c r="E24" s="866" t="str">
        <f>TF_City!AF41</f>
        <v>ok</v>
      </c>
      <c r="F24" s="866" t="str">
        <f>TF_City!AG41</f>
        <v>ok</v>
      </c>
      <c r="G24" s="866" t="str">
        <f>TF_City!AH41</f>
        <v>ok</v>
      </c>
      <c r="H24" s="866" t="str">
        <f>TF_City!AI41</f>
        <v>ok</v>
      </c>
      <c r="I24" s="866" t="str">
        <f>TF_City!AJ41</f>
        <v>ok</v>
      </c>
      <c r="J24" s="866" t="str">
        <f>TF_City!AK41</f>
        <v>ok</v>
      </c>
      <c r="K24" s="866" t="str">
        <f>TF_City!AL41</f>
        <v>ok</v>
      </c>
      <c r="L24" s="866" t="str">
        <f>TF_City!AM41</f>
        <v>ok</v>
      </c>
      <c r="M24" s="866" t="str">
        <f>TF_City!AN41</f>
        <v>ok</v>
      </c>
      <c r="N24" s="866" t="str">
        <f>TF_City!AO41</f>
        <v>ok</v>
      </c>
      <c r="O24" s="866" t="str">
        <f>TF_City!AP41</f>
        <v>ok</v>
      </c>
      <c r="P24" s="866" t="str">
        <f>TF_City!AQ41</f>
        <v>ok</v>
      </c>
      <c r="Q24" s="866" t="str">
        <f>TF_City!AR41</f>
        <v>ok</v>
      </c>
      <c r="R24" s="866" t="str">
        <f>TF_City!AS41</f>
        <v>ok</v>
      </c>
      <c r="S24" s="866" t="str">
        <f>TF_City!AT41</f>
        <v>ok</v>
      </c>
    </row>
    <row r="25" spans="2:19" x14ac:dyDescent="0.3">
      <c r="B25" s="394" t="s">
        <v>506</v>
      </c>
      <c r="C25" s="394" t="s">
        <v>509</v>
      </c>
      <c r="D25" s="395" t="str">
        <f>TF_City!AE64</f>
        <v>ok</v>
      </c>
      <c r="E25" s="866" t="str">
        <f>TF_City!AF64</f>
        <v>ok</v>
      </c>
      <c r="F25" s="866" t="str">
        <f>TF_City!AG64</f>
        <v>ok</v>
      </c>
      <c r="G25" s="866" t="str">
        <f>TF_City!AH64</f>
        <v>ok</v>
      </c>
      <c r="H25" s="866" t="str">
        <f>TF_City!AI64</f>
        <v>ok</v>
      </c>
      <c r="I25" s="866" t="str">
        <f>TF_City!AJ64</f>
        <v>ok</v>
      </c>
      <c r="J25" s="866" t="str">
        <f>TF_City!AK64</f>
        <v>ok</v>
      </c>
      <c r="K25" s="866" t="str">
        <f>TF_City!AL64</f>
        <v>ok</v>
      </c>
      <c r="L25" s="866" t="str">
        <f>TF_City!AM64</f>
        <v>ok</v>
      </c>
      <c r="M25" s="866" t="str">
        <f>TF_City!AN64</f>
        <v>ok</v>
      </c>
      <c r="N25" s="866" t="str">
        <f>TF_City!AO64</f>
        <v>ok</v>
      </c>
      <c r="O25" s="866" t="str">
        <f>TF_City!AP64</f>
        <v>ok</v>
      </c>
      <c r="P25" s="866" t="str">
        <f>TF_City!AQ64</f>
        <v>ok</v>
      </c>
      <c r="Q25" s="866" t="str">
        <f>TF_City!AR64</f>
        <v>ok</v>
      </c>
      <c r="R25" s="866" t="str">
        <f>TF_City!AS64</f>
        <v>ok</v>
      </c>
      <c r="S25" s="866" t="str">
        <f>TF_City!AT64</f>
        <v>ok</v>
      </c>
    </row>
    <row r="26" spans="2:19" x14ac:dyDescent="0.3">
      <c r="B26" s="394" t="s">
        <v>506</v>
      </c>
      <c r="C26" s="394" t="s">
        <v>508</v>
      </c>
      <c r="D26" s="395" t="str">
        <f>TF_City!AE53</f>
        <v>ok</v>
      </c>
      <c r="E26" s="866" t="str">
        <f>TF_City!AF53</f>
        <v>ok</v>
      </c>
      <c r="F26" s="866" t="str">
        <f>TF_City!AG53</f>
        <v>ok</v>
      </c>
      <c r="G26" s="866" t="str">
        <f>TF_City!AH53</f>
        <v>ok</v>
      </c>
      <c r="H26" s="866" t="str">
        <f>TF_City!AI53</f>
        <v>ok</v>
      </c>
      <c r="I26" s="866" t="str">
        <f>TF_City!AJ53</f>
        <v>ok</v>
      </c>
      <c r="J26" s="866" t="str">
        <f>TF_City!AK53</f>
        <v>ok</v>
      </c>
      <c r="K26" s="866" t="str">
        <f>TF_City!AL53</f>
        <v>ok</v>
      </c>
      <c r="L26" s="866" t="str">
        <f>TF_City!AM53</f>
        <v>ok</v>
      </c>
      <c r="M26" s="866" t="str">
        <f>TF_City!AN53</f>
        <v>ok</v>
      </c>
      <c r="N26" s="866" t="str">
        <f>TF_City!AO53</f>
        <v>ok</v>
      </c>
      <c r="O26" s="866" t="str">
        <f>TF_City!AP53</f>
        <v>ok</v>
      </c>
      <c r="P26" s="866" t="str">
        <f>TF_City!AQ53</f>
        <v>ok</v>
      </c>
      <c r="Q26" s="866" t="str">
        <f>TF_City!AR53</f>
        <v>ok</v>
      </c>
      <c r="R26" s="866" t="str">
        <f>TF_City!AS53</f>
        <v>ok</v>
      </c>
      <c r="S26" s="866" t="str">
        <f>TF_City!AT53</f>
        <v>ok</v>
      </c>
    </row>
    <row r="27" spans="2:19" x14ac:dyDescent="0.3">
      <c r="B27" s="394" t="s">
        <v>80</v>
      </c>
      <c r="C27" s="394" t="s">
        <v>510</v>
      </c>
      <c r="D27" s="395" t="str">
        <f>TT!AD114</f>
        <v>ok</v>
      </c>
      <c r="E27" s="866" t="str">
        <f>TT!AE114</f>
        <v>ok</v>
      </c>
      <c r="F27" s="866" t="str">
        <f>TT!AF114</f>
        <v>ok</v>
      </c>
      <c r="G27" s="866" t="str">
        <f>TT!AG114</f>
        <v>ok</v>
      </c>
      <c r="H27" s="866" t="str">
        <f>TT!AH114</f>
        <v>ok</v>
      </c>
      <c r="I27" s="866" t="str">
        <f>TT!AI114</f>
        <v>ok</v>
      </c>
      <c r="J27" s="866" t="str">
        <f>TT!AJ114</f>
        <v>ok</v>
      </c>
      <c r="K27" s="866" t="str">
        <f>TT!AK114</f>
        <v>ok</v>
      </c>
      <c r="L27" s="866" t="str">
        <f>TT!AL114</f>
        <v>ok</v>
      </c>
      <c r="M27" s="866" t="str">
        <f>TT!AM114</f>
        <v>ok</v>
      </c>
      <c r="N27" s="866" t="str">
        <f>TT!AN114</f>
        <v>ok</v>
      </c>
      <c r="O27" s="866" t="str">
        <f>TT!AO114</f>
        <v>ok</v>
      </c>
      <c r="P27" s="866" t="str">
        <f>TT!AP114</f>
        <v>ok</v>
      </c>
      <c r="Q27" s="866" t="str">
        <f>TT!AQ114</f>
        <v>ok</v>
      </c>
      <c r="R27" s="866" t="str">
        <f>TT!AR114</f>
        <v>ok</v>
      </c>
      <c r="S27" s="866" t="str">
        <f>TT!AS114</f>
        <v>ok</v>
      </c>
    </row>
    <row r="28" spans="2:19" x14ac:dyDescent="0.3">
      <c r="B28" s="394" t="s">
        <v>80</v>
      </c>
      <c r="C28" s="394" t="s">
        <v>512</v>
      </c>
      <c r="D28" s="395" t="str">
        <f>TT!AD127</f>
        <v>ok</v>
      </c>
      <c r="E28" s="866" t="str">
        <f>TT!AE127</f>
        <v>ok</v>
      </c>
      <c r="F28" s="866" t="str">
        <f>TT!AF127</f>
        <v>ok</v>
      </c>
      <c r="G28" s="866" t="str">
        <f>TT!AG127</f>
        <v>ok</v>
      </c>
      <c r="H28" s="866" t="str">
        <f>TT!AH127</f>
        <v>ok</v>
      </c>
      <c r="I28" s="866" t="str">
        <f>TT!AI127</f>
        <v>ok</v>
      </c>
      <c r="J28" s="866" t="str">
        <f>TT!AJ127</f>
        <v>ok</v>
      </c>
      <c r="K28" s="866" t="str">
        <f>TT!AK127</f>
        <v>ok</v>
      </c>
      <c r="L28" s="866" t="str">
        <f>TT!AL127</f>
        <v>ok</v>
      </c>
      <c r="M28" s="866" t="str">
        <f>TT!AM127</f>
        <v>ok</v>
      </c>
      <c r="N28" s="866" t="str">
        <f>TT!AN127</f>
        <v>ok</v>
      </c>
      <c r="O28" s="866" t="str">
        <f>TT!AO127</f>
        <v>ok</v>
      </c>
      <c r="P28" s="866" t="str">
        <f>TT!AP127</f>
        <v>ok</v>
      </c>
      <c r="Q28" s="866" t="str">
        <f>TT!AQ127</f>
        <v>ok</v>
      </c>
      <c r="R28" s="866" t="str">
        <f>TT!AR127</f>
        <v>ok</v>
      </c>
      <c r="S28" s="866" t="str">
        <f>TT!AS127</f>
        <v>ok</v>
      </c>
    </row>
    <row r="29" spans="2:19" x14ac:dyDescent="0.3">
      <c r="B29" s="394" t="s">
        <v>80</v>
      </c>
      <c r="C29" s="394" t="s">
        <v>417</v>
      </c>
      <c r="D29" s="395" t="str">
        <f>TT!AD38</f>
        <v>ok</v>
      </c>
      <c r="E29" s="866" t="str">
        <f>TT!AE38</f>
        <v>ok</v>
      </c>
      <c r="F29" s="866" t="str">
        <f>TT!AF38</f>
        <v>ok</v>
      </c>
      <c r="G29" s="866" t="str">
        <f>TT!AG38</f>
        <v>ok</v>
      </c>
      <c r="H29" s="866" t="str">
        <f>TT!AH38</f>
        <v>ok</v>
      </c>
      <c r="I29" s="866" t="str">
        <f>TT!AI38</f>
        <v>ok</v>
      </c>
      <c r="J29" s="866" t="str">
        <f>TT!AJ38</f>
        <v>ok</v>
      </c>
      <c r="K29" s="866" t="str">
        <f>TT!AK38</f>
        <v>ok</v>
      </c>
      <c r="L29" s="866" t="str">
        <f>TT!AL38</f>
        <v>ok</v>
      </c>
      <c r="M29" s="866" t="str">
        <f>TT!AM38</f>
        <v>ok</v>
      </c>
      <c r="N29" s="866" t="str">
        <f>TT!AN38</f>
        <v>ok</v>
      </c>
      <c r="O29" s="866" t="str">
        <f>TT!AO38</f>
        <v>ok</v>
      </c>
      <c r="P29" s="866" t="str">
        <f>TT!AP38</f>
        <v>ok</v>
      </c>
      <c r="Q29" s="866" t="str">
        <f>TT!AQ38</f>
        <v>ok</v>
      </c>
      <c r="R29" s="866" t="str">
        <f>TT!AR38</f>
        <v>ok</v>
      </c>
      <c r="S29" s="866" t="str">
        <f>TT!AS38</f>
        <v>ok</v>
      </c>
    </row>
    <row r="30" spans="2:19" x14ac:dyDescent="0.3">
      <c r="B30" s="394" t="s">
        <v>80</v>
      </c>
      <c r="C30" s="394" t="s">
        <v>419</v>
      </c>
      <c r="D30" s="395" t="str">
        <f>TT!AD64</f>
        <v>ok</v>
      </c>
      <c r="E30" s="866" t="str">
        <f>TT!AE64</f>
        <v>ok</v>
      </c>
      <c r="F30" s="866" t="str">
        <f>TT!AF64</f>
        <v>ok</v>
      </c>
      <c r="G30" s="866" t="str">
        <f>TT!AG64</f>
        <v>ok</v>
      </c>
      <c r="H30" s="866" t="str">
        <f>TT!AH64</f>
        <v>ok</v>
      </c>
      <c r="I30" s="866" t="str">
        <f>TT!AI64</f>
        <v>ok</v>
      </c>
      <c r="J30" s="866" t="str">
        <f>TT!AJ64</f>
        <v>ok</v>
      </c>
      <c r="K30" s="866" t="str">
        <f>TT!AK64</f>
        <v>ok</v>
      </c>
      <c r="L30" s="866" t="str">
        <f>TT!AL64</f>
        <v>ok</v>
      </c>
      <c r="M30" s="866" t="str">
        <f>TT!AM64</f>
        <v>ok</v>
      </c>
      <c r="N30" s="866" t="str">
        <f>TT!AN64</f>
        <v>ok</v>
      </c>
      <c r="O30" s="866" t="str">
        <f>TT!AO64</f>
        <v>ok</v>
      </c>
      <c r="P30" s="866" t="str">
        <f>TT!AP64</f>
        <v>ok</v>
      </c>
      <c r="Q30" s="866" t="str">
        <f>TT!AQ64</f>
        <v>ok</v>
      </c>
      <c r="R30" s="866" t="str">
        <f>TT!AR64</f>
        <v>ok</v>
      </c>
      <c r="S30" s="866" t="str">
        <f>TT!AS64</f>
        <v>ok</v>
      </c>
    </row>
    <row r="31" spans="2:19" x14ac:dyDescent="0.3">
      <c r="B31" s="394" t="s">
        <v>80</v>
      </c>
      <c r="C31" s="394" t="s">
        <v>441</v>
      </c>
      <c r="D31" s="395" t="str">
        <f>TT!AD82</f>
        <v>ok</v>
      </c>
      <c r="E31" s="866" t="str">
        <f>TT!AE82</f>
        <v>ok</v>
      </c>
      <c r="F31" s="866" t="str">
        <f>TT!AF82</f>
        <v>ok</v>
      </c>
      <c r="G31" s="866" t="str">
        <f>TT!AG82</f>
        <v>ok</v>
      </c>
      <c r="H31" s="866" t="str">
        <f>TT!AH82</f>
        <v>ok</v>
      </c>
      <c r="I31" s="866" t="str">
        <f>TT!AI82</f>
        <v>ok</v>
      </c>
      <c r="J31" s="866" t="str">
        <f>TT!AJ82</f>
        <v>ok</v>
      </c>
      <c r="K31" s="866" t="str">
        <f>TT!AK82</f>
        <v>ok</v>
      </c>
      <c r="L31" s="866" t="str">
        <f>TT!AL82</f>
        <v>ok</v>
      </c>
      <c r="M31" s="866" t="str">
        <f>TT!AM82</f>
        <v>ok</v>
      </c>
      <c r="N31" s="866" t="str">
        <f>TT!AN82</f>
        <v>ok</v>
      </c>
      <c r="O31" s="866" t="str">
        <f>TT!AO82</f>
        <v>ok</v>
      </c>
      <c r="P31" s="866" t="str">
        <f>TT!AP82</f>
        <v>ok</v>
      </c>
      <c r="Q31" s="866" t="str">
        <f>TT!AQ82</f>
        <v>ok</v>
      </c>
      <c r="R31" s="866" t="str">
        <f>TT!AR82</f>
        <v>ok</v>
      </c>
      <c r="S31" s="866" t="str">
        <f>TT!AS82</f>
        <v>ok</v>
      </c>
    </row>
    <row r="32" spans="2:19" x14ac:dyDescent="0.3">
      <c r="B32" s="394" t="s">
        <v>81</v>
      </c>
      <c r="C32" s="394" t="s">
        <v>228</v>
      </c>
      <c r="D32" s="395" t="str">
        <f>TNA!AD27</f>
        <v>ok</v>
      </c>
      <c r="E32" s="866" t="str">
        <f>TNA!AE27</f>
        <v>ok</v>
      </c>
      <c r="F32" s="866" t="str">
        <f>TNA!AF27</f>
        <v>ok</v>
      </c>
      <c r="G32" s="866" t="str">
        <f>TNA!AG27</f>
        <v>ok</v>
      </c>
      <c r="H32" s="866" t="str">
        <f>TNA!AH27</f>
        <v>ok</v>
      </c>
      <c r="I32" s="866" t="str">
        <f>TNA!AI27</f>
        <v>ok</v>
      </c>
      <c r="J32" s="866" t="str">
        <f>TNA!AJ27</f>
        <v>ok</v>
      </c>
      <c r="K32" s="866" t="str">
        <f>TNA!AK27</f>
        <v>ok</v>
      </c>
      <c r="L32" s="866" t="str">
        <f>TNA!AL27</f>
        <v>ok</v>
      </c>
      <c r="M32" s="866" t="str">
        <f>TNA!AM27</f>
        <v>ok</v>
      </c>
      <c r="N32" s="866" t="str">
        <f>TNA!AN27</f>
        <v>ok</v>
      </c>
      <c r="O32" s="866" t="str">
        <f>TNA!AO27</f>
        <v>ok</v>
      </c>
      <c r="P32" s="866" t="str">
        <f>TNA!AP27</f>
        <v>ok</v>
      </c>
      <c r="Q32" s="866" t="str">
        <f>TNA!AQ27</f>
        <v>ok</v>
      </c>
      <c r="R32" s="866" t="str">
        <f>TNA!AR27</f>
        <v>ok</v>
      </c>
      <c r="S32" s="866" t="str">
        <f>TNA!AS27</f>
        <v>ok</v>
      </c>
    </row>
    <row r="33" spans="2:19" x14ac:dyDescent="0.3">
      <c r="B33" s="394" t="s">
        <v>81</v>
      </c>
      <c r="C33" s="394" t="s">
        <v>232</v>
      </c>
      <c r="D33" s="395" t="str">
        <f>TNA!AD49</f>
        <v>ok</v>
      </c>
      <c r="E33" s="866" t="str">
        <f>TNA!AE49</f>
        <v>ok</v>
      </c>
      <c r="F33" s="866" t="str">
        <f>TNA!AF49</f>
        <v>ok</v>
      </c>
      <c r="G33" s="866" t="str">
        <f>TNA!AG49</f>
        <v>ok</v>
      </c>
      <c r="H33" s="866" t="str">
        <f>TNA!AH49</f>
        <v>ok</v>
      </c>
      <c r="I33" s="866" t="str">
        <f>TNA!AI49</f>
        <v>ok</v>
      </c>
      <c r="J33" s="866" t="str">
        <f>TNA!AJ49</f>
        <v>ok</v>
      </c>
      <c r="K33" s="866" t="str">
        <f>TNA!AK49</f>
        <v>ok</v>
      </c>
      <c r="L33" s="866" t="str">
        <f>TNA!AL49</f>
        <v>ok</v>
      </c>
      <c r="M33" s="866" t="str">
        <f>TNA!AM49</f>
        <v>ok</v>
      </c>
      <c r="N33" s="866" t="str">
        <f>TNA!AN49</f>
        <v>ok</v>
      </c>
      <c r="O33" s="866" t="str">
        <f>TNA!AO49</f>
        <v>ok</v>
      </c>
      <c r="P33" s="866" t="str">
        <f>TNA!AP49</f>
        <v>ok</v>
      </c>
      <c r="Q33" s="866" t="str">
        <f>TNA!AQ49</f>
        <v>ok</v>
      </c>
      <c r="R33" s="866" t="str">
        <f>TNA!AR49</f>
        <v>ok</v>
      </c>
      <c r="S33" s="866" t="str">
        <f>TNA!AS49</f>
        <v>ok</v>
      </c>
    </row>
    <row r="34" spans="2:19" x14ac:dyDescent="0.3">
      <c r="B34" s="394" t="s">
        <v>81</v>
      </c>
      <c r="C34" s="394" t="s">
        <v>230</v>
      </c>
      <c r="D34" s="395" t="str">
        <f>TNA!AD70</f>
        <v>ok</v>
      </c>
      <c r="E34" s="866" t="str">
        <f>TNA!AE70</f>
        <v>ok</v>
      </c>
      <c r="F34" s="866" t="str">
        <f>TNA!AF70</f>
        <v>ok</v>
      </c>
      <c r="G34" s="866" t="str">
        <f>TNA!AG70</f>
        <v>ok</v>
      </c>
      <c r="H34" s="866" t="str">
        <f>TNA!AH70</f>
        <v>ok</v>
      </c>
      <c r="I34" s="866" t="str">
        <f>TNA!AI70</f>
        <v>ok</v>
      </c>
      <c r="J34" s="866" t="str">
        <f>TNA!AJ70</f>
        <v>ok</v>
      </c>
      <c r="K34" s="866" t="str">
        <f>TNA!AK70</f>
        <v>ok</v>
      </c>
      <c r="L34" s="866" t="str">
        <f>TNA!AL70</f>
        <v>ok</v>
      </c>
      <c r="M34" s="866" t="str">
        <f>TNA!AM70</f>
        <v>ok</v>
      </c>
      <c r="N34" s="866" t="str">
        <f>TNA!AN70</f>
        <v>ok</v>
      </c>
      <c r="O34" s="866" t="str">
        <f>TNA!AO70</f>
        <v>ok</v>
      </c>
      <c r="P34" s="866" t="str">
        <f>TNA!AP70</f>
        <v>ok</v>
      </c>
      <c r="Q34" s="866" t="str">
        <f>TNA!AQ70</f>
        <v>ok</v>
      </c>
      <c r="R34" s="866" t="str">
        <f>TNA!AR70</f>
        <v>ok</v>
      </c>
      <c r="S34" s="866" t="str">
        <f>TNA!AS70</f>
        <v>ok</v>
      </c>
    </row>
    <row r="35" spans="2:19" x14ac:dyDescent="0.3">
      <c r="B35" s="394" t="s">
        <v>82</v>
      </c>
      <c r="C35" s="394" t="s">
        <v>736</v>
      </c>
      <c r="D35" s="395" t="e">
        <f>TAV!AD44</f>
        <v>#DIV/0!</v>
      </c>
      <c r="E35" s="866" t="e">
        <f>TAV!AE44</f>
        <v>#DIV/0!</v>
      </c>
      <c r="F35" s="866" t="e">
        <f>TAV!AF44</f>
        <v>#DIV/0!</v>
      </c>
      <c r="G35" s="866" t="e">
        <f>TAV!AG44</f>
        <v>#DIV/0!</v>
      </c>
      <c r="H35" s="866" t="e">
        <f>TAV!AH44</f>
        <v>#DIV/0!</v>
      </c>
      <c r="I35" s="866" t="e">
        <f>TAV!AI44</f>
        <v>#DIV/0!</v>
      </c>
      <c r="J35" s="866" t="e">
        <f>TAV!AJ44</f>
        <v>#DIV/0!</v>
      </c>
      <c r="K35" s="866" t="e">
        <f>TAV!AK44</f>
        <v>#DIV/0!</v>
      </c>
      <c r="L35" s="866" t="e">
        <f>TAV!AL44</f>
        <v>#DIV/0!</v>
      </c>
      <c r="M35" s="866" t="e">
        <f>TAV!AM44</f>
        <v>#DIV/0!</v>
      </c>
      <c r="N35" s="866" t="e">
        <f>TAV!AN44</f>
        <v>#DIV/0!</v>
      </c>
      <c r="O35" s="866" t="e">
        <f>TAV!AO44</f>
        <v>#DIV/0!</v>
      </c>
      <c r="P35" s="866" t="e">
        <f>TAV!AP44</f>
        <v>#DIV/0!</v>
      </c>
      <c r="Q35" s="866" t="e">
        <f>TAV!AQ44</f>
        <v>#DIV/0!</v>
      </c>
      <c r="R35" s="866" t="e">
        <f>TAV!AR44</f>
        <v>#DIV/0!</v>
      </c>
      <c r="S35" s="866" t="e">
        <f>TAV!AS44</f>
        <v>#DIV/0!</v>
      </c>
    </row>
    <row r="36" spans="2:19" x14ac:dyDescent="0.3">
      <c r="B36" s="394" t="s">
        <v>82</v>
      </c>
      <c r="C36" s="394" t="s">
        <v>734</v>
      </c>
      <c r="D36" s="395" t="str">
        <f>TAV!AD24</f>
        <v>ok</v>
      </c>
      <c r="E36" s="866" t="str">
        <f>TAV!AE24</f>
        <v>ok</v>
      </c>
      <c r="F36" s="866" t="str">
        <f>TAV!AF24</f>
        <v>ok</v>
      </c>
      <c r="G36" s="866" t="str">
        <f>TAV!AG24</f>
        <v>ok</v>
      </c>
      <c r="H36" s="866" t="str">
        <f>TAV!AH24</f>
        <v>ok</v>
      </c>
      <c r="I36" s="866" t="str">
        <f>TAV!AI24</f>
        <v>ok</v>
      </c>
      <c r="J36" s="866" t="str">
        <f>TAV!AJ24</f>
        <v>ok</v>
      </c>
      <c r="K36" s="866" t="str">
        <f>TAV!AK24</f>
        <v>ok</v>
      </c>
      <c r="L36" s="866" t="str">
        <f>TAV!AL24</f>
        <v>ok</v>
      </c>
      <c r="M36" s="866" t="str">
        <f>TAV!AM24</f>
        <v>ok</v>
      </c>
      <c r="N36" s="866" t="str">
        <f>TAV!AN24</f>
        <v>ok</v>
      </c>
      <c r="O36" s="866" t="str">
        <f>TAV!AO24</f>
        <v>ok</v>
      </c>
      <c r="P36" s="866" t="str">
        <f>TAV!AP24</f>
        <v>ok</v>
      </c>
      <c r="Q36" s="866" t="str">
        <f>TAV!AQ24</f>
        <v>ok</v>
      </c>
      <c r="R36" s="866" t="str">
        <f>TAV!AR24</f>
        <v>ok</v>
      </c>
      <c r="S36" s="866"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1" zoomScale="75" zoomScaleNormal="75" workbookViewId="0">
      <selection activeCell="AA162" sqref="AA162"/>
    </sheetView>
  </sheetViews>
  <sheetFormatPr defaultRowHeight="14.4" x14ac:dyDescent="0.3"/>
  <cols>
    <col min="1" max="1" width="9.33203125" style="33" customWidth="1"/>
    <col min="2" max="2" width="21.33203125" style="33" customWidth="1"/>
    <col min="3" max="3" width="12.6640625" style="33" bestFit="1" customWidth="1"/>
    <col min="4" max="4" width="43.5546875" style="33" customWidth="1"/>
    <col min="5" max="5" width="14.33203125" style="33" customWidth="1"/>
    <col min="6" max="6" width="13.33203125" style="33" bestFit="1" customWidth="1"/>
    <col min="7" max="7" width="11.6640625" style="33" customWidth="1"/>
    <col min="8" max="8" width="16.33203125" style="33" customWidth="1"/>
    <col min="9" max="9" width="29.6640625" style="33" customWidth="1"/>
    <col min="10" max="10" width="14.33203125" style="33" bestFit="1" customWidth="1"/>
    <col min="11" max="11" width="21.33203125" style="33" customWidth="1"/>
    <col min="12" max="12" width="25.6640625" style="33" customWidth="1"/>
    <col min="13" max="13" width="14.44140625" style="33" customWidth="1"/>
    <col min="14" max="27" width="11.6640625" style="33" customWidth="1"/>
    <col min="28" max="28" width="12.6640625" style="33" bestFit="1" customWidth="1"/>
    <col min="29" max="29" width="29.33203125" style="33" customWidth="1"/>
    <col min="30" max="45" width="1.6640625" style="33" customWidth="1"/>
    <col min="46" max="248" width="9.33203125" style="33"/>
    <col min="249" max="249" width="3.33203125" style="33" customWidth="1"/>
    <col min="250" max="250" width="40.6640625" style="33" customWidth="1"/>
    <col min="251" max="251" width="41.6640625" style="33" customWidth="1"/>
    <col min="252" max="252" width="11" style="33" customWidth="1"/>
    <col min="253" max="253" width="15.6640625" style="33" customWidth="1"/>
    <col min="254" max="254" width="11.6640625" style="33" customWidth="1"/>
    <col min="255" max="255" width="9.6640625" style="33" customWidth="1"/>
    <col min="256" max="256" width="13.44140625" style="33" customWidth="1"/>
    <col min="257" max="257" width="14.6640625" style="33" customWidth="1"/>
    <col min="258" max="259" width="15.33203125" style="33" customWidth="1"/>
    <col min="260" max="260" width="20.6640625" style="33" customWidth="1"/>
    <col min="261" max="261" width="11.33203125" style="33" customWidth="1"/>
    <col min="262" max="262" width="10" style="33" customWidth="1"/>
    <col min="263" max="263" width="6.6640625" style="33" customWidth="1"/>
    <col min="264" max="264" width="13.33203125" style="33" customWidth="1"/>
    <col min="265" max="265" width="12.6640625" style="33" customWidth="1"/>
    <col min="266" max="266" width="9.33203125" style="33"/>
    <col min="267" max="267" width="11.44140625" style="33" customWidth="1"/>
    <col min="268" max="504" width="9.33203125" style="33"/>
    <col min="505" max="505" width="3.33203125" style="33" customWidth="1"/>
    <col min="506" max="506" width="40.6640625" style="33" customWidth="1"/>
    <col min="507" max="507" width="41.6640625" style="33" customWidth="1"/>
    <col min="508" max="508" width="11" style="33" customWidth="1"/>
    <col min="509" max="509" width="15.6640625" style="33" customWidth="1"/>
    <col min="510" max="510" width="11.6640625" style="33" customWidth="1"/>
    <col min="511" max="511" width="9.6640625" style="33" customWidth="1"/>
    <col min="512" max="512" width="13.44140625" style="33" customWidth="1"/>
    <col min="513" max="513" width="14.6640625" style="33" customWidth="1"/>
    <col min="514" max="515" width="15.33203125" style="33" customWidth="1"/>
    <col min="516" max="516" width="20.6640625" style="33" customWidth="1"/>
    <col min="517" max="517" width="11.33203125" style="33" customWidth="1"/>
    <col min="518" max="518" width="10" style="33" customWidth="1"/>
    <col min="519" max="519" width="6.6640625" style="33" customWidth="1"/>
    <col min="520" max="520" width="13.33203125" style="33" customWidth="1"/>
    <col min="521" max="521" width="12.6640625" style="33" customWidth="1"/>
    <col min="522" max="522" width="9.33203125" style="33"/>
    <col min="523" max="523" width="11.44140625" style="33" customWidth="1"/>
    <col min="524" max="760" width="9.33203125" style="33"/>
    <col min="761" max="761" width="3.33203125" style="33" customWidth="1"/>
    <col min="762" max="762" width="40.6640625" style="33" customWidth="1"/>
    <col min="763" max="763" width="41.6640625" style="33" customWidth="1"/>
    <col min="764" max="764" width="11" style="33" customWidth="1"/>
    <col min="765" max="765" width="15.6640625" style="33" customWidth="1"/>
    <col min="766" max="766" width="11.6640625" style="33" customWidth="1"/>
    <col min="767" max="767" width="9.6640625" style="33" customWidth="1"/>
    <col min="768" max="768" width="13.44140625" style="33" customWidth="1"/>
    <col min="769" max="769" width="14.6640625" style="33" customWidth="1"/>
    <col min="770" max="771" width="15.33203125" style="33" customWidth="1"/>
    <col min="772" max="772" width="20.6640625" style="33" customWidth="1"/>
    <col min="773" max="773" width="11.33203125" style="33" customWidth="1"/>
    <col min="774" max="774" width="10" style="33" customWidth="1"/>
    <col min="775" max="775" width="6.6640625" style="33" customWidth="1"/>
    <col min="776" max="776" width="13.33203125" style="33" customWidth="1"/>
    <col min="777" max="777" width="12.6640625" style="33" customWidth="1"/>
    <col min="778" max="778" width="9.33203125" style="33"/>
    <col min="779" max="779" width="11.44140625" style="33" customWidth="1"/>
    <col min="780" max="1016" width="9.33203125" style="33"/>
    <col min="1017" max="1017" width="3.33203125" style="33" customWidth="1"/>
    <col min="1018" max="1018" width="40.6640625" style="33" customWidth="1"/>
    <col min="1019" max="1019" width="41.6640625" style="33" customWidth="1"/>
    <col min="1020" max="1020" width="11" style="33" customWidth="1"/>
    <col min="1021" max="1021" width="15.6640625" style="33" customWidth="1"/>
    <col min="1022" max="1022" width="11.6640625" style="33" customWidth="1"/>
    <col min="1023" max="1023" width="9.6640625" style="33" customWidth="1"/>
    <col min="1024" max="1024" width="13.44140625" style="33" customWidth="1"/>
    <col min="1025" max="1025" width="14.6640625" style="33" customWidth="1"/>
    <col min="1026" max="1027" width="15.33203125" style="33" customWidth="1"/>
    <col min="1028" max="1028" width="20.6640625" style="33" customWidth="1"/>
    <col min="1029" max="1029" width="11.33203125" style="33" customWidth="1"/>
    <col min="1030" max="1030" width="10" style="33" customWidth="1"/>
    <col min="1031" max="1031" width="6.6640625" style="33" customWidth="1"/>
    <col min="1032" max="1032" width="13.33203125" style="33" customWidth="1"/>
    <col min="1033" max="1033" width="12.6640625" style="33" customWidth="1"/>
    <col min="1034" max="1034" width="9.33203125" style="33"/>
    <col min="1035" max="1035" width="11.44140625" style="33" customWidth="1"/>
    <col min="1036" max="1272" width="9.33203125" style="33"/>
    <col min="1273" max="1273" width="3.33203125" style="33" customWidth="1"/>
    <col min="1274" max="1274" width="40.6640625" style="33" customWidth="1"/>
    <col min="1275" max="1275" width="41.6640625" style="33" customWidth="1"/>
    <col min="1276" max="1276" width="11" style="33" customWidth="1"/>
    <col min="1277" max="1277" width="15.6640625" style="33" customWidth="1"/>
    <col min="1278" max="1278" width="11.6640625" style="33" customWidth="1"/>
    <col min="1279" max="1279" width="9.6640625" style="33" customWidth="1"/>
    <col min="1280" max="1280" width="13.44140625" style="33" customWidth="1"/>
    <col min="1281" max="1281" width="14.6640625" style="33" customWidth="1"/>
    <col min="1282" max="1283" width="15.33203125" style="33" customWidth="1"/>
    <col min="1284" max="1284" width="20.6640625" style="33" customWidth="1"/>
    <col min="1285" max="1285" width="11.33203125" style="33" customWidth="1"/>
    <col min="1286" max="1286" width="10" style="33" customWidth="1"/>
    <col min="1287" max="1287" width="6.6640625" style="33" customWidth="1"/>
    <col min="1288" max="1288" width="13.33203125" style="33" customWidth="1"/>
    <col min="1289" max="1289" width="12.6640625" style="33" customWidth="1"/>
    <col min="1290" max="1290" width="9.33203125" style="33"/>
    <col min="1291" max="1291" width="11.44140625" style="33" customWidth="1"/>
    <col min="1292" max="1528" width="9.33203125" style="33"/>
    <col min="1529" max="1529" width="3.33203125" style="33" customWidth="1"/>
    <col min="1530" max="1530" width="40.6640625" style="33" customWidth="1"/>
    <col min="1531" max="1531" width="41.6640625" style="33" customWidth="1"/>
    <col min="1532" max="1532" width="11" style="33" customWidth="1"/>
    <col min="1533" max="1533" width="15.6640625" style="33" customWidth="1"/>
    <col min="1534" max="1534" width="11.6640625" style="33" customWidth="1"/>
    <col min="1535" max="1535" width="9.6640625" style="33" customWidth="1"/>
    <col min="1536" max="1536" width="13.44140625" style="33" customWidth="1"/>
    <col min="1537" max="1537" width="14.6640625" style="33" customWidth="1"/>
    <col min="1538" max="1539" width="15.33203125" style="33" customWidth="1"/>
    <col min="1540" max="1540" width="20.6640625" style="33" customWidth="1"/>
    <col min="1541" max="1541" width="11.33203125" style="33" customWidth="1"/>
    <col min="1542" max="1542" width="10" style="33" customWidth="1"/>
    <col min="1543" max="1543" width="6.6640625" style="33" customWidth="1"/>
    <col min="1544" max="1544" width="13.33203125" style="33" customWidth="1"/>
    <col min="1545" max="1545" width="12.6640625" style="33" customWidth="1"/>
    <col min="1546" max="1546" width="9.33203125" style="33"/>
    <col min="1547" max="1547" width="11.44140625" style="33" customWidth="1"/>
    <col min="1548" max="1784" width="9.33203125" style="33"/>
    <col min="1785" max="1785" width="3.33203125" style="33" customWidth="1"/>
    <col min="1786" max="1786" width="40.6640625" style="33" customWidth="1"/>
    <col min="1787" max="1787" width="41.6640625" style="33" customWidth="1"/>
    <col min="1788" max="1788" width="11" style="33" customWidth="1"/>
    <col min="1789" max="1789" width="15.6640625" style="33" customWidth="1"/>
    <col min="1790" max="1790" width="11.6640625" style="33" customWidth="1"/>
    <col min="1791" max="1791" width="9.6640625" style="33" customWidth="1"/>
    <col min="1792" max="1792" width="13.44140625" style="33" customWidth="1"/>
    <col min="1793" max="1793" width="14.6640625" style="33" customWidth="1"/>
    <col min="1794" max="1795" width="15.33203125" style="33" customWidth="1"/>
    <col min="1796" max="1796" width="20.6640625" style="33" customWidth="1"/>
    <col min="1797" max="1797" width="11.33203125" style="33" customWidth="1"/>
    <col min="1798" max="1798" width="10" style="33" customWidth="1"/>
    <col min="1799" max="1799" width="6.6640625" style="33" customWidth="1"/>
    <col min="1800" max="1800" width="13.33203125" style="33" customWidth="1"/>
    <col min="1801" max="1801" width="12.6640625" style="33" customWidth="1"/>
    <col min="1802" max="1802" width="9.33203125" style="33"/>
    <col min="1803" max="1803" width="11.44140625" style="33" customWidth="1"/>
    <col min="1804" max="2040" width="9.33203125" style="33"/>
    <col min="2041" max="2041" width="3.33203125" style="33" customWidth="1"/>
    <col min="2042" max="2042" width="40.6640625" style="33" customWidth="1"/>
    <col min="2043" max="2043" width="41.6640625" style="33" customWidth="1"/>
    <col min="2044" max="2044" width="11" style="33" customWidth="1"/>
    <col min="2045" max="2045" width="15.6640625" style="33" customWidth="1"/>
    <col min="2046" max="2046" width="11.6640625" style="33" customWidth="1"/>
    <col min="2047" max="2047" width="9.6640625" style="33" customWidth="1"/>
    <col min="2048" max="2048" width="13.44140625" style="33" customWidth="1"/>
    <col min="2049" max="2049" width="14.6640625" style="33" customWidth="1"/>
    <col min="2050" max="2051" width="15.33203125" style="33" customWidth="1"/>
    <col min="2052" max="2052" width="20.6640625" style="33" customWidth="1"/>
    <col min="2053" max="2053" width="11.33203125" style="33" customWidth="1"/>
    <col min="2054" max="2054" width="10" style="33" customWidth="1"/>
    <col min="2055" max="2055" width="6.6640625" style="33" customWidth="1"/>
    <col min="2056" max="2056" width="13.33203125" style="33" customWidth="1"/>
    <col min="2057" max="2057" width="12.6640625" style="33" customWidth="1"/>
    <col min="2058" max="2058" width="9.33203125" style="33"/>
    <col min="2059" max="2059" width="11.44140625" style="33" customWidth="1"/>
    <col min="2060" max="2296" width="9.33203125" style="33"/>
    <col min="2297" max="2297" width="3.33203125" style="33" customWidth="1"/>
    <col min="2298" max="2298" width="40.6640625" style="33" customWidth="1"/>
    <col min="2299" max="2299" width="41.6640625" style="33" customWidth="1"/>
    <col min="2300" max="2300" width="11" style="33" customWidth="1"/>
    <col min="2301" max="2301" width="15.6640625" style="33" customWidth="1"/>
    <col min="2302" max="2302" width="11.6640625" style="33" customWidth="1"/>
    <col min="2303" max="2303" width="9.6640625" style="33" customWidth="1"/>
    <col min="2304" max="2304" width="13.44140625" style="33" customWidth="1"/>
    <col min="2305" max="2305" width="14.6640625" style="33" customWidth="1"/>
    <col min="2306" max="2307" width="15.33203125" style="33" customWidth="1"/>
    <col min="2308" max="2308" width="20.6640625" style="33" customWidth="1"/>
    <col min="2309" max="2309" width="11.33203125" style="33" customWidth="1"/>
    <col min="2310" max="2310" width="10" style="33" customWidth="1"/>
    <col min="2311" max="2311" width="6.6640625" style="33" customWidth="1"/>
    <col min="2312" max="2312" width="13.33203125" style="33" customWidth="1"/>
    <col min="2313" max="2313" width="12.6640625" style="33" customWidth="1"/>
    <col min="2314" max="2314" width="9.33203125" style="33"/>
    <col min="2315" max="2315" width="11.44140625" style="33" customWidth="1"/>
    <col min="2316" max="2552" width="9.33203125" style="33"/>
    <col min="2553" max="2553" width="3.33203125" style="33" customWidth="1"/>
    <col min="2554" max="2554" width="40.6640625" style="33" customWidth="1"/>
    <col min="2555" max="2555" width="41.6640625" style="33" customWidth="1"/>
    <col min="2556" max="2556" width="11" style="33" customWidth="1"/>
    <col min="2557" max="2557" width="15.6640625" style="33" customWidth="1"/>
    <col min="2558" max="2558" width="11.6640625" style="33" customWidth="1"/>
    <col min="2559" max="2559" width="9.6640625" style="33" customWidth="1"/>
    <col min="2560" max="2560" width="13.44140625" style="33" customWidth="1"/>
    <col min="2561" max="2561" width="14.6640625" style="33" customWidth="1"/>
    <col min="2562" max="2563" width="15.33203125" style="33" customWidth="1"/>
    <col min="2564" max="2564" width="20.6640625" style="33" customWidth="1"/>
    <col min="2565" max="2565" width="11.33203125" style="33" customWidth="1"/>
    <col min="2566" max="2566" width="10" style="33" customWidth="1"/>
    <col min="2567" max="2567" width="6.6640625" style="33" customWidth="1"/>
    <col min="2568" max="2568" width="13.33203125" style="33" customWidth="1"/>
    <col min="2569" max="2569" width="12.6640625" style="33" customWidth="1"/>
    <col min="2570" max="2570" width="9.33203125" style="33"/>
    <col min="2571" max="2571" width="11.44140625" style="33" customWidth="1"/>
    <col min="2572" max="2808" width="9.33203125" style="33"/>
    <col min="2809" max="2809" width="3.33203125" style="33" customWidth="1"/>
    <col min="2810" max="2810" width="40.6640625" style="33" customWidth="1"/>
    <col min="2811" max="2811" width="41.6640625" style="33" customWidth="1"/>
    <col min="2812" max="2812" width="11" style="33" customWidth="1"/>
    <col min="2813" max="2813" width="15.6640625" style="33" customWidth="1"/>
    <col min="2814" max="2814" width="11.6640625" style="33" customWidth="1"/>
    <col min="2815" max="2815" width="9.6640625" style="33" customWidth="1"/>
    <col min="2816" max="2816" width="13.44140625" style="33" customWidth="1"/>
    <col min="2817" max="2817" width="14.6640625" style="33" customWidth="1"/>
    <col min="2818" max="2819" width="15.33203125" style="33" customWidth="1"/>
    <col min="2820" max="2820" width="20.6640625" style="33" customWidth="1"/>
    <col min="2821" max="2821" width="11.33203125" style="33" customWidth="1"/>
    <col min="2822" max="2822" width="10" style="33" customWidth="1"/>
    <col min="2823" max="2823" width="6.6640625" style="33" customWidth="1"/>
    <col min="2824" max="2824" width="13.33203125" style="33" customWidth="1"/>
    <col min="2825" max="2825" width="12.6640625" style="33" customWidth="1"/>
    <col min="2826" max="2826" width="9.33203125" style="33"/>
    <col min="2827" max="2827" width="11.44140625" style="33" customWidth="1"/>
    <col min="2828" max="3064" width="9.33203125" style="33"/>
    <col min="3065" max="3065" width="3.33203125" style="33" customWidth="1"/>
    <col min="3066" max="3066" width="40.6640625" style="33" customWidth="1"/>
    <col min="3067" max="3067" width="41.6640625" style="33" customWidth="1"/>
    <col min="3068" max="3068" width="11" style="33" customWidth="1"/>
    <col min="3069" max="3069" width="15.6640625" style="33" customWidth="1"/>
    <col min="3070" max="3070" width="11.6640625" style="33" customWidth="1"/>
    <col min="3071" max="3071" width="9.6640625" style="33" customWidth="1"/>
    <col min="3072" max="3072" width="13.44140625" style="33" customWidth="1"/>
    <col min="3073" max="3073" width="14.6640625" style="33" customWidth="1"/>
    <col min="3074" max="3075" width="15.33203125" style="33" customWidth="1"/>
    <col min="3076" max="3076" width="20.6640625" style="33" customWidth="1"/>
    <col min="3077" max="3077" width="11.33203125" style="33" customWidth="1"/>
    <col min="3078" max="3078" width="10" style="33" customWidth="1"/>
    <col min="3079" max="3079" width="6.6640625" style="33" customWidth="1"/>
    <col min="3080" max="3080" width="13.33203125" style="33" customWidth="1"/>
    <col min="3081" max="3081" width="12.6640625" style="33" customWidth="1"/>
    <col min="3082" max="3082" width="9.33203125" style="33"/>
    <col min="3083" max="3083" width="11.44140625" style="33" customWidth="1"/>
    <col min="3084" max="3320" width="9.33203125" style="33"/>
    <col min="3321" max="3321" width="3.33203125" style="33" customWidth="1"/>
    <col min="3322" max="3322" width="40.6640625" style="33" customWidth="1"/>
    <col min="3323" max="3323" width="41.6640625" style="33" customWidth="1"/>
    <col min="3324" max="3324" width="11" style="33" customWidth="1"/>
    <col min="3325" max="3325" width="15.6640625" style="33" customWidth="1"/>
    <col min="3326" max="3326" width="11.6640625" style="33" customWidth="1"/>
    <col min="3327" max="3327" width="9.6640625" style="33" customWidth="1"/>
    <col min="3328" max="3328" width="13.44140625" style="33" customWidth="1"/>
    <col min="3329" max="3329" width="14.6640625" style="33" customWidth="1"/>
    <col min="3330" max="3331" width="15.33203125" style="33" customWidth="1"/>
    <col min="3332" max="3332" width="20.6640625" style="33" customWidth="1"/>
    <col min="3333" max="3333" width="11.33203125" style="33" customWidth="1"/>
    <col min="3334" max="3334" width="10" style="33" customWidth="1"/>
    <col min="3335" max="3335" width="6.6640625" style="33" customWidth="1"/>
    <col min="3336" max="3336" width="13.33203125" style="33" customWidth="1"/>
    <col min="3337" max="3337" width="12.6640625" style="33" customWidth="1"/>
    <col min="3338" max="3338" width="9.33203125" style="33"/>
    <col min="3339" max="3339" width="11.44140625" style="33" customWidth="1"/>
    <col min="3340" max="3576" width="9.33203125" style="33"/>
    <col min="3577" max="3577" width="3.33203125" style="33" customWidth="1"/>
    <col min="3578" max="3578" width="40.6640625" style="33" customWidth="1"/>
    <col min="3579" max="3579" width="41.6640625" style="33" customWidth="1"/>
    <col min="3580" max="3580" width="11" style="33" customWidth="1"/>
    <col min="3581" max="3581" width="15.6640625" style="33" customWidth="1"/>
    <col min="3582" max="3582" width="11.6640625" style="33" customWidth="1"/>
    <col min="3583" max="3583" width="9.6640625" style="33" customWidth="1"/>
    <col min="3584" max="3584" width="13.44140625" style="33" customWidth="1"/>
    <col min="3585" max="3585" width="14.6640625" style="33" customWidth="1"/>
    <col min="3586" max="3587" width="15.33203125" style="33" customWidth="1"/>
    <col min="3588" max="3588" width="20.6640625" style="33" customWidth="1"/>
    <col min="3589" max="3589" width="11.33203125" style="33" customWidth="1"/>
    <col min="3590" max="3590" width="10" style="33" customWidth="1"/>
    <col min="3591" max="3591" width="6.6640625" style="33" customWidth="1"/>
    <col min="3592" max="3592" width="13.33203125" style="33" customWidth="1"/>
    <col min="3593" max="3593" width="12.6640625" style="33" customWidth="1"/>
    <col min="3594" max="3594" width="9.33203125" style="33"/>
    <col min="3595" max="3595" width="11.44140625" style="33" customWidth="1"/>
    <col min="3596" max="3832" width="9.33203125" style="33"/>
    <col min="3833" max="3833" width="3.33203125" style="33" customWidth="1"/>
    <col min="3834" max="3834" width="40.6640625" style="33" customWidth="1"/>
    <col min="3835" max="3835" width="41.6640625" style="33" customWidth="1"/>
    <col min="3836" max="3836" width="11" style="33" customWidth="1"/>
    <col min="3837" max="3837" width="15.6640625" style="33" customWidth="1"/>
    <col min="3838" max="3838" width="11.6640625" style="33" customWidth="1"/>
    <col min="3839" max="3839" width="9.6640625" style="33" customWidth="1"/>
    <col min="3840" max="3840" width="13.44140625" style="33" customWidth="1"/>
    <col min="3841" max="3841" width="14.6640625" style="33" customWidth="1"/>
    <col min="3842" max="3843" width="15.33203125" style="33" customWidth="1"/>
    <col min="3844" max="3844" width="20.6640625" style="33" customWidth="1"/>
    <col min="3845" max="3845" width="11.33203125" style="33" customWidth="1"/>
    <col min="3846" max="3846" width="10" style="33" customWidth="1"/>
    <col min="3847" max="3847" width="6.6640625" style="33" customWidth="1"/>
    <col min="3848" max="3848" width="13.33203125" style="33" customWidth="1"/>
    <col min="3849" max="3849" width="12.6640625" style="33" customWidth="1"/>
    <col min="3850" max="3850" width="9.33203125" style="33"/>
    <col min="3851" max="3851" width="11.44140625" style="33" customWidth="1"/>
    <col min="3852" max="4088" width="9.33203125" style="33"/>
    <col min="4089" max="4089" width="3.33203125" style="33" customWidth="1"/>
    <col min="4090" max="4090" width="40.6640625" style="33" customWidth="1"/>
    <col min="4091" max="4091" width="41.6640625" style="33" customWidth="1"/>
    <col min="4092" max="4092" width="11" style="33" customWidth="1"/>
    <col min="4093" max="4093" width="15.6640625" style="33" customWidth="1"/>
    <col min="4094" max="4094" width="11.6640625" style="33" customWidth="1"/>
    <col min="4095" max="4095" width="9.6640625" style="33" customWidth="1"/>
    <col min="4096" max="4096" width="13.44140625" style="33" customWidth="1"/>
    <col min="4097" max="4097" width="14.6640625" style="33" customWidth="1"/>
    <col min="4098" max="4099" width="15.33203125" style="33" customWidth="1"/>
    <col min="4100" max="4100" width="20.6640625" style="33" customWidth="1"/>
    <col min="4101" max="4101" width="11.33203125" style="33" customWidth="1"/>
    <col min="4102" max="4102" width="10" style="33" customWidth="1"/>
    <col min="4103" max="4103" width="6.6640625" style="33" customWidth="1"/>
    <col min="4104" max="4104" width="13.33203125" style="33" customWidth="1"/>
    <col min="4105" max="4105" width="12.6640625" style="33" customWidth="1"/>
    <col min="4106" max="4106" width="9.33203125" style="33"/>
    <col min="4107" max="4107" width="11.44140625" style="33" customWidth="1"/>
    <col min="4108" max="4344" width="9.33203125" style="33"/>
    <col min="4345" max="4345" width="3.33203125" style="33" customWidth="1"/>
    <col min="4346" max="4346" width="40.6640625" style="33" customWidth="1"/>
    <col min="4347" max="4347" width="41.6640625" style="33" customWidth="1"/>
    <col min="4348" max="4348" width="11" style="33" customWidth="1"/>
    <col min="4349" max="4349" width="15.6640625" style="33" customWidth="1"/>
    <col min="4350" max="4350" width="11.6640625" style="33" customWidth="1"/>
    <col min="4351" max="4351" width="9.6640625" style="33" customWidth="1"/>
    <col min="4352" max="4352" width="13.44140625" style="33" customWidth="1"/>
    <col min="4353" max="4353" width="14.6640625" style="33" customWidth="1"/>
    <col min="4354" max="4355" width="15.33203125" style="33" customWidth="1"/>
    <col min="4356" max="4356" width="20.6640625" style="33" customWidth="1"/>
    <col min="4357" max="4357" width="11.33203125" style="33" customWidth="1"/>
    <col min="4358" max="4358" width="10" style="33" customWidth="1"/>
    <col min="4359" max="4359" width="6.6640625" style="33" customWidth="1"/>
    <col min="4360" max="4360" width="13.33203125" style="33" customWidth="1"/>
    <col min="4361" max="4361" width="12.6640625" style="33" customWidth="1"/>
    <col min="4362" max="4362" width="9.33203125" style="33"/>
    <col min="4363" max="4363" width="11.44140625" style="33" customWidth="1"/>
    <col min="4364" max="4600" width="9.33203125" style="33"/>
    <col min="4601" max="4601" width="3.33203125" style="33" customWidth="1"/>
    <col min="4602" max="4602" width="40.6640625" style="33" customWidth="1"/>
    <col min="4603" max="4603" width="41.6640625" style="33" customWidth="1"/>
    <col min="4604" max="4604" width="11" style="33" customWidth="1"/>
    <col min="4605" max="4605" width="15.6640625" style="33" customWidth="1"/>
    <col min="4606" max="4606" width="11.6640625" style="33" customWidth="1"/>
    <col min="4607" max="4607" width="9.6640625" style="33" customWidth="1"/>
    <col min="4608" max="4608" width="13.44140625" style="33" customWidth="1"/>
    <col min="4609" max="4609" width="14.6640625" style="33" customWidth="1"/>
    <col min="4610" max="4611" width="15.33203125" style="33" customWidth="1"/>
    <col min="4612" max="4612" width="20.6640625" style="33" customWidth="1"/>
    <col min="4613" max="4613" width="11.33203125" style="33" customWidth="1"/>
    <col min="4614" max="4614" width="10" style="33" customWidth="1"/>
    <col min="4615" max="4615" width="6.6640625" style="33" customWidth="1"/>
    <col min="4616" max="4616" width="13.33203125" style="33" customWidth="1"/>
    <col min="4617" max="4617" width="12.6640625" style="33" customWidth="1"/>
    <col min="4618" max="4618" width="9.33203125" style="33"/>
    <col min="4619" max="4619" width="11.44140625" style="33" customWidth="1"/>
    <col min="4620" max="4856" width="9.33203125" style="33"/>
    <col min="4857" max="4857" width="3.33203125" style="33" customWidth="1"/>
    <col min="4858" max="4858" width="40.6640625" style="33" customWidth="1"/>
    <col min="4859" max="4859" width="41.6640625" style="33" customWidth="1"/>
    <col min="4860" max="4860" width="11" style="33" customWidth="1"/>
    <col min="4861" max="4861" width="15.6640625" style="33" customWidth="1"/>
    <col min="4862" max="4862" width="11.6640625" style="33" customWidth="1"/>
    <col min="4863" max="4863" width="9.6640625" style="33" customWidth="1"/>
    <col min="4864" max="4864" width="13.44140625" style="33" customWidth="1"/>
    <col min="4865" max="4865" width="14.6640625" style="33" customWidth="1"/>
    <col min="4866" max="4867" width="15.33203125" style="33" customWidth="1"/>
    <col min="4868" max="4868" width="20.6640625" style="33" customWidth="1"/>
    <col min="4869" max="4869" width="11.33203125" style="33" customWidth="1"/>
    <col min="4870" max="4870" width="10" style="33" customWidth="1"/>
    <col min="4871" max="4871" width="6.6640625" style="33" customWidth="1"/>
    <col min="4872" max="4872" width="13.33203125" style="33" customWidth="1"/>
    <col min="4873" max="4873" width="12.6640625" style="33" customWidth="1"/>
    <col min="4874" max="4874" width="9.33203125" style="33"/>
    <col min="4875" max="4875" width="11.44140625" style="33" customWidth="1"/>
    <col min="4876" max="5112" width="9.33203125" style="33"/>
    <col min="5113" max="5113" width="3.33203125" style="33" customWidth="1"/>
    <col min="5114" max="5114" width="40.6640625" style="33" customWidth="1"/>
    <col min="5115" max="5115" width="41.6640625" style="33" customWidth="1"/>
    <col min="5116" max="5116" width="11" style="33" customWidth="1"/>
    <col min="5117" max="5117" width="15.6640625" style="33" customWidth="1"/>
    <col min="5118" max="5118" width="11.6640625" style="33" customWidth="1"/>
    <col min="5119" max="5119" width="9.6640625" style="33" customWidth="1"/>
    <col min="5120" max="5120" width="13.44140625" style="33" customWidth="1"/>
    <col min="5121" max="5121" width="14.6640625" style="33" customWidth="1"/>
    <col min="5122" max="5123" width="15.33203125" style="33" customWidth="1"/>
    <col min="5124" max="5124" width="20.6640625" style="33" customWidth="1"/>
    <col min="5125" max="5125" width="11.33203125" style="33" customWidth="1"/>
    <col min="5126" max="5126" width="10" style="33" customWidth="1"/>
    <col min="5127" max="5127" width="6.6640625" style="33" customWidth="1"/>
    <col min="5128" max="5128" width="13.33203125" style="33" customWidth="1"/>
    <col min="5129" max="5129" width="12.6640625" style="33" customWidth="1"/>
    <col min="5130" max="5130" width="9.33203125" style="33"/>
    <col min="5131" max="5131" width="11.44140625" style="33" customWidth="1"/>
    <col min="5132" max="5368" width="9.33203125" style="33"/>
    <col min="5369" max="5369" width="3.33203125" style="33" customWidth="1"/>
    <col min="5370" max="5370" width="40.6640625" style="33" customWidth="1"/>
    <col min="5371" max="5371" width="41.6640625" style="33" customWidth="1"/>
    <col min="5372" max="5372" width="11" style="33" customWidth="1"/>
    <col min="5373" max="5373" width="15.6640625" style="33" customWidth="1"/>
    <col min="5374" max="5374" width="11.6640625" style="33" customWidth="1"/>
    <col min="5375" max="5375" width="9.6640625" style="33" customWidth="1"/>
    <col min="5376" max="5376" width="13.44140625" style="33" customWidth="1"/>
    <col min="5377" max="5377" width="14.6640625" style="33" customWidth="1"/>
    <col min="5378" max="5379" width="15.33203125" style="33" customWidth="1"/>
    <col min="5380" max="5380" width="20.6640625" style="33" customWidth="1"/>
    <col min="5381" max="5381" width="11.33203125" style="33" customWidth="1"/>
    <col min="5382" max="5382" width="10" style="33" customWidth="1"/>
    <col min="5383" max="5383" width="6.6640625" style="33" customWidth="1"/>
    <col min="5384" max="5384" width="13.33203125" style="33" customWidth="1"/>
    <col min="5385" max="5385" width="12.6640625" style="33" customWidth="1"/>
    <col min="5386" max="5386" width="9.33203125" style="33"/>
    <col min="5387" max="5387" width="11.44140625" style="33" customWidth="1"/>
    <col min="5388" max="5624" width="9.33203125" style="33"/>
    <col min="5625" max="5625" width="3.33203125" style="33" customWidth="1"/>
    <col min="5626" max="5626" width="40.6640625" style="33" customWidth="1"/>
    <col min="5627" max="5627" width="41.6640625" style="33" customWidth="1"/>
    <col min="5628" max="5628" width="11" style="33" customWidth="1"/>
    <col min="5629" max="5629" width="15.6640625" style="33" customWidth="1"/>
    <col min="5630" max="5630" width="11.6640625" style="33" customWidth="1"/>
    <col min="5631" max="5631" width="9.6640625" style="33" customWidth="1"/>
    <col min="5632" max="5632" width="13.44140625" style="33" customWidth="1"/>
    <col min="5633" max="5633" width="14.6640625" style="33" customWidth="1"/>
    <col min="5634" max="5635" width="15.33203125" style="33" customWidth="1"/>
    <col min="5636" max="5636" width="20.6640625" style="33" customWidth="1"/>
    <col min="5637" max="5637" width="11.33203125" style="33" customWidth="1"/>
    <col min="5638" max="5638" width="10" style="33" customWidth="1"/>
    <col min="5639" max="5639" width="6.6640625" style="33" customWidth="1"/>
    <col min="5640" max="5640" width="13.33203125" style="33" customWidth="1"/>
    <col min="5641" max="5641" width="12.6640625" style="33" customWidth="1"/>
    <col min="5642" max="5642" width="9.33203125" style="33"/>
    <col min="5643" max="5643" width="11.44140625" style="33" customWidth="1"/>
    <col min="5644" max="5880" width="9.33203125" style="33"/>
    <col min="5881" max="5881" width="3.33203125" style="33" customWidth="1"/>
    <col min="5882" max="5882" width="40.6640625" style="33" customWidth="1"/>
    <col min="5883" max="5883" width="41.6640625" style="33" customWidth="1"/>
    <col min="5884" max="5884" width="11" style="33" customWidth="1"/>
    <col min="5885" max="5885" width="15.6640625" style="33" customWidth="1"/>
    <col min="5886" max="5886" width="11.6640625" style="33" customWidth="1"/>
    <col min="5887" max="5887" width="9.6640625" style="33" customWidth="1"/>
    <col min="5888" max="5888" width="13.44140625" style="33" customWidth="1"/>
    <col min="5889" max="5889" width="14.6640625" style="33" customWidth="1"/>
    <col min="5890" max="5891" width="15.33203125" style="33" customWidth="1"/>
    <col min="5892" max="5892" width="20.6640625" style="33" customWidth="1"/>
    <col min="5893" max="5893" width="11.33203125" style="33" customWidth="1"/>
    <col min="5894" max="5894" width="10" style="33" customWidth="1"/>
    <col min="5895" max="5895" width="6.6640625" style="33" customWidth="1"/>
    <col min="5896" max="5896" width="13.33203125" style="33" customWidth="1"/>
    <col min="5897" max="5897" width="12.6640625" style="33" customWidth="1"/>
    <col min="5898" max="5898" width="9.33203125" style="33"/>
    <col min="5899" max="5899" width="11.44140625" style="33" customWidth="1"/>
    <col min="5900" max="6136" width="9.33203125" style="33"/>
    <col min="6137" max="6137" width="3.33203125" style="33" customWidth="1"/>
    <col min="6138" max="6138" width="40.6640625" style="33" customWidth="1"/>
    <col min="6139" max="6139" width="41.6640625" style="33" customWidth="1"/>
    <col min="6140" max="6140" width="11" style="33" customWidth="1"/>
    <col min="6141" max="6141" width="15.6640625" style="33" customWidth="1"/>
    <col min="6142" max="6142" width="11.6640625" style="33" customWidth="1"/>
    <col min="6143" max="6143" width="9.6640625" style="33" customWidth="1"/>
    <col min="6144" max="6144" width="13.44140625" style="33" customWidth="1"/>
    <col min="6145" max="6145" width="14.6640625" style="33" customWidth="1"/>
    <col min="6146" max="6147" width="15.33203125" style="33" customWidth="1"/>
    <col min="6148" max="6148" width="20.6640625" style="33" customWidth="1"/>
    <col min="6149" max="6149" width="11.33203125" style="33" customWidth="1"/>
    <col min="6150" max="6150" width="10" style="33" customWidth="1"/>
    <col min="6151" max="6151" width="6.6640625" style="33" customWidth="1"/>
    <col min="6152" max="6152" width="13.33203125" style="33" customWidth="1"/>
    <col min="6153" max="6153" width="12.6640625" style="33" customWidth="1"/>
    <col min="6154" max="6154" width="9.33203125" style="33"/>
    <col min="6155" max="6155" width="11.44140625" style="33" customWidth="1"/>
    <col min="6156" max="6392" width="9.33203125" style="33"/>
    <col min="6393" max="6393" width="3.33203125" style="33" customWidth="1"/>
    <col min="6394" max="6394" width="40.6640625" style="33" customWidth="1"/>
    <col min="6395" max="6395" width="41.6640625" style="33" customWidth="1"/>
    <col min="6396" max="6396" width="11" style="33" customWidth="1"/>
    <col min="6397" max="6397" width="15.6640625" style="33" customWidth="1"/>
    <col min="6398" max="6398" width="11.6640625" style="33" customWidth="1"/>
    <col min="6399" max="6399" width="9.6640625" style="33" customWidth="1"/>
    <col min="6400" max="6400" width="13.44140625" style="33" customWidth="1"/>
    <col min="6401" max="6401" width="14.6640625" style="33" customWidth="1"/>
    <col min="6402" max="6403" width="15.33203125" style="33" customWidth="1"/>
    <col min="6404" max="6404" width="20.6640625" style="33" customWidth="1"/>
    <col min="6405" max="6405" width="11.33203125" style="33" customWidth="1"/>
    <col min="6406" max="6406" width="10" style="33" customWidth="1"/>
    <col min="6407" max="6407" width="6.6640625" style="33" customWidth="1"/>
    <col min="6408" max="6408" width="13.33203125" style="33" customWidth="1"/>
    <col min="6409" max="6409" width="12.6640625" style="33" customWidth="1"/>
    <col min="6410" max="6410" width="9.33203125" style="33"/>
    <col min="6411" max="6411" width="11.44140625" style="33" customWidth="1"/>
    <col min="6412" max="6648" width="9.33203125" style="33"/>
    <col min="6649" max="6649" width="3.33203125" style="33" customWidth="1"/>
    <col min="6650" max="6650" width="40.6640625" style="33" customWidth="1"/>
    <col min="6651" max="6651" width="41.6640625" style="33" customWidth="1"/>
    <col min="6652" max="6652" width="11" style="33" customWidth="1"/>
    <col min="6653" max="6653" width="15.6640625" style="33" customWidth="1"/>
    <col min="6654" max="6654" width="11.6640625" style="33" customWidth="1"/>
    <col min="6655" max="6655" width="9.6640625" style="33" customWidth="1"/>
    <col min="6656" max="6656" width="13.44140625" style="33" customWidth="1"/>
    <col min="6657" max="6657" width="14.6640625" style="33" customWidth="1"/>
    <col min="6658" max="6659" width="15.33203125" style="33" customWidth="1"/>
    <col min="6660" max="6660" width="20.6640625" style="33" customWidth="1"/>
    <col min="6661" max="6661" width="11.33203125" style="33" customWidth="1"/>
    <col min="6662" max="6662" width="10" style="33" customWidth="1"/>
    <col min="6663" max="6663" width="6.6640625" style="33" customWidth="1"/>
    <col min="6664" max="6664" width="13.33203125" style="33" customWidth="1"/>
    <col min="6665" max="6665" width="12.6640625" style="33" customWidth="1"/>
    <col min="6666" max="6666" width="9.33203125" style="33"/>
    <col min="6667" max="6667" width="11.44140625" style="33" customWidth="1"/>
    <col min="6668" max="6904" width="9.33203125" style="33"/>
    <col min="6905" max="6905" width="3.33203125" style="33" customWidth="1"/>
    <col min="6906" max="6906" width="40.6640625" style="33" customWidth="1"/>
    <col min="6907" max="6907" width="41.6640625" style="33" customWidth="1"/>
    <col min="6908" max="6908" width="11" style="33" customWidth="1"/>
    <col min="6909" max="6909" width="15.6640625" style="33" customWidth="1"/>
    <col min="6910" max="6910" width="11.6640625" style="33" customWidth="1"/>
    <col min="6911" max="6911" width="9.6640625" style="33" customWidth="1"/>
    <col min="6912" max="6912" width="13.44140625" style="33" customWidth="1"/>
    <col min="6913" max="6913" width="14.6640625" style="33" customWidth="1"/>
    <col min="6914" max="6915" width="15.33203125" style="33" customWidth="1"/>
    <col min="6916" max="6916" width="20.6640625" style="33" customWidth="1"/>
    <col min="6917" max="6917" width="11.33203125" style="33" customWidth="1"/>
    <col min="6918" max="6918" width="10" style="33" customWidth="1"/>
    <col min="6919" max="6919" width="6.6640625" style="33" customWidth="1"/>
    <col min="6920" max="6920" width="13.33203125" style="33" customWidth="1"/>
    <col min="6921" max="6921" width="12.6640625" style="33" customWidth="1"/>
    <col min="6922" max="6922" width="9.33203125" style="33"/>
    <col min="6923" max="6923" width="11.44140625" style="33" customWidth="1"/>
    <col min="6924" max="7160" width="9.33203125" style="33"/>
    <col min="7161" max="7161" width="3.33203125" style="33" customWidth="1"/>
    <col min="7162" max="7162" width="40.6640625" style="33" customWidth="1"/>
    <col min="7163" max="7163" width="41.6640625" style="33" customWidth="1"/>
    <col min="7164" max="7164" width="11" style="33" customWidth="1"/>
    <col min="7165" max="7165" width="15.6640625" style="33" customWidth="1"/>
    <col min="7166" max="7166" width="11.6640625" style="33" customWidth="1"/>
    <col min="7167" max="7167" width="9.6640625" style="33" customWidth="1"/>
    <col min="7168" max="7168" width="13.44140625" style="33" customWidth="1"/>
    <col min="7169" max="7169" width="14.6640625" style="33" customWidth="1"/>
    <col min="7170" max="7171" width="15.33203125" style="33" customWidth="1"/>
    <col min="7172" max="7172" width="20.6640625" style="33" customWidth="1"/>
    <col min="7173" max="7173" width="11.33203125" style="33" customWidth="1"/>
    <col min="7174" max="7174" width="10" style="33" customWidth="1"/>
    <col min="7175" max="7175" width="6.6640625" style="33" customWidth="1"/>
    <col min="7176" max="7176" width="13.33203125" style="33" customWidth="1"/>
    <col min="7177" max="7177" width="12.6640625" style="33" customWidth="1"/>
    <col min="7178" max="7178" width="9.33203125" style="33"/>
    <col min="7179" max="7179" width="11.44140625" style="33" customWidth="1"/>
    <col min="7180" max="7416" width="9.33203125" style="33"/>
    <col min="7417" max="7417" width="3.33203125" style="33" customWidth="1"/>
    <col min="7418" max="7418" width="40.6640625" style="33" customWidth="1"/>
    <col min="7419" max="7419" width="41.6640625" style="33" customWidth="1"/>
    <col min="7420" max="7420" width="11" style="33" customWidth="1"/>
    <col min="7421" max="7421" width="15.6640625" style="33" customWidth="1"/>
    <col min="7422" max="7422" width="11.6640625" style="33" customWidth="1"/>
    <col min="7423" max="7423" width="9.6640625" style="33" customWidth="1"/>
    <col min="7424" max="7424" width="13.44140625" style="33" customWidth="1"/>
    <col min="7425" max="7425" width="14.6640625" style="33" customWidth="1"/>
    <col min="7426" max="7427" width="15.33203125" style="33" customWidth="1"/>
    <col min="7428" max="7428" width="20.6640625" style="33" customWidth="1"/>
    <col min="7429" max="7429" width="11.33203125" style="33" customWidth="1"/>
    <col min="7430" max="7430" width="10" style="33" customWidth="1"/>
    <col min="7431" max="7431" width="6.6640625" style="33" customWidth="1"/>
    <col min="7432" max="7432" width="13.33203125" style="33" customWidth="1"/>
    <col min="7433" max="7433" width="12.6640625" style="33" customWidth="1"/>
    <col min="7434" max="7434" width="9.33203125" style="33"/>
    <col min="7435" max="7435" width="11.44140625" style="33" customWidth="1"/>
    <col min="7436" max="7672" width="9.33203125" style="33"/>
    <col min="7673" max="7673" width="3.33203125" style="33" customWidth="1"/>
    <col min="7674" max="7674" width="40.6640625" style="33" customWidth="1"/>
    <col min="7675" max="7675" width="41.6640625" style="33" customWidth="1"/>
    <col min="7676" max="7676" width="11" style="33" customWidth="1"/>
    <col min="7677" max="7677" width="15.6640625" style="33" customWidth="1"/>
    <col min="7678" max="7678" width="11.6640625" style="33" customWidth="1"/>
    <col min="7679" max="7679" width="9.6640625" style="33" customWidth="1"/>
    <col min="7680" max="7680" width="13.44140625" style="33" customWidth="1"/>
    <col min="7681" max="7681" width="14.6640625" style="33" customWidth="1"/>
    <col min="7682" max="7683" width="15.33203125" style="33" customWidth="1"/>
    <col min="7684" max="7684" width="20.6640625" style="33" customWidth="1"/>
    <col min="7685" max="7685" width="11.33203125" style="33" customWidth="1"/>
    <col min="7686" max="7686" width="10" style="33" customWidth="1"/>
    <col min="7687" max="7687" width="6.6640625" style="33" customWidth="1"/>
    <col min="7688" max="7688" width="13.33203125" style="33" customWidth="1"/>
    <col min="7689" max="7689" width="12.6640625" style="33" customWidth="1"/>
    <col min="7690" max="7690" width="9.33203125" style="33"/>
    <col min="7691" max="7691" width="11.44140625" style="33" customWidth="1"/>
    <col min="7692" max="7928" width="9.33203125" style="33"/>
    <col min="7929" max="7929" width="3.33203125" style="33" customWidth="1"/>
    <col min="7930" max="7930" width="40.6640625" style="33" customWidth="1"/>
    <col min="7931" max="7931" width="41.6640625" style="33" customWidth="1"/>
    <col min="7932" max="7932" width="11" style="33" customWidth="1"/>
    <col min="7933" max="7933" width="15.6640625" style="33" customWidth="1"/>
    <col min="7934" max="7934" width="11.6640625" style="33" customWidth="1"/>
    <col min="7935" max="7935" width="9.6640625" style="33" customWidth="1"/>
    <col min="7936" max="7936" width="13.44140625" style="33" customWidth="1"/>
    <col min="7937" max="7937" width="14.6640625" style="33" customWidth="1"/>
    <col min="7938" max="7939" width="15.33203125" style="33" customWidth="1"/>
    <col min="7940" max="7940" width="20.6640625" style="33" customWidth="1"/>
    <col min="7941" max="7941" width="11.33203125" style="33" customWidth="1"/>
    <col min="7942" max="7942" width="10" style="33" customWidth="1"/>
    <col min="7943" max="7943" width="6.6640625" style="33" customWidth="1"/>
    <col min="7944" max="7944" width="13.33203125" style="33" customWidth="1"/>
    <col min="7945" max="7945" width="12.6640625" style="33" customWidth="1"/>
    <col min="7946" max="7946" width="9.33203125" style="33"/>
    <col min="7947" max="7947" width="11.44140625" style="33" customWidth="1"/>
    <col min="7948" max="8184" width="9.33203125" style="33"/>
    <col min="8185" max="8185" width="3.33203125" style="33" customWidth="1"/>
    <col min="8186" max="8186" width="40.6640625" style="33" customWidth="1"/>
    <col min="8187" max="8187" width="41.6640625" style="33" customWidth="1"/>
    <col min="8188" max="8188" width="11" style="33" customWidth="1"/>
    <col min="8189" max="8189" width="15.6640625" style="33" customWidth="1"/>
    <col min="8190" max="8190" width="11.6640625" style="33" customWidth="1"/>
    <col min="8191" max="8191" width="9.6640625" style="33" customWidth="1"/>
    <col min="8192" max="8192" width="13.44140625" style="33" customWidth="1"/>
    <col min="8193" max="8193" width="14.6640625" style="33" customWidth="1"/>
    <col min="8194" max="8195" width="15.33203125" style="33" customWidth="1"/>
    <col min="8196" max="8196" width="20.6640625" style="33" customWidth="1"/>
    <col min="8197" max="8197" width="11.33203125" style="33" customWidth="1"/>
    <col min="8198" max="8198" width="10" style="33" customWidth="1"/>
    <col min="8199" max="8199" width="6.6640625" style="33" customWidth="1"/>
    <col min="8200" max="8200" width="13.33203125" style="33" customWidth="1"/>
    <col min="8201" max="8201" width="12.6640625" style="33" customWidth="1"/>
    <col min="8202" max="8202" width="9.33203125" style="33"/>
    <col min="8203" max="8203" width="11.44140625" style="33" customWidth="1"/>
    <col min="8204" max="8440" width="9.33203125" style="33"/>
    <col min="8441" max="8441" width="3.33203125" style="33" customWidth="1"/>
    <col min="8442" max="8442" width="40.6640625" style="33" customWidth="1"/>
    <col min="8443" max="8443" width="41.6640625" style="33" customWidth="1"/>
    <col min="8444" max="8444" width="11" style="33" customWidth="1"/>
    <col min="8445" max="8445" width="15.6640625" style="33" customWidth="1"/>
    <col min="8446" max="8446" width="11.6640625" style="33" customWidth="1"/>
    <col min="8447" max="8447" width="9.6640625" style="33" customWidth="1"/>
    <col min="8448" max="8448" width="13.44140625" style="33" customWidth="1"/>
    <col min="8449" max="8449" width="14.6640625" style="33" customWidth="1"/>
    <col min="8450" max="8451" width="15.33203125" style="33" customWidth="1"/>
    <col min="8452" max="8452" width="20.6640625" style="33" customWidth="1"/>
    <col min="8453" max="8453" width="11.33203125" style="33" customWidth="1"/>
    <col min="8454" max="8454" width="10" style="33" customWidth="1"/>
    <col min="8455" max="8455" width="6.6640625" style="33" customWidth="1"/>
    <col min="8456" max="8456" width="13.33203125" style="33" customWidth="1"/>
    <col min="8457" max="8457" width="12.6640625" style="33" customWidth="1"/>
    <col min="8458" max="8458" width="9.33203125" style="33"/>
    <col min="8459" max="8459" width="11.44140625" style="33" customWidth="1"/>
    <col min="8460" max="8696" width="9.33203125" style="33"/>
    <col min="8697" max="8697" width="3.33203125" style="33" customWidth="1"/>
    <col min="8698" max="8698" width="40.6640625" style="33" customWidth="1"/>
    <col min="8699" max="8699" width="41.6640625" style="33" customWidth="1"/>
    <col min="8700" max="8700" width="11" style="33" customWidth="1"/>
    <col min="8701" max="8701" width="15.6640625" style="33" customWidth="1"/>
    <col min="8702" max="8702" width="11.6640625" style="33" customWidth="1"/>
    <col min="8703" max="8703" width="9.6640625" style="33" customWidth="1"/>
    <col min="8704" max="8704" width="13.44140625" style="33" customWidth="1"/>
    <col min="8705" max="8705" width="14.6640625" style="33" customWidth="1"/>
    <col min="8706" max="8707" width="15.33203125" style="33" customWidth="1"/>
    <col min="8708" max="8708" width="20.6640625" style="33" customWidth="1"/>
    <col min="8709" max="8709" width="11.33203125" style="33" customWidth="1"/>
    <col min="8710" max="8710" width="10" style="33" customWidth="1"/>
    <col min="8711" max="8711" width="6.6640625" style="33" customWidth="1"/>
    <col min="8712" max="8712" width="13.33203125" style="33" customWidth="1"/>
    <col min="8713" max="8713" width="12.6640625" style="33" customWidth="1"/>
    <col min="8714" max="8714" width="9.33203125" style="33"/>
    <col min="8715" max="8715" width="11.44140625" style="33" customWidth="1"/>
    <col min="8716" max="8952" width="9.33203125" style="33"/>
    <col min="8953" max="8953" width="3.33203125" style="33" customWidth="1"/>
    <col min="8954" max="8954" width="40.6640625" style="33" customWidth="1"/>
    <col min="8955" max="8955" width="41.6640625" style="33" customWidth="1"/>
    <col min="8956" max="8956" width="11" style="33" customWidth="1"/>
    <col min="8957" max="8957" width="15.6640625" style="33" customWidth="1"/>
    <col min="8958" max="8958" width="11.6640625" style="33" customWidth="1"/>
    <col min="8959" max="8959" width="9.6640625" style="33" customWidth="1"/>
    <col min="8960" max="8960" width="13.44140625" style="33" customWidth="1"/>
    <col min="8961" max="8961" width="14.6640625" style="33" customWidth="1"/>
    <col min="8962" max="8963" width="15.33203125" style="33" customWidth="1"/>
    <col min="8964" max="8964" width="20.6640625" style="33" customWidth="1"/>
    <col min="8965" max="8965" width="11.33203125" style="33" customWidth="1"/>
    <col min="8966" max="8966" width="10" style="33" customWidth="1"/>
    <col min="8967" max="8967" width="6.6640625" style="33" customWidth="1"/>
    <col min="8968" max="8968" width="13.33203125" style="33" customWidth="1"/>
    <col min="8969" max="8969" width="12.6640625" style="33" customWidth="1"/>
    <col min="8970" max="8970" width="9.33203125" style="33"/>
    <col min="8971" max="8971" width="11.44140625" style="33" customWidth="1"/>
    <col min="8972" max="9208" width="9.33203125" style="33"/>
    <col min="9209" max="9209" width="3.33203125" style="33" customWidth="1"/>
    <col min="9210" max="9210" width="40.6640625" style="33" customWidth="1"/>
    <col min="9211" max="9211" width="41.6640625" style="33" customWidth="1"/>
    <col min="9212" max="9212" width="11" style="33" customWidth="1"/>
    <col min="9213" max="9213" width="15.6640625" style="33" customWidth="1"/>
    <col min="9214" max="9214" width="11.6640625" style="33" customWidth="1"/>
    <col min="9215" max="9215" width="9.6640625" style="33" customWidth="1"/>
    <col min="9216" max="9216" width="13.44140625" style="33" customWidth="1"/>
    <col min="9217" max="9217" width="14.6640625" style="33" customWidth="1"/>
    <col min="9218" max="9219" width="15.33203125" style="33" customWidth="1"/>
    <col min="9220" max="9220" width="20.6640625" style="33" customWidth="1"/>
    <col min="9221" max="9221" width="11.33203125" style="33" customWidth="1"/>
    <col min="9222" max="9222" width="10" style="33" customWidth="1"/>
    <col min="9223" max="9223" width="6.6640625" style="33" customWidth="1"/>
    <col min="9224" max="9224" width="13.33203125" style="33" customWidth="1"/>
    <col min="9225" max="9225" width="12.6640625" style="33" customWidth="1"/>
    <col min="9226" max="9226" width="9.33203125" style="33"/>
    <col min="9227" max="9227" width="11.44140625" style="33" customWidth="1"/>
    <col min="9228" max="9464" width="9.33203125" style="33"/>
    <col min="9465" max="9465" width="3.33203125" style="33" customWidth="1"/>
    <col min="9466" max="9466" width="40.6640625" style="33" customWidth="1"/>
    <col min="9467" max="9467" width="41.6640625" style="33" customWidth="1"/>
    <col min="9468" max="9468" width="11" style="33" customWidth="1"/>
    <col min="9469" max="9469" width="15.6640625" style="33" customWidth="1"/>
    <col min="9470" max="9470" width="11.6640625" style="33" customWidth="1"/>
    <col min="9471" max="9471" width="9.6640625" style="33" customWidth="1"/>
    <col min="9472" max="9472" width="13.44140625" style="33" customWidth="1"/>
    <col min="9473" max="9473" width="14.6640625" style="33" customWidth="1"/>
    <col min="9474" max="9475" width="15.33203125" style="33" customWidth="1"/>
    <col min="9476" max="9476" width="20.6640625" style="33" customWidth="1"/>
    <col min="9477" max="9477" width="11.33203125" style="33" customWidth="1"/>
    <col min="9478" max="9478" width="10" style="33" customWidth="1"/>
    <col min="9479" max="9479" width="6.6640625" style="33" customWidth="1"/>
    <col min="9480" max="9480" width="13.33203125" style="33" customWidth="1"/>
    <col min="9481" max="9481" width="12.6640625" style="33" customWidth="1"/>
    <col min="9482" max="9482" width="9.33203125" style="33"/>
    <col min="9483" max="9483" width="11.44140625" style="33" customWidth="1"/>
    <col min="9484" max="9720" width="9.33203125" style="33"/>
    <col min="9721" max="9721" width="3.33203125" style="33" customWidth="1"/>
    <col min="9722" max="9722" width="40.6640625" style="33" customWidth="1"/>
    <col min="9723" max="9723" width="41.6640625" style="33" customWidth="1"/>
    <col min="9724" max="9724" width="11" style="33" customWidth="1"/>
    <col min="9725" max="9725" width="15.6640625" style="33" customWidth="1"/>
    <col min="9726" max="9726" width="11.6640625" style="33" customWidth="1"/>
    <col min="9727" max="9727" width="9.6640625" style="33" customWidth="1"/>
    <col min="9728" max="9728" width="13.44140625" style="33" customWidth="1"/>
    <col min="9729" max="9729" width="14.6640625" style="33" customWidth="1"/>
    <col min="9730" max="9731" width="15.33203125" style="33" customWidth="1"/>
    <col min="9732" max="9732" width="20.6640625" style="33" customWidth="1"/>
    <col min="9733" max="9733" width="11.33203125" style="33" customWidth="1"/>
    <col min="9734" max="9734" width="10" style="33" customWidth="1"/>
    <col min="9735" max="9735" width="6.6640625" style="33" customWidth="1"/>
    <col min="9736" max="9736" width="13.33203125" style="33" customWidth="1"/>
    <col min="9737" max="9737" width="12.6640625" style="33" customWidth="1"/>
    <col min="9738" max="9738" width="9.33203125" style="33"/>
    <col min="9739" max="9739" width="11.44140625" style="33" customWidth="1"/>
    <col min="9740" max="9976" width="9.33203125" style="33"/>
    <col min="9977" max="9977" width="3.33203125" style="33" customWidth="1"/>
    <col min="9978" max="9978" width="40.6640625" style="33" customWidth="1"/>
    <col min="9979" max="9979" width="41.6640625" style="33" customWidth="1"/>
    <col min="9980" max="9980" width="11" style="33" customWidth="1"/>
    <col min="9981" max="9981" width="15.6640625" style="33" customWidth="1"/>
    <col min="9982" max="9982" width="11.6640625" style="33" customWidth="1"/>
    <col min="9983" max="9983" width="9.6640625" style="33" customWidth="1"/>
    <col min="9984" max="9984" width="13.44140625" style="33" customWidth="1"/>
    <col min="9985" max="9985" width="14.6640625" style="33" customWidth="1"/>
    <col min="9986" max="9987" width="15.33203125" style="33" customWidth="1"/>
    <col min="9988" max="9988" width="20.6640625" style="33" customWidth="1"/>
    <col min="9989" max="9989" width="11.33203125" style="33" customWidth="1"/>
    <col min="9990" max="9990" width="10" style="33" customWidth="1"/>
    <col min="9991" max="9991" width="6.6640625" style="33" customWidth="1"/>
    <col min="9992" max="9992" width="13.33203125" style="33" customWidth="1"/>
    <col min="9993" max="9993" width="12.6640625" style="33" customWidth="1"/>
    <col min="9994" max="9994" width="9.33203125" style="33"/>
    <col min="9995" max="9995" width="11.44140625" style="33" customWidth="1"/>
    <col min="9996" max="10232" width="9.33203125" style="33"/>
    <col min="10233" max="10233" width="3.33203125" style="33" customWidth="1"/>
    <col min="10234" max="10234" width="40.6640625" style="33" customWidth="1"/>
    <col min="10235" max="10235" width="41.6640625" style="33" customWidth="1"/>
    <col min="10236" max="10236" width="11" style="33" customWidth="1"/>
    <col min="10237" max="10237" width="15.6640625" style="33" customWidth="1"/>
    <col min="10238" max="10238" width="11.6640625" style="33" customWidth="1"/>
    <col min="10239" max="10239" width="9.6640625" style="33" customWidth="1"/>
    <col min="10240" max="10240" width="13.44140625" style="33" customWidth="1"/>
    <col min="10241" max="10241" width="14.6640625" style="33" customWidth="1"/>
    <col min="10242" max="10243" width="15.33203125" style="33" customWidth="1"/>
    <col min="10244" max="10244" width="20.6640625" style="33" customWidth="1"/>
    <col min="10245" max="10245" width="11.33203125" style="33" customWidth="1"/>
    <col min="10246" max="10246" width="10" style="33" customWidth="1"/>
    <col min="10247" max="10247" width="6.6640625" style="33" customWidth="1"/>
    <col min="10248" max="10248" width="13.33203125" style="33" customWidth="1"/>
    <col min="10249" max="10249" width="12.6640625" style="33" customWidth="1"/>
    <col min="10250" max="10250" width="9.33203125" style="33"/>
    <col min="10251" max="10251" width="11.44140625" style="33" customWidth="1"/>
    <col min="10252" max="10488" width="9.33203125" style="33"/>
    <col min="10489" max="10489" width="3.33203125" style="33" customWidth="1"/>
    <col min="10490" max="10490" width="40.6640625" style="33" customWidth="1"/>
    <col min="10491" max="10491" width="41.6640625" style="33" customWidth="1"/>
    <col min="10492" max="10492" width="11" style="33" customWidth="1"/>
    <col min="10493" max="10493" width="15.6640625" style="33" customWidth="1"/>
    <col min="10494" max="10494" width="11.6640625" style="33" customWidth="1"/>
    <col min="10495" max="10495" width="9.6640625" style="33" customWidth="1"/>
    <col min="10496" max="10496" width="13.44140625" style="33" customWidth="1"/>
    <col min="10497" max="10497" width="14.6640625" style="33" customWidth="1"/>
    <col min="10498" max="10499" width="15.33203125" style="33" customWidth="1"/>
    <col min="10500" max="10500" width="20.6640625" style="33" customWidth="1"/>
    <col min="10501" max="10501" width="11.33203125" style="33" customWidth="1"/>
    <col min="10502" max="10502" width="10" style="33" customWidth="1"/>
    <col min="10503" max="10503" width="6.6640625" style="33" customWidth="1"/>
    <col min="10504" max="10504" width="13.33203125" style="33" customWidth="1"/>
    <col min="10505" max="10505" width="12.6640625" style="33" customWidth="1"/>
    <col min="10506" max="10506" width="9.33203125" style="33"/>
    <col min="10507" max="10507" width="11.44140625" style="33" customWidth="1"/>
    <col min="10508" max="10744" width="9.33203125" style="33"/>
    <col min="10745" max="10745" width="3.33203125" style="33" customWidth="1"/>
    <col min="10746" max="10746" width="40.6640625" style="33" customWidth="1"/>
    <col min="10747" max="10747" width="41.6640625" style="33" customWidth="1"/>
    <col min="10748" max="10748" width="11" style="33" customWidth="1"/>
    <col min="10749" max="10749" width="15.6640625" style="33" customWidth="1"/>
    <col min="10750" max="10750" width="11.6640625" style="33" customWidth="1"/>
    <col min="10751" max="10751" width="9.6640625" style="33" customWidth="1"/>
    <col min="10752" max="10752" width="13.44140625" style="33" customWidth="1"/>
    <col min="10753" max="10753" width="14.6640625" style="33" customWidth="1"/>
    <col min="10754" max="10755" width="15.33203125" style="33" customWidth="1"/>
    <col min="10756" max="10756" width="20.6640625" style="33" customWidth="1"/>
    <col min="10757" max="10757" width="11.33203125" style="33" customWidth="1"/>
    <col min="10758" max="10758" width="10" style="33" customWidth="1"/>
    <col min="10759" max="10759" width="6.6640625" style="33" customWidth="1"/>
    <col min="10760" max="10760" width="13.33203125" style="33" customWidth="1"/>
    <col min="10761" max="10761" width="12.6640625" style="33" customWidth="1"/>
    <col min="10762" max="10762" width="9.33203125" style="33"/>
    <col min="10763" max="10763" width="11.44140625" style="33" customWidth="1"/>
    <col min="10764" max="11000" width="9.33203125" style="33"/>
    <col min="11001" max="11001" width="3.33203125" style="33" customWidth="1"/>
    <col min="11002" max="11002" width="40.6640625" style="33" customWidth="1"/>
    <col min="11003" max="11003" width="41.6640625" style="33" customWidth="1"/>
    <col min="11004" max="11004" width="11" style="33" customWidth="1"/>
    <col min="11005" max="11005" width="15.6640625" style="33" customWidth="1"/>
    <col min="11006" max="11006" width="11.6640625" style="33" customWidth="1"/>
    <col min="11007" max="11007" width="9.6640625" style="33" customWidth="1"/>
    <col min="11008" max="11008" width="13.44140625" style="33" customWidth="1"/>
    <col min="11009" max="11009" width="14.6640625" style="33" customWidth="1"/>
    <col min="11010" max="11011" width="15.33203125" style="33" customWidth="1"/>
    <col min="11012" max="11012" width="20.6640625" style="33" customWidth="1"/>
    <col min="11013" max="11013" width="11.33203125" style="33" customWidth="1"/>
    <col min="11014" max="11014" width="10" style="33" customWidth="1"/>
    <col min="11015" max="11015" width="6.6640625" style="33" customWidth="1"/>
    <col min="11016" max="11016" width="13.33203125" style="33" customWidth="1"/>
    <col min="11017" max="11017" width="12.6640625" style="33" customWidth="1"/>
    <col min="11018" max="11018" width="9.33203125" style="33"/>
    <col min="11019" max="11019" width="11.44140625" style="33" customWidth="1"/>
    <col min="11020" max="11256" width="9.33203125" style="33"/>
    <col min="11257" max="11257" width="3.33203125" style="33" customWidth="1"/>
    <col min="11258" max="11258" width="40.6640625" style="33" customWidth="1"/>
    <col min="11259" max="11259" width="41.6640625" style="33" customWidth="1"/>
    <col min="11260" max="11260" width="11" style="33" customWidth="1"/>
    <col min="11261" max="11261" width="15.6640625" style="33" customWidth="1"/>
    <col min="11262" max="11262" width="11.6640625" style="33" customWidth="1"/>
    <col min="11263" max="11263" width="9.6640625" style="33" customWidth="1"/>
    <col min="11264" max="11264" width="13.44140625" style="33" customWidth="1"/>
    <col min="11265" max="11265" width="14.6640625" style="33" customWidth="1"/>
    <col min="11266" max="11267" width="15.33203125" style="33" customWidth="1"/>
    <col min="11268" max="11268" width="20.6640625" style="33" customWidth="1"/>
    <col min="11269" max="11269" width="11.33203125" style="33" customWidth="1"/>
    <col min="11270" max="11270" width="10" style="33" customWidth="1"/>
    <col min="11271" max="11271" width="6.6640625" style="33" customWidth="1"/>
    <col min="11272" max="11272" width="13.33203125" style="33" customWidth="1"/>
    <col min="11273" max="11273" width="12.6640625" style="33" customWidth="1"/>
    <col min="11274" max="11274" width="9.33203125" style="33"/>
    <col min="11275" max="11275" width="11.44140625" style="33" customWidth="1"/>
    <col min="11276" max="11512" width="9.33203125" style="33"/>
    <col min="11513" max="11513" width="3.33203125" style="33" customWidth="1"/>
    <col min="11514" max="11514" width="40.6640625" style="33" customWidth="1"/>
    <col min="11515" max="11515" width="41.6640625" style="33" customWidth="1"/>
    <col min="11516" max="11516" width="11" style="33" customWidth="1"/>
    <col min="11517" max="11517" width="15.6640625" style="33" customWidth="1"/>
    <col min="11518" max="11518" width="11.6640625" style="33" customWidth="1"/>
    <col min="11519" max="11519" width="9.6640625" style="33" customWidth="1"/>
    <col min="11520" max="11520" width="13.44140625" style="33" customWidth="1"/>
    <col min="11521" max="11521" width="14.6640625" style="33" customWidth="1"/>
    <col min="11522" max="11523" width="15.33203125" style="33" customWidth="1"/>
    <col min="11524" max="11524" width="20.6640625" style="33" customWidth="1"/>
    <col min="11525" max="11525" width="11.33203125" style="33" customWidth="1"/>
    <col min="11526" max="11526" width="10" style="33" customWidth="1"/>
    <col min="11527" max="11527" width="6.6640625" style="33" customWidth="1"/>
    <col min="11528" max="11528" width="13.33203125" style="33" customWidth="1"/>
    <col min="11529" max="11529" width="12.6640625" style="33" customWidth="1"/>
    <col min="11530" max="11530" width="9.33203125" style="33"/>
    <col min="11531" max="11531" width="11.44140625" style="33" customWidth="1"/>
    <col min="11532" max="11768" width="9.33203125" style="33"/>
    <col min="11769" max="11769" width="3.33203125" style="33" customWidth="1"/>
    <col min="11770" max="11770" width="40.6640625" style="33" customWidth="1"/>
    <col min="11771" max="11771" width="41.6640625" style="33" customWidth="1"/>
    <col min="11772" max="11772" width="11" style="33" customWidth="1"/>
    <col min="11773" max="11773" width="15.6640625" style="33" customWidth="1"/>
    <col min="11774" max="11774" width="11.6640625" style="33" customWidth="1"/>
    <col min="11775" max="11775" width="9.6640625" style="33" customWidth="1"/>
    <col min="11776" max="11776" width="13.44140625" style="33" customWidth="1"/>
    <col min="11777" max="11777" width="14.6640625" style="33" customWidth="1"/>
    <col min="11778" max="11779" width="15.33203125" style="33" customWidth="1"/>
    <col min="11780" max="11780" width="20.6640625" style="33" customWidth="1"/>
    <col min="11781" max="11781" width="11.33203125" style="33" customWidth="1"/>
    <col min="11782" max="11782" width="10" style="33" customWidth="1"/>
    <col min="11783" max="11783" width="6.6640625" style="33" customWidth="1"/>
    <col min="11784" max="11784" width="13.33203125" style="33" customWidth="1"/>
    <col min="11785" max="11785" width="12.6640625" style="33" customWidth="1"/>
    <col min="11786" max="11786" width="9.33203125" style="33"/>
    <col min="11787" max="11787" width="11.44140625" style="33" customWidth="1"/>
    <col min="11788" max="12024" width="9.33203125" style="33"/>
    <col min="12025" max="12025" width="3.33203125" style="33" customWidth="1"/>
    <col min="12026" max="12026" width="40.6640625" style="33" customWidth="1"/>
    <col min="12027" max="12027" width="41.6640625" style="33" customWidth="1"/>
    <col min="12028" max="12028" width="11" style="33" customWidth="1"/>
    <col min="12029" max="12029" width="15.6640625" style="33" customWidth="1"/>
    <col min="12030" max="12030" width="11.6640625" style="33" customWidth="1"/>
    <col min="12031" max="12031" width="9.6640625" style="33" customWidth="1"/>
    <col min="12032" max="12032" width="13.44140625" style="33" customWidth="1"/>
    <col min="12033" max="12033" width="14.6640625" style="33" customWidth="1"/>
    <col min="12034" max="12035" width="15.33203125" style="33" customWidth="1"/>
    <col min="12036" max="12036" width="20.6640625" style="33" customWidth="1"/>
    <col min="12037" max="12037" width="11.33203125" style="33" customWidth="1"/>
    <col min="12038" max="12038" width="10" style="33" customWidth="1"/>
    <col min="12039" max="12039" width="6.6640625" style="33" customWidth="1"/>
    <col min="12040" max="12040" width="13.33203125" style="33" customWidth="1"/>
    <col min="12041" max="12041" width="12.6640625" style="33" customWidth="1"/>
    <col min="12042" max="12042" width="9.33203125" style="33"/>
    <col min="12043" max="12043" width="11.44140625" style="33" customWidth="1"/>
    <col min="12044" max="12280" width="9.33203125" style="33"/>
    <col min="12281" max="12281" width="3.33203125" style="33" customWidth="1"/>
    <col min="12282" max="12282" width="40.6640625" style="33" customWidth="1"/>
    <col min="12283" max="12283" width="41.6640625" style="33" customWidth="1"/>
    <col min="12284" max="12284" width="11" style="33" customWidth="1"/>
    <col min="12285" max="12285" width="15.6640625" style="33" customWidth="1"/>
    <col min="12286" max="12286" width="11.6640625" style="33" customWidth="1"/>
    <col min="12287" max="12287" width="9.6640625" style="33" customWidth="1"/>
    <col min="12288" max="12288" width="13.44140625" style="33" customWidth="1"/>
    <col min="12289" max="12289" width="14.6640625" style="33" customWidth="1"/>
    <col min="12290" max="12291" width="15.33203125" style="33" customWidth="1"/>
    <col min="12292" max="12292" width="20.6640625" style="33" customWidth="1"/>
    <col min="12293" max="12293" width="11.33203125" style="33" customWidth="1"/>
    <col min="12294" max="12294" width="10" style="33" customWidth="1"/>
    <col min="12295" max="12295" width="6.6640625" style="33" customWidth="1"/>
    <col min="12296" max="12296" width="13.33203125" style="33" customWidth="1"/>
    <col min="12297" max="12297" width="12.6640625" style="33" customWidth="1"/>
    <col min="12298" max="12298" width="9.33203125" style="33"/>
    <col min="12299" max="12299" width="11.44140625" style="33" customWidth="1"/>
    <col min="12300" max="12536" width="9.33203125" style="33"/>
    <col min="12537" max="12537" width="3.33203125" style="33" customWidth="1"/>
    <col min="12538" max="12538" width="40.6640625" style="33" customWidth="1"/>
    <col min="12539" max="12539" width="41.6640625" style="33" customWidth="1"/>
    <col min="12540" max="12540" width="11" style="33" customWidth="1"/>
    <col min="12541" max="12541" width="15.6640625" style="33" customWidth="1"/>
    <col min="12542" max="12542" width="11.6640625" style="33" customWidth="1"/>
    <col min="12543" max="12543" width="9.6640625" style="33" customWidth="1"/>
    <col min="12544" max="12544" width="13.44140625" style="33" customWidth="1"/>
    <col min="12545" max="12545" width="14.6640625" style="33" customWidth="1"/>
    <col min="12546" max="12547" width="15.33203125" style="33" customWidth="1"/>
    <col min="12548" max="12548" width="20.6640625" style="33" customWidth="1"/>
    <col min="12549" max="12549" width="11.33203125" style="33" customWidth="1"/>
    <col min="12550" max="12550" width="10" style="33" customWidth="1"/>
    <col min="12551" max="12551" width="6.6640625" style="33" customWidth="1"/>
    <col min="12552" max="12552" width="13.33203125" style="33" customWidth="1"/>
    <col min="12553" max="12553" width="12.6640625" style="33" customWidth="1"/>
    <col min="12554" max="12554" width="9.33203125" style="33"/>
    <col min="12555" max="12555" width="11.44140625" style="33" customWidth="1"/>
    <col min="12556" max="12792" width="9.33203125" style="33"/>
    <col min="12793" max="12793" width="3.33203125" style="33" customWidth="1"/>
    <col min="12794" max="12794" width="40.6640625" style="33" customWidth="1"/>
    <col min="12795" max="12795" width="41.6640625" style="33" customWidth="1"/>
    <col min="12796" max="12796" width="11" style="33" customWidth="1"/>
    <col min="12797" max="12797" width="15.6640625" style="33" customWidth="1"/>
    <col min="12798" max="12798" width="11.6640625" style="33" customWidth="1"/>
    <col min="12799" max="12799" width="9.6640625" style="33" customWidth="1"/>
    <col min="12800" max="12800" width="13.44140625" style="33" customWidth="1"/>
    <col min="12801" max="12801" width="14.6640625" style="33" customWidth="1"/>
    <col min="12802" max="12803" width="15.33203125" style="33" customWidth="1"/>
    <col min="12804" max="12804" width="20.6640625" style="33" customWidth="1"/>
    <col min="12805" max="12805" width="11.33203125" style="33" customWidth="1"/>
    <col min="12806" max="12806" width="10" style="33" customWidth="1"/>
    <col min="12807" max="12807" width="6.6640625" style="33" customWidth="1"/>
    <col min="12808" max="12808" width="13.33203125" style="33" customWidth="1"/>
    <col min="12809" max="12809" width="12.6640625" style="33" customWidth="1"/>
    <col min="12810" max="12810" width="9.33203125" style="33"/>
    <col min="12811" max="12811" width="11.44140625" style="33" customWidth="1"/>
    <col min="12812" max="13048" width="9.33203125" style="33"/>
    <col min="13049" max="13049" width="3.33203125" style="33" customWidth="1"/>
    <col min="13050" max="13050" width="40.6640625" style="33" customWidth="1"/>
    <col min="13051" max="13051" width="41.6640625" style="33" customWidth="1"/>
    <col min="13052" max="13052" width="11" style="33" customWidth="1"/>
    <col min="13053" max="13053" width="15.6640625" style="33" customWidth="1"/>
    <col min="13054" max="13054" width="11.6640625" style="33" customWidth="1"/>
    <col min="13055" max="13055" width="9.6640625" style="33" customWidth="1"/>
    <col min="13056" max="13056" width="13.44140625" style="33" customWidth="1"/>
    <col min="13057" max="13057" width="14.6640625" style="33" customWidth="1"/>
    <col min="13058" max="13059" width="15.33203125" style="33" customWidth="1"/>
    <col min="13060" max="13060" width="20.6640625" style="33" customWidth="1"/>
    <col min="13061" max="13061" width="11.33203125" style="33" customWidth="1"/>
    <col min="13062" max="13062" width="10" style="33" customWidth="1"/>
    <col min="13063" max="13063" width="6.6640625" style="33" customWidth="1"/>
    <col min="13064" max="13064" width="13.33203125" style="33" customWidth="1"/>
    <col min="13065" max="13065" width="12.6640625" style="33" customWidth="1"/>
    <col min="13066" max="13066" width="9.33203125" style="33"/>
    <col min="13067" max="13067" width="11.44140625" style="33" customWidth="1"/>
    <col min="13068" max="13304" width="9.33203125" style="33"/>
    <col min="13305" max="13305" width="3.33203125" style="33" customWidth="1"/>
    <col min="13306" max="13306" width="40.6640625" style="33" customWidth="1"/>
    <col min="13307" max="13307" width="41.6640625" style="33" customWidth="1"/>
    <col min="13308" max="13308" width="11" style="33" customWidth="1"/>
    <col min="13309" max="13309" width="15.6640625" style="33" customWidth="1"/>
    <col min="13310" max="13310" width="11.6640625" style="33" customWidth="1"/>
    <col min="13311" max="13311" width="9.6640625" style="33" customWidth="1"/>
    <col min="13312" max="13312" width="13.44140625" style="33" customWidth="1"/>
    <col min="13313" max="13313" width="14.6640625" style="33" customWidth="1"/>
    <col min="13314" max="13315" width="15.33203125" style="33" customWidth="1"/>
    <col min="13316" max="13316" width="20.6640625" style="33" customWidth="1"/>
    <col min="13317" max="13317" width="11.33203125" style="33" customWidth="1"/>
    <col min="13318" max="13318" width="10" style="33" customWidth="1"/>
    <col min="13319" max="13319" width="6.6640625" style="33" customWidth="1"/>
    <col min="13320" max="13320" width="13.33203125" style="33" customWidth="1"/>
    <col min="13321" max="13321" width="12.6640625" style="33" customWidth="1"/>
    <col min="13322" max="13322" width="9.33203125" style="33"/>
    <col min="13323" max="13323" width="11.44140625" style="33" customWidth="1"/>
    <col min="13324" max="13560" width="9.33203125" style="33"/>
    <col min="13561" max="13561" width="3.33203125" style="33" customWidth="1"/>
    <col min="13562" max="13562" width="40.6640625" style="33" customWidth="1"/>
    <col min="13563" max="13563" width="41.6640625" style="33" customWidth="1"/>
    <col min="13564" max="13564" width="11" style="33" customWidth="1"/>
    <col min="13565" max="13565" width="15.6640625" style="33" customWidth="1"/>
    <col min="13566" max="13566" width="11.6640625" style="33" customWidth="1"/>
    <col min="13567" max="13567" width="9.6640625" style="33" customWidth="1"/>
    <col min="13568" max="13568" width="13.44140625" style="33" customWidth="1"/>
    <col min="13569" max="13569" width="14.6640625" style="33" customWidth="1"/>
    <col min="13570" max="13571" width="15.33203125" style="33" customWidth="1"/>
    <col min="13572" max="13572" width="20.6640625" style="33" customWidth="1"/>
    <col min="13573" max="13573" width="11.33203125" style="33" customWidth="1"/>
    <col min="13574" max="13574" width="10" style="33" customWidth="1"/>
    <col min="13575" max="13575" width="6.6640625" style="33" customWidth="1"/>
    <col min="13576" max="13576" width="13.33203125" style="33" customWidth="1"/>
    <col min="13577" max="13577" width="12.6640625" style="33" customWidth="1"/>
    <col min="13578" max="13578" width="9.33203125" style="33"/>
    <col min="13579" max="13579" width="11.44140625" style="33" customWidth="1"/>
    <col min="13580" max="13816" width="9.33203125" style="33"/>
    <col min="13817" max="13817" width="3.33203125" style="33" customWidth="1"/>
    <col min="13818" max="13818" width="40.6640625" style="33" customWidth="1"/>
    <col min="13819" max="13819" width="41.6640625" style="33" customWidth="1"/>
    <col min="13820" max="13820" width="11" style="33" customWidth="1"/>
    <col min="13821" max="13821" width="15.6640625" style="33" customWidth="1"/>
    <col min="13822" max="13822" width="11.6640625" style="33" customWidth="1"/>
    <col min="13823" max="13823" width="9.6640625" style="33" customWidth="1"/>
    <col min="13824" max="13824" width="13.44140625" style="33" customWidth="1"/>
    <col min="13825" max="13825" width="14.6640625" style="33" customWidth="1"/>
    <col min="13826" max="13827" width="15.33203125" style="33" customWidth="1"/>
    <col min="13828" max="13828" width="20.6640625" style="33" customWidth="1"/>
    <col min="13829" max="13829" width="11.33203125" style="33" customWidth="1"/>
    <col min="13830" max="13830" width="10" style="33" customWidth="1"/>
    <col min="13831" max="13831" width="6.6640625" style="33" customWidth="1"/>
    <col min="13832" max="13832" width="13.33203125" style="33" customWidth="1"/>
    <col min="13833" max="13833" width="12.6640625" style="33" customWidth="1"/>
    <col min="13834" max="13834" width="9.33203125" style="33"/>
    <col min="13835" max="13835" width="11.44140625" style="33" customWidth="1"/>
    <col min="13836" max="14072" width="9.33203125" style="33"/>
    <col min="14073" max="14073" width="3.33203125" style="33" customWidth="1"/>
    <col min="14074" max="14074" width="40.6640625" style="33" customWidth="1"/>
    <col min="14075" max="14075" width="41.6640625" style="33" customWidth="1"/>
    <col min="14076" max="14076" width="11" style="33" customWidth="1"/>
    <col min="14077" max="14077" width="15.6640625" style="33" customWidth="1"/>
    <col min="14078" max="14078" width="11.6640625" style="33" customWidth="1"/>
    <col min="14079" max="14079" width="9.6640625" style="33" customWidth="1"/>
    <col min="14080" max="14080" width="13.44140625" style="33" customWidth="1"/>
    <col min="14081" max="14081" width="14.6640625" style="33" customWidth="1"/>
    <col min="14082" max="14083" width="15.33203125" style="33" customWidth="1"/>
    <col min="14084" max="14084" width="20.6640625" style="33" customWidth="1"/>
    <col min="14085" max="14085" width="11.33203125" style="33" customWidth="1"/>
    <col min="14086" max="14086" width="10" style="33" customWidth="1"/>
    <col min="14087" max="14087" width="6.6640625" style="33" customWidth="1"/>
    <col min="14088" max="14088" width="13.33203125" style="33" customWidth="1"/>
    <col min="14089" max="14089" width="12.6640625" style="33" customWidth="1"/>
    <col min="14090" max="14090" width="9.33203125" style="33"/>
    <col min="14091" max="14091" width="11.44140625" style="33" customWidth="1"/>
    <col min="14092" max="14328" width="9.33203125" style="33"/>
    <col min="14329" max="14329" width="3.33203125" style="33" customWidth="1"/>
    <col min="14330" max="14330" width="40.6640625" style="33" customWidth="1"/>
    <col min="14331" max="14331" width="41.6640625" style="33" customWidth="1"/>
    <col min="14332" max="14332" width="11" style="33" customWidth="1"/>
    <col min="14333" max="14333" width="15.6640625" style="33" customWidth="1"/>
    <col min="14334" max="14334" width="11.6640625" style="33" customWidth="1"/>
    <col min="14335" max="14335" width="9.6640625" style="33" customWidth="1"/>
    <col min="14336" max="14336" width="13.44140625" style="33" customWidth="1"/>
    <col min="14337" max="14337" width="14.6640625" style="33" customWidth="1"/>
    <col min="14338" max="14339" width="15.33203125" style="33" customWidth="1"/>
    <col min="14340" max="14340" width="20.6640625" style="33" customWidth="1"/>
    <col min="14341" max="14341" width="11.33203125" style="33" customWidth="1"/>
    <col min="14342" max="14342" width="10" style="33" customWidth="1"/>
    <col min="14343" max="14343" width="6.6640625" style="33" customWidth="1"/>
    <col min="14344" max="14344" width="13.33203125" style="33" customWidth="1"/>
    <col min="14345" max="14345" width="12.6640625" style="33" customWidth="1"/>
    <col min="14346" max="14346" width="9.33203125" style="33"/>
    <col min="14347" max="14347" width="11.44140625" style="33" customWidth="1"/>
    <col min="14348" max="14584" width="9.33203125" style="33"/>
    <col min="14585" max="14585" width="3.33203125" style="33" customWidth="1"/>
    <col min="14586" max="14586" width="40.6640625" style="33" customWidth="1"/>
    <col min="14587" max="14587" width="41.6640625" style="33" customWidth="1"/>
    <col min="14588" max="14588" width="11" style="33" customWidth="1"/>
    <col min="14589" max="14589" width="15.6640625" style="33" customWidth="1"/>
    <col min="14590" max="14590" width="11.6640625" style="33" customWidth="1"/>
    <col min="14591" max="14591" width="9.6640625" style="33" customWidth="1"/>
    <col min="14592" max="14592" width="13.44140625" style="33" customWidth="1"/>
    <col min="14593" max="14593" width="14.6640625" style="33" customWidth="1"/>
    <col min="14594" max="14595" width="15.33203125" style="33" customWidth="1"/>
    <col min="14596" max="14596" width="20.6640625" style="33" customWidth="1"/>
    <col min="14597" max="14597" width="11.33203125" style="33" customWidth="1"/>
    <col min="14598" max="14598" width="10" style="33" customWidth="1"/>
    <col min="14599" max="14599" width="6.6640625" style="33" customWidth="1"/>
    <col min="14600" max="14600" width="13.33203125" style="33" customWidth="1"/>
    <col min="14601" max="14601" width="12.6640625" style="33" customWidth="1"/>
    <col min="14602" max="14602" width="9.33203125" style="33"/>
    <col min="14603" max="14603" width="11.44140625" style="33" customWidth="1"/>
    <col min="14604" max="14840" width="9.33203125" style="33"/>
    <col min="14841" max="14841" width="3.33203125" style="33" customWidth="1"/>
    <col min="14842" max="14842" width="40.6640625" style="33" customWidth="1"/>
    <col min="14843" max="14843" width="41.6640625" style="33" customWidth="1"/>
    <col min="14844" max="14844" width="11" style="33" customWidth="1"/>
    <col min="14845" max="14845" width="15.6640625" style="33" customWidth="1"/>
    <col min="14846" max="14846" width="11.6640625" style="33" customWidth="1"/>
    <col min="14847" max="14847" width="9.6640625" style="33" customWidth="1"/>
    <col min="14848" max="14848" width="13.44140625" style="33" customWidth="1"/>
    <col min="14849" max="14849" width="14.6640625" style="33" customWidth="1"/>
    <col min="14850" max="14851" width="15.33203125" style="33" customWidth="1"/>
    <col min="14852" max="14852" width="20.6640625" style="33" customWidth="1"/>
    <col min="14853" max="14853" width="11.33203125" style="33" customWidth="1"/>
    <col min="14854" max="14854" width="10" style="33" customWidth="1"/>
    <col min="14855" max="14855" width="6.6640625" style="33" customWidth="1"/>
    <col min="14856" max="14856" width="13.33203125" style="33" customWidth="1"/>
    <col min="14857" max="14857" width="12.6640625" style="33" customWidth="1"/>
    <col min="14858" max="14858" width="9.33203125" style="33"/>
    <col min="14859" max="14859" width="11.44140625" style="33" customWidth="1"/>
    <col min="14860" max="15096" width="9.33203125" style="33"/>
    <col min="15097" max="15097" width="3.33203125" style="33" customWidth="1"/>
    <col min="15098" max="15098" width="40.6640625" style="33" customWidth="1"/>
    <col min="15099" max="15099" width="41.6640625" style="33" customWidth="1"/>
    <col min="15100" max="15100" width="11" style="33" customWidth="1"/>
    <col min="15101" max="15101" width="15.6640625" style="33" customWidth="1"/>
    <col min="15102" max="15102" width="11.6640625" style="33" customWidth="1"/>
    <col min="15103" max="15103" width="9.6640625" style="33" customWidth="1"/>
    <col min="15104" max="15104" width="13.44140625" style="33" customWidth="1"/>
    <col min="15105" max="15105" width="14.6640625" style="33" customWidth="1"/>
    <col min="15106" max="15107" width="15.33203125" style="33" customWidth="1"/>
    <col min="15108" max="15108" width="20.6640625" style="33" customWidth="1"/>
    <col min="15109" max="15109" width="11.33203125" style="33" customWidth="1"/>
    <col min="15110" max="15110" width="10" style="33" customWidth="1"/>
    <col min="15111" max="15111" width="6.6640625" style="33" customWidth="1"/>
    <col min="15112" max="15112" width="13.33203125" style="33" customWidth="1"/>
    <col min="15113" max="15113" width="12.6640625" style="33" customWidth="1"/>
    <col min="15114" max="15114" width="9.33203125" style="33"/>
    <col min="15115" max="15115" width="11.44140625" style="33" customWidth="1"/>
    <col min="15116" max="15352" width="9.33203125" style="33"/>
    <col min="15353" max="15353" width="3.33203125" style="33" customWidth="1"/>
    <col min="15354" max="15354" width="40.6640625" style="33" customWidth="1"/>
    <col min="15355" max="15355" width="41.6640625" style="33" customWidth="1"/>
    <col min="15356" max="15356" width="11" style="33" customWidth="1"/>
    <col min="15357" max="15357" width="15.6640625" style="33" customWidth="1"/>
    <col min="15358" max="15358" width="11.6640625" style="33" customWidth="1"/>
    <col min="15359" max="15359" width="9.6640625" style="33" customWidth="1"/>
    <col min="15360" max="15360" width="13.44140625" style="33" customWidth="1"/>
    <col min="15361" max="15361" width="14.6640625" style="33" customWidth="1"/>
    <col min="15362" max="15363" width="15.33203125" style="33" customWidth="1"/>
    <col min="15364" max="15364" width="20.6640625" style="33" customWidth="1"/>
    <col min="15365" max="15365" width="11.33203125" style="33" customWidth="1"/>
    <col min="15366" max="15366" width="10" style="33" customWidth="1"/>
    <col min="15367" max="15367" width="6.6640625" style="33" customWidth="1"/>
    <col min="15368" max="15368" width="13.33203125" style="33" customWidth="1"/>
    <col min="15369" max="15369" width="12.6640625" style="33" customWidth="1"/>
    <col min="15370" max="15370" width="9.33203125" style="33"/>
    <col min="15371" max="15371" width="11.44140625" style="33" customWidth="1"/>
    <col min="15372" max="15608" width="9.33203125" style="33"/>
    <col min="15609" max="15609" width="3.33203125" style="33" customWidth="1"/>
    <col min="15610" max="15610" width="40.6640625" style="33" customWidth="1"/>
    <col min="15611" max="15611" width="41.6640625" style="33" customWidth="1"/>
    <col min="15612" max="15612" width="11" style="33" customWidth="1"/>
    <col min="15613" max="15613" width="15.6640625" style="33" customWidth="1"/>
    <col min="15614" max="15614" width="11.6640625" style="33" customWidth="1"/>
    <col min="15615" max="15615" width="9.6640625" style="33" customWidth="1"/>
    <col min="15616" max="15616" width="13.44140625" style="33" customWidth="1"/>
    <col min="15617" max="15617" width="14.6640625" style="33" customWidth="1"/>
    <col min="15618" max="15619" width="15.33203125" style="33" customWidth="1"/>
    <col min="15620" max="15620" width="20.6640625" style="33" customWidth="1"/>
    <col min="15621" max="15621" width="11.33203125" style="33" customWidth="1"/>
    <col min="15622" max="15622" width="10" style="33" customWidth="1"/>
    <col min="15623" max="15623" width="6.6640625" style="33" customWidth="1"/>
    <col min="15624" max="15624" width="13.33203125" style="33" customWidth="1"/>
    <col min="15625" max="15625" width="12.6640625" style="33" customWidth="1"/>
    <col min="15626" max="15626" width="9.33203125" style="33"/>
    <col min="15627" max="15627" width="11.44140625" style="33" customWidth="1"/>
    <col min="15628" max="15864" width="9.33203125" style="33"/>
    <col min="15865" max="15865" width="3.33203125" style="33" customWidth="1"/>
    <col min="15866" max="15866" width="40.6640625" style="33" customWidth="1"/>
    <col min="15867" max="15867" width="41.6640625" style="33" customWidth="1"/>
    <col min="15868" max="15868" width="11" style="33" customWidth="1"/>
    <col min="15869" max="15869" width="15.6640625" style="33" customWidth="1"/>
    <col min="15870" max="15870" width="11.6640625" style="33" customWidth="1"/>
    <col min="15871" max="15871" width="9.6640625" style="33" customWidth="1"/>
    <col min="15872" max="15872" width="13.44140625" style="33" customWidth="1"/>
    <col min="15873" max="15873" width="14.6640625" style="33" customWidth="1"/>
    <col min="15874" max="15875" width="15.33203125" style="33" customWidth="1"/>
    <col min="15876" max="15876" width="20.6640625" style="33" customWidth="1"/>
    <col min="15877" max="15877" width="11.33203125" style="33" customWidth="1"/>
    <col min="15878" max="15878" width="10" style="33" customWidth="1"/>
    <col min="15879" max="15879" width="6.6640625" style="33" customWidth="1"/>
    <col min="15880" max="15880" width="13.33203125" style="33" customWidth="1"/>
    <col min="15881" max="15881" width="12.6640625" style="33" customWidth="1"/>
    <col min="15882" max="15882" width="9.33203125" style="33"/>
    <col min="15883" max="15883" width="11.44140625" style="33" customWidth="1"/>
    <col min="15884" max="16120" width="9.33203125" style="33"/>
    <col min="16121" max="16121" width="3.33203125" style="33" customWidth="1"/>
    <col min="16122" max="16122" width="40.6640625" style="33" customWidth="1"/>
    <col min="16123" max="16123" width="41.6640625" style="33" customWidth="1"/>
    <col min="16124" max="16124" width="11" style="33" customWidth="1"/>
    <col min="16125" max="16125" width="15.6640625" style="33" customWidth="1"/>
    <col min="16126" max="16126" width="11.6640625" style="33" customWidth="1"/>
    <col min="16127" max="16127" width="9.6640625" style="33" customWidth="1"/>
    <col min="16128" max="16128" width="13.44140625" style="33" customWidth="1"/>
    <col min="16129" max="16129" width="14.6640625" style="33" customWidth="1"/>
    <col min="16130" max="16131" width="15.33203125" style="33" customWidth="1"/>
    <col min="16132" max="16132" width="20.6640625" style="33" customWidth="1"/>
    <col min="16133" max="16133" width="11.33203125" style="33" customWidth="1"/>
    <col min="16134" max="16134" width="10" style="33" customWidth="1"/>
    <col min="16135" max="16135" width="6.6640625" style="33" customWidth="1"/>
    <col min="16136" max="16136" width="13.33203125" style="33" customWidth="1"/>
    <col min="16137" max="16137" width="12.6640625" style="33" customWidth="1"/>
    <col min="16138" max="16138" width="9.33203125" style="33"/>
    <col min="16139" max="16139" width="11.44140625" style="33" customWidth="1"/>
    <col min="16140" max="16384" width="9.33203125" style="33"/>
  </cols>
  <sheetData>
    <row r="1" spans="1:64" s="35" customFormat="1" ht="19.5" customHeight="1" x14ac:dyDescent="0.3">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5">
      <c r="A2" s="22"/>
      <c r="B2" s="543"/>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3">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3">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3">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0" t="s">
        <v>85</v>
      </c>
      <c r="AW5" s="700" t="s">
        <v>421</v>
      </c>
      <c r="AX5" s="700" t="str">
        <f>M$2</f>
        <v>Z01</v>
      </c>
      <c r="AY5" s="700" t="str">
        <f t="shared" ref="AY5" si="3">N$2</f>
        <v>Z02</v>
      </c>
      <c r="AZ5" s="700" t="str">
        <f t="shared" ref="AZ5" si="4">O$2</f>
        <v>Z03</v>
      </c>
      <c r="BA5" s="700" t="str">
        <f t="shared" ref="BA5" si="5">P$2</f>
        <v>Z04</v>
      </c>
      <c r="BB5" s="700" t="str">
        <f t="shared" ref="BB5" si="6">Q$2</f>
        <v>Z05</v>
      </c>
      <c r="BC5" s="700" t="str">
        <f t="shared" ref="BC5" si="7">R$2</f>
        <v>Z06</v>
      </c>
      <c r="BD5" s="700" t="str">
        <f t="shared" ref="BD5" si="8">S$2</f>
        <v>Z07</v>
      </c>
      <c r="BE5" s="700" t="str">
        <f t="shared" ref="BE5" si="9">T$2</f>
        <v>Z08</v>
      </c>
      <c r="BF5" s="700" t="str">
        <f t="shared" ref="BF5" si="10">U$2</f>
        <v>Z09</v>
      </c>
      <c r="BG5" s="700" t="str">
        <f t="shared" ref="BG5" si="11">V$2</f>
        <v>Z10</v>
      </c>
      <c r="BH5" s="700" t="str">
        <f t="shared" ref="BH5" si="12">W$2</f>
        <v>Z11</v>
      </c>
      <c r="BI5" s="700" t="str">
        <f t="shared" ref="BI5" si="13">X$2</f>
        <v>Z12</v>
      </c>
      <c r="BJ5" s="700" t="str">
        <f t="shared" ref="BJ5" si="14">Y$2</f>
        <v>Z13</v>
      </c>
      <c r="BK5" s="700" t="str">
        <f t="shared" ref="BK5" si="15">Z$2</f>
        <v>Z14</v>
      </c>
      <c r="BL5" s="700" t="str">
        <f t="shared" ref="BL5" si="16">AA$2</f>
        <v>Z15</v>
      </c>
    </row>
    <row r="6" spans="1:64" s="35" customFormat="1" x14ac:dyDescent="0.3">
      <c r="H6" s="36"/>
      <c r="AE6" s="38">
        <f>AE5+5</f>
        <v>2030</v>
      </c>
      <c r="AF6" s="39">
        <v>0.1</v>
      </c>
      <c r="AG6" s="39">
        <v>0.75</v>
      </c>
      <c r="AH6" s="39">
        <v>0.75</v>
      </c>
      <c r="AI6" s="39">
        <v>0.75</v>
      </c>
      <c r="AJ6" s="39">
        <v>0.75</v>
      </c>
      <c r="AK6" s="39">
        <v>0.75</v>
      </c>
      <c r="AL6" s="39">
        <v>0.75</v>
      </c>
      <c r="AM6" s="39">
        <v>0.75</v>
      </c>
      <c r="AV6" s="700"/>
      <c r="AW6" s="700"/>
      <c r="AX6" s="700"/>
      <c r="AY6" s="700"/>
      <c r="AZ6" s="700"/>
      <c r="BA6" s="700"/>
      <c r="BB6" s="700"/>
      <c r="BC6" s="700"/>
      <c r="BD6" s="700"/>
      <c r="BE6" s="700"/>
      <c r="BF6" s="700"/>
      <c r="BG6" s="700"/>
      <c r="BH6" s="700"/>
      <c r="BI6" s="700"/>
      <c r="BJ6" s="700"/>
      <c r="BK6" s="700"/>
      <c r="BL6" s="700"/>
    </row>
    <row r="7" spans="1:64" x14ac:dyDescent="0.3">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0">
        <f>SUM(AX7:BL7)</f>
        <v>0</v>
      </c>
      <c r="AX7" s="703">
        <f>SUM(AX8:AX24)</f>
        <v>0</v>
      </c>
      <c r="AY7" s="703">
        <f t="shared" ref="AY7:BL7" si="17">SUM(AY8:AY24)</f>
        <v>0</v>
      </c>
      <c r="AZ7" s="703">
        <f t="shared" si="17"/>
        <v>0</v>
      </c>
      <c r="BA7" s="703">
        <f t="shared" si="17"/>
        <v>0</v>
      </c>
      <c r="BB7" s="703">
        <f t="shared" si="17"/>
        <v>0</v>
      </c>
      <c r="BC7" s="703">
        <f t="shared" si="17"/>
        <v>0</v>
      </c>
      <c r="BD7" s="703">
        <f t="shared" si="17"/>
        <v>0</v>
      </c>
      <c r="BE7" s="703">
        <f t="shared" si="17"/>
        <v>0</v>
      </c>
      <c r="BF7" s="703">
        <f t="shared" si="17"/>
        <v>0</v>
      </c>
      <c r="BG7" s="703">
        <f t="shared" si="17"/>
        <v>0</v>
      </c>
      <c r="BH7" s="703">
        <f t="shared" si="17"/>
        <v>0</v>
      </c>
      <c r="BI7" s="703">
        <f t="shared" si="17"/>
        <v>0</v>
      </c>
      <c r="BJ7" s="703">
        <f t="shared" si="17"/>
        <v>0</v>
      </c>
      <c r="BK7" s="703">
        <f t="shared" si="17"/>
        <v>0</v>
      </c>
      <c r="BL7" s="703">
        <f t="shared" si="17"/>
        <v>0</v>
      </c>
    </row>
    <row r="8" spans="1:64" x14ac:dyDescent="0.3">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4" t="s">
        <v>987</v>
      </c>
      <c r="AW8" s="725">
        <f t="shared" ref="AW8:AW24" si="19">SUM(AX8:BL8)</f>
        <v>0</v>
      </c>
      <c r="AX8" s="724"/>
      <c r="AY8" s="724"/>
      <c r="AZ8" s="724"/>
      <c r="BA8" s="724"/>
      <c r="BB8" s="724"/>
      <c r="BC8" s="724"/>
      <c r="BD8" s="724"/>
      <c r="BE8" s="724"/>
      <c r="BF8" s="724"/>
      <c r="BG8" s="724"/>
      <c r="BH8" s="724"/>
      <c r="BI8" s="724"/>
      <c r="BJ8" s="724"/>
      <c r="BK8" s="724"/>
      <c r="BL8" s="724"/>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4" t="s">
        <v>993</v>
      </c>
      <c r="AW9" s="725">
        <f t="shared" si="19"/>
        <v>0</v>
      </c>
      <c r="AX9" s="724"/>
      <c r="AY9" s="724"/>
      <c r="AZ9" s="724"/>
      <c r="BA9" s="724"/>
      <c r="BB9" s="724"/>
      <c r="BC9" s="724"/>
      <c r="BD9" s="724"/>
      <c r="BE9" s="724"/>
      <c r="BF9" s="724"/>
      <c r="BG9" s="724"/>
      <c r="BH9" s="724"/>
      <c r="BI9" s="724"/>
      <c r="BJ9" s="724"/>
      <c r="BK9" s="724"/>
      <c r="BL9" s="724"/>
    </row>
    <row r="10" spans="1:64" x14ac:dyDescent="0.3">
      <c r="A10" s="44"/>
      <c r="B10" s="34"/>
      <c r="C10" s="44"/>
      <c r="D10" s="35"/>
      <c r="E10" s="35"/>
      <c r="F10" s="44"/>
      <c r="G10" s="35"/>
      <c r="H10" s="219" t="s">
        <v>400</v>
      </c>
      <c r="I10" s="173" t="str">
        <f>LOOKUP(H10,TRA_Comm!$C$29:$C$90,TRA_Comm!$D$29:$D$90)</f>
        <v>LightElectricVehicle(LEV).Passenger.</v>
      </c>
      <c r="J10" s="173"/>
      <c r="K10" s="173" t="s">
        <v>1117</v>
      </c>
      <c r="L10" s="173" t="s">
        <v>582</v>
      </c>
      <c r="M10" s="550">
        <f>SUMIF(DEMAND_Pkm_Tkm!$C$6:$C$43, $H10, DEMAND_Pkm_Tkm!G$6:G$43)</f>
        <v>0</v>
      </c>
      <c r="N10" s="550">
        <f>SUMIF(DEMAND_Pkm_Tkm!$C$6:$C$43, $H10, DEMAND_Pkm_Tkm!H$6:H$43)</f>
        <v>0</v>
      </c>
      <c r="O10" s="550">
        <f>SUMIF(DEMAND_Pkm_Tkm!$C$6:$C$43, $H10, DEMAND_Pkm_Tkm!I$6:I$43)</f>
        <v>0</v>
      </c>
      <c r="P10" s="550">
        <f>SUMIF(DEMAND_Pkm_Tkm!$C$6:$C$43, $H10, DEMAND_Pkm_Tkm!J$6:J$43)</f>
        <v>0</v>
      </c>
      <c r="Q10" s="550">
        <f>SUMIF(DEMAND_Pkm_Tkm!$C$6:$C$43, $H10, DEMAND_Pkm_Tkm!K$6:K$43)</f>
        <v>0</v>
      </c>
      <c r="R10" s="550">
        <f>SUMIF(DEMAND_Pkm_Tkm!$C$6:$C$43, $H10, DEMAND_Pkm_Tkm!L$6:L$43)</f>
        <v>0</v>
      </c>
      <c r="S10" s="550">
        <f>SUMIF(DEMAND_Pkm_Tkm!$C$6:$C$43, $H10, DEMAND_Pkm_Tkm!M$6:M$43)</f>
        <v>0</v>
      </c>
      <c r="T10" s="550">
        <f>SUMIF(DEMAND_Pkm_Tkm!$C$6:$C$43, $H10, DEMAND_Pkm_Tkm!N$6:N$43)</f>
        <v>0</v>
      </c>
      <c r="U10" s="550">
        <f>SUMIF(DEMAND_Pkm_Tkm!$C$6:$C$43, $H10, DEMAND_Pkm_Tkm!O$6:O$43)</f>
        <v>0</v>
      </c>
      <c r="V10" s="550">
        <f>SUMIF(DEMAND_Pkm_Tkm!$C$6:$C$43, $H10, DEMAND_Pkm_Tkm!P$6:P$43)</f>
        <v>0</v>
      </c>
      <c r="W10" s="550">
        <f>SUMIF(DEMAND_Pkm_Tkm!$C$6:$C$43, $H10, DEMAND_Pkm_Tkm!Q$6:Q$43)</f>
        <v>0</v>
      </c>
      <c r="X10" s="550">
        <f>SUMIF(DEMAND_Pkm_Tkm!$C$6:$C$43, $H10, DEMAND_Pkm_Tkm!R$6:R$43)</f>
        <v>0</v>
      </c>
      <c r="Y10" s="550">
        <f>SUMIF(DEMAND_Pkm_Tkm!$C$6:$C$43, $H10, DEMAND_Pkm_Tkm!S$6:S$43)</f>
        <v>0</v>
      </c>
      <c r="Z10" s="550">
        <f>SUMIF(DEMAND_Pkm_Tkm!$C$6:$C$43, $H10, DEMAND_Pkm_Tkm!T$6:T$43)</f>
        <v>0</v>
      </c>
      <c r="AA10" s="550">
        <f>SUMIF(DEMAND_Pkm_Tkm!$C$6:$C$43, $H10, DEMAND_Pkm_Tkm!U$6:U$43)</f>
        <v>0</v>
      </c>
      <c r="AC10" s="591">
        <f t="shared" ref="AC10:AC17" si="20">SUM(M10:AA10)</f>
        <v>0</v>
      </c>
      <c r="AE10" s="118"/>
      <c r="AF10" s="330"/>
      <c r="AG10" s="330"/>
      <c r="AH10" s="330"/>
      <c r="AI10" s="330"/>
      <c r="AJ10" s="330"/>
      <c r="AK10" s="330"/>
      <c r="AL10" s="330"/>
      <c r="AM10" s="330"/>
      <c r="AN10" s="330"/>
      <c r="AO10" s="330"/>
      <c r="AP10" s="330"/>
      <c r="AQ10" s="330"/>
      <c r="AR10" s="330"/>
      <c r="AS10" s="330"/>
      <c r="AT10" s="330"/>
      <c r="AU10" s="330"/>
      <c r="AV10" s="724" t="s">
        <v>997</v>
      </c>
      <c r="AW10" s="725">
        <f t="shared" si="19"/>
        <v>0</v>
      </c>
      <c r="AX10" s="724"/>
      <c r="AY10" s="724"/>
      <c r="AZ10" s="724"/>
      <c r="BA10" s="724"/>
      <c r="BB10" s="724"/>
      <c r="BC10" s="724"/>
      <c r="BD10" s="724"/>
      <c r="BE10" s="724"/>
      <c r="BF10" s="724"/>
      <c r="BG10" s="724"/>
      <c r="BH10" s="724"/>
      <c r="BI10" s="724"/>
      <c r="BJ10" s="724"/>
      <c r="BK10" s="724"/>
      <c r="BL10" s="724"/>
    </row>
    <row r="11" spans="1:64" x14ac:dyDescent="0.3">
      <c r="A11" s="44"/>
      <c r="B11" s="45"/>
      <c r="C11" s="44"/>
      <c r="D11" s="35"/>
      <c r="E11" s="35"/>
      <c r="F11" s="44"/>
      <c r="G11" s="35"/>
      <c r="H11" s="219" t="s">
        <v>479</v>
      </c>
      <c r="I11" s="173" t="str">
        <f>LOOKUP(H11,TRA_Comm!$C$29:$C$90,TRA_Comm!$D$29:$D$90)</f>
        <v>LightElectricVehicle(LEV).Passenger.City.</v>
      </c>
      <c r="J11" s="173"/>
      <c r="K11" s="173" t="s">
        <v>1117</v>
      </c>
      <c r="L11" s="173" t="s">
        <v>582</v>
      </c>
      <c r="M11" s="550">
        <f>SUMIF(DEMAND_Pkm_Tkm!$C$6:$C$43, $H11, DEMAND_Pkm_Tkm!G$6:G$43)</f>
        <v>0</v>
      </c>
      <c r="N11" s="550">
        <f>SUMIF(DEMAND_Pkm_Tkm!$C$6:$C$43, $H11, DEMAND_Pkm_Tkm!H$6:H$43)</f>
        <v>0</v>
      </c>
      <c r="O11" s="550">
        <f>SUMIF(DEMAND_Pkm_Tkm!$C$6:$C$43, $H11, DEMAND_Pkm_Tkm!I$6:I$43)</f>
        <v>0</v>
      </c>
      <c r="P11" s="550">
        <f>SUMIF(DEMAND_Pkm_Tkm!$C$6:$C$43, $H11, DEMAND_Pkm_Tkm!J$6:J$43)</f>
        <v>0</v>
      </c>
      <c r="Q11" s="550">
        <f>SUMIF(DEMAND_Pkm_Tkm!$C$6:$C$43, $H11, DEMAND_Pkm_Tkm!K$6:K$43)</f>
        <v>0</v>
      </c>
      <c r="R11" s="550">
        <f>SUMIF(DEMAND_Pkm_Tkm!$C$6:$C$43, $H11, DEMAND_Pkm_Tkm!L$6:L$43)</f>
        <v>0</v>
      </c>
      <c r="S11" s="550">
        <f>SUMIF(DEMAND_Pkm_Tkm!$C$6:$C$43, $H11, DEMAND_Pkm_Tkm!M$6:M$43)</f>
        <v>0</v>
      </c>
      <c r="T11" s="550">
        <f>SUMIF(DEMAND_Pkm_Tkm!$C$6:$C$43, $H11, DEMAND_Pkm_Tkm!N$6:N$43)</f>
        <v>0</v>
      </c>
      <c r="U11" s="550">
        <f>SUMIF(DEMAND_Pkm_Tkm!$C$6:$C$43, $H11, DEMAND_Pkm_Tkm!O$6:O$43)</f>
        <v>0</v>
      </c>
      <c r="V11" s="550">
        <f>SUMIF(DEMAND_Pkm_Tkm!$C$6:$C$43, $H11, DEMAND_Pkm_Tkm!P$6:P$43)</f>
        <v>0</v>
      </c>
      <c r="W11" s="550">
        <f>SUMIF(DEMAND_Pkm_Tkm!$C$6:$C$43, $H11, DEMAND_Pkm_Tkm!Q$6:Q$43)</f>
        <v>0</v>
      </c>
      <c r="X11" s="550">
        <f>SUMIF(DEMAND_Pkm_Tkm!$C$6:$C$43, $H11, DEMAND_Pkm_Tkm!R$6:R$43)</f>
        <v>0</v>
      </c>
      <c r="Y11" s="550">
        <f>SUMIF(DEMAND_Pkm_Tkm!$C$6:$C$43, $H11, DEMAND_Pkm_Tkm!S$6:S$43)</f>
        <v>0</v>
      </c>
      <c r="Z11" s="550">
        <f>SUMIF(DEMAND_Pkm_Tkm!$C$6:$C$43, $H11, DEMAND_Pkm_Tkm!T$6:T$43)</f>
        <v>0</v>
      </c>
      <c r="AA11" s="550">
        <f>SUMIF(DEMAND_Pkm_Tkm!$C$6:$C$43, $H11, DEMAND_Pkm_Tkm!U$6:U$43)</f>
        <v>0</v>
      </c>
      <c r="AC11" s="591">
        <f t="shared" si="20"/>
        <v>0</v>
      </c>
      <c r="AD11" s="475"/>
      <c r="AE11" s="46"/>
      <c r="AF11" s="77"/>
      <c r="AG11" s="77"/>
      <c r="AH11" s="77"/>
      <c r="AI11" s="77"/>
      <c r="AJ11" s="77"/>
      <c r="AK11" s="77"/>
      <c r="AL11" s="77"/>
      <c r="AM11" s="77"/>
      <c r="AN11" s="77"/>
      <c r="AO11" s="77"/>
      <c r="AP11" s="77"/>
      <c r="AQ11" s="77"/>
      <c r="AR11" s="77"/>
      <c r="AS11" s="77"/>
      <c r="AT11" s="77"/>
      <c r="AU11" s="77"/>
      <c r="AV11" s="726" t="s">
        <v>999</v>
      </c>
      <c r="AW11" s="725">
        <f t="shared" si="19"/>
        <v>0</v>
      </c>
      <c r="AX11" s="725"/>
      <c r="AY11" s="725"/>
      <c r="AZ11" s="725"/>
      <c r="BA11" s="725"/>
      <c r="BB11" s="725"/>
      <c r="BC11" s="725"/>
      <c r="BD11" s="725"/>
      <c r="BE11" s="725"/>
      <c r="BF11" s="725"/>
      <c r="BG11" s="725"/>
      <c r="BH11" s="725"/>
      <c r="BI11" s="725"/>
      <c r="BJ11" s="725"/>
      <c r="BK11" s="725"/>
      <c r="BL11" s="725"/>
    </row>
    <row r="12" spans="1:64" x14ac:dyDescent="0.3">
      <c r="A12" s="44"/>
      <c r="B12" s="45"/>
      <c r="C12" s="44"/>
      <c r="D12" s="35"/>
      <c r="E12" s="35"/>
      <c r="F12" s="44"/>
      <c r="G12" s="35"/>
      <c r="H12" s="219" t="s">
        <v>394</v>
      </c>
      <c r="I12" s="173" t="str">
        <f>LOOKUP(H12,TRA_Comm!$C$29:$C$90,TRA_Comm!$D$29:$D$90)</f>
        <v>Walking.</v>
      </c>
      <c r="J12" s="173"/>
      <c r="K12" s="173" t="s">
        <v>1117</v>
      </c>
      <c r="L12" s="173" t="s">
        <v>582</v>
      </c>
      <c r="M12" s="550">
        <f>SUMIF(DEMAND_Pkm_Tkm!$C$6:$C$43, $H12, DEMAND_Pkm_Tkm!G$6:G$43)</f>
        <v>0</v>
      </c>
      <c r="N12" s="550">
        <f>SUMIF(DEMAND_Pkm_Tkm!$C$6:$C$43, $H12, DEMAND_Pkm_Tkm!H$6:H$43)</f>
        <v>0</v>
      </c>
      <c r="O12" s="550">
        <f>SUMIF(DEMAND_Pkm_Tkm!$C$6:$C$43, $H12, DEMAND_Pkm_Tkm!I$6:I$43)</f>
        <v>0</v>
      </c>
      <c r="P12" s="550">
        <f>SUMIF(DEMAND_Pkm_Tkm!$C$6:$C$43, $H12, DEMAND_Pkm_Tkm!J$6:J$43)</f>
        <v>0</v>
      </c>
      <c r="Q12" s="550">
        <f>SUMIF(DEMAND_Pkm_Tkm!$C$6:$C$43, $H12, DEMAND_Pkm_Tkm!K$6:K$43)</f>
        <v>0</v>
      </c>
      <c r="R12" s="550">
        <f>SUMIF(DEMAND_Pkm_Tkm!$C$6:$C$43, $H12, DEMAND_Pkm_Tkm!L$6:L$43)</f>
        <v>0</v>
      </c>
      <c r="S12" s="550">
        <f>SUMIF(DEMAND_Pkm_Tkm!$C$6:$C$43, $H12, DEMAND_Pkm_Tkm!M$6:M$43)</f>
        <v>0</v>
      </c>
      <c r="T12" s="550">
        <f>SUMIF(DEMAND_Pkm_Tkm!$C$6:$C$43, $H12, DEMAND_Pkm_Tkm!N$6:N$43)</f>
        <v>0</v>
      </c>
      <c r="U12" s="550">
        <f>SUMIF(DEMAND_Pkm_Tkm!$C$6:$C$43, $H12, DEMAND_Pkm_Tkm!O$6:O$43)</f>
        <v>0</v>
      </c>
      <c r="V12" s="550">
        <f>SUMIF(DEMAND_Pkm_Tkm!$C$6:$C$43, $H12, DEMAND_Pkm_Tkm!P$6:P$43)</f>
        <v>0</v>
      </c>
      <c r="W12" s="550">
        <f>SUMIF(DEMAND_Pkm_Tkm!$C$6:$C$43, $H12, DEMAND_Pkm_Tkm!Q$6:Q$43)</f>
        <v>0</v>
      </c>
      <c r="X12" s="550">
        <f>SUMIF(DEMAND_Pkm_Tkm!$C$6:$C$43, $H12, DEMAND_Pkm_Tkm!R$6:R$43)</f>
        <v>0</v>
      </c>
      <c r="Y12" s="550">
        <f>SUMIF(DEMAND_Pkm_Tkm!$C$6:$C$43, $H12, DEMAND_Pkm_Tkm!S$6:S$43)</f>
        <v>0</v>
      </c>
      <c r="Z12" s="550">
        <f>SUMIF(DEMAND_Pkm_Tkm!$C$6:$C$43, $H12, DEMAND_Pkm_Tkm!T$6:T$43)</f>
        <v>0</v>
      </c>
      <c r="AA12" s="550">
        <f>SUMIF(DEMAND_Pkm_Tkm!$C$6:$C$43, $H12, DEMAND_Pkm_Tkm!U$6:U$43)</f>
        <v>0</v>
      </c>
      <c r="AC12" s="591">
        <f t="shared" si="20"/>
        <v>0</v>
      </c>
      <c r="AD12" s="475"/>
      <c r="AE12" s="46"/>
      <c r="AF12" s="77"/>
      <c r="AG12" s="77"/>
      <c r="AH12" s="77"/>
      <c r="AI12" s="77"/>
      <c r="AJ12" s="77"/>
      <c r="AK12" s="77"/>
      <c r="AL12" s="77"/>
      <c r="AM12" s="77"/>
      <c r="AN12" s="77"/>
      <c r="AO12" s="77"/>
      <c r="AP12" s="77"/>
      <c r="AQ12" s="77"/>
      <c r="AR12" s="77"/>
      <c r="AS12" s="77"/>
      <c r="AT12" s="77"/>
      <c r="AU12" s="77"/>
      <c r="AV12" s="727" t="s">
        <v>185</v>
      </c>
      <c r="AW12" s="725">
        <f t="shared" si="19"/>
        <v>0</v>
      </c>
      <c r="AX12" s="724"/>
      <c r="AY12" s="724"/>
      <c r="AZ12" s="724"/>
      <c r="BA12" s="724"/>
      <c r="BB12" s="724"/>
      <c r="BC12" s="724"/>
      <c r="BD12" s="724"/>
      <c r="BE12" s="724"/>
      <c r="BF12" s="724"/>
      <c r="BG12" s="724"/>
      <c r="BH12" s="724"/>
      <c r="BI12" s="724"/>
      <c r="BJ12" s="724"/>
      <c r="BK12" s="724"/>
      <c r="BL12" s="724"/>
    </row>
    <row r="13" spans="1:64" x14ac:dyDescent="0.3">
      <c r="A13" s="44"/>
      <c r="B13" s="45"/>
      <c r="C13" s="44"/>
      <c r="D13" s="35"/>
      <c r="E13" s="35"/>
      <c r="F13" s="44"/>
      <c r="G13" s="35"/>
      <c r="H13" s="219" t="s">
        <v>470</v>
      </c>
      <c r="I13" s="173" t="str">
        <f>LOOKUP(H13,TRA_Comm!$C$29:$C$90,TRA_Comm!$D$29:$D$90)</f>
        <v>Walking.City.</v>
      </c>
      <c r="J13" s="173"/>
      <c r="K13" s="173" t="s">
        <v>1117</v>
      </c>
      <c r="L13" s="173" t="s">
        <v>582</v>
      </c>
      <c r="M13" s="550">
        <f>SUMIF(DEMAND_Pkm_Tkm!$C$6:$C$43, $H13, DEMAND_Pkm_Tkm!G$6:G$43)</f>
        <v>0</v>
      </c>
      <c r="N13" s="550">
        <f>SUMIF(DEMAND_Pkm_Tkm!$C$6:$C$43, $H13, DEMAND_Pkm_Tkm!H$6:H$43)</f>
        <v>0</v>
      </c>
      <c r="O13" s="550">
        <f>SUMIF(DEMAND_Pkm_Tkm!$C$6:$C$43, $H13, DEMAND_Pkm_Tkm!I$6:I$43)</f>
        <v>0</v>
      </c>
      <c r="P13" s="550">
        <f>SUMIF(DEMAND_Pkm_Tkm!$C$6:$C$43, $H13, DEMAND_Pkm_Tkm!J$6:J$43)</f>
        <v>0</v>
      </c>
      <c r="Q13" s="550">
        <f>SUMIF(DEMAND_Pkm_Tkm!$C$6:$C$43, $H13, DEMAND_Pkm_Tkm!K$6:K$43)</f>
        <v>0</v>
      </c>
      <c r="R13" s="550">
        <f>SUMIF(DEMAND_Pkm_Tkm!$C$6:$C$43, $H13, DEMAND_Pkm_Tkm!L$6:L$43)</f>
        <v>0</v>
      </c>
      <c r="S13" s="550">
        <f>SUMIF(DEMAND_Pkm_Tkm!$C$6:$C$43, $H13, DEMAND_Pkm_Tkm!M$6:M$43)</f>
        <v>0</v>
      </c>
      <c r="T13" s="550">
        <f>SUMIF(DEMAND_Pkm_Tkm!$C$6:$C$43, $H13, DEMAND_Pkm_Tkm!N$6:N$43)</f>
        <v>0</v>
      </c>
      <c r="U13" s="550">
        <f>SUMIF(DEMAND_Pkm_Tkm!$C$6:$C$43, $H13, DEMAND_Pkm_Tkm!O$6:O$43)</f>
        <v>0</v>
      </c>
      <c r="V13" s="550">
        <f>SUMIF(DEMAND_Pkm_Tkm!$C$6:$C$43, $H13, DEMAND_Pkm_Tkm!P$6:P$43)</f>
        <v>0</v>
      </c>
      <c r="W13" s="550">
        <f>SUMIF(DEMAND_Pkm_Tkm!$C$6:$C$43, $H13, DEMAND_Pkm_Tkm!Q$6:Q$43)</f>
        <v>0</v>
      </c>
      <c r="X13" s="550">
        <f>SUMIF(DEMAND_Pkm_Tkm!$C$6:$C$43, $H13, DEMAND_Pkm_Tkm!R$6:R$43)</f>
        <v>0</v>
      </c>
      <c r="Y13" s="550">
        <f>SUMIF(DEMAND_Pkm_Tkm!$C$6:$C$43, $H13, DEMAND_Pkm_Tkm!S$6:S$43)</f>
        <v>0</v>
      </c>
      <c r="Z13" s="550">
        <f>SUMIF(DEMAND_Pkm_Tkm!$C$6:$C$43, $H13, DEMAND_Pkm_Tkm!T$6:T$43)</f>
        <v>0</v>
      </c>
      <c r="AA13" s="550">
        <f>SUMIF(DEMAND_Pkm_Tkm!$C$6:$C$43, $H13, DEMAND_Pkm_Tkm!U$6:U$43)</f>
        <v>0</v>
      </c>
      <c r="AC13" s="591">
        <f t="shared" si="20"/>
        <v>0</v>
      </c>
      <c r="AD13" s="475"/>
      <c r="AE13" s="46"/>
      <c r="AF13" s="77"/>
      <c r="AG13" s="77"/>
      <c r="AH13" s="77"/>
      <c r="AI13" s="77"/>
      <c r="AJ13" s="77"/>
      <c r="AK13" s="77"/>
      <c r="AL13" s="77"/>
      <c r="AM13" s="77"/>
      <c r="AN13" s="77"/>
      <c r="AO13" s="77"/>
      <c r="AP13" s="77"/>
      <c r="AQ13" s="77"/>
      <c r="AR13" s="77"/>
      <c r="AS13" s="77"/>
      <c r="AT13" s="77"/>
      <c r="AU13" s="77"/>
      <c r="AV13" s="727" t="s">
        <v>682</v>
      </c>
      <c r="AW13" s="725">
        <f t="shared" si="19"/>
        <v>0</v>
      </c>
      <c r="AX13" s="728">
        <f>AX32+AX66+AX85+AX119</f>
        <v>0</v>
      </c>
      <c r="AY13" s="728">
        <f t="shared" ref="AY13:BL13" si="21">AY32+AY66+AY85+AY119</f>
        <v>0</v>
      </c>
      <c r="AZ13" s="728">
        <f t="shared" si="21"/>
        <v>0</v>
      </c>
      <c r="BA13" s="728">
        <f t="shared" si="21"/>
        <v>0</v>
      </c>
      <c r="BB13" s="728">
        <f t="shared" si="21"/>
        <v>0</v>
      </c>
      <c r="BC13" s="728">
        <f t="shared" si="21"/>
        <v>0</v>
      </c>
      <c r="BD13" s="728">
        <f t="shared" si="21"/>
        <v>0</v>
      </c>
      <c r="BE13" s="728">
        <f t="shared" si="21"/>
        <v>0</v>
      </c>
      <c r="BF13" s="728">
        <f t="shared" si="21"/>
        <v>0</v>
      </c>
      <c r="BG13" s="728">
        <f t="shared" si="21"/>
        <v>0</v>
      </c>
      <c r="BH13" s="728">
        <f t="shared" si="21"/>
        <v>0</v>
      </c>
      <c r="BI13" s="728">
        <f t="shared" si="21"/>
        <v>0</v>
      </c>
      <c r="BJ13" s="728">
        <f t="shared" si="21"/>
        <v>0</v>
      </c>
      <c r="BK13" s="728">
        <f t="shared" si="21"/>
        <v>0</v>
      </c>
      <c r="BL13" s="728">
        <f t="shared" si="21"/>
        <v>0</v>
      </c>
    </row>
    <row r="14" spans="1:64" x14ac:dyDescent="0.3">
      <c r="A14" s="44"/>
      <c r="B14" s="45"/>
      <c r="C14" s="44"/>
      <c r="D14" s="35"/>
      <c r="E14" s="35"/>
      <c r="F14" s="44"/>
      <c r="G14" s="35"/>
      <c r="H14" s="219" t="s">
        <v>398</v>
      </c>
      <c r="I14" s="173" t="str">
        <f>LOOKUP(H14,TRA_Comm!$C$29:$C$90,TRA_Comm!$D$29:$D$90)</f>
        <v>BicYcle.Electric.Passenger.</v>
      </c>
      <c r="J14" s="173"/>
      <c r="K14" s="173" t="s">
        <v>1117</v>
      </c>
      <c r="L14" s="173" t="s">
        <v>582</v>
      </c>
      <c r="M14" s="550">
        <f>SUMIF(DEMAND_Pkm_Tkm!$C$6:$C$43, $H14, DEMAND_Pkm_Tkm!G$6:G$43)</f>
        <v>0</v>
      </c>
      <c r="N14" s="550">
        <f>SUMIF(DEMAND_Pkm_Tkm!$C$6:$C$43, $H14, DEMAND_Pkm_Tkm!H$6:H$43)</f>
        <v>0</v>
      </c>
      <c r="O14" s="550">
        <f>SUMIF(DEMAND_Pkm_Tkm!$C$6:$C$43, $H14, DEMAND_Pkm_Tkm!I$6:I$43)</f>
        <v>0</v>
      </c>
      <c r="P14" s="550">
        <f>SUMIF(DEMAND_Pkm_Tkm!$C$6:$C$43, $H14, DEMAND_Pkm_Tkm!J$6:J$43)</f>
        <v>0</v>
      </c>
      <c r="Q14" s="550">
        <f>SUMIF(DEMAND_Pkm_Tkm!$C$6:$C$43, $H14, DEMAND_Pkm_Tkm!K$6:K$43)</f>
        <v>0</v>
      </c>
      <c r="R14" s="550">
        <f>SUMIF(DEMAND_Pkm_Tkm!$C$6:$C$43, $H14, DEMAND_Pkm_Tkm!L$6:L$43)</f>
        <v>0</v>
      </c>
      <c r="S14" s="550">
        <f>SUMIF(DEMAND_Pkm_Tkm!$C$6:$C$43, $H14, DEMAND_Pkm_Tkm!M$6:M$43)</f>
        <v>0</v>
      </c>
      <c r="T14" s="550">
        <f>SUMIF(DEMAND_Pkm_Tkm!$C$6:$C$43, $H14, DEMAND_Pkm_Tkm!N$6:N$43)</f>
        <v>0</v>
      </c>
      <c r="U14" s="550">
        <f>SUMIF(DEMAND_Pkm_Tkm!$C$6:$C$43, $H14, DEMAND_Pkm_Tkm!O$6:O$43)</f>
        <v>0</v>
      </c>
      <c r="V14" s="550">
        <f>SUMIF(DEMAND_Pkm_Tkm!$C$6:$C$43, $H14, DEMAND_Pkm_Tkm!P$6:P$43)</f>
        <v>0</v>
      </c>
      <c r="W14" s="550">
        <f>SUMIF(DEMAND_Pkm_Tkm!$C$6:$C$43, $H14, DEMAND_Pkm_Tkm!Q$6:Q$43)</f>
        <v>0</v>
      </c>
      <c r="X14" s="550">
        <f>SUMIF(DEMAND_Pkm_Tkm!$C$6:$C$43, $H14, DEMAND_Pkm_Tkm!R$6:R$43)</f>
        <v>0</v>
      </c>
      <c r="Y14" s="550">
        <f>SUMIF(DEMAND_Pkm_Tkm!$C$6:$C$43, $H14, DEMAND_Pkm_Tkm!S$6:S$43)</f>
        <v>0</v>
      </c>
      <c r="Z14" s="550">
        <f>SUMIF(DEMAND_Pkm_Tkm!$C$6:$C$43, $H14, DEMAND_Pkm_Tkm!T$6:T$43)</f>
        <v>0</v>
      </c>
      <c r="AA14" s="550">
        <f>SUMIF(DEMAND_Pkm_Tkm!$C$6:$C$43, $H14, DEMAND_Pkm_Tkm!U$6:U$43)</f>
        <v>0</v>
      </c>
      <c r="AC14" s="591">
        <f t="shared" si="20"/>
        <v>0</v>
      </c>
      <c r="AD14" s="475"/>
      <c r="AE14" s="46"/>
      <c r="AF14" s="77"/>
      <c r="AG14" s="77"/>
      <c r="AH14" s="77"/>
      <c r="AI14" s="77"/>
      <c r="AJ14" s="77"/>
      <c r="AK14" s="77"/>
      <c r="AL14" s="77"/>
      <c r="AM14" s="77"/>
      <c r="AN14" s="77"/>
      <c r="AO14" s="77"/>
      <c r="AP14" s="77"/>
      <c r="AQ14" s="77"/>
      <c r="AR14" s="77"/>
      <c r="AS14" s="77"/>
      <c r="AT14" s="77"/>
      <c r="AU14" s="77"/>
      <c r="AV14" s="727" t="s">
        <v>1009</v>
      </c>
      <c r="AW14" s="725">
        <f t="shared" si="19"/>
        <v>0</v>
      </c>
      <c r="AX14" s="724"/>
      <c r="AY14" s="724"/>
      <c r="AZ14" s="724"/>
      <c r="BA14" s="724"/>
      <c r="BB14" s="724"/>
      <c r="BC14" s="724"/>
      <c r="BD14" s="724"/>
      <c r="BE14" s="724"/>
      <c r="BF14" s="724"/>
      <c r="BG14" s="724"/>
      <c r="BH14" s="724"/>
      <c r="BI14" s="724"/>
      <c r="BJ14" s="724"/>
      <c r="BK14" s="724"/>
      <c r="BL14" s="724"/>
    </row>
    <row r="15" spans="1:64" x14ac:dyDescent="0.3">
      <c r="A15" s="44"/>
      <c r="B15" s="44"/>
      <c r="C15" s="44"/>
      <c r="D15" s="35"/>
      <c r="E15" s="35"/>
      <c r="F15" s="44"/>
      <c r="G15" s="35"/>
      <c r="H15" s="219" t="s">
        <v>473</v>
      </c>
      <c r="I15" s="173" t="str">
        <f>LOOKUP(H15,TRA_Comm!$C$29:$C$90,TRA_Comm!$D$29:$D$90)</f>
        <v>BicYcle.Electric.Passenger.City.</v>
      </c>
      <c r="J15" s="173"/>
      <c r="K15" s="173" t="s">
        <v>1117</v>
      </c>
      <c r="L15" s="173" t="s">
        <v>582</v>
      </c>
      <c r="M15" s="550">
        <f>SUMIF(DEMAND_Pkm_Tkm!$C$6:$C$43, $H15, DEMAND_Pkm_Tkm!G$6:G$43)</f>
        <v>0</v>
      </c>
      <c r="N15" s="550">
        <f>SUMIF(DEMAND_Pkm_Tkm!$C$6:$C$43, $H15, DEMAND_Pkm_Tkm!H$6:H$43)</f>
        <v>0</v>
      </c>
      <c r="O15" s="550">
        <f>SUMIF(DEMAND_Pkm_Tkm!$C$6:$C$43, $H15, DEMAND_Pkm_Tkm!I$6:I$43)</f>
        <v>0</v>
      </c>
      <c r="P15" s="550">
        <f>SUMIF(DEMAND_Pkm_Tkm!$C$6:$C$43, $H15, DEMAND_Pkm_Tkm!J$6:J$43)</f>
        <v>0</v>
      </c>
      <c r="Q15" s="550">
        <f>SUMIF(DEMAND_Pkm_Tkm!$C$6:$C$43, $H15, DEMAND_Pkm_Tkm!K$6:K$43)</f>
        <v>0</v>
      </c>
      <c r="R15" s="550">
        <f>SUMIF(DEMAND_Pkm_Tkm!$C$6:$C$43, $H15, DEMAND_Pkm_Tkm!L$6:L$43)</f>
        <v>0</v>
      </c>
      <c r="S15" s="550">
        <f>SUMIF(DEMAND_Pkm_Tkm!$C$6:$C$43, $H15, DEMAND_Pkm_Tkm!M$6:M$43)</f>
        <v>0</v>
      </c>
      <c r="T15" s="550">
        <f>SUMIF(DEMAND_Pkm_Tkm!$C$6:$C$43, $H15, DEMAND_Pkm_Tkm!N$6:N$43)</f>
        <v>0</v>
      </c>
      <c r="U15" s="550">
        <f>SUMIF(DEMAND_Pkm_Tkm!$C$6:$C$43, $H15, DEMAND_Pkm_Tkm!O$6:O$43)</f>
        <v>0</v>
      </c>
      <c r="V15" s="550">
        <f>SUMIF(DEMAND_Pkm_Tkm!$C$6:$C$43, $H15, DEMAND_Pkm_Tkm!P$6:P$43)</f>
        <v>0</v>
      </c>
      <c r="W15" s="550">
        <f>SUMIF(DEMAND_Pkm_Tkm!$C$6:$C$43, $H15, DEMAND_Pkm_Tkm!Q$6:Q$43)</f>
        <v>0</v>
      </c>
      <c r="X15" s="550">
        <f>SUMIF(DEMAND_Pkm_Tkm!$C$6:$C$43, $H15, DEMAND_Pkm_Tkm!R$6:R$43)</f>
        <v>0</v>
      </c>
      <c r="Y15" s="550">
        <f>SUMIF(DEMAND_Pkm_Tkm!$C$6:$C$43, $H15, DEMAND_Pkm_Tkm!S$6:S$43)</f>
        <v>0</v>
      </c>
      <c r="Z15" s="550">
        <f>SUMIF(DEMAND_Pkm_Tkm!$C$6:$C$43, $H15, DEMAND_Pkm_Tkm!T$6:T$43)</f>
        <v>0</v>
      </c>
      <c r="AA15" s="550">
        <f>SUMIF(DEMAND_Pkm_Tkm!$C$6:$C$43, $H15, DEMAND_Pkm_Tkm!U$6:U$43)</f>
        <v>0</v>
      </c>
      <c r="AC15" s="591">
        <f t="shared" si="20"/>
        <v>0</v>
      </c>
      <c r="AD15" s="475"/>
      <c r="AE15" s="46"/>
      <c r="AF15" s="77"/>
      <c r="AG15" s="77"/>
      <c r="AH15" s="77"/>
      <c r="AI15" s="77"/>
      <c r="AJ15" s="77"/>
      <c r="AK15" s="77"/>
      <c r="AL15" s="77"/>
      <c r="AM15" s="77"/>
      <c r="AN15" s="77"/>
      <c r="AO15" s="77"/>
      <c r="AP15" s="77"/>
      <c r="AQ15" s="77"/>
      <c r="AR15" s="77"/>
      <c r="AS15" s="77"/>
      <c r="AT15" s="77"/>
      <c r="AU15" s="77"/>
      <c r="AV15" s="727" t="s">
        <v>1011</v>
      </c>
      <c r="AW15" s="725">
        <f t="shared" si="19"/>
        <v>0</v>
      </c>
      <c r="AX15" s="724"/>
      <c r="AY15" s="724"/>
      <c r="AZ15" s="724"/>
      <c r="BA15" s="724"/>
      <c r="BB15" s="724"/>
      <c r="BC15" s="724"/>
      <c r="BD15" s="724"/>
      <c r="BE15" s="724"/>
      <c r="BF15" s="724"/>
      <c r="BG15" s="724"/>
      <c r="BH15" s="724"/>
      <c r="BI15" s="724"/>
      <c r="BJ15" s="724"/>
      <c r="BK15" s="724"/>
      <c r="BL15" s="724"/>
    </row>
    <row r="16" spans="1:64" x14ac:dyDescent="0.3">
      <c r="A16" s="44"/>
      <c r="B16" s="44"/>
      <c r="C16" s="44"/>
      <c r="D16" s="35"/>
      <c r="E16" s="35"/>
      <c r="F16" s="44"/>
      <c r="G16" s="35"/>
      <c r="H16" s="219" t="s">
        <v>396</v>
      </c>
      <c r="I16" s="173" t="str">
        <f>LOOKUP(H16,TRA_Comm!$C$29:$C$90,TRA_Comm!$D$29:$D$90)</f>
        <v>BicYcle.Passenger.</v>
      </c>
      <c r="J16" s="173"/>
      <c r="K16" s="173" t="s">
        <v>1117</v>
      </c>
      <c r="L16" s="173" t="s">
        <v>582</v>
      </c>
      <c r="M16" s="550">
        <f>SUMIF(DEMAND_Pkm_Tkm!$C$6:$C$43, $H16, DEMAND_Pkm_Tkm!G$6:G$43)</f>
        <v>0</v>
      </c>
      <c r="N16" s="550">
        <f>SUMIF(DEMAND_Pkm_Tkm!$C$6:$C$43, $H16, DEMAND_Pkm_Tkm!H$6:H$43)</f>
        <v>0</v>
      </c>
      <c r="O16" s="550">
        <f>SUMIF(DEMAND_Pkm_Tkm!$C$6:$C$43, $H16, DEMAND_Pkm_Tkm!I$6:I$43)</f>
        <v>0</v>
      </c>
      <c r="P16" s="550">
        <f>SUMIF(DEMAND_Pkm_Tkm!$C$6:$C$43, $H16, DEMAND_Pkm_Tkm!J$6:J$43)</f>
        <v>0</v>
      </c>
      <c r="Q16" s="550">
        <f>SUMIF(DEMAND_Pkm_Tkm!$C$6:$C$43, $H16, DEMAND_Pkm_Tkm!K$6:K$43)</f>
        <v>0</v>
      </c>
      <c r="R16" s="550">
        <f>SUMIF(DEMAND_Pkm_Tkm!$C$6:$C$43, $H16, DEMAND_Pkm_Tkm!L$6:L$43)</f>
        <v>0</v>
      </c>
      <c r="S16" s="550">
        <f>SUMIF(DEMAND_Pkm_Tkm!$C$6:$C$43, $H16, DEMAND_Pkm_Tkm!M$6:M$43)</f>
        <v>0</v>
      </c>
      <c r="T16" s="550">
        <f>SUMIF(DEMAND_Pkm_Tkm!$C$6:$C$43, $H16, DEMAND_Pkm_Tkm!N$6:N$43)</f>
        <v>0</v>
      </c>
      <c r="U16" s="550">
        <f>SUMIF(DEMAND_Pkm_Tkm!$C$6:$C$43, $H16, DEMAND_Pkm_Tkm!O$6:O$43)</f>
        <v>0</v>
      </c>
      <c r="V16" s="550">
        <f>SUMIF(DEMAND_Pkm_Tkm!$C$6:$C$43, $H16, DEMAND_Pkm_Tkm!P$6:P$43)</f>
        <v>0</v>
      </c>
      <c r="W16" s="550">
        <f>SUMIF(DEMAND_Pkm_Tkm!$C$6:$C$43, $H16, DEMAND_Pkm_Tkm!Q$6:Q$43)</f>
        <v>0</v>
      </c>
      <c r="X16" s="550">
        <f>SUMIF(DEMAND_Pkm_Tkm!$C$6:$C$43, $H16, DEMAND_Pkm_Tkm!R$6:R$43)</f>
        <v>0</v>
      </c>
      <c r="Y16" s="550">
        <f>SUMIF(DEMAND_Pkm_Tkm!$C$6:$C$43, $H16, DEMAND_Pkm_Tkm!S$6:S$43)</f>
        <v>0</v>
      </c>
      <c r="Z16" s="550">
        <f>SUMIF(DEMAND_Pkm_Tkm!$C$6:$C$43, $H16, DEMAND_Pkm_Tkm!T$6:T$43)</f>
        <v>0</v>
      </c>
      <c r="AA16" s="550">
        <f>SUMIF(DEMAND_Pkm_Tkm!$C$6:$C$43, $H16, DEMAND_Pkm_Tkm!U$6:U$43)</f>
        <v>0</v>
      </c>
      <c r="AC16" s="591">
        <f t="shared" si="20"/>
        <v>0</v>
      </c>
      <c r="AD16" s="475"/>
      <c r="AE16" s="46"/>
      <c r="AF16" s="77"/>
      <c r="AG16" s="77"/>
      <c r="AH16" s="77"/>
      <c r="AI16" s="77"/>
      <c r="AJ16" s="77"/>
      <c r="AK16" s="77"/>
      <c r="AL16" s="77"/>
      <c r="AM16" s="77"/>
      <c r="AN16" s="77"/>
      <c r="AO16" s="77"/>
      <c r="AP16" s="77"/>
      <c r="AQ16" s="77"/>
      <c r="AR16" s="77"/>
      <c r="AS16" s="77"/>
      <c r="AT16" s="77"/>
      <c r="AU16" s="77"/>
      <c r="AV16" s="727" t="s">
        <v>1013</v>
      </c>
      <c r="AW16" s="725">
        <f t="shared" si="19"/>
        <v>0</v>
      </c>
      <c r="AX16" s="724"/>
      <c r="AY16" s="724"/>
      <c r="AZ16" s="724"/>
      <c r="BA16" s="724"/>
      <c r="BB16" s="724"/>
      <c r="BC16" s="724"/>
      <c r="BD16" s="724"/>
      <c r="BE16" s="724"/>
      <c r="BF16" s="724"/>
      <c r="BG16" s="724"/>
      <c r="BH16" s="724"/>
      <c r="BI16" s="724"/>
      <c r="BJ16" s="724"/>
      <c r="BK16" s="724"/>
      <c r="BL16" s="724"/>
    </row>
    <row r="17" spans="1:64" x14ac:dyDescent="0.3">
      <c r="A17" s="44"/>
      <c r="B17" s="44"/>
      <c r="C17" s="44"/>
      <c r="D17" s="35"/>
      <c r="E17" s="35"/>
      <c r="F17" s="44"/>
      <c r="G17" s="35"/>
      <c r="H17" s="219" t="s">
        <v>476</v>
      </c>
      <c r="I17" s="173" t="str">
        <f>LOOKUP(H17,TRA_Comm!$C$29:$C$90,TRA_Comm!$D$29:$D$90)</f>
        <v>BicYcle.Passenger.City.</v>
      </c>
      <c r="J17" s="173"/>
      <c r="K17" s="173" t="s">
        <v>1117</v>
      </c>
      <c r="L17" s="173" t="s">
        <v>582</v>
      </c>
      <c r="M17" s="550">
        <f>SUMIF(DEMAND_Pkm_Tkm!$C$6:$C$43, $H17, DEMAND_Pkm_Tkm!G$6:G$43)</f>
        <v>0</v>
      </c>
      <c r="N17" s="550">
        <f>SUMIF(DEMAND_Pkm_Tkm!$C$6:$C$43, $H17, DEMAND_Pkm_Tkm!H$6:H$43)</f>
        <v>0</v>
      </c>
      <c r="O17" s="550">
        <f>SUMIF(DEMAND_Pkm_Tkm!$C$6:$C$43, $H17, DEMAND_Pkm_Tkm!I$6:I$43)</f>
        <v>0</v>
      </c>
      <c r="P17" s="550">
        <f>SUMIF(DEMAND_Pkm_Tkm!$C$6:$C$43, $H17, DEMAND_Pkm_Tkm!J$6:J$43)</f>
        <v>0</v>
      </c>
      <c r="Q17" s="550">
        <f>SUMIF(DEMAND_Pkm_Tkm!$C$6:$C$43, $H17, DEMAND_Pkm_Tkm!K$6:K$43)</f>
        <v>0</v>
      </c>
      <c r="R17" s="550">
        <f>SUMIF(DEMAND_Pkm_Tkm!$C$6:$C$43, $H17, DEMAND_Pkm_Tkm!L$6:L$43)</f>
        <v>0</v>
      </c>
      <c r="S17" s="550">
        <f>SUMIF(DEMAND_Pkm_Tkm!$C$6:$C$43, $H17, DEMAND_Pkm_Tkm!M$6:M$43)</f>
        <v>0</v>
      </c>
      <c r="T17" s="550">
        <f>SUMIF(DEMAND_Pkm_Tkm!$C$6:$C$43, $H17, DEMAND_Pkm_Tkm!N$6:N$43)</f>
        <v>0</v>
      </c>
      <c r="U17" s="550">
        <f>SUMIF(DEMAND_Pkm_Tkm!$C$6:$C$43, $H17, DEMAND_Pkm_Tkm!O$6:O$43)</f>
        <v>0</v>
      </c>
      <c r="V17" s="550">
        <f>SUMIF(DEMAND_Pkm_Tkm!$C$6:$C$43, $H17, DEMAND_Pkm_Tkm!P$6:P$43)</f>
        <v>0</v>
      </c>
      <c r="W17" s="550">
        <f>SUMIF(DEMAND_Pkm_Tkm!$C$6:$C$43, $H17, DEMAND_Pkm_Tkm!Q$6:Q$43)</f>
        <v>0</v>
      </c>
      <c r="X17" s="550">
        <f>SUMIF(DEMAND_Pkm_Tkm!$C$6:$C$43, $H17, DEMAND_Pkm_Tkm!R$6:R$43)</f>
        <v>0</v>
      </c>
      <c r="Y17" s="550">
        <f>SUMIF(DEMAND_Pkm_Tkm!$C$6:$C$43, $H17, DEMAND_Pkm_Tkm!S$6:S$43)</f>
        <v>0</v>
      </c>
      <c r="Z17" s="550">
        <f>SUMIF(DEMAND_Pkm_Tkm!$C$6:$C$43, $H17, DEMAND_Pkm_Tkm!T$6:T$43)</f>
        <v>0</v>
      </c>
      <c r="AA17" s="550">
        <f>SUMIF(DEMAND_Pkm_Tkm!$C$6:$C$43, $H17, DEMAND_Pkm_Tkm!U$6:U$43)</f>
        <v>0</v>
      </c>
      <c r="AC17" s="591">
        <f t="shared" si="20"/>
        <v>0</v>
      </c>
      <c r="AD17" s="475"/>
      <c r="AE17" s="46"/>
      <c r="AF17" s="77"/>
      <c r="AG17" s="77"/>
      <c r="AH17" s="77"/>
      <c r="AI17" s="77"/>
      <c r="AJ17" s="77"/>
      <c r="AK17" s="77"/>
      <c r="AL17" s="77"/>
      <c r="AM17" s="77"/>
      <c r="AN17" s="77"/>
      <c r="AO17" s="77"/>
      <c r="AP17" s="77"/>
      <c r="AQ17" s="77"/>
      <c r="AR17" s="77"/>
      <c r="AS17" s="77"/>
      <c r="AT17" s="77"/>
      <c r="AU17" s="77"/>
      <c r="AV17" s="727" t="s">
        <v>1015</v>
      </c>
      <c r="AW17" s="725">
        <f t="shared" si="19"/>
        <v>0</v>
      </c>
      <c r="AX17" s="724"/>
      <c r="AY17" s="724"/>
      <c r="AZ17" s="724"/>
      <c r="BA17" s="724"/>
      <c r="BB17" s="724"/>
      <c r="BC17" s="724"/>
      <c r="BD17" s="724"/>
      <c r="BE17" s="724"/>
      <c r="BF17" s="724"/>
      <c r="BG17" s="724"/>
      <c r="BH17" s="724"/>
      <c r="BI17" s="724"/>
      <c r="BJ17" s="724"/>
      <c r="BK17" s="724"/>
      <c r="BL17" s="724"/>
    </row>
    <row r="18" spans="1:64" x14ac:dyDescent="0.3">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7" t="s">
        <v>1022</v>
      </c>
      <c r="AW18" s="725">
        <f t="shared" si="19"/>
        <v>0</v>
      </c>
      <c r="AX18" s="724"/>
      <c r="AY18" s="724"/>
      <c r="AZ18" s="724"/>
      <c r="BA18" s="724"/>
      <c r="BB18" s="724"/>
      <c r="BC18" s="724"/>
      <c r="BD18" s="724"/>
      <c r="BE18" s="724"/>
      <c r="BF18" s="724"/>
      <c r="BG18" s="724"/>
      <c r="BH18" s="724"/>
      <c r="BI18" s="724"/>
      <c r="BJ18" s="724"/>
      <c r="BK18" s="724"/>
      <c r="BL18" s="724"/>
    </row>
    <row r="19" spans="1:64" x14ac:dyDescent="0.3">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4" t="s">
        <v>680</v>
      </c>
      <c r="AW19" s="725">
        <f t="shared" si="19"/>
        <v>0</v>
      </c>
      <c r="AX19" s="728">
        <f>AX31+AX44+AX55+AX84+AX97+AX108</f>
        <v>0</v>
      </c>
      <c r="AY19" s="728">
        <f t="shared" ref="AY19:BL19" si="22">AY31+AY44+AY55+AY84+AY97+AY108</f>
        <v>0</v>
      </c>
      <c r="AZ19" s="728">
        <f t="shared" si="22"/>
        <v>0</v>
      </c>
      <c r="BA19" s="728">
        <f t="shared" si="22"/>
        <v>0</v>
      </c>
      <c r="BB19" s="728">
        <f t="shared" si="22"/>
        <v>0</v>
      </c>
      <c r="BC19" s="728">
        <f t="shared" si="22"/>
        <v>0</v>
      </c>
      <c r="BD19" s="728">
        <f t="shared" si="22"/>
        <v>0</v>
      </c>
      <c r="BE19" s="728">
        <f t="shared" si="22"/>
        <v>0</v>
      </c>
      <c r="BF19" s="728">
        <f t="shared" si="22"/>
        <v>0</v>
      </c>
      <c r="BG19" s="728">
        <f t="shared" si="22"/>
        <v>0</v>
      </c>
      <c r="BH19" s="728">
        <f t="shared" si="22"/>
        <v>0</v>
      </c>
      <c r="BI19" s="728">
        <f t="shared" si="22"/>
        <v>0</v>
      </c>
      <c r="BJ19" s="728">
        <f t="shared" si="22"/>
        <v>0</v>
      </c>
      <c r="BK19" s="728">
        <f t="shared" si="22"/>
        <v>0</v>
      </c>
      <c r="BL19" s="728">
        <f t="shared" si="22"/>
        <v>0</v>
      </c>
    </row>
    <row r="20" spans="1:64" x14ac:dyDescent="0.3">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4" t="s">
        <v>1028</v>
      </c>
      <c r="AW20" s="725">
        <f t="shared" si="19"/>
        <v>0</v>
      </c>
      <c r="AX20" s="724"/>
      <c r="AY20" s="724"/>
      <c r="AZ20" s="724"/>
      <c r="BA20" s="724"/>
      <c r="BB20" s="724"/>
      <c r="BC20" s="724"/>
      <c r="BD20" s="724"/>
      <c r="BE20" s="724"/>
      <c r="BF20" s="724"/>
      <c r="BG20" s="724"/>
      <c r="BH20" s="724"/>
      <c r="BI20" s="724"/>
      <c r="BJ20" s="724"/>
      <c r="BK20" s="724"/>
      <c r="BL20" s="724"/>
    </row>
    <row r="21" spans="1:64" x14ac:dyDescent="0.3">
      <c r="A21" s="44"/>
      <c r="B21" s="44"/>
      <c r="C21" s="44"/>
      <c r="D21" s="35"/>
      <c r="E21" s="35"/>
      <c r="F21" s="44"/>
      <c r="G21" s="35"/>
      <c r="H21" s="35"/>
      <c r="I21" s="35"/>
      <c r="J21" s="35"/>
      <c r="K21" s="35"/>
      <c r="L21" s="186" t="s">
        <v>1119</v>
      </c>
      <c r="M21" s="560">
        <f>T_ACTFLO!E12</f>
        <v>0</v>
      </c>
      <c r="N21" s="560">
        <f>T_ACTFLO!F12</f>
        <v>0</v>
      </c>
      <c r="O21" s="560">
        <f>T_ACTFLO!G12</f>
        <v>0</v>
      </c>
      <c r="P21" s="560">
        <f>T_ACTFLO!H12</f>
        <v>0</v>
      </c>
      <c r="Q21" s="560">
        <f>T_ACTFLO!I12</f>
        <v>0</v>
      </c>
      <c r="R21" s="560">
        <f>T_ACTFLO!J12</f>
        <v>0</v>
      </c>
      <c r="S21" s="560">
        <f>T_ACTFLO!K12</f>
        <v>0</v>
      </c>
      <c r="T21" s="560">
        <f>T_ACTFLO!L12</f>
        <v>0</v>
      </c>
      <c r="U21" s="560">
        <f>T_ACTFLO!M12</f>
        <v>0</v>
      </c>
      <c r="V21" s="560">
        <f>T_ACTFLO!N12</f>
        <v>0</v>
      </c>
      <c r="W21" s="560">
        <f>T_ACTFLO!O12</f>
        <v>0</v>
      </c>
      <c r="X21" s="560">
        <f>T_ACTFLO!P12</f>
        <v>0</v>
      </c>
      <c r="Y21" s="560">
        <f>T_ACTFLO!Q12</f>
        <v>0</v>
      </c>
      <c r="Z21" s="560">
        <f>T_ACTFLO!R12</f>
        <v>0</v>
      </c>
      <c r="AA21" s="560">
        <f>T_ACTFLO!S12</f>
        <v>0</v>
      </c>
      <c r="AB21" s="372"/>
      <c r="AV21" s="724" t="s">
        <v>1030</v>
      </c>
      <c r="AW21" s="725">
        <f t="shared" si="19"/>
        <v>0</v>
      </c>
      <c r="AX21" s="724"/>
      <c r="AY21" s="724"/>
      <c r="AZ21" s="724"/>
      <c r="BA21" s="724"/>
      <c r="BB21" s="724"/>
      <c r="BC21" s="724"/>
      <c r="BD21" s="724"/>
      <c r="BE21" s="724"/>
      <c r="BF21" s="724"/>
      <c r="BG21" s="724"/>
      <c r="BH21" s="724"/>
      <c r="BI21" s="724"/>
      <c r="BJ21" s="724"/>
      <c r="BK21" s="724"/>
      <c r="BL21" s="724"/>
    </row>
    <row r="22" spans="1:64" x14ac:dyDescent="0.3">
      <c r="A22" s="44"/>
      <c r="B22" s="44"/>
      <c r="C22" s="44"/>
      <c r="D22" s="35"/>
      <c r="E22" s="35"/>
      <c r="F22" s="44"/>
      <c r="G22" s="35"/>
      <c r="H22" s="35"/>
      <c r="I22" s="35"/>
      <c r="J22" s="35"/>
      <c r="K22" s="35"/>
      <c r="L22" s="186" t="s">
        <v>1120</v>
      </c>
      <c r="M22" s="560">
        <f>T_ACTFLO!E10</f>
        <v>0</v>
      </c>
      <c r="N22" s="560">
        <f>T_ACTFLO!F10</f>
        <v>0</v>
      </c>
      <c r="O22" s="560">
        <f>T_ACTFLO!G10</f>
        <v>0</v>
      </c>
      <c r="P22" s="560">
        <f>T_ACTFLO!H10</f>
        <v>0</v>
      </c>
      <c r="Q22" s="560">
        <f>T_ACTFLO!I10</f>
        <v>0</v>
      </c>
      <c r="R22" s="560">
        <f>T_ACTFLO!J10</f>
        <v>0</v>
      </c>
      <c r="S22" s="560">
        <f>T_ACTFLO!K10</f>
        <v>0</v>
      </c>
      <c r="T22" s="560">
        <f>T_ACTFLO!L10</f>
        <v>0</v>
      </c>
      <c r="U22" s="560">
        <f>T_ACTFLO!M10</f>
        <v>0</v>
      </c>
      <c r="V22" s="560">
        <f>T_ACTFLO!N10</f>
        <v>0</v>
      </c>
      <c r="W22" s="560">
        <f>T_ACTFLO!O10</f>
        <v>0</v>
      </c>
      <c r="X22" s="560">
        <f>T_ACTFLO!P10</f>
        <v>0</v>
      </c>
      <c r="Y22" s="560">
        <f>T_ACTFLO!Q10</f>
        <v>0</v>
      </c>
      <c r="Z22" s="560">
        <f>T_ACTFLO!R10</f>
        <v>0</v>
      </c>
      <c r="AA22" s="560">
        <f>T_ACTFLO!S10</f>
        <v>0</v>
      </c>
      <c r="AB22" s="372"/>
      <c r="AV22" s="724" t="s">
        <v>1032</v>
      </c>
      <c r="AW22" s="725">
        <f t="shared" si="19"/>
        <v>0</v>
      </c>
      <c r="AX22" s="724"/>
      <c r="AY22" s="724"/>
      <c r="AZ22" s="724"/>
      <c r="BA22" s="724"/>
      <c r="BB22" s="724"/>
      <c r="BC22" s="724"/>
      <c r="BD22" s="724"/>
      <c r="BE22" s="724"/>
      <c r="BF22" s="724"/>
      <c r="BG22" s="724"/>
      <c r="BH22" s="724"/>
      <c r="BI22" s="724"/>
      <c r="BJ22" s="724"/>
      <c r="BK22" s="724"/>
      <c r="BL22" s="724"/>
    </row>
    <row r="23" spans="1:64" x14ac:dyDescent="0.3">
      <c r="A23" s="44"/>
      <c r="B23" s="44"/>
      <c r="C23" s="44"/>
      <c r="D23" s="35"/>
      <c r="E23" s="35"/>
      <c r="F23" s="44"/>
      <c r="G23" s="35"/>
      <c r="H23" s="35"/>
      <c r="I23" s="35"/>
      <c r="J23" s="35"/>
      <c r="K23" s="35"/>
      <c r="L23" s="186" t="s">
        <v>170</v>
      </c>
      <c r="M23" s="560">
        <f>T_ACTFLO!E8</f>
        <v>0</v>
      </c>
      <c r="N23" s="560">
        <f>T_ACTFLO!F8</f>
        <v>0</v>
      </c>
      <c r="O23" s="560">
        <f>T_ACTFLO!G8</f>
        <v>0</v>
      </c>
      <c r="P23" s="560">
        <f>T_ACTFLO!H8</f>
        <v>0</v>
      </c>
      <c r="Q23" s="560">
        <f>T_ACTFLO!I8</f>
        <v>0</v>
      </c>
      <c r="R23" s="560">
        <f>T_ACTFLO!J8</f>
        <v>0</v>
      </c>
      <c r="S23" s="560">
        <f>T_ACTFLO!K8</f>
        <v>0</v>
      </c>
      <c r="T23" s="560">
        <f>T_ACTFLO!L8</f>
        <v>0</v>
      </c>
      <c r="U23" s="560">
        <f>T_ACTFLO!M8</f>
        <v>0</v>
      </c>
      <c r="V23" s="560">
        <f>T_ACTFLO!N8</f>
        <v>0</v>
      </c>
      <c r="W23" s="560">
        <f>T_ACTFLO!O8</f>
        <v>0</v>
      </c>
      <c r="X23" s="560">
        <f>T_ACTFLO!P8</f>
        <v>0</v>
      </c>
      <c r="Y23" s="560">
        <f>T_ACTFLO!Q8</f>
        <v>0</v>
      </c>
      <c r="Z23" s="560">
        <f>T_ACTFLO!R8</f>
        <v>0</v>
      </c>
      <c r="AA23" s="560">
        <f>T_ACTFLO!S8</f>
        <v>0</v>
      </c>
      <c r="AB23" s="372"/>
      <c r="AE23" s="35"/>
      <c r="AF23" s="47"/>
      <c r="AG23" s="35"/>
      <c r="AH23" s="35"/>
      <c r="AI23" s="35"/>
      <c r="AJ23" s="35"/>
      <c r="AK23" s="35"/>
      <c r="AV23" s="724" t="s">
        <v>1034</v>
      </c>
      <c r="AW23" s="725">
        <f t="shared" si="19"/>
        <v>0</v>
      </c>
      <c r="AX23" s="724"/>
      <c r="AY23" s="724"/>
      <c r="AZ23" s="724"/>
      <c r="BA23" s="724"/>
      <c r="BB23" s="724"/>
      <c r="BC23" s="724"/>
      <c r="BD23" s="724"/>
      <c r="BE23" s="724"/>
      <c r="BF23" s="724"/>
      <c r="BG23" s="724"/>
      <c r="BH23" s="724"/>
      <c r="BI23" s="724"/>
      <c r="BJ23" s="724"/>
      <c r="BK23" s="724"/>
      <c r="BL23" s="724"/>
    </row>
    <row r="24" spans="1:64" x14ac:dyDescent="0.3">
      <c r="A24" s="44"/>
      <c r="B24" s="44"/>
      <c r="C24" s="44"/>
      <c r="D24" s="35"/>
      <c r="E24" s="35"/>
      <c r="F24" s="44"/>
      <c r="G24" s="35"/>
      <c r="H24" s="35"/>
      <c r="I24" s="35"/>
      <c r="J24" s="35"/>
      <c r="K24" s="35"/>
      <c r="L24" s="186" t="s">
        <v>426</v>
      </c>
      <c r="M24" s="560">
        <f>T_ACTFLO!E14</f>
        <v>0</v>
      </c>
      <c r="N24" s="560">
        <f>T_ACTFLO!F14</f>
        <v>0</v>
      </c>
      <c r="O24" s="560">
        <f>T_ACTFLO!G14</f>
        <v>0</v>
      </c>
      <c r="P24" s="560">
        <f>T_ACTFLO!H14</f>
        <v>0</v>
      </c>
      <c r="Q24" s="560">
        <f>T_ACTFLO!I14</f>
        <v>0</v>
      </c>
      <c r="R24" s="560">
        <f>T_ACTFLO!J14</f>
        <v>0</v>
      </c>
      <c r="S24" s="560">
        <f>T_ACTFLO!K14</f>
        <v>0</v>
      </c>
      <c r="T24" s="560">
        <f>T_ACTFLO!L14</f>
        <v>0</v>
      </c>
      <c r="U24" s="560">
        <f>T_ACTFLO!M14</f>
        <v>0</v>
      </c>
      <c r="V24" s="560">
        <f>T_ACTFLO!N14</f>
        <v>0</v>
      </c>
      <c r="W24" s="560">
        <f>T_ACTFLO!O14</f>
        <v>0</v>
      </c>
      <c r="X24" s="560">
        <f>T_ACTFLO!P14</f>
        <v>0</v>
      </c>
      <c r="Y24" s="560">
        <f>T_ACTFLO!Q14</f>
        <v>0</v>
      </c>
      <c r="Z24" s="560">
        <f>T_ACTFLO!R14</f>
        <v>0</v>
      </c>
      <c r="AA24" s="560">
        <f>T_ACTFLO!S14</f>
        <v>0</v>
      </c>
      <c r="AB24" s="372"/>
      <c r="AE24" s="35"/>
      <c r="AF24" s="47"/>
      <c r="AG24" s="35"/>
      <c r="AH24" s="35"/>
      <c r="AI24" s="35"/>
      <c r="AJ24" s="35"/>
      <c r="AK24" s="35"/>
      <c r="AV24" s="724" t="s">
        <v>1038</v>
      </c>
      <c r="AW24" s="725">
        <f t="shared" si="19"/>
        <v>0</v>
      </c>
      <c r="AX24" s="724"/>
      <c r="AY24" s="724"/>
      <c r="AZ24" s="724"/>
      <c r="BA24" s="724"/>
      <c r="BB24" s="724"/>
      <c r="BC24" s="724"/>
      <c r="BD24" s="724"/>
      <c r="BE24" s="724"/>
      <c r="BF24" s="724"/>
      <c r="BG24" s="724"/>
      <c r="BH24" s="724"/>
      <c r="BI24" s="724"/>
      <c r="BJ24" s="724"/>
      <c r="BK24" s="724"/>
      <c r="BL24" s="724"/>
    </row>
    <row r="25" spans="1:64" s="558" customFormat="1" ht="16.5" customHeight="1" x14ac:dyDescent="0.3">
      <c r="B25" s="17" t="s">
        <v>1121</v>
      </c>
      <c r="C25" s="559"/>
      <c r="D25" s="559"/>
      <c r="H25" s="370"/>
    </row>
    <row r="26" spans="1:64" s="558" customFormat="1" ht="16.5" customHeight="1" x14ac:dyDescent="0.3">
      <c r="H26" s="370"/>
    </row>
    <row r="27" spans="1:64" s="22" customFormat="1" x14ac:dyDescent="0.3">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3">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0"/>
      <c r="AD28" s="702" t="s">
        <v>421</v>
      </c>
      <c r="AE28" s="702" t="str">
        <f>M$8</f>
        <v>Z01</v>
      </c>
      <c r="AF28" s="702" t="str">
        <f t="shared" ref="AF28" si="25">N$8</f>
        <v>Z02</v>
      </c>
      <c r="AG28" s="702" t="str">
        <f t="shared" ref="AG28" si="26">O$8</f>
        <v>Z03</v>
      </c>
      <c r="AH28" s="702" t="str">
        <f t="shared" ref="AH28" si="27">P$8</f>
        <v>Z04</v>
      </c>
      <c r="AI28" s="702" t="str">
        <f t="shared" ref="AI28" si="28">Q$8</f>
        <v>Z05</v>
      </c>
      <c r="AJ28" s="702" t="str">
        <f t="shared" ref="AJ28" si="29">R$8</f>
        <v>Z06</v>
      </c>
      <c r="AK28" s="702" t="str">
        <f t="shared" ref="AK28" si="30">S$8</f>
        <v>Z07</v>
      </c>
      <c r="AL28" s="702" t="str">
        <f t="shared" ref="AL28" si="31">T$8</f>
        <v>Z08</v>
      </c>
      <c r="AM28" s="702" t="str">
        <f t="shared" ref="AM28" si="32">U$8</f>
        <v>Z09</v>
      </c>
      <c r="AN28" s="702" t="str">
        <f t="shared" ref="AN28" si="33">V$8</f>
        <v>Z10</v>
      </c>
      <c r="AO28" s="702" t="str">
        <f t="shared" ref="AO28" si="34">W$8</f>
        <v>Z11</v>
      </c>
      <c r="AP28" s="702" t="str">
        <f t="shared" ref="AP28" si="35">X$8</f>
        <v>Z12</v>
      </c>
      <c r="AQ28" s="702" t="str">
        <f t="shared" ref="AQ28" si="36">Y$8</f>
        <v>Z13</v>
      </c>
      <c r="AR28" s="702" t="str">
        <f t="shared" ref="AR28" si="37">Z$8</f>
        <v>Z14</v>
      </c>
      <c r="AS28" s="702" t="str">
        <f t="shared" ref="AS28" si="38">AA$8</f>
        <v>Z15</v>
      </c>
      <c r="AT28" s="355"/>
      <c r="AU28" s="355"/>
      <c r="AV28" s="700" t="s">
        <v>85</v>
      </c>
      <c r="AW28" s="700" t="s">
        <v>421</v>
      </c>
      <c r="AX28" s="700" t="str">
        <f>M$2</f>
        <v>Z01</v>
      </c>
      <c r="AY28" s="700" t="str">
        <f t="shared" ref="AY28:BL28" si="39">N$2</f>
        <v>Z02</v>
      </c>
      <c r="AZ28" s="700" t="str">
        <f t="shared" si="39"/>
        <v>Z03</v>
      </c>
      <c r="BA28" s="700" t="str">
        <f t="shared" si="39"/>
        <v>Z04</v>
      </c>
      <c r="BB28" s="700" t="str">
        <f t="shared" si="39"/>
        <v>Z05</v>
      </c>
      <c r="BC28" s="700" t="str">
        <f t="shared" si="39"/>
        <v>Z06</v>
      </c>
      <c r="BD28" s="700" t="str">
        <f t="shared" si="39"/>
        <v>Z07</v>
      </c>
      <c r="BE28" s="700" t="str">
        <f t="shared" si="39"/>
        <v>Z08</v>
      </c>
      <c r="BF28" s="700" t="str">
        <f t="shared" si="39"/>
        <v>Z09</v>
      </c>
      <c r="BG28" s="700" t="str">
        <f t="shared" si="39"/>
        <v>Z10</v>
      </c>
      <c r="BH28" s="700" t="str">
        <f t="shared" si="39"/>
        <v>Z11</v>
      </c>
      <c r="BI28" s="700" t="str">
        <f t="shared" si="39"/>
        <v>Z12</v>
      </c>
      <c r="BJ28" s="700" t="str">
        <f t="shared" si="39"/>
        <v>Z13</v>
      </c>
      <c r="BK28" s="700" t="str">
        <f t="shared" si="39"/>
        <v>Z14</v>
      </c>
      <c r="BL28" s="700" t="str">
        <f t="shared" si="39"/>
        <v>Z15</v>
      </c>
    </row>
    <row r="29" spans="1:64" s="22" customFormat="1" x14ac:dyDescent="0.3">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4" t="str">
        <f>IF(AD36-AC14&lt;0,"too small",IF(AD36-AC14&gt;0.001,"Too big","ok"))</f>
        <v>ok</v>
      </c>
      <c r="AE29" s="618" t="str">
        <f>IF(AE36-M14&lt;0,"too small",IF(AE36-M14&gt;0.001,"Too big","ok"))</f>
        <v>ok</v>
      </c>
      <c r="AF29" s="618" t="str">
        <f t="shared" ref="AF29:AS29" si="40">IF(AF36-N14&lt;0,"too small",IF(AF36-N14&gt;0.001,"Too big","ok"))</f>
        <v>ok</v>
      </c>
      <c r="AG29" s="618" t="str">
        <f t="shared" si="40"/>
        <v>ok</v>
      </c>
      <c r="AH29" s="618" t="str">
        <f t="shared" si="40"/>
        <v>ok</v>
      </c>
      <c r="AI29" s="618" t="str">
        <f t="shared" si="40"/>
        <v>ok</v>
      </c>
      <c r="AJ29" s="618" t="str">
        <f t="shared" si="40"/>
        <v>ok</v>
      </c>
      <c r="AK29" s="618" t="str">
        <f t="shared" si="40"/>
        <v>ok</v>
      </c>
      <c r="AL29" s="618" t="str">
        <f t="shared" si="40"/>
        <v>ok</v>
      </c>
      <c r="AM29" s="618" t="str">
        <f t="shared" si="40"/>
        <v>ok</v>
      </c>
      <c r="AN29" s="618" t="str">
        <f t="shared" si="40"/>
        <v>ok</v>
      </c>
      <c r="AO29" s="618" t="str">
        <f t="shared" si="40"/>
        <v>ok</v>
      </c>
      <c r="AP29" s="618" t="str">
        <f t="shared" si="40"/>
        <v>ok</v>
      </c>
      <c r="AQ29" s="618" t="str">
        <f t="shared" si="40"/>
        <v>ok</v>
      </c>
      <c r="AR29" s="618" t="str">
        <f t="shared" si="40"/>
        <v>ok</v>
      </c>
      <c r="AS29" s="618" t="str">
        <f t="shared" si="40"/>
        <v>ok</v>
      </c>
      <c r="AT29" s="35"/>
      <c r="AU29" s="35"/>
      <c r="AV29" s="398" t="s">
        <v>103</v>
      </c>
      <c r="AW29" s="710">
        <f>SUM(AX29:BL29)</f>
        <v>0</v>
      </c>
      <c r="AX29" s="703">
        <f>SUM(AX30:AX75)</f>
        <v>0</v>
      </c>
      <c r="AY29" s="703">
        <f t="shared" ref="AY29:BL29" si="41">SUM(AY30:AY75)</f>
        <v>0</v>
      </c>
      <c r="AZ29" s="703">
        <f t="shared" si="41"/>
        <v>0</v>
      </c>
      <c r="BA29" s="703">
        <f t="shared" si="41"/>
        <v>0</v>
      </c>
      <c r="BB29" s="703">
        <f t="shared" si="41"/>
        <v>0</v>
      </c>
      <c r="BC29" s="703">
        <f t="shared" si="41"/>
        <v>0</v>
      </c>
      <c r="BD29" s="703">
        <f t="shared" si="41"/>
        <v>0</v>
      </c>
      <c r="BE29" s="703">
        <f t="shared" si="41"/>
        <v>0</v>
      </c>
      <c r="BF29" s="703">
        <f t="shared" si="41"/>
        <v>0</v>
      </c>
      <c r="BG29" s="703">
        <f t="shared" si="41"/>
        <v>0</v>
      </c>
      <c r="BH29" s="703">
        <f t="shared" si="41"/>
        <v>0</v>
      </c>
      <c r="BI29" s="703">
        <f t="shared" si="41"/>
        <v>0</v>
      </c>
      <c r="BJ29" s="703">
        <f t="shared" si="41"/>
        <v>0</v>
      </c>
      <c r="BK29" s="703">
        <f t="shared" si="41"/>
        <v>0</v>
      </c>
      <c r="BL29" s="703">
        <f t="shared" si="41"/>
        <v>0</v>
      </c>
    </row>
    <row r="30" spans="1:64" s="35" customFormat="1" x14ac:dyDescent="0.3">
      <c r="A30" s="22"/>
      <c r="B30" s="186" t="str">
        <f>C30</f>
        <v>TYEP100</v>
      </c>
      <c r="C30" s="186" t="s">
        <v>380</v>
      </c>
      <c r="D30" s="187" t="s">
        <v>897</v>
      </c>
      <c r="E30" s="188"/>
      <c r="F30" s="213" t="s">
        <v>398</v>
      </c>
      <c r="G30" s="170"/>
      <c r="H30" s="190"/>
      <c r="I30" s="191"/>
      <c r="J30" s="191"/>
      <c r="K30" s="192" t="s">
        <v>1106</v>
      </c>
      <c r="L30" s="191" t="s">
        <v>1124</v>
      </c>
      <c r="M30" s="566">
        <f>10^-3</f>
        <v>1E-3</v>
      </c>
      <c r="N30" s="566">
        <f t="shared" ref="N30:AA30" si="42">10^-3</f>
        <v>1E-3</v>
      </c>
      <c r="O30" s="566">
        <f t="shared" si="42"/>
        <v>1E-3</v>
      </c>
      <c r="P30" s="566">
        <f t="shared" si="42"/>
        <v>1E-3</v>
      </c>
      <c r="Q30" s="566">
        <f t="shared" si="42"/>
        <v>1E-3</v>
      </c>
      <c r="R30" s="566">
        <f t="shared" si="42"/>
        <v>1E-3</v>
      </c>
      <c r="S30" s="566">
        <f t="shared" si="42"/>
        <v>1E-3</v>
      </c>
      <c r="T30" s="566">
        <f t="shared" si="42"/>
        <v>1E-3</v>
      </c>
      <c r="U30" s="566">
        <f t="shared" si="42"/>
        <v>1E-3</v>
      </c>
      <c r="V30" s="566">
        <f t="shared" si="42"/>
        <v>1E-3</v>
      </c>
      <c r="W30" s="566">
        <f t="shared" si="42"/>
        <v>1E-3</v>
      </c>
      <c r="X30" s="566">
        <f t="shared" si="42"/>
        <v>1E-3</v>
      </c>
      <c r="Y30" s="566">
        <f t="shared" si="42"/>
        <v>1E-3</v>
      </c>
      <c r="Z30" s="566">
        <f t="shared" si="42"/>
        <v>1E-3</v>
      </c>
      <c r="AA30" s="566">
        <f t="shared" si="42"/>
        <v>1E-3</v>
      </c>
      <c r="AC30" s="56" t="str">
        <f>F30</f>
        <v>TYEP</v>
      </c>
      <c r="AD30" s="59"/>
      <c r="AW30" s="704"/>
      <c r="AX30" s="704"/>
      <c r="AY30" s="704"/>
      <c r="AZ30" s="704"/>
      <c r="BA30" s="704"/>
      <c r="BB30" s="704"/>
      <c r="BC30" s="704"/>
      <c r="BD30" s="704"/>
      <c r="BE30" s="704"/>
      <c r="BF30" s="704"/>
      <c r="BG30" s="704"/>
      <c r="BH30" s="704"/>
      <c r="BI30" s="704"/>
      <c r="BJ30" s="704"/>
      <c r="BK30" s="704"/>
      <c r="BL30" s="704"/>
    </row>
    <row r="31" spans="1:64" s="35" customFormat="1" x14ac:dyDescent="0.3">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0" t="str">
        <f>IF(COUNTIF($AF$2:$AM$2,AC30)=1,"ok","MISSING")</f>
        <v>ok</v>
      </c>
      <c r="AT31" s="55"/>
      <c r="AU31" s="55"/>
      <c r="AV31" s="699" t="str">
        <f>MID(E31,1,7)</f>
        <v>TRAHUM</v>
      </c>
      <c r="AW31" s="704">
        <f>SUM(AX31:BL31)</f>
        <v>0</v>
      </c>
      <c r="AX31" s="704">
        <f>M35*M36*(1-M33)/M31/1000</f>
        <v>0</v>
      </c>
      <c r="AY31" s="704">
        <f t="shared" ref="AY31:BL31" si="45">N35*N36*(1-N33)/N31/1000</f>
        <v>0</v>
      </c>
      <c r="AZ31" s="704">
        <f t="shared" si="45"/>
        <v>0</v>
      </c>
      <c r="BA31" s="704">
        <f t="shared" si="45"/>
        <v>0</v>
      </c>
      <c r="BB31" s="704">
        <f t="shared" si="45"/>
        <v>0</v>
      </c>
      <c r="BC31" s="704">
        <f t="shared" si="45"/>
        <v>0</v>
      </c>
      <c r="BD31" s="704">
        <f t="shared" si="45"/>
        <v>0</v>
      </c>
      <c r="BE31" s="704">
        <f t="shared" si="45"/>
        <v>0</v>
      </c>
      <c r="BF31" s="704">
        <f t="shared" si="45"/>
        <v>0</v>
      </c>
      <c r="BG31" s="704">
        <f t="shared" si="45"/>
        <v>0</v>
      </c>
      <c r="BH31" s="704">
        <f t="shared" si="45"/>
        <v>0</v>
      </c>
      <c r="BI31" s="704">
        <f t="shared" si="45"/>
        <v>0</v>
      </c>
      <c r="BJ31" s="704">
        <f t="shared" si="45"/>
        <v>0</v>
      </c>
      <c r="BK31" s="704">
        <f t="shared" si="45"/>
        <v>0</v>
      </c>
      <c r="BL31" s="704">
        <f t="shared" si="45"/>
        <v>0</v>
      </c>
    </row>
    <row r="32" spans="1:64" s="35" customFormat="1" x14ac:dyDescent="0.3">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699" t="str">
        <f>MID(E32,1,7)</f>
        <v>TRAELC</v>
      </c>
      <c r="AW32" s="704">
        <f t="shared" ref="AW32" si="46">SUM(AX32:BL32)</f>
        <v>0</v>
      </c>
      <c r="AX32" s="704">
        <f>M35*M36*M33/M32/1000</f>
        <v>0</v>
      </c>
      <c r="AY32" s="704">
        <f t="shared" ref="AY32:BL32" si="47">N35*N36*N33/N32/1000</f>
        <v>0</v>
      </c>
      <c r="AZ32" s="704">
        <f t="shared" si="47"/>
        <v>0</v>
      </c>
      <c r="BA32" s="704">
        <f t="shared" si="47"/>
        <v>0</v>
      </c>
      <c r="BB32" s="704">
        <f t="shared" si="47"/>
        <v>0</v>
      </c>
      <c r="BC32" s="704">
        <f t="shared" si="47"/>
        <v>0</v>
      </c>
      <c r="BD32" s="704">
        <f t="shared" si="47"/>
        <v>0</v>
      </c>
      <c r="BE32" s="704">
        <f t="shared" si="47"/>
        <v>0</v>
      </c>
      <c r="BF32" s="704">
        <f t="shared" si="47"/>
        <v>0</v>
      </c>
      <c r="BG32" s="704">
        <f t="shared" si="47"/>
        <v>0</v>
      </c>
      <c r="BH32" s="704">
        <f t="shared" si="47"/>
        <v>0</v>
      </c>
      <c r="BI32" s="704">
        <f t="shared" si="47"/>
        <v>0</v>
      </c>
      <c r="BJ32" s="704">
        <f t="shared" si="47"/>
        <v>0</v>
      </c>
      <c r="BK32" s="704">
        <f t="shared" si="47"/>
        <v>0</v>
      </c>
      <c r="BL32" s="704">
        <f t="shared" si="47"/>
        <v>0</v>
      </c>
    </row>
    <row r="33" spans="1:64" s="35" customFormat="1" x14ac:dyDescent="0.3">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699"/>
      <c r="AW33" s="704"/>
      <c r="AX33" s="704"/>
      <c r="AY33" s="704"/>
      <c r="AZ33" s="704"/>
      <c r="BA33" s="704"/>
      <c r="BB33" s="704"/>
      <c r="BC33" s="704"/>
      <c r="BD33" s="704"/>
      <c r="BE33" s="704"/>
      <c r="BF33" s="704"/>
      <c r="BG33" s="704"/>
      <c r="BH33" s="704"/>
      <c r="BI33" s="704"/>
      <c r="BJ33" s="704"/>
      <c r="BK33" s="704"/>
      <c r="BL33" s="704"/>
    </row>
    <row r="34" spans="1:64" s="35" customFormat="1" x14ac:dyDescent="0.3">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699" t="str">
        <f t="shared" ref="AV34:AV72" si="50">MID(E34,1,7)</f>
        <v/>
      </c>
      <c r="AW34" s="704"/>
      <c r="AX34" s="704"/>
      <c r="AY34" s="704"/>
      <c r="AZ34" s="704"/>
      <c r="BA34" s="704"/>
      <c r="BB34" s="704"/>
      <c r="BC34" s="704"/>
      <c r="BD34" s="704"/>
      <c r="BE34" s="704"/>
      <c r="BF34" s="704"/>
      <c r="BG34" s="704"/>
      <c r="BH34" s="704"/>
      <c r="BI34" s="704"/>
      <c r="BJ34" s="704"/>
      <c r="BK34" s="704"/>
      <c r="BL34" s="704"/>
    </row>
    <row r="35" spans="1:64" s="35" customFormat="1" x14ac:dyDescent="0.3">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699" t="str">
        <f t="shared" si="50"/>
        <v/>
      </c>
      <c r="AW35" s="704"/>
      <c r="AX35" s="704"/>
      <c r="AY35" s="704"/>
      <c r="AZ35" s="704"/>
      <c r="BA35" s="704"/>
      <c r="BB35" s="704"/>
      <c r="BC35" s="704"/>
      <c r="BD35" s="704"/>
      <c r="BE35" s="704"/>
      <c r="BF35" s="704"/>
      <c r="BG35" s="704"/>
      <c r="BH35" s="704"/>
      <c r="BI35" s="704"/>
      <c r="BJ35" s="704"/>
      <c r="BK35" s="704"/>
      <c r="BL35" s="704"/>
    </row>
    <row r="36" spans="1:64" s="35" customFormat="1" x14ac:dyDescent="0.3">
      <c r="B36" s="186" t="str">
        <f t="shared" si="43"/>
        <v>TYEP100</v>
      </c>
      <c r="C36" s="186"/>
      <c r="D36" s="187"/>
      <c r="E36" s="186"/>
      <c r="F36" s="213"/>
      <c r="G36" s="170"/>
      <c r="H36" s="190">
        <f>$L$3</f>
        <v>2019</v>
      </c>
      <c r="I36" s="191"/>
      <c r="J36" s="191"/>
      <c r="K36" s="192" t="s">
        <v>1064</v>
      </c>
      <c r="L36" s="191" t="s">
        <v>747</v>
      </c>
      <c r="M36" s="688"/>
      <c r="N36" s="688"/>
      <c r="O36" s="688"/>
      <c r="P36" s="688"/>
      <c r="Q36" s="688"/>
      <c r="R36" s="688"/>
      <c r="S36" s="688"/>
      <c r="T36" s="688"/>
      <c r="U36" s="688"/>
      <c r="V36" s="688"/>
      <c r="W36" s="688"/>
      <c r="X36" s="688"/>
      <c r="Y36" s="688"/>
      <c r="Z36" s="688"/>
      <c r="AA36" s="688"/>
      <c r="AB36" s="325"/>
      <c r="AC36" s="511" t="s">
        <v>1131</v>
      </c>
      <c r="AD36" s="80">
        <f>SUM(AE36:AS36)</f>
        <v>0</v>
      </c>
      <c r="AE36" s="625">
        <f>M34*M35*M36/1000</f>
        <v>0</v>
      </c>
      <c r="AF36" s="625">
        <f t="shared" ref="AF36:AS36" si="51">N34*N35*N36/1000</f>
        <v>0</v>
      </c>
      <c r="AG36" s="625">
        <f t="shared" si="51"/>
        <v>0</v>
      </c>
      <c r="AH36" s="625">
        <f t="shared" si="51"/>
        <v>0</v>
      </c>
      <c r="AI36" s="625">
        <f t="shared" si="51"/>
        <v>0</v>
      </c>
      <c r="AJ36" s="625">
        <f t="shared" si="51"/>
        <v>0</v>
      </c>
      <c r="AK36" s="625">
        <f t="shared" si="51"/>
        <v>0</v>
      </c>
      <c r="AL36" s="625">
        <f t="shared" si="51"/>
        <v>0</v>
      </c>
      <c r="AM36" s="625">
        <f t="shared" si="51"/>
        <v>0</v>
      </c>
      <c r="AN36" s="625">
        <f t="shared" si="51"/>
        <v>0</v>
      </c>
      <c r="AO36" s="625">
        <f t="shared" si="51"/>
        <v>0</v>
      </c>
      <c r="AP36" s="625">
        <f t="shared" si="51"/>
        <v>0</v>
      </c>
      <c r="AQ36" s="625">
        <f t="shared" si="51"/>
        <v>0</v>
      </c>
      <c r="AR36" s="625">
        <f t="shared" si="51"/>
        <v>0</v>
      </c>
      <c r="AS36" s="625">
        <f t="shared" si="51"/>
        <v>0</v>
      </c>
      <c r="AV36" s="699" t="str">
        <f t="shared" si="50"/>
        <v/>
      </c>
      <c r="AW36" s="704"/>
      <c r="AX36" s="704"/>
      <c r="AY36" s="704"/>
      <c r="AZ36" s="704"/>
      <c r="BA36" s="704"/>
      <c r="BB36" s="704"/>
      <c r="BC36" s="704"/>
      <c r="BD36" s="704"/>
      <c r="BE36" s="704"/>
      <c r="BF36" s="704"/>
      <c r="BG36" s="704"/>
      <c r="BH36" s="704"/>
      <c r="BI36" s="704"/>
      <c r="BJ36" s="704"/>
      <c r="BK36" s="704"/>
      <c r="BL36" s="704"/>
    </row>
    <row r="37" spans="1:64" s="35" customFormat="1" x14ac:dyDescent="0.3">
      <c r="B37" s="186" t="str">
        <f t="shared" si="43"/>
        <v>TYEP100</v>
      </c>
      <c r="C37" s="186"/>
      <c r="D37" s="187"/>
      <c r="E37" s="186"/>
      <c r="F37" s="213"/>
      <c r="G37" s="170"/>
      <c r="H37" s="190">
        <f>AE$3</f>
        <v>2016</v>
      </c>
      <c r="I37" s="191"/>
      <c r="J37" s="191"/>
      <c r="K37" s="192" t="s">
        <v>1064</v>
      </c>
      <c r="L37" s="191" t="s">
        <v>747</v>
      </c>
      <c r="M37" s="686"/>
      <c r="N37" s="686"/>
      <c r="O37" s="686"/>
      <c r="P37" s="686"/>
      <c r="Q37" s="686"/>
      <c r="R37" s="686"/>
      <c r="S37" s="686"/>
      <c r="T37" s="686"/>
      <c r="U37" s="686"/>
      <c r="V37" s="686"/>
      <c r="W37" s="686"/>
      <c r="X37" s="686"/>
      <c r="Y37" s="686"/>
      <c r="Z37" s="686"/>
      <c r="AA37" s="686"/>
      <c r="AV37" s="699" t="str">
        <f t="shared" si="50"/>
        <v/>
      </c>
      <c r="AW37" s="704"/>
      <c r="AX37" s="704"/>
      <c r="AY37" s="704"/>
      <c r="AZ37" s="704"/>
      <c r="BA37" s="704"/>
      <c r="BB37" s="704"/>
      <c r="BC37" s="704"/>
      <c r="BD37" s="704"/>
      <c r="BE37" s="704"/>
      <c r="BF37" s="704"/>
      <c r="BG37" s="704"/>
      <c r="BH37" s="704"/>
      <c r="BI37" s="704"/>
      <c r="BJ37" s="704"/>
      <c r="BK37" s="704"/>
      <c r="BL37" s="704"/>
    </row>
    <row r="38" spans="1:64" s="35" customFormat="1" x14ac:dyDescent="0.3">
      <c r="B38" s="186" t="str">
        <f t="shared" si="43"/>
        <v>TYEP100</v>
      </c>
      <c r="C38" s="186"/>
      <c r="D38" s="187"/>
      <c r="E38" s="186"/>
      <c r="F38" s="213"/>
      <c r="G38" s="170"/>
      <c r="H38" s="190">
        <f>AE$4</f>
        <v>2020</v>
      </c>
      <c r="I38" s="191"/>
      <c r="J38" s="191"/>
      <c r="K38" s="192" t="s">
        <v>1064</v>
      </c>
      <c r="L38" s="191" t="s">
        <v>747</v>
      </c>
      <c r="M38" s="686"/>
      <c r="N38" s="686"/>
      <c r="O38" s="686"/>
      <c r="P38" s="686"/>
      <c r="Q38" s="686"/>
      <c r="R38" s="686"/>
      <c r="S38" s="686"/>
      <c r="T38" s="686"/>
      <c r="U38" s="686"/>
      <c r="V38" s="686"/>
      <c r="W38" s="686"/>
      <c r="X38" s="686"/>
      <c r="Y38" s="686"/>
      <c r="Z38" s="686"/>
      <c r="AA38" s="686"/>
      <c r="AD38" s="57"/>
      <c r="AE38" s="57"/>
      <c r="AF38" s="57"/>
      <c r="AG38" s="57"/>
      <c r="AH38" s="57"/>
      <c r="AI38" s="57"/>
      <c r="AJ38" s="57"/>
      <c r="AK38" s="57"/>
      <c r="AL38" s="57"/>
      <c r="AM38" s="57"/>
      <c r="AN38" s="57"/>
      <c r="AO38" s="57"/>
      <c r="AP38" s="57"/>
      <c r="AQ38" s="57"/>
      <c r="AR38" s="57"/>
      <c r="AS38" s="57"/>
      <c r="AT38" s="57"/>
      <c r="AU38" s="57"/>
      <c r="AV38" s="699" t="str">
        <f t="shared" si="50"/>
        <v/>
      </c>
      <c r="AW38" s="704"/>
      <c r="AX38" s="704"/>
      <c r="AY38" s="704"/>
      <c r="AZ38" s="704"/>
      <c r="BA38" s="704"/>
      <c r="BB38" s="704"/>
      <c r="BC38" s="704"/>
      <c r="BD38" s="704"/>
      <c r="BE38" s="704"/>
      <c r="BF38" s="704"/>
      <c r="BG38" s="704"/>
      <c r="BH38" s="704"/>
      <c r="BI38" s="704"/>
      <c r="BJ38" s="704"/>
      <c r="BK38" s="704"/>
      <c r="BL38" s="704"/>
    </row>
    <row r="39" spans="1:64" s="35" customFormat="1" x14ac:dyDescent="0.3">
      <c r="B39" s="186" t="str">
        <f t="shared" si="43"/>
        <v>TYEP100</v>
      </c>
      <c r="C39" s="186"/>
      <c r="D39" s="187"/>
      <c r="E39" s="186"/>
      <c r="F39" s="213"/>
      <c r="G39" s="170"/>
      <c r="H39" s="190">
        <f>AE$5</f>
        <v>2025</v>
      </c>
      <c r="I39" s="191"/>
      <c r="J39" s="191"/>
      <c r="K39" s="192" t="s">
        <v>1064</v>
      </c>
      <c r="L39" s="191" t="s">
        <v>747</v>
      </c>
      <c r="M39" s="686"/>
      <c r="N39" s="686"/>
      <c r="O39" s="686"/>
      <c r="P39" s="686"/>
      <c r="Q39" s="686"/>
      <c r="R39" s="686"/>
      <c r="S39" s="686"/>
      <c r="T39" s="686"/>
      <c r="U39" s="686"/>
      <c r="V39" s="686"/>
      <c r="W39" s="686"/>
      <c r="X39" s="686"/>
      <c r="Y39" s="686"/>
      <c r="Z39" s="686"/>
      <c r="AA39" s="686"/>
      <c r="AV39" s="699" t="str">
        <f t="shared" si="50"/>
        <v/>
      </c>
      <c r="AW39" s="704"/>
      <c r="AX39" s="704"/>
      <c r="AY39" s="704"/>
      <c r="AZ39" s="704"/>
      <c r="BA39" s="704"/>
      <c r="BB39" s="704"/>
      <c r="BC39" s="704"/>
      <c r="BD39" s="704"/>
      <c r="BE39" s="704"/>
      <c r="BF39" s="704"/>
      <c r="BG39" s="704"/>
      <c r="BH39" s="704"/>
      <c r="BI39" s="704"/>
      <c r="BJ39" s="704"/>
      <c r="BK39" s="704"/>
      <c r="BL39" s="704"/>
    </row>
    <row r="40" spans="1:64" s="35" customFormat="1" x14ac:dyDescent="0.3">
      <c r="B40" s="186" t="str">
        <f t="shared" si="43"/>
        <v>TYEP100</v>
      </c>
      <c r="C40" s="186"/>
      <c r="D40" s="187"/>
      <c r="E40" s="186"/>
      <c r="F40" s="213"/>
      <c r="G40" s="170"/>
      <c r="H40" s="190">
        <f>AE$6</f>
        <v>2030</v>
      </c>
      <c r="I40" s="191"/>
      <c r="J40" s="191"/>
      <c r="K40" s="192" t="s">
        <v>1064</v>
      </c>
      <c r="L40" s="191" t="s">
        <v>747</v>
      </c>
      <c r="M40" s="686"/>
      <c r="N40" s="686"/>
      <c r="O40" s="686"/>
      <c r="P40" s="686"/>
      <c r="Q40" s="686"/>
      <c r="R40" s="686"/>
      <c r="S40" s="686"/>
      <c r="T40" s="686"/>
      <c r="U40" s="686"/>
      <c r="V40" s="686"/>
      <c r="W40" s="686"/>
      <c r="X40" s="686"/>
      <c r="Y40" s="686"/>
      <c r="Z40" s="686"/>
      <c r="AA40" s="686"/>
      <c r="AV40" s="699" t="str">
        <f t="shared" si="50"/>
        <v/>
      </c>
      <c r="AW40" s="704"/>
      <c r="AX40" s="704"/>
      <c r="AY40" s="704"/>
      <c r="AZ40" s="704"/>
      <c r="BA40" s="704"/>
      <c r="BB40" s="704"/>
      <c r="BC40" s="704"/>
      <c r="BD40" s="704"/>
      <c r="BE40" s="704"/>
      <c r="BF40" s="704"/>
      <c r="BG40" s="704"/>
      <c r="BH40" s="704"/>
      <c r="BI40" s="704"/>
      <c r="BJ40" s="704"/>
      <c r="BK40" s="704"/>
      <c r="BL40" s="704"/>
    </row>
    <row r="41" spans="1:64" s="35" customFormat="1" x14ac:dyDescent="0.3">
      <c r="B41" s="186" t="str">
        <f t="shared" si="43"/>
        <v>TYEP100</v>
      </c>
      <c r="C41" s="186"/>
      <c r="D41" s="187"/>
      <c r="E41" s="186"/>
      <c r="F41" s="213"/>
      <c r="G41" s="170"/>
      <c r="H41" s="190">
        <f>AE$7</f>
        <v>2040</v>
      </c>
      <c r="I41" s="191"/>
      <c r="J41" s="191"/>
      <c r="K41" s="192" t="s">
        <v>1064</v>
      </c>
      <c r="L41" s="191" t="s">
        <v>747</v>
      </c>
      <c r="M41" s="686"/>
      <c r="N41" s="686"/>
      <c r="O41" s="686"/>
      <c r="P41" s="686"/>
      <c r="Q41" s="686"/>
      <c r="R41" s="686"/>
      <c r="S41" s="686"/>
      <c r="T41" s="686"/>
      <c r="U41" s="686"/>
      <c r="V41" s="686"/>
      <c r="W41" s="686"/>
      <c r="X41" s="686"/>
      <c r="Y41" s="686"/>
      <c r="Z41" s="686"/>
      <c r="AA41" s="686"/>
      <c r="AC41" s="49" t="str">
        <f>CONCATENATE("TEST: ",D43)</f>
        <v>TEST: BicYcle.Nonenergy.Passenger.Base-year.</v>
      </c>
      <c r="AV41" s="699" t="str">
        <f t="shared" si="50"/>
        <v/>
      </c>
      <c r="AW41" s="704"/>
      <c r="AX41" s="704"/>
      <c r="AY41" s="704"/>
      <c r="AZ41" s="704"/>
      <c r="BA41" s="704"/>
      <c r="BB41" s="704"/>
      <c r="BC41" s="704"/>
      <c r="BD41" s="704"/>
      <c r="BE41" s="704"/>
      <c r="BF41" s="704"/>
      <c r="BG41" s="704"/>
      <c r="BH41" s="704"/>
      <c r="BI41" s="704"/>
      <c r="BJ41" s="704"/>
      <c r="BK41" s="704"/>
      <c r="BL41" s="704"/>
    </row>
    <row r="42" spans="1:64" s="83" customFormat="1" x14ac:dyDescent="0.3">
      <c r="B42" s="204" t="str">
        <f t="shared" si="43"/>
        <v>TYEP100</v>
      </c>
      <c r="C42" s="204"/>
      <c r="D42" s="205"/>
      <c r="E42" s="204"/>
      <c r="F42" s="711"/>
      <c r="G42" s="206"/>
      <c r="H42" s="208">
        <f>AE$8</f>
        <v>2050</v>
      </c>
      <c r="I42" s="209"/>
      <c r="J42" s="209"/>
      <c r="K42" s="712" t="s">
        <v>1064</v>
      </c>
      <c r="L42" s="209" t="s">
        <v>747</v>
      </c>
      <c r="M42" s="694"/>
      <c r="N42" s="694"/>
      <c r="O42" s="694"/>
      <c r="P42" s="694"/>
      <c r="Q42" s="694"/>
      <c r="R42" s="694"/>
      <c r="S42" s="694"/>
      <c r="T42" s="694"/>
      <c r="U42" s="694"/>
      <c r="V42" s="694"/>
      <c r="W42" s="694"/>
      <c r="X42" s="694"/>
      <c r="Y42" s="694"/>
      <c r="Z42" s="694"/>
      <c r="AA42" s="694"/>
      <c r="AC42" s="700"/>
      <c r="AD42" s="702" t="s">
        <v>421</v>
      </c>
      <c r="AE42" s="702" t="str">
        <f>M$8</f>
        <v>Z01</v>
      </c>
      <c r="AF42" s="702" t="str">
        <f t="shared" ref="AF42" si="52">N$8</f>
        <v>Z02</v>
      </c>
      <c r="AG42" s="702" t="str">
        <f t="shared" ref="AG42" si="53">O$8</f>
        <v>Z03</v>
      </c>
      <c r="AH42" s="702" t="str">
        <f t="shared" ref="AH42" si="54">P$8</f>
        <v>Z04</v>
      </c>
      <c r="AI42" s="702" t="str">
        <f t="shared" ref="AI42" si="55">Q$8</f>
        <v>Z05</v>
      </c>
      <c r="AJ42" s="702" t="str">
        <f t="shared" ref="AJ42" si="56">R$8</f>
        <v>Z06</v>
      </c>
      <c r="AK42" s="702" t="str">
        <f t="shared" ref="AK42" si="57">S$8</f>
        <v>Z07</v>
      </c>
      <c r="AL42" s="702" t="str">
        <f t="shared" ref="AL42" si="58">T$8</f>
        <v>Z08</v>
      </c>
      <c r="AM42" s="702" t="str">
        <f t="shared" ref="AM42" si="59">U$8</f>
        <v>Z09</v>
      </c>
      <c r="AN42" s="702" t="str">
        <f t="shared" ref="AN42" si="60">V$8</f>
        <v>Z10</v>
      </c>
      <c r="AO42" s="702" t="str">
        <f t="shared" ref="AO42" si="61">W$8</f>
        <v>Z11</v>
      </c>
      <c r="AP42" s="702" t="str">
        <f t="shared" ref="AP42" si="62">X$8</f>
        <v>Z12</v>
      </c>
      <c r="AQ42" s="702" t="str">
        <f t="shared" ref="AQ42" si="63">Y$8</f>
        <v>Z13</v>
      </c>
      <c r="AR42" s="702" t="str">
        <f t="shared" ref="AR42" si="64">Z$8</f>
        <v>Z14</v>
      </c>
      <c r="AS42" s="702" t="str">
        <f t="shared" ref="AS42" si="65">AA$8</f>
        <v>Z15</v>
      </c>
      <c r="AV42" s="713" t="str">
        <f t="shared" si="50"/>
        <v/>
      </c>
      <c r="AW42" s="705"/>
      <c r="AX42" s="705"/>
      <c r="AY42" s="705"/>
      <c r="AZ42" s="705"/>
      <c r="BA42" s="705"/>
      <c r="BB42" s="705"/>
      <c r="BC42" s="705"/>
      <c r="BD42" s="705"/>
      <c r="BE42" s="705"/>
      <c r="BF42" s="705"/>
      <c r="BG42" s="705"/>
      <c r="BH42" s="705"/>
      <c r="BI42" s="705"/>
      <c r="BJ42" s="705"/>
      <c r="BK42" s="705"/>
      <c r="BL42" s="705"/>
    </row>
    <row r="43" spans="1:64" s="35" customFormat="1" x14ac:dyDescent="0.3">
      <c r="A43" s="22"/>
      <c r="B43" s="186" t="str">
        <f>C43</f>
        <v>TYNP100</v>
      </c>
      <c r="C43" s="186" t="s">
        <v>381</v>
      </c>
      <c r="D43" s="187" t="s">
        <v>901</v>
      </c>
      <c r="E43" s="188"/>
      <c r="F43" s="213" t="s">
        <v>396</v>
      </c>
      <c r="G43" s="170"/>
      <c r="H43" s="190"/>
      <c r="I43" s="191"/>
      <c r="J43" s="191"/>
      <c r="K43" s="192" t="s">
        <v>1106</v>
      </c>
      <c r="L43" s="191" t="s">
        <v>1124</v>
      </c>
      <c r="M43" s="566">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4" t="str">
        <f>IF(AD44-AC16&lt;0,"too small",IF(AD44-AC16&gt;0.001,"Too big","ok"))</f>
        <v>ok</v>
      </c>
      <c r="AE43" s="618" t="str">
        <f>IF(AE44-M16&lt;0,"too small",IF(AE44-M16&gt;0.001,"Too big","ok"))</f>
        <v>ok</v>
      </c>
      <c r="AF43" s="618" t="str">
        <f t="shared" ref="AF43:AS43" si="67">IF(AF44-N16&lt;0,"too small",IF(AF44-N16&gt;0.001,"Too big","ok"))</f>
        <v>ok</v>
      </c>
      <c r="AG43" s="618" t="str">
        <f t="shared" si="67"/>
        <v>ok</v>
      </c>
      <c r="AH43" s="618" t="str">
        <f t="shared" si="67"/>
        <v>ok</v>
      </c>
      <c r="AI43" s="618" t="str">
        <f t="shared" si="67"/>
        <v>ok</v>
      </c>
      <c r="AJ43" s="618" t="str">
        <f t="shared" si="67"/>
        <v>ok</v>
      </c>
      <c r="AK43" s="618" t="str">
        <f t="shared" si="67"/>
        <v>ok</v>
      </c>
      <c r="AL43" s="618" t="str">
        <f t="shared" si="67"/>
        <v>ok</v>
      </c>
      <c r="AM43" s="618" t="str">
        <f t="shared" si="67"/>
        <v>ok</v>
      </c>
      <c r="AN43" s="618" t="str">
        <f t="shared" si="67"/>
        <v>ok</v>
      </c>
      <c r="AO43" s="618" t="str">
        <f t="shared" si="67"/>
        <v>ok</v>
      </c>
      <c r="AP43" s="618" t="str">
        <f t="shared" si="67"/>
        <v>ok</v>
      </c>
      <c r="AQ43" s="618" t="str">
        <f t="shared" si="67"/>
        <v>ok</v>
      </c>
      <c r="AR43" s="618" t="str">
        <f t="shared" si="67"/>
        <v>ok</v>
      </c>
      <c r="AS43" s="618" t="str">
        <f t="shared" si="67"/>
        <v>ok</v>
      </c>
      <c r="AV43" s="699" t="str">
        <f t="shared" si="50"/>
        <v/>
      </c>
      <c r="AW43" s="704"/>
      <c r="AX43" s="704"/>
      <c r="AY43" s="704"/>
      <c r="AZ43" s="704"/>
      <c r="BA43" s="704"/>
      <c r="BB43" s="704"/>
      <c r="BC43" s="704"/>
      <c r="BD43" s="704"/>
      <c r="BE43" s="704"/>
      <c r="BF43" s="704"/>
      <c r="BG43" s="704"/>
      <c r="BH43" s="704"/>
      <c r="BI43" s="704"/>
      <c r="BJ43" s="704"/>
      <c r="BK43" s="704"/>
      <c r="BL43" s="704"/>
    </row>
    <row r="44" spans="1:64" s="35" customFormat="1" x14ac:dyDescent="0.3">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0"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699" t="str">
        <f t="shared" si="50"/>
        <v>TRAHUM</v>
      </c>
      <c r="AW44" s="704">
        <f>SUM(AX44:BL44)</f>
        <v>0</v>
      </c>
      <c r="AX44" s="704"/>
      <c r="AY44" s="704"/>
      <c r="AZ44" s="704"/>
      <c r="BA44" s="704"/>
      <c r="BB44" s="704"/>
      <c r="BC44" s="704"/>
      <c r="BD44" s="704"/>
      <c r="BE44" s="704"/>
      <c r="BF44" s="704"/>
      <c r="BG44" s="704"/>
      <c r="BH44" s="704"/>
      <c r="BI44" s="704"/>
      <c r="BJ44" s="704"/>
      <c r="BK44" s="704"/>
      <c r="BL44" s="704"/>
    </row>
    <row r="45" spans="1:64" s="35" customFormat="1" x14ac:dyDescent="0.3">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699" t="str">
        <f t="shared" si="50"/>
        <v/>
      </c>
      <c r="AW45" s="704"/>
      <c r="AX45" s="704"/>
      <c r="AY45" s="704"/>
      <c r="AZ45" s="704"/>
      <c r="BA45" s="704"/>
      <c r="BB45" s="704"/>
      <c r="BC45" s="704"/>
      <c r="BD45" s="704"/>
      <c r="BE45" s="704"/>
      <c r="BF45" s="704"/>
      <c r="BG45" s="704"/>
      <c r="BH45" s="704"/>
      <c r="BI45" s="704"/>
      <c r="BJ45" s="704"/>
      <c r="BK45" s="704"/>
      <c r="BL45" s="704"/>
    </row>
    <row r="46" spans="1:64" s="35" customFormat="1" x14ac:dyDescent="0.3">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699" t="str">
        <f t="shared" si="50"/>
        <v/>
      </c>
      <c r="AW46" s="704"/>
      <c r="AX46" s="704"/>
      <c r="AY46" s="704"/>
      <c r="AZ46" s="704"/>
      <c r="BA46" s="704"/>
      <c r="BB46" s="704"/>
      <c r="BC46" s="704"/>
      <c r="BD46" s="704"/>
      <c r="BE46" s="704"/>
      <c r="BF46" s="704"/>
      <c r="BG46" s="704"/>
      <c r="BH46" s="704"/>
      <c r="BI46" s="704"/>
      <c r="BJ46" s="704"/>
      <c r="BK46" s="704"/>
      <c r="BL46" s="704"/>
    </row>
    <row r="47" spans="1:64" s="83" customFormat="1" x14ac:dyDescent="0.3">
      <c r="B47" s="178" t="str">
        <f t="shared" si="68"/>
        <v>TYNP100</v>
      </c>
      <c r="C47" s="178"/>
      <c r="D47" s="179"/>
      <c r="E47" s="178"/>
      <c r="F47" s="323"/>
      <c r="G47" s="182"/>
      <c r="H47" s="183">
        <f>$L$3</f>
        <v>2019</v>
      </c>
      <c r="I47" s="184"/>
      <c r="J47" s="184"/>
      <c r="K47" s="185" t="s">
        <v>1064</v>
      </c>
      <c r="L47" s="184" t="s">
        <v>747</v>
      </c>
      <c r="M47" s="688"/>
      <c r="N47" s="688"/>
      <c r="O47" s="688"/>
      <c r="P47" s="688"/>
      <c r="Q47" s="688"/>
      <c r="R47" s="688"/>
      <c r="S47" s="688"/>
      <c r="T47" s="688"/>
      <c r="U47" s="688"/>
      <c r="V47" s="688"/>
      <c r="W47" s="688"/>
      <c r="X47" s="688"/>
      <c r="Y47" s="688"/>
      <c r="Z47" s="688"/>
      <c r="AA47" s="688"/>
      <c r="AB47" s="93"/>
      <c r="AC47" s="512" t="s">
        <v>1131</v>
      </c>
      <c r="AD47" s="80">
        <f>SUM(AE47:AS47)</f>
        <v>0</v>
      </c>
      <c r="AE47" s="586">
        <f>M45*M46*M47/1000</f>
        <v>0</v>
      </c>
      <c r="AF47" s="586">
        <f t="shared" ref="AF47:AS47" si="72">N45*N46*N47/1000</f>
        <v>0</v>
      </c>
      <c r="AG47" s="586">
        <f t="shared" si="72"/>
        <v>0</v>
      </c>
      <c r="AH47" s="586">
        <f t="shared" si="72"/>
        <v>0</v>
      </c>
      <c r="AI47" s="586">
        <f t="shared" si="72"/>
        <v>0</v>
      </c>
      <c r="AJ47" s="586">
        <f t="shared" si="72"/>
        <v>0</v>
      </c>
      <c r="AK47" s="586">
        <f t="shared" si="72"/>
        <v>0</v>
      </c>
      <c r="AL47" s="586">
        <f t="shared" si="72"/>
        <v>0</v>
      </c>
      <c r="AM47" s="586">
        <f t="shared" si="72"/>
        <v>0</v>
      </c>
      <c r="AN47" s="586">
        <f t="shared" si="72"/>
        <v>0</v>
      </c>
      <c r="AO47" s="586">
        <f t="shared" si="72"/>
        <v>0</v>
      </c>
      <c r="AP47" s="586">
        <f t="shared" si="72"/>
        <v>0</v>
      </c>
      <c r="AQ47" s="586">
        <f t="shared" si="72"/>
        <v>0</v>
      </c>
      <c r="AR47" s="586">
        <f t="shared" si="72"/>
        <v>0</v>
      </c>
      <c r="AS47" s="586">
        <f t="shared" si="72"/>
        <v>0</v>
      </c>
      <c r="AV47" s="699" t="str">
        <f t="shared" si="50"/>
        <v/>
      </c>
      <c r="AW47" s="705"/>
      <c r="AX47" s="705"/>
      <c r="AY47" s="705"/>
      <c r="AZ47" s="705"/>
      <c r="BA47" s="705"/>
      <c r="BB47" s="705"/>
      <c r="BC47" s="705"/>
      <c r="BD47" s="705"/>
      <c r="BE47" s="705"/>
      <c r="BF47" s="705"/>
      <c r="BG47" s="705"/>
      <c r="BH47" s="705"/>
      <c r="BI47" s="705"/>
      <c r="BJ47" s="705"/>
      <c r="BK47" s="705"/>
      <c r="BL47" s="705"/>
    </row>
    <row r="48" spans="1:64" s="35" customFormat="1" x14ac:dyDescent="0.3">
      <c r="B48" s="186" t="str">
        <f t="shared" si="68"/>
        <v>TYNP100</v>
      </c>
      <c r="C48" s="186"/>
      <c r="D48" s="187"/>
      <c r="E48" s="186"/>
      <c r="F48" s="220"/>
      <c r="G48" s="170"/>
      <c r="H48" s="190">
        <f>AE$3</f>
        <v>2016</v>
      </c>
      <c r="I48" s="191"/>
      <c r="J48" s="191"/>
      <c r="K48" s="192" t="s">
        <v>1064</v>
      </c>
      <c r="L48" s="191" t="s">
        <v>747</v>
      </c>
      <c r="M48" s="686"/>
      <c r="N48" s="686"/>
      <c r="O48" s="686"/>
      <c r="P48" s="686"/>
      <c r="Q48" s="686"/>
      <c r="R48" s="686"/>
      <c r="S48" s="686"/>
      <c r="T48" s="686"/>
      <c r="U48" s="686"/>
      <c r="V48" s="686"/>
      <c r="W48" s="686"/>
      <c r="X48" s="686"/>
      <c r="Y48" s="686"/>
      <c r="Z48" s="686"/>
      <c r="AA48" s="686"/>
      <c r="AV48" s="699" t="str">
        <f t="shared" si="50"/>
        <v/>
      </c>
      <c r="AW48" s="704"/>
      <c r="AX48" s="704"/>
      <c r="AY48" s="704"/>
      <c r="AZ48" s="704"/>
      <c r="BA48" s="704"/>
      <c r="BB48" s="704"/>
      <c r="BC48" s="704"/>
      <c r="BD48" s="704"/>
      <c r="BE48" s="704"/>
      <c r="BF48" s="704"/>
      <c r="BG48" s="704"/>
      <c r="BH48" s="704"/>
      <c r="BI48" s="704"/>
      <c r="BJ48" s="704"/>
      <c r="BK48" s="704"/>
      <c r="BL48" s="704"/>
    </row>
    <row r="49" spans="1:64" s="35" customFormat="1" x14ac:dyDescent="0.3">
      <c r="B49" s="186" t="str">
        <f t="shared" si="68"/>
        <v>TYNP100</v>
      </c>
      <c r="C49" s="186"/>
      <c r="D49" s="187"/>
      <c r="E49" s="186"/>
      <c r="F49" s="220"/>
      <c r="G49" s="170"/>
      <c r="H49" s="190">
        <f>AE$4</f>
        <v>2020</v>
      </c>
      <c r="I49" s="191"/>
      <c r="J49" s="191"/>
      <c r="K49" s="192" t="s">
        <v>1064</v>
      </c>
      <c r="L49" s="191" t="s">
        <v>747</v>
      </c>
      <c r="M49" s="686"/>
      <c r="N49" s="686"/>
      <c r="O49" s="686"/>
      <c r="P49" s="686"/>
      <c r="Q49" s="686"/>
      <c r="R49" s="686"/>
      <c r="S49" s="686"/>
      <c r="T49" s="686"/>
      <c r="U49" s="686"/>
      <c r="V49" s="686"/>
      <c r="W49" s="686"/>
      <c r="X49" s="686"/>
      <c r="Y49" s="686"/>
      <c r="Z49" s="686"/>
      <c r="AA49" s="686"/>
      <c r="AD49" s="57"/>
      <c r="AE49" s="57"/>
      <c r="AF49" s="57"/>
      <c r="AG49" s="57"/>
      <c r="AH49" s="57"/>
      <c r="AI49" s="57"/>
      <c r="AJ49" s="57"/>
      <c r="AK49" s="57"/>
      <c r="AL49" s="57"/>
      <c r="AM49" s="57"/>
      <c r="AN49" s="57"/>
      <c r="AO49" s="57"/>
      <c r="AP49" s="57"/>
      <c r="AQ49" s="57"/>
      <c r="AR49" s="57"/>
      <c r="AS49" s="57"/>
      <c r="AT49" s="57"/>
      <c r="AU49" s="57"/>
      <c r="AV49" s="699" t="str">
        <f t="shared" si="50"/>
        <v/>
      </c>
      <c r="AW49" s="704"/>
      <c r="AX49" s="704"/>
      <c r="AY49" s="704"/>
      <c r="AZ49" s="704"/>
      <c r="BA49" s="704"/>
      <c r="BB49" s="704"/>
      <c r="BC49" s="704"/>
      <c r="BD49" s="704"/>
      <c r="BE49" s="704"/>
      <c r="BF49" s="704"/>
      <c r="BG49" s="704"/>
      <c r="BH49" s="704"/>
      <c r="BI49" s="704"/>
      <c r="BJ49" s="704"/>
      <c r="BK49" s="704"/>
      <c r="BL49" s="704"/>
    </row>
    <row r="50" spans="1:64" s="35" customFormat="1" x14ac:dyDescent="0.3">
      <c r="B50" s="186" t="str">
        <f t="shared" si="68"/>
        <v>TYNP100</v>
      </c>
      <c r="C50" s="186"/>
      <c r="D50" s="187"/>
      <c r="E50" s="186"/>
      <c r="F50" s="220"/>
      <c r="G50" s="170"/>
      <c r="H50" s="190">
        <f>AE$5</f>
        <v>2025</v>
      </c>
      <c r="I50" s="191"/>
      <c r="J50" s="191"/>
      <c r="K50" s="192" t="s">
        <v>1064</v>
      </c>
      <c r="L50" s="191" t="s">
        <v>747</v>
      </c>
      <c r="M50" s="686"/>
      <c r="N50" s="686"/>
      <c r="O50" s="686"/>
      <c r="P50" s="686"/>
      <c r="Q50" s="686"/>
      <c r="R50" s="686"/>
      <c r="S50" s="686"/>
      <c r="T50" s="686"/>
      <c r="U50" s="686"/>
      <c r="V50" s="686"/>
      <c r="W50" s="686"/>
      <c r="X50" s="686"/>
      <c r="Y50" s="686"/>
      <c r="Z50" s="686"/>
      <c r="AA50" s="686"/>
      <c r="AV50" s="699" t="str">
        <f t="shared" si="50"/>
        <v/>
      </c>
      <c r="AW50" s="704"/>
      <c r="AX50" s="704"/>
      <c r="AY50" s="704"/>
      <c r="AZ50" s="704"/>
      <c r="BA50" s="704"/>
      <c r="BB50" s="704"/>
      <c r="BC50" s="704"/>
      <c r="BD50" s="704"/>
      <c r="BE50" s="704"/>
      <c r="BF50" s="704"/>
      <c r="BG50" s="704"/>
      <c r="BH50" s="704"/>
      <c r="BI50" s="704"/>
      <c r="BJ50" s="704"/>
      <c r="BK50" s="704"/>
      <c r="BL50" s="704"/>
    </row>
    <row r="51" spans="1:64" s="35" customFormat="1" x14ac:dyDescent="0.3">
      <c r="B51" s="186" t="str">
        <f t="shared" si="68"/>
        <v>TYNP100</v>
      </c>
      <c r="C51" s="186"/>
      <c r="D51" s="187"/>
      <c r="E51" s="186"/>
      <c r="F51" s="220"/>
      <c r="G51" s="170"/>
      <c r="H51" s="190">
        <f>AE$6</f>
        <v>2030</v>
      </c>
      <c r="I51" s="191"/>
      <c r="J51" s="191"/>
      <c r="K51" s="192" t="s">
        <v>1064</v>
      </c>
      <c r="L51" s="191" t="s">
        <v>747</v>
      </c>
      <c r="M51" s="686"/>
      <c r="N51" s="686"/>
      <c r="O51" s="686"/>
      <c r="P51" s="686"/>
      <c r="Q51" s="686"/>
      <c r="R51" s="686"/>
      <c r="S51" s="686"/>
      <c r="T51" s="686"/>
      <c r="U51" s="686"/>
      <c r="V51" s="686"/>
      <c r="W51" s="686"/>
      <c r="X51" s="686"/>
      <c r="Y51" s="686"/>
      <c r="Z51" s="686"/>
      <c r="AA51" s="686"/>
      <c r="AV51" s="699" t="str">
        <f t="shared" si="50"/>
        <v/>
      </c>
      <c r="AW51" s="704"/>
      <c r="AX51" s="704"/>
      <c r="AY51" s="704"/>
      <c r="AZ51" s="704"/>
      <c r="BA51" s="704"/>
      <c r="BB51" s="704"/>
      <c r="BC51" s="704"/>
      <c r="BD51" s="704"/>
      <c r="BE51" s="704"/>
      <c r="BF51" s="704"/>
      <c r="BG51" s="704"/>
      <c r="BH51" s="704"/>
      <c r="BI51" s="704"/>
      <c r="BJ51" s="704"/>
      <c r="BK51" s="704"/>
      <c r="BL51" s="704"/>
    </row>
    <row r="52" spans="1:64" s="35" customFormat="1" x14ac:dyDescent="0.3">
      <c r="B52" s="186" t="str">
        <f t="shared" si="68"/>
        <v>TYNP100</v>
      </c>
      <c r="C52" s="186"/>
      <c r="D52" s="187"/>
      <c r="E52" s="186"/>
      <c r="F52" s="220"/>
      <c r="G52" s="170"/>
      <c r="H52" s="190">
        <f>AE$7</f>
        <v>2040</v>
      </c>
      <c r="I52" s="191"/>
      <c r="J52" s="191"/>
      <c r="K52" s="192" t="s">
        <v>1064</v>
      </c>
      <c r="L52" s="191" t="s">
        <v>747</v>
      </c>
      <c r="M52" s="686"/>
      <c r="N52" s="686"/>
      <c r="O52" s="686"/>
      <c r="P52" s="686"/>
      <c r="Q52" s="686"/>
      <c r="R52" s="686"/>
      <c r="S52" s="686"/>
      <c r="T52" s="686"/>
      <c r="U52" s="686"/>
      <c r="V52" s="686"/>
      <c r="W52" s="686"/>
      <c r="X52" s="686"/>
      <c r="Y52" s="686"/>
      <c r="Z52" s="686"/>
      <c r="AA52" s="686"/>
      <c r="AC52" s="49" t="str">
        <f>CONCATENATE("TEST: ",D54)</f>
        <v>TEST: Walking.Nonenergy.Base-year.</v>
      </c>
      <c r="AV52" s="699" t="str">
        <f t="shared" si="50"/>
        <v/>
      </c>
      <c r="AW52" s="704"/>
      <c r="AX52" s="704"/>
      <c r="AY52" s="704"/>
      <c r="AZ52" s="704"/>
      <c r="BA52" s="704"/>
      <c r="BB52" s="704"/>
      <c r="BC52" s="704"/>
      <c r="BD52" s="704"/>
      <c r="BE52" s="704"/>
      <c r="BF52" s="704"/>
      <c r="BG52" s="704"/>
      <c r="BH52" s="704"/>
      <c r="BI52" s="704"/>
      <c r="BJ52" s="704"/>
      <c r="BK52" s="704"/>
      <c r="BL52" s="704"/>
    </row>
    <row r="53" spans="1:64" s="35" customFormat="1" x14ac:dyDescent="0.3">
      <c r="B53" s="193" t="str">
        <f t="shared" si="68"/>
        <v>TYNP100</v>
      </c>
      <c r="C53" s="193"/>
      <c r="D53" s="194"/>
      <c r="E53" s="193"/>
      <c r="F53" s="221"/>
      <c r="G53" s="196"/>
      <c r="H53" s="197">
        <f>AE$8</f>
        <v>2050</v>
      </c>
      <c r="I53" s="198"/>
      <c r="J53" s="198"/>
      <c r="K53" s="199" t="s">
        <v>1064</v>
      </c>
      <c r="L53" s="198" t="s">
        <v>747</v>
      </c>
      <c r="M53" s="687"/>
      <c r="N53" s="687"/>
      <c r="O53" s="687"/>
      <c r="P53" s="687"/>
      <c r="Q53" s="687"/>
      <c r="R53" s="687"/>
      <c r="S53" s="687"/>
      <c r="T53" s="687"/>
      <c r="U53" s="687"/>
      <c r="V53" s="687"/>
      <c r="W53" s="687"/>
      <c r="X53" s="687"/>
      <c r="Y53" s="687"/>
      <c r="Z53" s="687"/>
      <c r="AA53" s="687"/>
      <c r="AC53" s="58"/>
      <c r="AD53" s="714" t="s">
        <v>421</v>
      </c>
      <c r="AE53" s="714" t="str">
        <f>M$8</f>
        <v>Z01</v>
      </c>
      <c r="AF53" s="714" t="str">
        <f t="shared" ref="AF53" si="73">N$8</f>
        <v>Z02</v>
      </c>
      <c r="AG53" s="714" t="str">
        <f t="shared" ref="AG53" si="74">O$8</f>
        <v>Z03</v>
      </c>
      <c r="AH53" s="714" t="str">
        <f t="shared" ref="AH53" si="75">P$8</f>
        <v>Z04</v>
      </c>
      <c r="AI53" s="714" t="str">
        <f t="shared" ref="AI53" si="76">Q$8</f>
        <v>Z05</v>
      </c>
      <c r="AJ53" s="714" t="str">
        <f t="shared" ref="AJ53" si="77">R$8</f>
        <v>Z06</v>
      </c>
      <c r="AK53" s="714" t="str">
        <f t="shared" ref="AK53" si="78">S$8</f>
        <v>Z07</v>
      </c>
      <c r="AL53" s="714" t="str">
        <f t="shared" ref="AL53" si="79">T$8</f>
        <v>Z08</v>
      </c>
      <c r="AM53" s="714" t="str">
        <f t="shared" ref="AM53" si="80">U$8</f>
        <v>Z09</v>
      </c>
      <c r="AN53" s="714" t="str">
        <f t="shared" ref="AN53" si="81">V$8</f>
        <v>Z10</v>
      </c>
      <c r="AO53" s="714" t="str">
        <f t="shared" ref="AO53" si="82">W$8</f>
        <v>Z11</v>
      </c>
      <c r="AP53" s="714" t="str">
        <f t="shared" ref="AP53" si="83">X$8</f>
        <v>Z12</v>
      </c>
      <c r="AQ53" s="714" t="str">
        <f t="shared" ref="AQ53" si="84">Y$8</f>
        <v>Z13</v>
      </c>
      <c r="AR53" s="714" t="str">
        <f t="shared" ref="AR53" si="85">Z$8</f>
        <v>Z14</v>
      </c>
      <c r="AS53" s="714" t="str">
        <f t="shared" ref="AS53" si="86">AA$8</f>
        <v>Z15</v>
      </c>
      <c r="AV53" s="699" t="str">
        <f t="shared" si="50"/>
        <v/>
      </c>
      <c r="AW53" s="704"/>
      <c r="AX53" s="704"/>
      <c r="AY53" s="704"/>
      <c r="AZ53" s="704"/>
      <c r="BA53" s="704"/>
      <c r="BB53" s="704"/>
      <c r="BC53" s="704"/>
      <c r="BD53" s="704"/>
      <c r="BE53" s="704"/>
      <c r="BF53" s="704"/>
      <c r="BG53" s="704"/>
      <c r="BH53" s="704"/>
      <c r="BI53" s="704"/>
      <c r="BJ53" s="704"/>
      <c r="BK53" s="704"/>
      <c r="BL53" s="704"/>
    </row>
    <row r="54" spans="1:64" s="35" customFormat="1" x14ac:dyDescent="0.3">
      <c r="A54" s="22"/>
      <c r="B54" s="186" t="str">
        <f>C54</f>
        <v>TWN100</v>
      </c>
      <c r="C54" s="186" t="s">
        <v>382</v>
      </c>
      <c r="D54" s="187" t="s">
        <v>893</v>
      </c>
      <c r="E54" s="188"/>
      <c r="F54" s="213" t="s">
        <v>394</v>
      </c>
      <c r="G54" s="170"/>
      <c r="H54" s="190"/>
      <c r="I54" s="191"/>
      <c r="J54" s="191"/>
      <c r="K54" s="192" t="s">
        <v>1106</v>
      </c>
      <c r="L54" s="191" t="s">
        <v>1124</v>
      </c>
      <c r="M54" s="566">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4" t="str">
        <f>IF(AD58-AC12&lt;0,"too small",IF(AD58-AC12&gt;0.001,"Too big","ok"))</f>
        <v>ok</v>
      </c>
      <c r="AE54" s="618" t="str">
        <f>IF(AE58-M12&lt;0,"too small",IF(AE58-M12&gt;0.001,"Too big","ok"))</f>
        <v>ok</v>
      </c>
      <c r="AF54" s="618" t="str">
        <f t="shared" ref="AF54:AS54" si="88">IF(AF58-N12&lt;0,"too small",IF(AF58-N12&gt;0.001,"Too big","ok"))</f>
        <v>ok</v>
      </c>
      <c r="AG54" s="618" t="str">
        <f t="shared" si="88"/>
        <v>ok</v>
      </c>
      <c r="AH54" s="618" t="str">
        <f t="shared" si="88"/>
        <v>ok</v>
      </c>
      <c r="AI54" s="618" t="str">
        <f t="shared" si="88"/>
        <v>ok</v>
      </c>
      <c r="AJ54" s="618" t="str">
        <f t="shared" si="88"/>
        <v>ok</v>
      </c>
      <c r="AK54" s="618" t="str">
        <f t="shared" si="88"/>
        <v>ok</v>
      </c>
      <c r="AL54" s="618" t="str">
        <f t="shared" si="88"/>
        <v>ok</v>
      </c>
      <c r="AM54" s="618" t="str">
        <f t="shared" si="88"/>
        <v>ok</v>
      </c>
      <c r="AN54" s="618" t="str">
        <f t="shared" si="88"/>
        <v>ok</v>
      </c>
      <c r="AO54" s="618" t="str">
        <f t="shared" si="88"/>
        <v>ok</v>
      </c>
      <c r="AP54" s="618" t="str">
        <f t="shared" si="88"/>
        <v>ok</v>
      </c>
      <c r="AQ54" s="618" t="str">
        <f t="shared" si="88"/>
        <v>ok</v>
      </c>
      <c r="AR54" s="618" t="str">
        <f t="shared" si="88"/>
        <v>ok</v>
      </c>
      <c r="AS54" s="618" t="str">
        <f t="shared" si="88"/>
        <v>ok</v>
      </c>
      <c r="AV54" s="699" t="str">
        <f t="shared" si="50"/>
        <v/>
      </c>
      <c r="AW54" s="704"/>
      <c r="AX54" s="704"/>
      <c r="AY54" s="704"/>
      <c r="AZ54" s="704"/>
      <c r="BA54" s="704"/>
      <c r="BB54" s="704"/>
      <c r="BC54" s="704"/>
      <c r="BD54" s="704"/>
      <c r="BE54" s="704"/>
      <c r="BF54" s="704"/>
      <c r="BG54" s="704"/>
      <c r="BH54" s="704"/>
      <c r="BI54" s="704"/>
      <c r="BJ54" s="704"/>
      <c r="BK54" s="704"/>
      <c r="BL54" s="704"/>
    </row>
    <row r="55" spans="1:64" s="35" customFormat="1" x14ac:dyDescent="0.3">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0" t="str">
        <f>IF(COUNTIF($AF$2:$AM$2,AC54)=1,"ok","MISSING")</f>
        <v>ok</v>
      </c>
      <c r="AD55" s="59"/>
      <c r="AT55" s="55"/>
      <c r="AU55" s="55"/>
      <c r="AV55" s="699" t="str">
        <f t="shared" si="50"/>
        <v>TRAHUM</v>
      </c>
      <c r="AW55" s="704">
        <f>SUM(AX55:BL55)</f>
        <v>0</v>
      </c>
      <c r="AX55" s="704"/>
      <c r="AY55" s="704"/>
      <c r="AZ55" s="704"/>
      <c r="BA55" s="704"/>
      <c r="BB55" s="704"/>
      <c r="BC55" s="704"/>
      <c r="BD55" s="704"/>
      <c r="BE55" s="704"/>
      <c r="BF55" s="704"/>
      <c r="BG55" s="704"/>
      <c r="BH55" s="704"/>
      <c r="BI55" s="704"/>
      <c r="BJ55" s="704"/>
      <c r="BK55" s="704"/>
      <c r="BL55" s="704"/>
    </row>
    <row r="56" spans="1:64" s="35" customFormat="1" x14ac:dyDescent="0.3">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699" t="str">
        <f t="shared" si="50"/>
        <v/>
      </c>
      <c r="AW56" s="704"/>
      <c r="AX56" s="704"/>
      <c r="AY56" s="704"/>
      <c r="AZ56" s="704"/>
      <c r="BA56" s="704"/>
      <c r="BB56" s="704"/>
      <c r="BC56" s="704"/>
      <c r="BD56" s="704"/>
      <c r="BE56" s="704"/>
      <c r="BF56" s="704"/>
      <c r="BG56" s="704"/>
      <c r="BH56" s="704"/>
      <c r="BI56" s="704"/>
      <c r="BJ56" s="704"/>
      <c r="BK56" s="704"/>
      <c r="BL56" s="704"/>
    </row>
    <row r="57" spans="1:64" s="35" customFormat="1" x14ac:dyDescent="0.3">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699" t="str">
        <f t="shared" si="50"/>
        <v/>
      </c>
      <c r="AW57" s="704"/>
      <c r="AX57" s="704"/>
      <c r="AY57" s="704"/>
      <c r="AZ57" s="704"/>
      <c r="BA57" s="704"/>
      <c r="BB57" s="704"/>
      <c r="BC57" s="704"/>
      <c r="BD57" s="704"/>
      <c r="BE57" s="704"/>
      <c r="BF57" s="704"/>
      <c r="BG57" s="704"/>
      <c r="BH57" s="704"/>
      <c r="BI57" s="704"/>
      <c r="BJ57" s="704"/>
      <c r="BK57" s="704"/>
      <c r="BL57" s="704"/>
    </row>
    <row r="58" spans="1:64" s="35" customFormat="1" x14ac:dyDescent="0.3">
      <c r="B58" s="186" t="str">
        <f t="shared" si="89"/>
        <v>TWN100</v>
      </c>
      <c r="C58" s="186"/>
      <c r="D58" s="187"/>
      <c r="E58" s="186"/>
      <c r="F58" s="189"/>
      <c r="G58" s="170"/>
      <c r="H58" s="190">
        <f>$L$3</f>
        <v>2019</v>
      </c>
      <c r="I58" s="191"/>
      <c r="J58" s="191"/>
      <c r="K58" s="192" t="s">
        <v>1064</v>
      </c>
      <c r="L58" s="191" t="s">
        <v>747</v>
      </c>
      <c r="M58" s="688"/>
      <c r="N58" s="688"/>
      <c r="O58" s="688"/>
      <c r="P58" s="688"/>
      <c r="Q58" s="688"/>
      <c r="R58" s="688"/>
      <c r="S58" s="688"/>
      <c r="T58" s="688"/>
      <c r="U58" s="688"/>
      <c r="V58" s="688"/>
      <c r="W58" s="688"/>
      <c r="X58" s="688"/>
      <c r="Y58" s="688"/>
      <c r="Z58" s="688"/>
      <c r="AA58" s="688"/>
      <c r="AB58" s="570"/>
      <c r="AC58" s="511"/>
      <c r="AD58" s="80">
        <f>SUM(AE58:AS58)</f>
        <v>0</v>
      </c>
      <c r="AE58" s="625">
        <f>M56*M57*M58/1000</f>
        <v>0</v>
      </c>
      <c r="AF58" s="625">
        <f t="shared" ref="AF58:AS58" si="92">N56*N57*N58/1000</f>
        <v>0</v>
      </c>
      <c r="AG58" s="625">
        <f t="shared" si="92"/>
        <v>0</v>
      </c>
      <c r="AH58" s="625">
        <f t="shared" si="92"/>
        <v>0</v>
      </c>
      <c r="AI58" s="625">
        <f t="shared" si="92"/>
        <v>0</v>
      </c>
      <c r="AJ58" s="625">
        <f t="shared" si="92"/>
        <v>0</v>
      </c>
      <c r="AK58" s="625">
        <f t="shared" si="92"/>
        <v>0</v>
      </c>
      <c r="AL58" s="625">
        <f t="shared" si="92"/>
        <v>0</v>
      </c>
      <c r="AM58" s="625">
        <f t="shared" si="92"/>
        <v>0</v>
      </c>
      <c r="AN58" s="625">
        <f t="shared" si="92"/>
        <v>0</v>
      </c>
      <c r="AO58" s="625">
        <f t="shared" si="92"/>
        <v>0</v>
      </c>
      <c r="AP58" s="625">
        <f t="shared" si="92"/>
        <v>0</v>
      </c>
      <c r="AQ58" s="625">
        <f t="shared" si="92"/>
        <v>0</v>
      </c>
      <c r="AR58" s="625">
        <f t="shared" si="92"/>
        <v>0</v>
      </c>
      <c r="AS58" s="625">
        <f t="shared" si="92"/>
        <v>0</v>
      </c>
      <c r="AV58" s="699" t="str">
        <f t="shared" si="50"/>
        <v/>
      </c>
      <c r="AW58" s="704"/>
      <c r="AX58" s="704"/>
      <c r="AY58" s="704"/>
      <c r="AZ58" s="704"/>
      <c r="BA58" s="704"/>
      <c r="BB58" s="704"/>
      <c r="BC58" s="704"/>
      <c r="BD58" s="704"/>
      <c r="BE58" s="704"/>
      <c r="BF58" s="704"/>
      <c r="BG58" s="704"/>
      <c r="BH58" s="704"/>
      <c r="BI58" s="704"/>
      <c r="BJ58" s="704"/>
      <c r="BK58" s="704"/>
      <c r="BL58" s="704"/>
    </row>
    <row r="59" spans="1:64" s="35" customFormat="1" x14ac:dyDescent="0.3">
      <c r="B59" s="186" t="str">
        <f t="shared" si="89"/>
        <v>TWN100</v>
      </c>
      <c r="C59" s="186"/>
      <c r="D59" s="187"/>
      <c r="E59" s="186"/>
      <c r="F59" s="189"/>
      <c r="G59" s="170"/>
      <c r="H59" s="190">
        <f>AE$3</f>
        <v>2016</v>
      </c>
      <c r="I59" s="191"/>
      <c r="J59" s="191"/>
      <c r="K59" s="192" t="s">
        <v>1064</v>
      </c>
      <c r="L59" s="191" t="s">
        <v>747</v>
      </c>
      <c r="M59" s="686"/>
      <c r="N59" s="686"/>
      <c r="O59" s="686"/>
      <c r="P59" s="686"/>
      <c r="Q59" s="686"/>
      <c r="R59" s="686"/>
      <c r="S59" s="686"/>
      <c r="T59" s="686"/>
      <c r="U59" s="686"/>
      <c r="V59" s="686"/>
      <c r="W59" s="686"/>
      <c r="X59" s="686"/>
      <c r="Y59" s="686"/>
      <c r="Z59" s="686"/>
      <c r="AA59" s="686"/>
      <c r="AV59" s="699" t="str">
        <f t="shared" si="50"/>
        <v/>
      </c>
      <c r="AW59" s="704"/>
      <c r="AX59" s="704"/>
      <c r="AY59" s="704"/>
      <c r="AZ59" s="704"/>
      <c r="BA59" s="704"/>
      <c r="BB59" s="704"/>
      <c r="BC59" s="704"/>
      <c r="BD59" s="704"/>
      <c r="BE59" s="704"/>
      <c r="BF59" s="704"/>
      <c r="BG59" s="704"/>
      <c r="BH59" s="704"/>
      <c r="BI59" s="704"/>
      <c r="BJ59" s="704"/>
      <c r="BK59" s="704"/>
      <c r="BL59" s="704"/>
    </row>
    <row r="60" spans="1:64" s="35" customFormat="1" x14ac:dyDescent="0.3">
      <c r="B60" s="186" t="str">
        <f t="shared" si="89"/>
        <v>TWN100</v>
      </c>
      <c r="C60" s="186"/>
      <c r="D60" s="187"/>
      <c r="E60" s="186"/>
      <c r="F60" s="189"/>
      <c r="G60" s="170"/>
      <c r="H60" s="190">
        <f>AE$4</f>
        <v>2020</v>
      </c>
      <c r="I60" s="191"/>
      <c r="J60" s="191"/>
      <c r="K60" s="192" t="s">
        <v>1064</v>
      </c>
      <c r="L60" s="191" t="s">
        <v>747</v>
      </c>
      <c r="M60" s="686"/>
      <c r="N60" s="686"/>
      <c r="O60" s="686"/>
      <c r="P60" s="686"/>
      <c r="Q60" s="686"/>
      <c r="R60" s="686"/>
      <c r="S60" s="686"/>
      <c r="T60" s="686"/>
      <c r="U60" s="686"/>
      <c r="V60" s="686"/>
      <c r="W60" s="686"/>
      <c r="X60" s="686"/>
      <c r="Y60" s="686"/>
      <c r="Z60" s="686"/>
      <c r="AA60" s="686"/>
      <c r="AD60" s="57"/>
      <c r="AE60" s="57"/>
      <c r="AF60" s="57"/>
      <c r="AG60" s="57"/>
      <c r="AH60" s="57"/>
      <c r="AI60" s="57"/>
      <c r="AJ60" s="57"/>
      <c r="AK60" s="57"/>
      <c r="AL60" s="57"/>
      <c r="AM60" s="57"/>
      <c r="AN60" s="57"/>
      <c r="AO60" s="57"/>
      <c r="AP60" s="57"/>
      <c r="AQ60" s="57"/>
      <c r="AR60" s="57"/>
      <c r="AS60" s="57"/>
      <c r="AT60" s="57"/>
      <c r="AU60" s="57"/>
      <c r="AV60" s="699" t="str">
        <f t="shared" si="50"/>
        <v/>
      </c>
      <c r="AW60" s="704"/>
      <c r="AX60" s="704"/>
      <c r="AY60" s="704"/>
      <c r="AZ60" s="704"/>
      <c r="BA60" s="704"/>
      <c r="BB60" s="704"/>
      <c r="BC60" s="704"/>
      <c r="BD60" s="704"/>
      <c r="BE60" s="704"/>
      <c r="BF60" s="704"/>
      <c r="BG60" s="704"/>
      <c r="BH60" s="704"/>
      <c r="BI60" s="704"/>
      <c r="BJ60" s="704"/>
      <c r="BK60" s="704"/>
      <c r="BL60" s="704"/>
    </row>
    <row r="61" spans="1:64" s="35" customFormat="1" x14ac:dyDescent="0.3">
      <c r="B61" s="186" t="str">
        <f t="shared" si="89"/>
        <v>TWN100</v>
      </c>
      <c r="C61" s="186"/>
      <c r="D61" s="187"/>
      <c r="E61" s="186"/>
      <c r="F61" s="189"/>
      <c r="G61" s="170"/>
      <c r="H61" s="190">
        <f>AE$5</f>
        <v>2025</v>
      </c>
      <c r="I61" s="191"/>
      <c r="J61" s="191"/>
      <c r="K61" s="192" t="s">
        <v>1064</v>
      </c>
      <c r="L61" s="191" t="s">
        <v>747</v>
      </c>
      <c r="M61" s="686"/>
      <c r="N61" s="686"/>
      <c r="O61" s="686"/>
      <c r="P61" s="686"/>
      <c r="Q61" s="686"/>
      <c r="R61" s="686"/>
      <c r="S61" s="686"/>
      <c r="T61" s="686"/>
      <c r="U61" s="686"/>
      <c r="V61" s="686"/>
      <c r="W61" s="686"/>
      <c r="X61" s="686"/>
      <c r="Y61" s="686"/>
      <c r="Z61" s="686"/>
      <c r="AA61" s="686"/>
      <c r="AV61" s="699" t="str">
        <f t="shared" si="50"/>
        <v/>
      </c>
      <c r="AW61" s="704"/>
      <c r="AX61" s="704"/>
      <c r="AY61" s="704"/>
      <c r="AZ61" s="704"/>
      <c r="BA61" s="704"/>
      <c r="BB61" s="704"/>
      <c r="BC61" s="704"/>
      <c r="BD61" s="704"/>
      <c r="BE61" s="704"/>
      <c r="BF61" s="704"/>
      <c r="BG61" s="704"/>
      <c r="BH61" s="704"/>
      <c r="BI61" s="704"/>
      <c r="BJ61" s="704"/>
      <c r="BK61" s="704"/>
      <c r="BL61" s="704"/>
    </row>
    <row r="62" spans="1:64" s="35" customFormat="1" x14ac:dyDescent="0.3">
      <c r="B62" s="186" t="str">
        <f t="shared" si="89"/>
        <v>TWN100</v>
      </c>
      <c r="C62" s="186"/>
      <c r="D62" s="187"/>
      <c r="E62" s="186"/>
      <c r="F62" s="189"/>
      <c r="G62" s="170"/>
      <c r="H62" s="190">
        <f>AE$6</f>
        <v>2030</v>
      </c>
      <c r="I62" s="191"/>
      <c r="J62" s="191"/>
      <c r="K62" s="192" t="s">
        <v>1064</v>
      </c>
      <c r="L62" s="191" t="s">
        <v>747</v>
      </c>
      <c r="M62" s="686"/>
      <c r="N62" s="686"/>
      <c r="O62" s="686"/>
      <c r="P62" s="686"/>
      <c r="Q62" s="686"/>
      <c r="R62" s="686"/>
      <c r="S62" s="686"/>
      <c r="T62" s="686"/>
      <c r="U62" s="686"/>
      <c r="V62" s="686"/>
      <c r="W62" s="686"/>
      <c r="X62" s="686"/>
      <c r="Y62" s="686"/>
      <c r="Z62" s="686"/>
      <c r="AA62" s="686"/>
      <c r="AV62" s="699" t="str">
        <f t="shared" si="50"/>
        <v/>
      </c>
      <c r="AW62" s="704"/>
      <c r="AX62" s="704"/>
      <c r="AY62" s="704"/>
      <c r="AZ62" s="704"/>
      <c r="BA62" s="704"/>
      <c r="BB62" s="704"/>
      <c r="BC62" s="704"/>
      <c r="BD62" s="704"/>
      <c r="BE62" s="704"/>
      <c r="BF62" s="704"/>
      <c r="BG62" s="704"/>
      <c r="BH62" s="704"/>
      <c r="BI62" s="704"/>
      <c r="BJ62" s="704"/>
      <c r="BK62" s="704"/>
      <c r="BL62" s="704"/>
    </row>
    <row r="63" spans="1:64" s="35" customFormat="1" x14ac:dyDescent="0.3">
      <c r="B63" s="186" t="str">
        <f t="shared" si="89"/>
        <v>TWN100</v>
      </c>
      <c r="C63" s="186"/>
      <c r="D63" s="187"/>
      <c r="E63" s="186"/>
      <c r="F63" s="189"/>
      <c r="G63" s="170"/>
      <c r="H63" s="190">
        <f>AE$7</f>
        <v>2040</v>
      </c>
      <c r="I63" s="191"/>
      <c r="J63" s="191"/>
      <c r="K63" s="192" t="s">
        <v>1064</v>
      </c>
      <c r="L63" s="191" t="s">
        <v>747</v>
      </c>
      <c r="M63" s="686"/>
      <c r="N63" s="686"/>
      <c r="O63" s="686"/>
      <c r="P63" s="686"/>
      <c r="Q63" s="686"/>
      <c r="R63" s="686"/>
      <c r="S63" s="686"/>
      <c r="T63" s="686"/>
      <c r="U63" s="686"/>
      <c r="V63" s="686"/>
      <c r="W63" s="686"/>
      <c r="X63" s="686"/>
      <c r="Y63" s="686"/>
      <c r="Z63" s="686"/>
      <c r="AA63" s="686"/>
      <c r="AC63" s="49" t="str">
        <f>CONCATENATE("TEST: ",D65)</f>
        <v>TEST: LightElectricVehicle.Passenger.Base-year.</v>
      </c>
      <c r="AV63" s="699" t="str">
        <f t="shared" si="50"/>
        <v/>
      </c>
      <c r="AW63" s="704"/>
      <c r="AX63" s="704"/>
      <c r="AY63" s="704"/>
      <c r="AZ63" s="704"/>
      <c r="BA63" s="704"/>
      <c r="BB63" s="704"/>
      <c r="BC63" s="704"/>
      <c r="BD63" s="704"/>
      <c r="BE63" s="704"/>
      <c r="BF63" s="704"/>
      <c r="BG63" s="704"/>
      <c r="BH63" s="704"/>
      <c r="BI63" s="704"/>
      <c r="BJ63" s="704"/>
      <c r="BK63" s="704"/>
      <c r="BL63" s="704"/>
    </row>
    <row r="64" spans="1:64" s="35" customFormat="1" x14ac:dyDescent="0.3">
      <c r="B64" s="193" t="str">
        <f t="shared" si="89"/>
        <v>TWN100</v>
      </c>
      <c r="C64" s="193"/>
      <c r="D64" s="194"/>
      <c r="E64" s="193"/>
      <c r="F64" s="195"/>
      <c r="G64" s="196"/>
      <c r="H64" s="197">
        <f>AE$8</f>
        <v>2050</v>
      </c>
      <c r="I64" s="198"/>
      <c r="J64" s="198"/>
      <c r="K64" s="199" t="s">
        <v>1064</v>
      </c>
      <c r="L64" s="198" t="s">
        <v>747</v>
      </c>
      <c r="M64" s="687"/>
      <c r="N64" s="687"/>
      <c r="O64" s="687"/>
      <c r="P64" s="687"/>
      <c r="Q64" s="687"/>
      <c r="R64" s="687"/>
      <c r="S64" s="687"/>
      <c r="T64" s="687"/>
      <c r="U64" s="687"/>
      <c r="V64" s="687"/>
      <c r="W64" s="687"/>
      <c r="X64" s="687"/>
      <c r="Y64" s="687"/>
      <c r="Z64" s="687"/>
      <c r="AA64" s="687"/>
      <c r="AC64" s="58"/>
      <c r="AD64" s="714" t="s">
        <v>421</v>
      </c>
      <c r="AE64" s="714" t="str">
        <f>M$8</f>
        <v>Z01</v>
      </c>
      <c r="AF64" s="714" t="str">
        <f t="shared" ref="AF64" si="93">N$8</f>
        <v>Z02</v>
      </c>
      <c r="AG64" s="714" t="str">
        <f t="shared" ref="AG64" si="94">O$8</f>
        <v>Z03</v>
      </c>
      <c r="AH64" s="714" t="str">
        <f t="shared" ref="AH64" si="95">P$8</f>
        <v>Z04</v>
      </c>
      <c r="AI64" s="714" t="str">
        <f t="shared" ref="AI64" si="96">Q$8</f>
        <v>Z05</v>
      </c>
      <c r="AJ64" s="714" t="str">
        <f t="shared" ref="AJ64" si="97">R$8</f>
        <v>Z06</v>
      </c>
      <c r="AK64" s="714" t="str">
        <f t="shared" ref="AK64" si="98">S$8</f>
        <v>Z07</v>
      </c>
      <c r="AL64" s="714" t="str">
        <f t="shared" ref="AL64" si="99">T$8</f>
        <v>Z08</v>
      </c>
      <c r="AM64" s="714" t="str">
        <f t="shared" ref="AM64" si="100">U$8</f>
        <v>Z09</v>
      </c>
      <c r="AN64" s="714" t="str">
        <f t="shared" ref="AN64" si="101">V$8</f>
        <v>Z10</v>
      </c>
      <c r="AO64" s="714" t="str">
        <f t="shared" ref="AO64" si="102">W$8</f>
        <v>Z11</v>
      </c>
      <c r="AP64" s="714" t="str">
        <f t="shared" ref="AP64" si="103">X$8</f>
        <v>Z12</v>
      </c>
      <c r="AQ64" s="714" t="str">
        <f t="shared" ref="AQ64" si="104">Y$8</f>
        <v>Z13</v>
      </c>
      <c r="AR64" s="714" t="str">
        <f t="shared" ref="AR64" si="105">Z$8</f>
        <v>Z14</v>
      </c>
      <c r="AS64" s="714" t="str">
        <f t="shared" ref="AS64" si="106">AA$8</f>
        <v>Z15</v>
      </c>
      <c r="AV64" s="699" t="str">
        <f t="shared" si="50"/>
        <v/>
      </c>
      <c r="AW64" s="704"/>
      <c r="AX64" s="704"/>
      <c r="AY64" s="704"/>
      <c r="AZ64" s="704"/>
      <c r="BA64" s="704"/>
      <c r="BB64" s="704"/>
      <c r="BC64" s="704"/>
      <c r="BD64" s="704"/>
      <c r="BE64" s="704"/>
      <c r="BF64" s="704"/>
      <c r="BG64" s="704"/>
      <c r="BH64" s="704"/>
      <c r="BI64" s="704"/>
      <c r="BJ64" s="704"/>
      <c r="BK64" s="704"/>
      <c r="BL64" s="704"/>
    </row>
    <row r="65" spans="1:64" s="35" customFormat="1" x14ac:dyDescent="0.3">
      <c r="A65" s="22"/>
      <c r="B65" s="186" t="str">
        <f>C65</f>
        <v>TLEPELC100</v>
      </c>
      <c r="C65" s="186" t="s">
        <v>552</v>
      </c>
      <c r="D65" s="187" t="s">
        <v>871</v>
      </c>
      <c r="E65" s="258"/>
      <c r="F65" s="213" t="s">
        <v>400</v>
      </c>
      <c r="G65" s="170"/>
      <c r="H65" s="190"/>
      <c r="I65" s="191"/>
      <c r="J65" s="191"/>
      <c r="K65" s="192" t="s">
        <v>1106</v>
      </c>
      <c r="L65" s="191" t="s">
        <v>1124</v>
      </c>
      <c r="M65" s="566">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4" t="str">
        <f>IF(AD69-AC10&lt;0,"too small",IF(AD69-AC10&gt;0.001,"Too big","ok"))</f>
        <v>ok</v>
      </c>
      <c r="AE65" s="618" t="str">
        <f>IF(AE69-M10&lt;0,"too small",IF(AE69-M10&gt;0.001,"Too big","ok"))</f>
        <v>ok</v>
      </c>
      <c r="AF65" s="618" t="str">
        <f t="shared" ref="AF65:AS65" si="108">IF(AF69-N10&lt;0,"too small",IF(AF69-N10&gt;0.001,"Too big","ok"))</f>
        <v>ok</v>
      </c>
      <c r="AG65" s="618" t="str">
        <f t="shared" si="108"/>
        <v>ok</v>
      </c>
      <c r="AH65" s="618" t="str">
        <f t="shared" si="108"/>
        <v>ok</v>
      </c>
      <c r="AI65" s="618" t="str">
        <f t="shared" si="108"/>
        <v>ok</v>
      </c>
      <c r="AJ65" s="618" t="str">
        <f t="shared" si="108"/>
        <v>ok</v>
      </c>
      <c r="AK65" s="618" t="str">
        <f t="shared" si="108"/>
        <v>ok</v>
      </c>
      <c r="AL65" s="618" t="str">
        <f t="shared" si="108"/>
        <v>ok</v>
      </c>
      <c r="AM65" s="618" t="str">
        <f t="shared" si="108"/>
        <v>ok</v>
      </c>
      <c r="AN65" s="618" t="str">
        <f t="shared" si="108"/>
        <v>ok</v>
      </c>
      <c r="AO65" s="618" t="str">
        <f t="shared" si="108"/>
        <v>ok</v>
      </c>
      <c r="AP65" s="618" t="str">
        <f t="shared" si="108"/>
        <v>ok</v>
      </c>
      <c r="AQ65" s="618" t="str">
        <f t="shared" si="108"/>
        <v>ok</v>
      </c>
      <c r="AR65" s="618" t="str">
        <f t="shared" si="108"/>
        <v>ok</v>
      </c>
      <c r="AS65" s="618" t="str">
        <f t="shared" si="108"/>
        <v>ok</v>
      </c>
      <c r="AV65" s="699" t="str">
        <f t="shared" si="50"/>
        <v/>
      </c>
      <c r="AW65" s="704"/>
      <c r="AX65" s="704"/>
      <c r="AY65" s="704"/>
      <c r="AZ65" s="704"/>
      <c r="BA65" s="704"/>
      <c r="BB65" s="704"/>
      <c r="BC65" s="704"/>
      <c r="BD65" s="704"/>
      <c r="BE65" s="704"/>
      <c r="BF65" s="704"/>
      <c r="BG65" s="704"/>
      <c r="BH65" s="704"/>
      <c r="BI65" s="704"/>
      <c r="BJ65" s="704"/>
      <c r="BK65" s="704"/>
      <c r="BL65" s="704"/>
    </row>
    <row r="66" spans="1:64" s="35" customFormat="1" x14ac:dyDescent="0.3">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0" t="str">
        <f>IF(COUNTIF($AF$2:$AM$2,AC65)=1,"ok","MISSING")</f>
        <v>ok</v>
      </c>
      <c r="AD66" s="59"/>
      <c r="AT66" s="55"/>
      <c r="AU66" s="55"/>
      <c r="AV66" s="699" t="str">
        <f t="shared" si="50"/>
        <v>TRAELC</v>
      </c>
      <c r="AW66" s="704">
        <f>SUM(AX66:BL66)</f>
        <v>0</v>
      </c>
      <c r="AX66" s="704"/>
      <c r="AY66" s="704"/>
      <c r="AZ66" s="704"/>
      <c r="BA66" s="704"/>
      <c r="BB66" s="704"/>
      <c r="BC66" s="704"/>
      <c r="BD66" s="704"/>
      <c r="BE66" s="704"/>
      <c r="BF66" s="704"/>
      <c r="BG66" s="704"/>
      <c r="BH66" s="704"/>
      <c r="BI66" s="704"/>
      <c r="BJ66" s="704"/>
      <c r="BK66" s="704"/>
      <c r="BL66" s="704"/>
    </row>
    <row r="67" spans="1:64" s="35" customFormat="1" x14ac:dyDescent="0.3">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699" t="str">
        <f t="shared" si="50"/>
        <v/>
      </c>
      <c r="AW67" s="704"/>
      <c r="AX67" s="704"/>
      <c r="AY67" s="704"/>
      <c r="AZ67" s="704"/>
      <c r="BA67" s="704"/>
      <c r="BB67" s="704"/>
      <c r="BC67" s="704"/>
      <c r="BD67" s="704"/>
      <c r="BE67" s="704"/>
      <c r="BF67" s="704"/>
      <c r="BG67" s="704"/>
      <c r="BH67" s="704"/>
      <c r="BI67" s="704"/>
      <c r="BJ67" s="704"/>
      <c r="BK67" s="704"/>
      <c r="BL67" s="704"/>
    </row>
    <row r="68" spans="1:64" s="35" customFormat="1" x14ac:dyDescent="0.3">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699" t="str">
        <f t="shared" si="50"/>
        <v/>
      </c>
    </row>
    <row r="69" spans="1:64" s="83" customFormat="1" x14ac:dyDescent="0.3">
      <c r="B69" s="178" t="str">
        <f t="shared" si="109"/>
        <v>TLEPELC100</v>
      </c>
      <c r="C69" s="178"/>
      <c r="D69" s="179"/>
      <c r="E69" s="178"/>
      <c r="F69" s="323"/>
      <c r="G69" s="182"/>
      <c r="H69" s="183">
        <f>$L$3</f>
        <v>2019</v>
      </c>
      <c r="I69" s="184"/>
      <c r="J69" s="184"/>
      <c r="K69" s="185" t="s">
        <v>1064</v>
      </c>
      <c r="L69" s="184" t="s">
        <v>747</v>
      </c>
      <c r="M69" s="688"/>
      <c r="N69" s="688"/>
      <c r="O69" s="688"/>
      <c r="P69" s="688"/>
      <c r="Q69" s="688"/>
      <c r="R69" s="688"/>
      <c r="S69" s="688"/>
      <c r="T69" s="688"/>
      <c r="U69" s="688"/>
      <c r="V69" s="688"/>
      <c r="W69" s="688"/>
      <c r="X69" s="688"/>
      <c r="Y69" s="688"/>
      <c r="Z69" s="688"/>
      <c r="AA69" s="688"/>
      <c r="AB69" s="93"/>
      <c r="AC69" s="512" t="s">
        <v>1131</v>
      </c>
      <c r="AD69" s="587">
        <f>SUM(AE69:AS69)</f>
        <v>0</v>
      </c>
      <c r="AE69" s="594">
        <f>M67*M68*M69/1000</f>
        <v>0</v>
      </c>
      <c r="AF69" s="594">
        <f t="shared" ref="AF69:AS69" si="111">N67*N68*N69/1000</f>
        <v>0</v>
      </c>
      <c r="AG69" s="594">
        <f t="shared" si="111"/>
        <v>0</v>
      </c>
      <c r="AH69" s="594">
        <f t="shared" si="111"/>
        <v>0</v>
      </c>
      <c r="AI69" s="594">
        <f t="shared" si="111"/>
        <v>0</v>
      </c>
      <c r="AJ69" s="594">
        <f t="shared" si="111"/>
        <v>0</v>
      </c>
      <c r="AK69" s="594">
        <f t="shared" si="111"/>
        <v>0</v>
      </c>
      <c r="AL69" s="594">
        <f t="shared" si="111"/>
        <v>0</v>
      </c>
      <c r="AM69" s="594">
        <f t="shared" si="111"/>
        <v>0</v>
      </c>
      <c r="AN69" s="594">
        <f t="shared" si="111"/>
        <v>0</v>
      </c>
      <c r="AO69" s="594">
        <f t="shared" si="111"/>
        <v>0</v>
      </c>
      <c r="AP69" s="594">
        <f t="shared" si="111"/>
        <v>0</v>
      </c>
      <c r="AQ69" s="594">
        <f t="shared" si="111"/>
        <v>0</v>
      </c>
      <c r="AR69" s="594">
        <f t="shared" si="111"/>
        <v>0</v>
      </c>
      <c r="AS69" s="594">
        <f t="shared" si="111"/>
        <v>0</v>
      </c>
      <c r="AV69" s="699" t="str">
        <f t="shared" si="50"/>
        <v/>
      </c>
    </row>
    <row r="70" spans="1:64" s="35" customFormat="1" x14ac:dyDescent="0.3">
      <c r="B70" s="186" t="str">
        <f t="shared" si="109"/>
        <v>TLEPELC100</v>
      </c>
      <c r="C70" s="186"/>
      <c r="D70" s="187"/>
      <c r="E70" s="186"/>
      <c r="F70" s="220"/>
      <c r="G70" s="170"/>
      <c r="H70" s="190">
        <f>AE$3</f>
        <v>2016</v>
      </c>
      <c r="I70" s="191"/>
      <c r="J70" s="191"/>
      <c r="K70" s="192" t="s">
        <v>1064</v>
      </c>
      <c r="L70" s="191" t="s">
        <v>747</v>
      </c>
      <c r="M70" s="686"/>
      <c r="N70" s="686"/>
      <c r="O70" s="686"/>
      <c r="P70" s="686"/>
      <c r="Q70" s="686"/>
      <c r="R70" s="686"/>
      <c r="S70" s="686"/>
      <c r="T70" s="686"/>
      <c r="U70" s="686"/>
      <c r="V70" s="686"/>
      <c r="W70" s="686"/>
      <c r="X70" s="686"/>
      <c r="Y70" s="686"/>
      <c r="Z70" s="686"/>
      <c r="AA70" s="686"/>
      <c r="AV70" s="699" t="str">
        <f t="shared" si="50"/>
        <v/>
      </c>
    </row>
    <row r="71" spans="1:64" s="35" customFormat="1" x14ac:dyDescent="0.3">
      <c r="B71" s="186" t="str">
        <f t="shared" si="109"/>
        <v>TLEPELC100</v>
      </c>
      <c r="C71" s="186"/>
      <c r="D71" s="187"/>
      <c r="E71" s="186"/>
      <c r="F71" s="220"/>
      <c r="G71" s="170"/>
      <c r="H71" s="190">
        <f>AE$4</f>
        <v>2020</v>
      </c>
      <c r="I71" s="191"/>
      <c r="J71" s="191"/>
      <c r="K71" s="192" t="s">
        <v>1064</v>
      </c>
      <c r="L71" s="191" t="s">
        <v>747</v>
      </c>
      <c r="M71" s="686"/>
      <c r="N71" s="686"/>
      <c r="O71" s="686"/>
      <c r="P71" s="686"/>
      <c r="Q71" s="686"/>
      <c r="R71" s="686"/>
      <c r="S71" s="686"/>
      <c r="T71" s="686"/>
      <c r="U71" s="686"/>
      <c r="V71" s="686"/>
      <c r="W71" s="686"/>
      <c r="X71" s="686"/>
      <c r="Y71" s="686"/>
      <c r="Z71" s="686"/>
      <c r="AA71" s="686"/>
      <c r="AD71" s="57"/>
      <c r="AE71" s="57"/>
      <c r="AF71" s="57"/>
      <c r="AG71" s="57"/>
      <c r="AH71" s="57"/>
      <c r="AI71" s="57"/>
      <c r="AJ71" s="57"/>
      <c r="AK71" s="57"/>
      <c r="AL71" s="57"/>
      <c r="AM71" s="57"/>
      <c r="AN71" s="57"/>
      <c r="AO71" s="57"/>
      <c r="AP71" s="57"/>
      <c r="AQ71" s="57"/>
      <c r="AR71" s="57"/>
      <c r="AS71" s="57"/>
      <c r="AT71" s="57"/>
      <c r="AU71" s="57"/>
      <c r="AV71" s="699" t="str">
        <f t="shared" si="50"/>
        <v/>
      </c>
    </row>
    <row r="72" spans="1:64" s="35" customFormat="1" x14ac:dyDescent="0.3">
      <c r="B72" s="186" t="str">
        <f t="shared" si="109"/>
        <v>TLEPELC100</v>
      </c>
      <c r="C72" s="186"/>
      <c r="D72" s="187"/>
      <c r="E72" s="186"/>
      <c r="F72" s="220"/>
      <c r="G72" s="170"/>
      <c r="H72" s="190">
        <f>AE$5</f>
        <v>2025</v>
      </c>
      <c r="I72" s="191"/>
      <c r="J72" s="191"/>
      <c r="K72" s="192" t="s">
        <v>1064</v>
      </c>
      <c r="L72" s="191" t="s">
        <v>747</v>
      </c>
      <c r="M72" s="686"/>
      <c r="N72" s="686"/>
      <c r="O72" s="686"/>
      <c r="P72" s="686"/>
      <c r="Q72" s="686"/>
      <c r="R72" s="686"/>
      <c r="S72" s="686"/>
      <c r="T72" s="686"/>
      <c r="U72" s="686"/>
      <c r="V72" s="686"/>
      <c r="W72" s="686"/>
      <c r="X72" s="686"/>
      <c r="Y72" s="686"/>
      <c r="Z72" s="686"/>
      <c r="AA72" s="686"/>
      <c r="AV72" s="699" t="str">
        <f t="shared" si="50"/>
        <v/>
      </c>
    </row>
    <row r="73" spans="1:64" s="35" customFormat="1" x14ac:dyDescent="0.3">
      <c r="B73" s="186" t="str">
        <f t="shared" si="109"/>
        <v>TLEPELC100</v>
      </c>
      <c r="C73" s="186"/>
      <c r="D73" s="187"/>
      <c r="E73" s="186"/>
      <c r="F73" s="220"/>
      <c r="G73" s="170"/>
      <c r="H73" s="190">
        <f>AE$6</f>
        <v>2030</v>
      </c>
      <c r="I73" s="191"/>
      <c r="J73" s="191"/>
      <c r="K73" s="192" t="s">
        <v>1064</v>
      </c>
      <c r="L73" s="191" t="s">
        <v>747</v>
      </c>
      <c r="M73" s="686"/>
      <c r="N73" s="686"/>
      <c r="O73" s="686"/>
      <c r="P73" s="686"/>
      <c r="Q73" s="686"/>
      <c r="R73" s="686"/>
      <c r="S73" s="686"/>
      <c r="T73" s="686"/>
      <c r="U73" s="686"/>
      <c r="V73" s="686"/>
      <c r="W73" s="686"/>
      <c r="X73" s="686"/>
      <c r="Y73" s="686"/>
      <c r="Z73" s="686"/>
      <c r="AA73" s="686"/>
      <c r="AV73" s="55" t="str">
        <f>MID(E73, 4,4)</f>
        <v/>
      </c>
    </row>
    <row r="74" spans="1:64" s="35" customFormat="1" x14ac:dyDescent="0.3">
      <c r="B74" s="186" t="str">
        <f t="shared" si="109"/>
        <v>TLEPELC100</v>
      </c>
      <c r="C74" s="186"/>
      <c r="D74" s="187"/>
      <c r="E74" s="186"/>
      <c r="F74" s="220"/>
      <c r="G74" s="170"/>
      <c r="H74" s="190">
        <f>AE$7</f>
        <v>2040</v>
      </c>
      <c r="I74" s="191"/>
      <c r="J74" s="191"/>
      <c r="K74" s="192" t="s">
        <v>1064</v>
      </c>
      <c r="L74" s="191" t="s">
        <v>747</v>
      </c>
      <c r="M74" s="686"/>
      <c r="N74" s="686"/>
      <c r="O74" s="686"/>
      <c r="P74" s="686"/>
      <c r="Q74" s="686"/>
      <c r="R74" s="686"/>
      <c r="S74" s="686"/>
      <c r="T74" s="686"/>
      <c r="U74" s="686"/>
      <c r="V74" s="686"/>
      <c r="W74" s="686"/>
      <c r="X74" s="686"/>
      <c r="Y74" s="686"/>
      <c r="Z74" s="686"/>
      <c r="AA74" s="686"/>
      <c r="AV74" s="55" t="str">
        <f>MID(E74, 4,4)</f>
        <v/>
      </c>
    </row>
    <row r="75" spans="1:64" s="35" customFormat="1" x14ac:dyDescent="0.3">
      <c r="B75" s="193" t="str">
        <f t="shared" si="109"/>
        <v>TLEPELC100</v>
      </c>
      <c r="C75" s="193"/>
      <c r="D75" s="194"/>
      <c r="E75" s="193"/>
      <c r="F75" s="221"/>
      <c r="G75" s="196"/>
      <c r="H75" s="197">
        <f>AE$8</f>
        <v>2050</v>
      </c>
      <c r="I75" s="198"/>
      <c r="J75" s="198"/>
      <c r="K75" s="199" t="s">
        <v>1064</v>
      </c>
      <c r="L75" s="198" t="s">
        <v>747</v>
      </c>
      <c r="M75" s="687"/>
      <c r="N75" s="687"/>
      <c r="O75" s="687"/>
      <c r="P75" s="687"/>
      <c r="Q75" s="687"/>
      <c r="R75" s="687"/>
      <c r="S75" s="687"/>
      <c r="T75" s="687"/>
      <c r="U75" s="687"/>
      <c r="V75" s="687"/>
      <c r="W75" s="687"/>
      <c r="X75" s="687"/>
      <c r="Y75" s="687"/>
      <c r="Z75" s="687"/>
      <c r="AA75" s="687"/>
      <c r="AV75" s="55" t="str">
        <f>MID(E75, 4,4)</f>
        <v/>
      </c>
    </row>
    <row r="77" spans="1:64" x14ac:dyDescent="0.3">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3">
      <c r="B78" s="32" t="s">
        <v>1133</v>
      </c>
      <c r="C78" s="26"/>
      <c r="D78" s="26"/>
      <c r="H78" s="36"/>
      <c r="AE78" s="49"/>
    </row>
    <row r="79" spans="1:64" s="35" customFormat="1" ht="16.5" customHeight="1" x14ac:dyDescent="0.3">
      <c r="H79" s="36"/>
      <c r="AE79" s="49"/>
    </row>
    <row r="80" spans="1:64" s="22" customFormat="1" x14ac:dyDescent="0.3">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3">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0"/>
      <c r="AD81" s="702" t="s">
        <v>421</v>
      </c>
      <c r="AE81" s="702" t="str">
        <f>M$8</f>
        <v>Z01</v>
      </c>
      <c r="AF81" s="702" t="str">
        <f t="shared" ref="AF81:AS81" si="113">N$8</f>
        <v>Z02</v>
      </c>
      <c r="AG81" s="702" t="str">
        <f t="shared" si="113"/>
        <v>Z03</v>
      </c>
      <c r="AH81" s="702" t="str">
        <f t="shared" si="113"/>
        <v>Z04</v>
      </c>
      <c r="AI81" s="702" t="str">
        <f t="shared" si="113"/>
        <v>Z05</v>
      </c>
      <c r="AJ81" s="702" t="str">
        <f t="shared" si="113"/>
        <v>Z06</v>
      </c>
      <c r="AK81" s="702" t="str">
        <f t="shared" si="113"/>
        <v>Z07</v>
      </c>
      <c r="AL81" s="702" t="str">
        <f t="shared" si="113"/>
        <v>Z08</v>
      </c>
      <c r="AM81" s="702" t="str">
        <f t="shared" si="113"/>
        <v>Z09</v>
      </c>
      <c r="AN81" s="702" t="str">
        <f t="shared" si="113"/>
        <v>Z10</v>
      </c>
      <c r="AO81" s="702" t="str">
        <f t="shared" si="113"/>
        <v>Z11</v>
      </c>
      <c r="AP81" s="702" t="str">
        <f t="shared" si="113"/>
        <v>Z12</v>
      </c>
      <c r="AQ81" s="702" t="str">
        <f t="shared" si="113"/>
        <v>Z13</v>
      </c>
      <c r="AR81" s="702" t="str">
        <f t="shared" si="113"/>
        <v>Z14</v>
      </c>
      <c r="AS81" s="702" t="str">
        <f t="shared" si="113"/>
        <v>Z15</v>
      </c>
      <c r="AT81" s="355"/>
      <c r="AU81" s="355"/>
      <c r="AV81" s="700" t="s">
        <v>85</v>
      </c>
      <c r="AW81" s="700" t="s">
        <v>421</v>
      </c>
      <c r="AX81" s="700" t="str">
        <f>M$2</f>
        <v>Z01</v>
      </c>
      <c r="AY81" s="700" t="str">
        <f t="shared" ref="AY81" si="114">N$2</f>
        <v>Z02</v>
      </c>
      <c r="AZ81" s="700" t="str">
        <f t="shared" ref="AZ81" si="115">O$2</f>
        <v>Z03</v>
      </c>
      <c r="BA81" s="700" t="str">
        <f t="shared" ref="BA81" si="116">P$2</f>
        <v>Z04</v>
      </c>
      <c r="BB81" s="700" t="str">
        <f t="shared" ref="BB81" si="117">Q$2</f>
        <v>Z05</v>
      </c>
      <c r="BC81" s="700" t="str">
        <f t="shared" ref="BC81" si="118">R$2</f>
        <v>Z06</v>
      </c>
      <c r="BD81" s="700" t="str">
        <f t="shared" ref="BD81" si="119">S$2</f>
        <v>Z07</v>
      </c>
      <c r="BE81" s="700" t="str">
        <f t="shared" ref="BE81" si="120">T$2</f>
        <v>Z08</v>
      </c>
      <c r="BF81" s="700" t="str">
        <f t="shared" ref="BF81" si="121">U$2</f>
        <v>Z09</v>
      </c>
      <c r="BG81" s="700" t="str">
        <f t="shared" ref="BG81" si="122">V$2</f>
        <v>Z10</v>
      </c>
      <c r="BH81" s="700" t="str">
        <f t="shared" ref="BH81" si="123">W$2</f>
        <v>Z11</v>
      </c>
      <c r="BI81" s="700" t="str">
        <f t="shared" ref="BI81" si="124">X$2</f>
        <v>Z12</v>
      </c>
      <c r="BJ81" s="700" t="str">
        <f t="shared" ref="BJ81" si="125">Y$2</f>
        <v>Z13</v>
      </c>
      <c r="BK81" s="700" t="str">
        <f t="shared" ref="BK81" si="126">Z$2</f>
        <v>Z14</v>
      </c>
      <c r="BL81" s="700" t="str">
        <f t="shared" ref="BL81" si="127">AA$2</f>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4" t="str">
        <f>IF(AD83-AC15&lt;0,"too small",IF(AD83-AC15&gt;0.001,"Too big","ok"))</f>
        <v>ok</v>
      </c>
      <c r="AE82" s="618" t="str">
        <f>IF(AE83-M15&lt;0,"too small",IF(AE83-M15&gt;0.001,"Too big","ok"))</f>
        <v>ok</v>
      </c>
      <c r="AF82" s="618" t="str">
        <f t="shared" ref="AF82:AS82" si="128">IF(AF83-N15&lt;0,"too small",IF(AF83-N15&gt;0.001,"Too big","ok"))</f>
        <v>ok</v>
      </c>
      <c r="AG82" s="618" t="str">
        <f t="shared" si="128"/>
        <v>ok</v>
      </c>
      <c r="AH82" s="618" t="str">
        <f t="shared" si="128"/>
        <v>ok</v>
      </c>
      <c r="AI82" s="618" t="str">
        <f t="shared" si="128"/>
        <v>ok</v>
      </c>
      <c r="AJ82" s="618" t="str">
        <f t="shared" si="128"/>
        <v>ok</v>
      </c>
      <c r="AK82" s="618" t="str">
        <f t="shared" si="128"/>
        <v>ok</v>
      </c>
      <c r="AL82" s="618" t="str">
        <f t="shared" si="128"/>
        <v>ok</v>
      </c>
      <c r="AM82" s="618" t="str">
        <f t="shared" si="128"/>
        <v>ok</v>
      </c>
      <c r="AN82" s="618" t="str">
        <f t="shared" si="128"/>
        <v>ok</v>
      </c>
      <c r="AO82" s="618" t="str">
        <f t="shared" si="128"/>
        <v>ok</v>
      </c>
      <c r="AP82" s="618" t="str">
        <f t="shared" si="128"/>
        <v>ok</v>
      </c>
      <c r="AQ82" s="618" t="str">
        <f t="shared" si="128"/>
        <v>ok</v>
      </c>
      <c r="AR82" s="618" t="str">
        <f t="shared" si="128"/>
        <v>ok</v>
      </c>
      <c r="AS82" s="618" t="str">
        <f t="shared" si="128"/>
        <v>ok</v>
      </c>
      <c r="AT82" s="35"/>
      <c r="AU82" s="35"/>
      <c r="AV82" s="398" t="s">
        <v>103</v>
      </c>
      <c r="AW82" s="715">
        <f>SUM(AX82:BL82)</f>
        <v>0</v>
      </c>
      <c r="AX82" s="715">
        <f>SUM(AX83:AX128)</f>
        <v>0</v>
      </c>
      <c r="AY82" s="715">
        <f t="shared" ref="AY82" si="129">SUM(AY83:AY128)</f>
        <v>0</v>
      </c>
      <c r="AZ82" s="715">
        <f t="shared" ref="AZ82" si="130">SUM(AZ83:AZ128)</f>
        <v>0</v>
      </c>
      <c r="BA82" s="715">
        <f t="shared" ref="BA82" si="131">SUM(BA83:BA128)</f>
        <v>0</v>
      </c>
      <c r="BB82" s="715">
        <f t="shared" ref="BB82" si="132">SUM(BB83:BB128)</f>
        <v>0</v>
      </c>
      <c r="BC82" s="715">
        <f t="shared" ref="BC82" si="133">SUM(BC83:BC128)</f>
        <v>0</v>
      </c>
      <c r="BD82" s="715">
        <f t="shared" ref="BD82" si="134">SUM(BD83:BD128)</f>
        <v>0</v>
      </c>
      <c r="BE82" s="715">
        <f t="shared" ref="BE82" si="135">SUM(BE83:BE128)</f>
        <v>0</v>
      </c>
      <c r="BF82" s="715">
        <f t="shared" ref="BF82" si="136">SUM(BF83:BF128)</f>
        <v>0</v>
      </c>
      <c r="BG82" s="715">
        <f t="shared" ref="BG82" si="137">SUM(BG83:BG128)</f>
        <v>0</v>
      </c>
      <c r="BH82" s="715">
        <f t="shared" ref="BH82" si="138">SUM(BH83:BH128)</f>
        <v>0</v>
      </c>
      <c r="BI82" s="715">
        <f t="shared" ref="BI82" si="139">SUM(BI83:BI128)</f>
        <v>0</v>
      </c>
      <c r="BJ82" s="715">
        <f t="shared" ref="BJ82" si="140">SUM(BJ83:BJ128)</f>
        <v>0</v>
      </c>
      <c r="BK82" s="715">
        <f t="shared" ref="BK82" si="141">SUM(BK83:BK128)</f>
        <v>0</v>
      </c>
      <c r="BL82" s="715">
        <f t="shared" ref="BL82" si="142">SUM(BL83:BL128)</f>
        <v>0</v>
      </c>
    </row>
    <row r="83" spans="1:64" s="35" customFormat="1" x14ac:dyDescent="0.3">
      <c r="A83" s="22"/>
      <c r="B83" s="186" t="str">
        <f>C83</f>
        <v>TYEP900</v>
      </c>
      <c r="C83" s="186" t="s">
        <v>561</v>
      </c>
      <c r="D83" s="187" t="s">
        <v>898</v>
      </c>
      <c r="E83" s="188" t="s">
        <v>682</v>
      </c>
      <c r="F83" s="213" t="s">
        <v>473</v>
      </c>
      <c r="G83" s="170"/>
      <c r="H83" s="190"/>
      <c r="I83" s="191"/>
      <c r="J83" s="191"/>
      <c r="K83" s="192" t="s">
        <v>1106</v>
      </c>
      <c r="L83" s="191" t="s">
        <v>1124</v>
      </c>
      <c r="M83" s="566">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1"/>
      <c r="AX83" s="701"/>
      <c r="AY83" s="701"/>
      <c r="AZ83" s="701"/>
      <c r="BA83" s="701"/>
      <c r="BB83" s="701"/>
      <c r="BC83" s="701"/>
      <c r="BD83" s="701"/>
      <c r="BE83" s="701"/>
      <c r="BF83" s="701"/>
      <c r="BG83" s="701"/>
      <c r="BH83" s="701"/>
      <c r="BI83" s="701"/>
      <c r="BJ83" s="701"/>
      <c r="BK83" s="701"/>
      <c r="BL83" s="701"/>
    </row>
    <row r="84" spans="1:64" s="35" customFormat="1" x14ac:dyDescent="0.3">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0" t="str">
        <f>IF(COUNTIF($AF$2:$AM$2,AC83)=1,"ok","MISSING")</f>
        <v>ok</v>
      </c>
      <c r="AT84" s="55"/>
      <c r="AU84" s="55"/>
      <c r="AV84" s="699" t="str">
        <f>MID(E84,1,7)</f>
        <v>TRAHUM</v>
      </c>
      <c r="AW84" s="701">
        <f>SUM(AX84:BL84)</f>
        <v>0</v>
      </c>
      <c r="AX84" s="701"/>
      <c r="AY84" s="701"/>
      <c r="AZ84" s="701"/>
      <c r="BA84" s="701"/>
      <c r="BB84" s="701"/>
      <c r="BC84" s="701"/>
      <c r="BD84" s="701"/>
      <c r="BE84" s="701"/>
      <c r="BF84" s="701"/>
      <c r="BG84" s="701"/>
      <c r="BH84" s="701"/>
      <c r="BI84" s="701"/>
      <c r="BJ84" s="701"/>
      <c r="BK84" s="701"/>
      <c r="BL84" s="701"/>
    </row>
    <row r="85" spans="1:64" s="35" customFormat="1" x14ac:dyDescent="0.3">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699" t="str">
        <f t="shared" ref="AV85:AV125" si="147">MID(E85,1,7)</f>
        <v>TRAELC</v>
      </c>
      <c r="AW85" s="701">
        <f t="shared" ref="AW85:AW86" si="148">SUM(AX85:BL85)</f>
        <v>0</v>
      </c>
      <c r="AX85" s="701"/>
      <c r="AY85" s="701"/>
      <c r="AZ85" s="701"/>
      <c r="BA85" s="701"/>
      <c r="BB85" s="701"/>
      <c r="BC85" s="701"/>
      <c r="BD85" s="701"/>
      <c r="BE85" s="701"/>
      <c r="BF85" s="701"/>
      <c r="BG85" s="701"/>
      <c r="BH85" s="701"/>
      <c r="BI85" s="701"/>
      <c r="BJ85" s="701"/>
      <c r="BK85" s="701"/>
      <c r="BL85" s="701"/>
    </row>
    <row r="86" spans="1:64" s="35" customFormat="1" x14ac:dyDescent="0.3">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699" t="str">
        <f t="shared" si="147"/>
        <v>TRAELC</v>
      </c>
      <c r="AW86" s="701">
        <f t="shared" si="148"/>
        <v>0</v>
      </c>
      <c r="AX86" s="701"/>
      <c r="AY86" s="701"/>
      <c r="AZ86" s="701"/>
      <c r="BA86" s="701"/>
      <c r="BB86" s="701"/>
      <c r="BC86" s="701"/>
      <c r="BD86" s="701"/>
      <c r="BE86" s="701"/>
      <c r="BF86" s="701"/>
      <c r="BG86" s="701"/>
      <c r="BH86" s="701"/>
      <c r="BI86" s="701"/>
      <c r="BJ86" s="701"/>
      <c r="BK86" s="701"/>
      <c r="BL86" s="701"/>
    </row>
    <row r="87" spans="1:64" s="35" customFormat="1" x14ac:dyDescent="0.3">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699" t="str">
        <f t="shared" si="147"/>
        <v/>
      </c>
      <c r="AW87" s="701"/>
      <c r="AX87" s="701"/>
      <c r="AY87" s="701"/>
      <c r="AZ87" s="701"/>
      <c r="BA87" s="701"/>
      <c r="BB87" s="701"/>
      <c r="BC87" s="701"/>
      <c r="BD87" s="701"/>
      <c r="BE87" s="701"/>
      <c r="BF87" s="701"/>
      <c r="BG87" s="701"/>
      <c r="BH87" s="701"/>
      <c r="BI87" s="701"/>
      <c r="BJ87" s="701"/>
      <c r="BK87" s="701"/>
      <c r="BL87" s="701"/>
    </row>
    <row r="88" spans="1:64" s="35" customFormat="1" x14ac:dyDescent="0.3">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699" t="str">
        <f t="shared" si="147"/>
        <v/>
      </c>
      <c r="AW88" s="701"/>
      <c r="AX88" s="701"/>
      <c r="AY88" s="701"/>
      <c r="AZ88" s="701"/>
      <c r="BA88" s="701"/>
      <c r="BB88" s="701"/>
      <c r="BC88" s="701"/>
      <c r="BD88" s="701"/>
      <c r="BE88" s="701"/>
      <c r="BF88" s="701"/>
      <c r="BG88" s="701"/>
      <c r="BH88" s="701"/>
      <c r="BI88" s="701"/>
      <c r="BJ88" s="701"/>
      <c r="BK88" s="701"/>
      <c r="BL88" s="701"/>
    </row>
    <row r="89" spans="1:64" s="35" customFormat="1" x14ac:dyDescent="0.3">
      <c r="B89" s="186" t="str">
        <f t="shared" si="145"/>
        <v>TYEP900</v>
      </c>
      <c r="C89" s="186"/>
      <c r="D89" s="187"/>
      <c r="E89" s="186"/>
      <c r="F89" s="213"/>
      <c r="G89" s="170"/>
      <c r="H89" s="190">
        <f>$L$3</f>
        <v>2019</v>
      </c>
      <c r="I89" s="191"/>
      <c r="J89" s="191"/>
      <c r="K89" s="192" t="s">
        <v>1064</v>
      </c>
      <c r="L89" s="191" t="s">
        <v>747</v>
      </c>
      <c r="M89" s="688"/>
      <c r="N89" s="688"/>
      <c r="O89" s="688"/>
      <c r="P89" s="688"/>
      <c r="Q89" s="688"/>
      <c r="R89" s="688"/>
      <c r="S89" s="688"/>
      <c r="T89" s="688"/>
      <c r="U89" s="688"/>
      <c r="V89" s="688"/>
      <c r="W89" s="688"/>
      <c r="X89" s="688"/>
      <c r="Y89" s="688"/>
      <c r="Z89" s="688"/>
      <c r="AA89" s="688"/>
      <c r="AC89" s="511"/>
      <c r="AD89" s="59">
        <f>SUM(AE89:AS89)</f>
        <v>0</v>
      </c>
      <c r="AE89" s="615">
        <f>M87*M88*M89/1000</f>
        <v>0</v>
      </c>
      <c r="AF89" s="615">
        <f t="shared" ref="AF89" si="150">N87*N88*N89/1000</f>
        <v>0</v>
      </c>
      <c r="AG89" s="615">
        <f t="shared" ref="AG89" si="151">O87*O88*O89/1000</f>
        <v>0</v>
      </c>
      <c r="AH89" s="615">
        <f t="shared" ref="AH89" si="152">P87*P88*P89/1000</f>
        <v>0</v>
      </c>
      <c r="AI89" s="615">
        <f t="shared" ref="AI89" si="153">Q87*Q88*Q89/1000</f>
        <v>0</v>
      </c>
      <c r="AJ89" s="615">
        <f t="shared" ref="AJ89" si="154">R87*R88*R89/1000</f>
        <v>0</v>
      </c>
      <c r="AK89" s="615">
        <f t="shared" ref="AK89" si="155">S87*S88*S89/1000</f>
        <v>0</v>
      </c>
      <c r="AL89" s="615">
        <f t="shared" ref="AL89" si="156">T87*T88*T89/1000</f>
        <v>0</v>
      </c>
      <c r="AM89" s="615">
        <f t="shared" ref="AM89" si="157">U87*U88*U89/1000</f>
        <v>0</v>
      </c>
      <c r="AN89" s="615">
        <f t="shared" ref="AN89" si="158">V87*V88*V89/1000</f>
        <v>0</v>
      </c>
      <c r="AO89" s="615">
        <f t="shared" ref="AO89" si="159">W87*W88*W89/1000</f>
        <v>0</v>
      </c>
      <c r="AP89" s="615">
        <f t="shared" ref="AP89" si="160">X87*X88*X89/1000</f>
        <v>0</v>
      </c>
      <c r="AQ89" s="615">
        <f t="shared" ref="AQ89" si="161">Y87*Y88*Y89/1000</f>
        <v>0</v>
      </c>
      <c r="AR89" s="615">
        <f t="shared" ref="AR89" si="162">Z87*Z88*Z89/1000</f>
        <v>0</v>
      </c>
      <c r="AS89" s="615">
        <f t="shared" ref="AS89" si="163">AA87*AA88*AA89/1000</f>
        <v>0</v>
      </c>
      <c r="AV89" s="699" t="str">
        <f t="shared" si="147"/>
        <v/>
      </c>
      <c r="AW89" s="701"/>
      <c r="AX89" s="701"/>
      <c r="AY89" s="701"/>
      <c r="AZ89" s="701"/>
      <c r="BA89" s="701"/>
      <c r="BB89" s="701"/>
      <c r="BC89" s="701"/>
      <c r="BD89" s="701"/>
      <c r="BE89" s="701"/>
      <c r="BF89" s="701"/>
      <c r="BG89" s="701"/>
      <c r="BH89" s="701"/>
      <c r="BI89" s="701"/>
      <c r="BJ89" s="701"/>
      <c r="BK89" s="701"/>
      <c r="BL89" s="701"/>
    </row>
    <row r="90" spans="1:64" s="35" customFormat="1" x14ac:dyDescent="0.3">
      <c r="B90" s="186" t="str">
        <f t="shared" si="145"/>
        <v>TYEP900</v>
      </c>
      <c r="C90" s="186"/>
      <c r="D90" s="187"/>
      <c r="E90" s="186"/>
      <c r="F90" s="213"/>
      <c r="G90" s="170"/>
      <c r="H90" s="190">
        <f>AE$3</f>
        <v>2016</v>
      </c>
      <c r="I90" s="191"/>
      <c r="J90" s="191"/>
      <c r="K90" s="192" t="s">
        <v>1064</v>
      </c>
      <c r="L90" s="191" t="s">
        <v>747</v>
      </c>
      <c r="M90" s="686"/>
      <c r="N90" s="686"/>
      <c r="O90" s="686"/>
      <c r="P90" s="686"/>
      <c r="Q90" s="686"/>
      <c r="R90" s="686"/>
      <c r="S90" s="686"/>
      <c r="T90" s="686"/>
      <c r="U90" s="686"/>
      <c r="V90" s="686"/>
      <c r="W90" s="686"/>
      <c r="X90" s="686"/>
      <c r="Y90" s="686"/>
      <c r="Z90" s="686"/>
      <c r="AA90" s="686"/>
      <c r="AV90" s="699" t="str">
        <f t="shared" si="147"/>
        <v/>
      </c>
      <c r="AW90" s="701"/>
      <c r="AX90" s="701"/>
      <c r="AY90" s="701"/>
      <c r="AZ90" s="701"/>
      <c r="BA90" s="701"/>
      <c r="BB90" s="701"/>
      <c r="BC90" s="701"/>
      <c r="BD90" s="701"/>
      <c r="BE90" s="701"/>
      <c r="BF90" s="701"/>
      <c r="BG90" s="701"/>
      <c r="BH90" s="701"/>
      <c r="BI90" s="701"/>
      <c r="BJ90" s="701"/>
      <c r="BK90" s="701"/>
      <c r="BL90" s="701"/>
    </row>
    <row r="91" spans="1:64" s="35" customFormat="1" x14ac:dyDescent="0.3">
      <c r="B91" s="186" t="str">
        <f t="shared" si="145"/>
        <v>TYEP900</v>
      </c>
      <c r="C91" s="186"/>
      <c r="D91" s="187"/>
      <c r="E91" s="186"/>
      <c r="F91" s="213"/>
      <c r="G91" s="170"/>
      <c r="H91" s="190">
        <f>AE$4</f>
        <v>2020</v>
      </c>
      <c r="I91" s="191"/>
      <c r="J91" s="191"/>
      <c r="K91" s="192" t="s">
        <v>1064</v>
      </c>
      <c r="L91" s="191" t="s">
        <v>747</v>
      </c>
      <c r="M91" s="686"/>
      <c r="N91" s="686"/>
      <c r="O91" s="686"/>
      <c r="P91" s="686"/>
      <c r="Q91" s="686"/>
      <c r="R91" s="686"/>
      <c r="S91" s="686"/>
      <c r="T91" s="686"/>
      <c r="U91" s="686"/>
      <c r="V91" s="686"/>
      <c r="W91" s="686"/>
      <c r="X91" s="686"/>
      <c r="Y91" s="686"/>
      <c r="Z91" s="686"/>
      <c r="AA91" s="686"/>
      <c r="AD91" s="57"/>
      <c r="AE91" s="57"/>
      <c r="AF91" s="57"/>
      <c r="AG91" s="57"/>
      <c r="AH91" s="57"/>
      <c r="AI91" s="57"/>
      <c r="AJ91" s="57"/>
      <c r="AK91" s="57"/>
      <c r="AL91" s="57"/>
      <c r="AM91" s="57"/>
      <c r="AN91" s="57"/>
      <c r="AO91" s="57"/>
      <c r="AP91" s="57"/>
      <c r="AQ91" s="57"/>
      <c r="AR91" s="57"/>
      <c r="AS91" s="57"/>
      <c r="AT91" s="57"/>
      <c r="AU91" s="57"/>
      <c r="AV91" s="699" t="str">
        <f t="shared" si="147"/>
        <v/>
      </c>
      <c r="AW91" s="701"/>
      <c r="AX91" s="701"/>
      <c r="AY91" s="701"/>
      <c r="AZ91" s="701"/>
      <c r="BA91" s="701"/>
      <c r="BB91" s="701"/>
      <c r="BC91" s="701"/>
      <c r="BD91" s="701"/>
      <c r="BE91" s="701"/>
      <c r="BF91" s="701"/>
      <c r="BG91" s="701"/>
      <c r="BH91" s="701"/>
      <c r="BI91" s="701"/>
      <c r="BJ91" s="701"/>
      <c r="BK91" s="701"/>
      <c r="BL91" s="701"/>
    </row>
    <row r="92" spans="1:64" s="35" customFormat="1" x14ac:dyDescent="0.3">
      <c r="B92" s="186" t="str">
        <f t="shared" si="145"/>
        <v>TYEP900</v>
      </c>
      <c r="C92" s="186"/>
      <c r="D92" s="187"/>
      <c r="E92" s="186"/>
      <c r="F92" s="213"/>
      <c r="G92" s="170"/>
      <c r="H92" s="190">
        <f>AE$5</f>
        <v>2025</v>
      </c>
      <c r="I92" s="191"/>
      <c r="J92" s="191"/>
      <c r="K92" s="192" t="s">
        <v>1064</v>
      </c>
      <c r="L92" s="191" t="s">
        <v>747</v>
      </c>
      <c r="M92" s="686"/>
      <c r="N92" s="686"/>
      <c r="O92" s="686"/>
      <c r="P92" s="686"/>
      <c r="Q92" s="686"/>
      <c r="R92" s="686"/>
      <c r="S92" s="686"/>
      <c r="T92" s="686"/>
      <c r="U92" s="686"/>
      <c r="V92" s="686"/>
      <c r="W92" s="686"/>
      <c r="X92" s="686"/>
      <c r="Y92" s="686"/>
      <c r="Z92" s="686"/>
      <c r="AA92" s="686"/>
      <c r="AV92" s="699" t="str">
        <f t="shared" si="147"/>
        <v/>
      </c>
      <c r="AW92" s="701"/>
      <c r="AX92" s="701"/>
      <c r="AY92" s="701"/>
      <c r="AZ92" s="701"/>
      <c r="BA92" s="701"/>
      <c r="BB92" s="701"/>
      <c r="BC92" s="701"/>
      <c r="BD92" s="701"/>
      <c r="BE92" s="701"/>
      <c r="BF92" s="701"/>
      <c r="BG92" s="701"/>
      <c r="BH92" s="701"/>
      <c r="BI92" s="701"/>
      <c r="BJ92" s="701"/>
      <c r="BK92" s="701"/>
      <c r="BL92" s="701"/>
    </row>
    <row r="93" spans="1:64" s="35" customFormat="1" x14ac:dyDescent="0.3">
      <c r="B93" s="186" t="str">
        <f t="shared" si="145"/>
        <v>TYEP900</v>
      </c>
      <c r="C93" s="186"/>
      <c r="D93" s="187"/>
      <c r="E93" s="186"/>
      <c r="F93" s="213"/>
      <c r="G93" s="170"/>
      <c r="H93" s="190">
        <f>AE$6</f>
        <v>2030</v>
      </c>
      <c r="I93" s="191"/>
      <c r="J93" s="191"/>
      <c r="K93" s="192" t="s">
        <v>1064</v>
      </c>
      <c r="L93" s="191" t="s">
        <v>747</v>
      </c>
      <c r="M93" s="686"/>
      <c r="N93" s="686"/>
      <c r="O93" s="686"/>
      <c r="P93" s="686"/>
      <c r="Q93" s="686"/>
      <c r="R93" s="686"/>
      <c r="S93" s="686"/>
      <c r="T93" s="686"/>
      <c r="U93" s="686"/>
      <c r="V93" s="686"/>
      <c r="W93" s="686"/>
      <c r="X93" s="686"/>
      <c r="Y93" s="686"/>
      <c r="Z93" s="686"/>
      <c r="AA93" s="686"/>
      <c r="AV93" s="699" t="str">
        <f t="shared" si="147"/>
        <v/>
      </c>
      <c r="AW93" s="701"/>
      <c r="AX93" s="701"/>
      <c r="AY93" s="701"/>
      <c r="AZ93" s="701"/>
      <c r="BA93" s="701"/>
      <c r="BB93" s="701"/>
      <c r="BC93" s="701"/>
      <c r="BD93" s="701"/>
      <c r="BE93" s="701"/>
      <c r="BF93" s="701"/>
      <c r="BG93" s="701"/>
      <c r="BH93" s="701"/>
      <c r="BI93" s="701"/>
      <c r="BJ93" s="701"/>
      <c r="BK93" s="701"/>
      <c r="BL93" s="701"/>
    </row>
    <row r="94" spans="1:64" s="35" customFormat="1" x14ac:dyDescent="0.3">
      <c r="B94" s="186" t="str">
        <f t="shared" si="145"/>
        <v>TYEP900</v>
      </c>
      <c r="C94" s="186"/>
      <c r="D94" s="187"/>
      <c r="E94" s="186"/>
      <c r="F94" s="213"/>
      <c r="G94" s="170"/>
      <c r="H94" s="190">
        <f>AE$7</f>
        <v>2040</v>
      </c>
      <c r="I94" s="191"/>
      <c r="J94" s="191"/>
      <c r="K94" s="192" t="s">
        <v>1064</v>
      </c>
      <c r="L94" s="191" t="s">
        <v>747</v>
      </c>
      <c r="M94" s="686"/>
      <c r="N94" s="686"/>
      <c r="O94" s="686"/>
      <c r="P94" s="686"/>
      <c r="Q94" s="686"/>
      <c r="R94" s="686"/>
      <c r="S94" s="686"/>
      <c r="T94" s="686"/>
      <c r="U94" s="686"/>
      <c r="V94" s="686"/>
      <c r="W94" s="686"/>
      <c r="X94" s="686"/>
      <c r="Y94" s="686"/>
      <c r="Z94" s="686"/>
      <c r="AA94" s="686"/>
      <c r="AC94" s="49" t="str">
        <f>CONCATENATE("TEST: ",D96)</f>
        <v>TEST: BicYcle.Nonenergy.Passenger.City.Base-year.</v>
      </c>
      <c r="AV94" s="699" t="str">
        <f t="shared" si="147"/>
        <v/>
      </c>
      <c r="AW94" s="701"/>
      <c r="AX94" s="701"/>
      <c r="AY94" s="701"/>
      <c r="AZ94" s="701"/>
      <c r="BA94" s="701"/>
      <c r="BB94" s="701"/>
      <c r="BC94" s="701"/>
      <c r="BD94" s="701"/>
      <c r="BE94" s="701"/>
      <c r="BF94" s="701"/>
      <c r="BG94" s="701"/>
      <c r="BH94" s="701"/>
      <c r="BI94" s="701"/>
      <c r="BJ94" s="701"/>
      <c r="BK94" s="701"/>
      <c r="BL94" s="701"/>
    </row>
    <row r="95" spans="1:64" s="35" customFormat="1" x14ac:dyDescent="0.3">
      <c r="B95" s="193" t="str">
        <f t="shared" si="145"/>
        <v>TYEP900</v>
      </c>
      <c r="C95" s="193"/>
      <c r="D95" s="194"/>
      <c r="E95" s="193"/>
      <c r="F95" s="215"/>
      <c r="G95" s="196"/>
      <c r="H95" s="197">
        <f>AE$8</f>
        <v>2050</v>
      </c>
      <c r="I95" s="198"/>
      <c r="J95" s="198"/>
      <c r="K95" s="199" t="s">
        <v>1064</v>
      </c>
      <c r="L95" s="198" t="s">
        <v>747</v>
      </c>
      <c r="M95" s="687"/>
      <c r="N95" s="687"/>
      <c r="O95" s="687"/>
      <c r="P95" s="687"/>
      <c r="Q95" s="687"/>
      <c r="R95" s="687"/>
      <c r="S95" s="687"/>
      <c r="T95" s="687"/>
      <c r="U95" s="687"/>
      <c r="V95" s="687"/>
      <c r="W95" s="687"/>
      <c r="X95" s="687"/>
      <c r="Y95" s="687"/>
      <c r="Z95" s="687"/>
      <c r="AA95" s="687"/>
      <c r="AC95" s="58"/>
      <c r="AD95" s="714" t="s">
        <v>421</v>
      </c>
      <c r="AE95" s="714" t="str">
        <f>M$8</f>
        <v>Z01</v>
      </c>
      <c r="AF95" s="714" t="str">
        <f t="shared" ref="AF95" si="164">N$8</f>
        <v>Z02</v>
      </c>
      <c r="AG95" s="714" t="str">
        <f t="shared" ref="AG95" si="165">O$8</f>
        <v>Z03</v>
      </c>
      <c r="AH95" s="714" t="str">
        <f t="shared" ref="AH95" si="166">P$8</f>
        <v>Z04</v>
      </c>
      <c r="AI95" s="714" t="str">
        <f t="shared" ref="AI95" si="167">Q$8</f>
        <v>Z05</v>
      </c>
      <c r="AJ95" s="714" t="str">
        <f t="shared" ref="AJ95" si="168">R$8</f>
        <v>Z06</v>
      </c>
      <c r="AK95" s="714" t="str">
        <f t="shared" ref="AK95" si="169">S$8</f>
        <v>Z07</v>
      </c>
      <c r="AL95" s="714" t="str">
        <f t="shared" ref="AL95" si="170">T$8</f>
        <v>Z08</v>
      </c>
      <c r="AM95" s="714" t="str">
        <f t="shared" ref="AM95" si="171">U$8</f>
        <v>Z09</v>
      </c>
      <c r="AN95" s="714" t="str">
        <f t="shared" ref="AN95" si="172">V$8</f>
        <v>Z10</v>
      </c>
      <c r="AO95" s="714" t="str">
        <f t="shared" ref="AO95" si="173">W$8</f>
        <v>Z11</v>
      </c>
      <c r="AP95" s="714" t="str">
        <f t="shared" ref="AP95" si="174">X$8</f>
        <v>Z12</v>
      </c>
      <c r="AQ95" s="714" t="str">
        <f t="shared" ref="AQ95" si="175">Y$8</f>
        <v>Z13</v>
      </c>
      <c r="AR95" s="714" t="str">
        <f t="shared" ref="AR95" si="176">Z$8</f>
        <v>Z14</v>
      </c>
      <c r="AS95" s="714" t="str">
        <f t="shared" ref="AS95" si="177">AA$8</f>
        <v>Z15</v>
      </c>
      <c r="AV95" s="699" t="str">
        <f t="shared" si="147"/>
        <v/>
      </c>
      <c r="AW95" s="701"/>
      <c r="AX95" s="701"/>
      <c r="AY95" s="701"/>
      <c r="AZ95" s="701"/>
      <c r="BA95" s="701"/>
      <c r="BB95" s="701"/>
      <c r="BC95" s="701"/>
      <c r="BD95" s="701"/>
      <c r="BE95" s="701"/>
      <c r="BF95" s="701"/>
      <c r="BG95" s="701"/>
      <c r="BH95" s="701"/>
      <c r="BI95" s="701"/>
      <c r="BJ95" s="701"/>
      <c r="BK95" s="701"/>
      <c r="BL95" s="701"/>
    </row>
    <row r="96" spans="1:64" s="35" customFormat="1" x14ac:dyDescent="0.3">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4" t="str">
        <f>IF(AD97-AC17&lt;0,"too small",IF(AD97-AC17&gt;0.001,"Too big","ok"))</f>
        <v>ok</v>
      </c>
      <c r="AE96" s="618" t="str">
        <f>IF(AE97-M17&lt;0,"too small",IF(AE97-M17&gt;0.001,"Too big","ok"))</f>
        <v>ok</v>
      </c>
      <c r="AF96" s="618" t="str">
        <f t="shared" ref="AF96:AS96" si="179">IF(AF97-N17&lt;0,"too small",IF(AF97-N17&gt;0.001,"Too big","ok"))</f>
        <v>ok</v>
      </c>
      <c r="AG96" s="618" t="str">
        <f t="shared" si="179"/>
        <v>ok</v>
      </c>
      <c r="AH96" s="618" t="str">
        <f t="shared" si="179"/>
        <v>ok</v>
      </c>
      <c r="AI96" s="618" t="str">
        <f t="shared" si="179"/>
        <v>ok</v>
      </c>
      <c r="AJ96" s="618" t="str">
        <f t="shared" si="179"/>
        <v>ok</v>
      </c>
      <c r="AK96" s="618" t="str">
        <f t="shared" si="179"/>
        <v>ok</v>
      </c>
      <c r="AL96" s="618" t="str">
        <f t="shared" si="179"/>
        <v>ok</v>
      </c>
      <c r="AM96" s="618" t="str">
        <f t="shared" si="179"/>
        <v>ok</v>
      </c>
      <c r="AN96" s="618" t="str">
        <f t="shared" si="179"/>
        <v>ok</v>
      </c>
      <c r="AO96" s="618" t="str">
        <f t="shared" si="179"/>
        <v>ok</v>
      </c>
      <c r="AP96" s="618" t="str">
        <f t="shared" si="179"/>
        <v>ok</v>
      </c>
      <c r="AQ96" s="618" t="str">
        <f t="shared" si="179"/>
        <v>ok</v>
      </c>
      <c r="AR96" s="618" t="str">
        <f t="shared" si="179"/>
        <v>ok</v>
      </c>
      <c r="AS96" s="618" t="str">
        <f t="shared" si="179"/>
        <v>ok</v>
      </c>
      <c r="AV96" s="699" t="str">
        <f t="shared" si="147"/>
        <v/>
      </c>
      <c r="AW96" s="701"/>
      <c r="AX96" s="701"/>
      <c r="AY96" s="701"/>
      <c r="AZ96" s="701"/>
      <c r="BA96" s="701"/>
      <c r="BB96" s="701"/>
      <c r="BC96" s="701"/>
      <c r="BD96" s="701"/>
      <c r="BE96" s="701"/>
      <c r="BF96" s="701"/>
      <c r="BG96" s="701"/>
      <c r="BH96" s="701"/>
      <c r="BI96" s="701"/>
      <c r="BJ96" s="701"/>
      <c r="BK96" s="701"/>
      <c r="BL96" s="701"/>
    </row>
    <row r="97" spans="1:64" s="35" customFormat="1" x14ac:dyDescent="0.3">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0" t="str">
        <f>IF(COUNTIF($AF$2:$AM$2,AC96)=1,"ok","MISSING")</f>
        <v>ok</v>
      </c>
      <c r="AD97" s="80">
        <f>AD100</f>
        <v>0</v>
      </c>
      <c r="AE97" s="617">
        <f t="shared" ref="AE97:AS97" si="182">AE100</f>
        <v>0</v>
      </c>
      <c r="AF97" s="617">
        <f t="shared" si="182"/>
        <v>0</v>
      </c>
      <c r="AG97" s="617">
        <f t="shared" si="182"/>
        <v>0</v>
      </c>
      <c r="AH97" s="617">
        <f t="shared" si="182"/>
        <v>0</v>
      </c>
      <c r="AI97" s="617">
        <f t="shared" si="182"/>
        <v>0</v>
      </c>
      <c r="AJ97" s="617">
        <f t="shared" si="182"/>
        <v>0</v>
      </c>
      <c r="AK97" s="617">
        <f t="shared" si="182"/>
        <v>0</v>
      </c>
      <c r="AL97" s="617">
        <f t="shared" si="182"/>
        <v>0</v>
      </c>
      <c r="AM97" s="617">
        <f t="shared" si="182"/>
        <v>0</v>
      </c>
      <c r="AN97" s="617">
        <f t="shared" si="182"/>
        <v>0</v>
      </c>
      <c r="AO97" s="617">
        <f t="shared" si="182"/>
        <v>0</v>
      </c>
      <c r="AP97" s="617">
        <f t="shared" si="182"/>
        <v>0</v>
      </c>
      <c r="AQ97" s="617">
        <f t="shared" si="182"/>
        <v>0</v>
      </c>
      <c r="AR97" s="617">
        <f t="shared" si="182"/>
        <v>0</v>
      </c>
      <c r="AS97" s="617">
        <f t="shared" si="182"/>
        <v>0</v>
      </c>
      <c r="AT97" s="55"/>
      <c r="AU97" s="55"/>
      <c r="AV97" s="699" t="str">
        <f t="shared" si="147"/>
        <v>TRAHUM</v>
      </c>
      <c r="AW97" s="701">
        <f>SUM(AX97:BL97)</f>
        <v>0</v>
      </c>
      <c r="AX97" s="701"/>
      <c r="AY97" s="701"/>
      <c r="AZ97" s="701"/>
      <c r="BA97" s="701"/>
      <c r="BB97" s="701"/>
      <c r="BC97" s="701"/>
      <c r="BD97" s="701"/>
      <c r="BE97" s="701"/>
      <c r="BF97" s="701"/>
      <c r="BG97" s="701"/>
      <c r="BH97" s="701"/>
      <c r="BI97" s="701"/>
      <c r="BJ97" s="701"/>
      <c r="BK97" s="701"/>
      <c r="BL97" s="701"/>
    </row>
    <row r="98" spans="1:64" s="35" customFormat="1" x14ac:dyDescent="0.3">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699" t="str">
        <f t="shared" si="147"/>
        <v/>
      </c>
      <c r="AW98" s="701"/>
      <c r="AX98" s="701"/>
      <c r="AY98" s="701"/>
      <c r="AZ98" s="701"/>
      <c r="BA98" s="701"/>
      <c r="BB98" s="701"/>
      <c r="BC98" s="701"/>
      <c r="BD98" s="701"/>
      <c r="BE98" s="701"/>
      <c r="BF98" s="701"/>
      <c r="BG98" s="701"/>
      <c r="BH98" s="701"/>
      <c r="BI98" s="701"/>
      <c r="BJ98" s="701"/>
      <c r="BK98" s="701"/>
      <c r="BL98" s="701"/>
    </row>
    <row r="99" spans="1:64" s="35" customFormat="1" x14ac:dyDescent="0.3">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699" t="str">
        <f t="shared" si="147"/>
        <v/>
      </c>
      <c r="AW99" s="701"/>
      <c r="AX99" s="701"/>
      <c r="AY99" s="701"/>
      <c r="AZ99" s="701"/>
      <c r="BA99" s="701"/>
      <c r="BB99" s="701"/>
      <c r="BC99" s="701"/>
      <c r="BD99" s="701"/>
      <c r="BE99" s="701"/>
      <c r="BF99" s="701"/>
      <c r="BG99" s="701"/>
      <c r="BH99" s="701"/>
      <c r="BI99" s="701"/>
      <c r="BJ99" s="701"/>
      <c r="BK99" s="701"/>
      <c r="BL99" s="701"/>
    </row>
    <row r="100" spans="1:64" s="35" customFormat="1" x14ac:dyDescent="0.3">
      <c r="B100" s="186" t="str">
        <f t="shared" si="180"/>
        <v>TYNP900</v>
      </c>
      <c r="C100" s="186"/>
      <c r="D100" s="187"/>
      <c r="E100" s="186"/>
      <c r="F100" s="213"/>
      <c r="G100" s="170"/>
      <c r="H100" s="190">
        <f>$L$3</f>
        <v>2019</v>
      </c>
      <c r="I100" s="191"/>
      <c r="J100" s="191"/>
      <c r="K100" s="192" t="s">
        <v>1064</v>
      </c>
      <c r="L100" s="191" t="s">
        <v>747</v>
      </c>
      <c r="M100" s="688"/>
      <c r="N100" s="688"/>
      <c r="O100" s="688"/>
      <c r="P100" s="688"/>
      <c r="Q100" s="688"/>
      <c r="R100" s="688"/>
      <c r="S100" s="688"/>
      <c r="T100" s="688"/>
      <c r="U100" s="688"/>
      <c r="V100" s="688"/>
      <c r="W100" s="688"/>
      <c r="X100" s="688"/>
      <c r="Y100" s="688"/>
      <c r="Z100" s="688"/>
      <c r="AA100" s="688"/>
      <c r="AC100" s="512"/>
      <c r="AD100" s="80">
        <f>SUM(AE100:AS100)</f>
        <v>0</v>
      </c>
      <c r="AE100" s="616">
        <f>M98*M99*M100/1000</f>
        <v>0</v>
      </c>
      <c r="AF100" s="616">
        <f t="shared" ref="AF100" si="184">N98*N99*N100/1000</f>
        <v>0</v>
      </c>
      <c r="AG100" s="616">
        <f t="shared" ref="AG100" si="185">O98*O99*O100/1000</f>
        <v>0</v>
      </c>
      <c r="AH100" s="616">
        <f t="shared" ref="AH100" si="186">P98*P99*P100/1000</f>
        <v>0</v>
      </c>
      <c r="AI100" s="616">
        <f t="shared" ref="AI100" si="187">Q98*Q99*Q100/1000</f>
        <v>0</v>
      </c>
      <c r="AJ100" s="616">
        <f t="shared" ref="AJ100" si="188">R98*R99*R100/1000</f>
        <v>0</v>
      </c>
      <c r="AK100" s="616">
        <f t="shared" ref="AK100" si="189">S98*S99*S100/1000</f>
        <v>0</v>
      </c>
      <c r="AL100" s="616">
        <f t="shared" ref="AL100" si="190">T98*T99*T100/1000</f>
        <v>0</v>
      </c>
      <c r="AM100" s="616">
        <f t="shared" ref="AM100" si="191">U98*U99*U100/1000</f>
        <v>0</v>
      </c>
      <c r="AN100" s="616">
        <f t="shared" ref="AN100" si="192">V98*V99*V100/1000</f>
        <v>0</v>
      </c>
      <c r="AO100" s="616">
        <f t="shared" ref="AO100" si="193">W98*W99*W100/1000</f>
        <v>0</v>
      </c>
      <c r="AP100" s="616">
        <f t="shared" ref="AP100" si="194">X98*X99*X100/1000</f>
        <v>0</v>
      </c>
      <c r="AQ100" s="616">
        <f t="shared" ref="AQ100" si="195">Y98*Y99*Y100/1000</f>
        <v>0</v>
      </c>
      <c r="AR100" s="616">
        <f t="shared" ref="AR100" si="196">Z98*Z99*Z100/1000</f>
        <v>0</v>
      </c>
      <c r="AS100" s="616">
        <f t="shared" ref="AS100" si="197">AA98*AA99*AA100/1000</f>
        <v>0</v>
      </c>
      <c r="AV100" s="699"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3">
      <c r="B101" s="186" t="str">
        <f t="shared" si="180"/>
        <v>TYNP900</v>
      </c>
      <c r="C101" s="186"/>
      <c r="D101" s="187"/>
      <c r="E101" s="186"/>
      <c r="F101" s="213"/>
      <c r="G101" s="170"/>
      <c r="H101" s="190">
        <f>AE$3</f>
        <v>2016</v>
      </c>
      <c r="I101" s="191"/>
      <c r="J101" s="191"/>
      <c r="K101" s="192" t="s">
        <v>1064</v>
      </c>
      <c r="L101" s="191" t="s">
        <v>747</v>
      </c>
      <c r="M101" s="686"/>
      <c r="N101" s="686"/>
      <c r="O101" s="686"/>
      <c r="P101" s="686"/>
      <c r="Q101" s="686"/>
      <c r="R101" s="686"/>
      <c r="S101" s="686"/>
      <c r="T101" s="686"/>
      <c r="U101" s="686"/>
      <c r="V101" s="686"/>
      <c r="W101" s="686"/>
      <c r="X101" s="686"/>
      <c r="Y101" s="686"/>
      <c r="Z101" s="686"/>
      <c r="AA101" s="686"/>
      <c r="AV101" s="699" t="str">
        <f t="shared" si="147"/>
        <v/>
      </c>
      <c r="AW101" s="701"/>
      <c r="AX101" s="701"/>
      <c r="AY101" s="701"/>
      <c r="AZ101" s="701"/>
      <c r="BA101" s="701"/>
      <c r="BB101" s="701"/>
      <c r="BC101" s="701"/>
      <c r="BD101" s="701"/>
      <c r="BE101" s="701"/>
      <c r="BF101" s="701"/>
      <c r="BG101" s="701"/>
      <c r="BH101" s="701"/>
      <c r="BI101" s="701"/>
      <c r="BJ101" s="701"/>
      <c r="BK101" s="701"/>
      <c r="BL101" s="701"/>
    </row>
    <row r="102" spans="1:64" s="35" customFormat="1" x14ac:dyDescent="0.3">
      <c r="B102" s="186" t="str">
        <f t="shared" si="180"/>
        <v>TYNP900</v>
      </c>
      <c r="C102" s="186"/>
      <c r="D102" s="187"/>
      <c r="E102" s="186"/>
      <c r="F102" s="213"/>
      <c r="G102" s="170"/>
      <c r="H102" s="190">
        <f>AE$4</f>
        <v>2020</v>
      </c>
      <c r="I102" s="191"/>
      <c r="J102" s="191"/>
      <c r="K102" s="192" t="s">
        <v>1064</v>
      </c>
      <c r="L102" s="191" t="s">
        <v>747</v>
      </c>
      <c r="M102" s="686"/>
      <c r="N102" s="686"/>
      <c r="O102" s="686"/>
      <c r="P102" s="686"/>
      <c r="Q102" s="686"/>
      <c r="R102" s="686"/>
      <c r="S102" s="686"/>
      <c r="T102" s="686"/>
      <c r="U102" s="686"/>
      <c r="V102" s="686"/>
      <c r="W102" s="686"/>
      <c r="X102" s="686"/>
      <c r="Y102" s="686"/>
      <c r="Z102" s="686"/>
      <c r="AA102" s="686"/>
      <c r="AD102" s="57"/>
      <c r="AE102" s="57"/>
      <c r="AF102" s="57"/>
      <c r="AG102" s="57"/>
      <c r="AH102" s="57"/>
      <c r="AI102" s="57"/>
      <c r="AJ102" s="57"/>
      <c r="AK102" s="57"/>
      <c r="AL102" s="57"/>
      <c r="AM102" s="57"/>
      <c r="AN102" s="57"/>
      <c r="AO102" s="57"/>
      <c r="AP102" s="57"/>
      <c r="AQ102" s="57"/>
      <c r="AR102" s="57"/>
      <c r="AS102" s="57"/>
      <c r="AT102" s="57"/>
      <c r="AU102" s="57"/>
      <c r="AV102" s="699" t="str">
        <f t="shared" si="147"/>
        <v/>
      </c>
      <c r="AW102" s="701"/>
      <c r="AX102" s="701"/>
      <c r="AY102" s="701"/>
      <c r="AZ102" s="701"/>
      <c r="BA102" s="701"/>
      <c r="BB102" s="701"/>
      <c r="BC102" s="701"/>
      <c r="BD102" s="701"/>
      <c r="BE102" s="701"/>
      <c r="BF102" s="701"/>
      <c r="BG102" s="701"/>
      <c r="BH102" s="701"/>
      <c r="BI102" s="701"/>
      <c r="BJ102" s="701"/>
      <c r="BK102" s="701"/>
      <c r="BL102" s="701"/>
    </row>
    <row r="103" spans="1:64" s="35" customFormat="1" x14ac:dyDescent="0.3">
      <c r="B103" s="186" t="str">
        <f t="shared" si="180"/>
        <v>TYNP900</v>
      </c>
      <c r="C103" s="186"/>
      <c r="D103" s="187"/>
      <c r="E103" s="186"/>
      <c r="F103" s="213"/>
      <c r="G103" s="170"/>
      <c r="H103" s="190">
        <f>AE$5</f>
        <v>2025</v>
      </c>
      <c r="I103" s="191"/>
      <c r="J103" s="191"/>
      <c r="K103" s="192" t="s">
        <v>1064</v>
      </c>
      <c r="L103" s="191" t="s">
        <v>747</v>
      </c>
      <c r="M103" s="686"/>
      <c r="N103" s="686"/>
      <c r="O103" s="686"/>
      <c r="P103" s="686"/>
      <c r="Q103" s="686"/>
      <c r="R103" s="686"/>
      <c r="S103" s="686"/>
      <c r="T103" s="686"/>
      <c r="U103" s="686"/>
      <c r="V103" s="686"/>
      <c r="W103" s="686"/>
      <c r="X103" s="686"/>
      <c r="Y103" s="686"/>
      <c r="Z103" s="686"/>
      <c r="AA103" s="686"/>
      <c r="AV103" s="699" t="str">
        <f t="shared" si="147"/>
        <v/>
      </c>
      <c r="AW103" s="701"/>
      <c r="AX103" s="701"/>
      <c r="AY103" s="701"/>
      <c r="AZ103" s="701"/>
      <c r="BA103" s="701"/>
      <c r="BB103" s="701"/>
      <c r="BC103" s="701"/>
      <c r="BD103" s="701"/>
      <c r="BE103" s="701"/>
      <c r="BF103" s="701"/>
      <c r="BG103" s="701"/>
      <c r="BH103" s="701"/>
      <c r="BI103" s="701"/>
      <c r="BJ103" s="701"/>
      <c r="BK103" s="701"/>
      <c r="BL103" s="701"/>
    </row>
    <row r="104" spans="1:64" s="35" customFormat="1" x14ac:dyDescent="0.3">
      <c r="B104" s="186" t="str">
        <f t="shared" si="180"/>
        <v>TYNP900</v>
      </c>
      <c r="C104" s="186"/>
      <c r="D104" s="187"/>
      <c r="E104" s="186"/>
      <c r="F104" s="213"/>
      <c r="G104" s="170"/>
      <c r="H104" s="190">
        <f>AE$6</f>
        <v>2030</v>
      </c>
      <c r="I104" s="191"/>
      <c r="J104" s="191"/>
      <c r="K104" s="192" t="s">
        <v>1064</v>
      </c>
      <c r="L104" s="191" t="s">
        <v>747</v>
      </c>
      <c r="M104" s="686"/>
      <c r="N104" s="686"/>
      <c r="O104" s="686"/>
      <c r="P104" s="686"/>
      <c r="Q104" s="686"/>
      <c r="R104" s="686"/>
      <c r="S104" s="686"/>
      <c r="T104" s="686"/>
      <c r="U104" s="686"/>
      <c r="V104" s="686"/>
      <c r="W104" s="686"/>
      <c r="X104" s="686"/>
      <c r="Y104" s="686"/>
      <c r="Z104" s="686"/>
      <c r="AA104" s="686"/>
      <c r="AV104" s="699" t="str">
        <f t="shared" si="147"/>
        <v/>
      </c>
      <c r="AW104" s="701"/>
      <c r="AX104" s="701"/>
      <c r="AY104" s="701"/>
      <c r="AZ104" s="701"/>
      <c r="BA104" s="701"/>
      <c r="BB104" s="701"/>
      <c r="BC104" s="701"/>
      <c r="BD104" s="701"/>
      <c r="BE104" s="701"/>
      <c r="BF104" s="701"/>
      <c r="BG104" s="701"/>
      <c r="BH104" s="701"/>
      <c r="BI104" s="701"/>
      <c r="BJ104" s="701"/>
      <c r="BK104" s="701"/>
      <c r="BL104" s="701"/>
    </row>
    <row r="105" spans="1:64" s="35" customFormat="1" x14ac:dyDescent="0.3">
      <c r="B105" s="186" t="str">
        <f t="shared" si="180"/>
        <v>TYNP900</v>
      </c>
      <c r="C105" s="186"/>
      <c r="D105" s="187"/>
      <c r="E105" s="186"/>
      <c r="F105" s="213"/>
      <c r="G105" s="170"/>
      <c r="H105" s="190">
        <f>AE$7</f>
        <v>2040</v>
      </c>
      <c r="I105" s="191"/>
      <c r="J105" s="191"/>
      <c r="K105" s="192" t="s">
        <v>1064</v>
      </c>
      <c r="L105" s="191" t="s">
        <v>747</v>
      </c>
      <c r="M105" s="686"/>
      <c r="N105" s="686"/>
      <c r="O105" s="686"/>
      <c r="P105" s="686"/>
      <c r="Q105" s="686"/>
      <c r="R105" s="686"/>
      <c r="S105" s="686"/>
      <c r="T105" s="686"/>
      <c r="U105" s="686"/>
      <c r="V105" s="686"/>
      <c r="W105" s="686"/>
      <c r="X105" s="686"/>
      <c r="Y105" s="686"/>
      <c r="Z105" s="686"/>
      <c r="AA105" s="686"/>
      <c r="AC105" s="49" t="str">
        <f>CONCATENATE("TEST: ",D107)</f>
        <v>TEST: Walking.Nonenergy.City.Base-year.</v>
      </c>
      <c r="AD105" s="49"/>
      <c r="AV105" s="699" t="str">
        <f t="shared" si="147"/>
        <v/>
      </c>
      <c r="AW105" s="701"/>
      <c r="AX105" s="701"/>
      <c r="AY105" s="701"/>
      <c r="AZ105" s="701"/>
      <c r="BA105" s="701"/>
      <c r="BB105" s="701"/>
      <c r="BC105" s="701"/>
      <c r="BD105" s="701"/>
      <c r="BE105" s="701"/>
      <c r="BF105" s="701"/>
      <c r="BG105" s="701"/>
      <c r="BH105" s="701"/>
      <c r="BI105" s="701"/>
      <c r="BJ105" s="701"/>
      <c r="BK105" s="701"/>
      <c r="BL105" s="701"/>
    </row>
    <row r="106" spans="1:64" s="35" customFormat="1" x14ac:dyDescent="0.3">
      <c r="B106" s="193" t="str">
        <f t="shared" si="180"/>
        <v>TYNP900</v>
      </c>
      <c r="C106" s="193"/>
      <c r="D106" s="194"/>
      <c r="E106" s="193"/>
      <c r="F106" s="215"/>
      <c r="G106" s="196"/>
      <c r="H106" s="197">
        <f>AE$8</f>
        <v>2050</v>
      </c>
      <c r="I106" s="198"/>
      <c r="J106" s="198"/>
      <c r="K106" s="199" t="s">
        <v>1064</v>
      </c>
      <c r="L106" s="198" t="s">
        <v>747</v>
      </c>
      <c r="M106" s="687"/>
      <c r="N106" s="687"/>
      <c r="O106" s="687"/>
      <c r="P106" s="687"/>
      <c r="Q106" s="687"/>
      <c r="R106" s="687"/>
      <c r="S106" s="687"/>
      <c r="T106" s="687"/>
      <c r="U106" s="687"/>
      <c r="V106" s="687"/>
      <c r="W106" s="687"/>
      <c r="X106" s="687"/>
      <c r="Y106" s="687"/>
      <c r="Z106" s="687"/>
      <c r="AA106" s="687"/>
      <c r="AC106" s="58"/>
      <c r="AD106" s="714" t="s">
        <v>421</v>
      </c>
      <c r="AE106" s="714" t="str">
        <f>M$8</f>
        <v>Z01</v>
      </c>
      <c r="AF106" s="714" t="str">
        <f t="shared" ref="AF106" si="198">N$8</f>
        <v>Z02</v>
      </c>
      <c r="AG106" s="714" t="str">
        <f t="shared" ref="AG106" si="199">O$8</f>
        <v>Z03</v>
      </c>
      <c r="AH106" s="714" t="str">
        <f t="shared" ref="AH106" si="200">P$8</f>
        <v>Z04</v>
      </c>
      <c r="AI106" s="714" t="str">
        <f t="shared" ref="AI106" si="201">Q$8</f>
        <v>Z05</v>
      </c>
      <c r="AJ106" s="714" t="str">
        <f t="shared" ref="AJ106" si="202">R$8</f>
        <v>Z06</v>
      </c>
      <c r="AK106" s="714" t="str">
        <f t="shared" ref="AK106" si="203">S$8</f>
        <v>Z07</v>
      </c>
      <c r="AL106" s="714" t="str">
        <f t="shared" ref="AL106" si="204">T$8</f>
        <v>Z08</v>
      </c>
      <c r="AM106" s="714" t="str">
        <f t="shared" ref="AM106" si="205">U$8</f>
        <v>Z09</v>
      </c>
      <c r="AN106" s="714" t="str">
        <f t="shared" ref="AN106" si="206">V$8</f>
        <v>Z10</v>
      </c>
      <c r="AO106" s="714" t="str">
        <f t="shared" ref="AO106" si="207">W$8</f>
        <v>Z11</v>
      </c>
      <c r="AP106" s="714" t="str">
        <f t="shared" ref="AP106" si="208">X$8</f>
        <v>Z12</v>
      </c>
      <c r="AQ106" s="714" t="str">
        <f t="shared" ref="AQ106" si="209">Y$8</f>
        <v>Z13</v>
      </c>
      <c r="AR106" s="714" t="str">
        <f t="shared" ref="AR106" si="210">Z$8</f>
        <v>Z14</v>
      </c>
      <c r="AS106" s="714" t="str">
        <f t="shared" ref="AS106" si="211">AA$8</f>
        <v>Z15</v>
      </c>
      <c r="AV106" s="699" t="str">
        <f t="shared" si="147"/>
        <v/>
      </c>
      <c r="AW106" s="701"/>
      <c r="AX106" s="701"/>
      <c r="AY106" s="701"/>
      <c r="AZ106" s="701"/>
      <c r="BA106" s="701"/>
      <c r="BB106" s="701"/>
      <c r="BC106" s="701"/>
      <c r="BD106" s="701"/>
      <c r="BE106" s="701"/>
      <c r="BF106" s="701"/>
      <c r="BG106" s="701"/>
      <c r="BH106" s="701"/>
      <c r="BI106" s="701"/>
      <c r="BJ106" s="701"/>
      <c r="BK106" s="701"/>
      <c r="BL106" s="701"/>
    </row>
    <row r="107" spans="1:64" s="35" customFormat="1" x14ac:dyDescent="0.3">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4" t="str">
        <f>IF(AD108-AC13&lt;0,"too small",IF(AD108-AC13&gt;0.001,"Too big","ok"))</f>
        <v>ok</v>
      </c>
      <c r="AE107" s="618" t="str">
        <f>IF(AE108-M13&lt;0,"too small",IF(AE108-M13&gt;0.001,"Too big","ok"))</f>
        <v>ok</v>
      </c>
      <c r="AF107" s="618" t="str">
        <f t="shared" ref="AF107:AS107" si="213">IF(AF108-N13&lt;0,"too small",IF(AF108-N13&gt;0.001,"Too big","ok"))</f>
        <v>ok</v>
      </c>
      <c r="AG107" s="618" t="str">
        <f t="shared" si="213"/>
        <v>ok</v>
      </c>
      <c r="AH107" s="618" t="str">
        <f t="shared" si="213"/>
        <v>ok</v>
      </c>
      <c r="AI107" s="618" t="str">
        <f t="shared" si="213"/>
        <v>ok</v>
      </c>
      <c r="AJ107" s="618" t="str">
        <f t="shared" si="213"/>
        <v>ok</v>
      </c>
      <c r="AK107" s="618" t="str">
        <f t="shared" si="213"/>
        <v>ok</v>
      </c>
      <c r="AL107" s="618" t="str">
        <f t="shared" si="213"/>
        <v>ok</v>
      </c>
      <c r="AM107" s="618" t="str">
        <f t="shared" si="213"/>
        <v>ok</v>
      </c>
      <c r="AN107" s="618" t="str">
        <f t="shared" si="213"/>
        <v>ok</v>
      </c>
      <c r="AO107" s="618" t="str">
        <f t="shared" si="213"/>
        <v>ok</v>
      </c>
      <c r="AP107" s="618" t="str">
        <f t="shared" si="213"/>
        <v>ok</v>
      </c>
      <c r="AQ107" s="618" t="str">
        <f t="shared" si="213"/>
        <v>ok</v>
      </c>
      <c r="AR107" s="618" t="str">
        <f t="shared" si="213"/>
        <v>ok</v>
      </c>
      <c r="AS107" s="618" t="str">
        <f t="shared" si="213"/>
        <v>ok</v>
      </c>
      <c r="AV107" s="699" t="str">
        <f t="shared" si="147"/>
        <v/>
      </c>
      <c r="AW107" s="701"/>
      <c r="AX107" s="701"/>
      <c r="AY107" s="701"/>
      <c r="AZ107" s="701"/>
      <c r="BA107" s="701"/>
      <c r="BB107" s="701"/>
      <c r="BC107" s="701"/>
      <c r="BD107" s="701"/>
      <c r="BE107" s="701"/>
      <c r="BF107" s="701"/>
      <c r="BG107" s="701"/>
      <c r="BH107" s="701"/>
      <c r="BI107" s="701"/>
      <c r="BJ107" s="701"/>
      <c r="BK107" s="701"/>
      <c r="BL107" s="701"/>
    </row>
    <row r="108" spans="1:64" s="35" customFormat="1" x14ac:dyDescent="0.3">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0" t="str">
        <f>IF(COUNTIF($AF$2:$AM$2,AC107)=1,"ok","MISSING")</f>
        <v>ok</v>
      </c>
      <c r="AD108" s="59">
        <f>AD111</f>
        <v>0</v>
      </c>
      <c r="AE108" s="617">
        <f>AE111</f>
        <v>0</v>
      </c>
      <c r="AF108" s="617">
        <f t="shared" ref="AF108:AS108" si="216">AF111</f>
        <v>0</v>
      </c>
      <c r="AG108" s="617">
        <f t="shared" si="216"/>
        <v>0</v>
      </c>
      <c r="AH108" s="617">
        <f t="shared" si="216"/>
        <v>0</v>
      </c>
      <c r="AI108" s="617">
        <f t="shared" si="216"/>
        <v>0</v>
      </c>
      <c r="AJ108" s="617">
        <f t="shared" si="216"/>
        <v>0</v>
      </c>
      <c r="AK108" s="617">
        <f t="shared" si="216"/>
        <v>0</v>
      </c>
      <c r="AL108" s="617">
        <f t="shared" si="216"/>
        <v>0</v>
      </c>
      <c r="AM108" s="617">
        <f t="shared" si="216"/>
        <v>0</v>
      </c>
      <c r="AN108" s="617">
        <f t="shared" si="216"/>
        <v>0</v>
      </c>
      <c r="AO108" s="617">
        <f t="shared" si="216"/>
        <v>0</v>
      </c>
      <c r="AP108" s="617">
        <f t="shared" si="216"/>
        <v>0</v>
      </c>
      <c r="AQ108" s="617">
        <f t="shared" si="216"/>
        <v>0</v>
      </c>
      <c r="AR108" s="617">
        <f t="shared" si="216"/>
        <v>0</v>
      </c>
      <c r="AS108" s="617">
        <f t="shared" si="216"/>
        <v>0</v>
      </c>
      <c r="AT108" s="55"/>
      <c r="AU108" s="55"/>
      <c r="AV108" s="699" t="str">
        <f t="shared" si="147"/>
        <v>TRAHUM</v>
      </c>
      <c r="AW108" s="701">
        <f>SUM(AX108:BL108)</f>
        <v>0</v>
      </c>
      <c r="AX108" s="701"/>
      <c r="AY108" s="701"/>
      <c r="AZ108" s="701"/>
      <c r="BA108" s="701"/>
      <c r="BB108" s="701"/>
      <c r="BC108" s="701"/>
      <c r="BD108" s="701"/>
      <c r="BE108" s="701"/>
      <c r="BF108" s="701"/>
      <c r="BG108" s="701"/>
      <c r="BH108" s="701"/>
      <c r="BI108" s="701"/>
      <c r="BJ108" s="701"/>
      <c r="BK108" s="701"/>
      <c r="BL108" s="701"/>
    </row>
    <row r="109" spans="1:64" s="35" customFormat="1" x14ac:dyDescent="0.3">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699" t="str">
        <f t="shared" si="147"/>
        <v/>
      </c>
      <c r="AW109" s="701"/>
      <c r="AX109" s="701"/>
      <c r="AY109" s="701"/>
      <c r="AZ109" s="701"/>
      <c r="BA109" s="701"/>
      <c r="BB109" s="701"/>
      <c r="BC109" s="701"/>
      <c r="BD109" s="701"/>
      <c r="BE109" s="701"/>
      <c r="BF109" s="701"/>
      <c r="BG109" s="701"/>
      <c r="BH109" s="701"/>
      <c r="BI109" s="701"/>
      <c r="BJ109" s="701"/>
      <c r="BK109" s="701"/>
      <c r="BL109" s="701"/>
    </row>
    <row r="110" spans="1:64" s="35" customFormat="1" x14ac:dyDescent="0.3">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699" t="str">
        <f t="shared" si="147"/>
        <v/>
      </c>
      <c r="AW110" s="701"/>
      <c r="AX110" s="701"/>
      <c r="AY110" s="701"/>
      <c r="AZ110" s="701"/>
      <c r="BA110" s="701"/>
      <c r="BB110" s="701"/>
      <c r="BC110" s="701"/>
      <c r="BD110" s="701"/>
      <c r="BE110" s="701"/>
      <c r="BF110" s="701"/>
      <c r="BG110" s="701"/>
      <c r="BH110" s="701"/>
      <c r="BI110" s="701"/>
      <c r="BJ110" s="701"/>
      <c r="BK110" s="701"/>
      <c r="BL110" s="701"/>
    </row>
    <row r="111" spans="1:64" s="35" customFormat="1" x14ac:dyDescent="0.3">
      <c r="B111" s="186" t="str">
        <f t="shared" si="214"/>
        <v>TWN900</v>
      </c>
      <c r="C111" s="186"/>
      <c r="D111" s="187"/>
      <c r="E111" s="186"/>
      <c r="F111" s="189"/>
      <c r="G111" s="170"/>
      <c r="H111" s="190">
        <f>$L$3</f>
        <v>2019</v>
      </c>
      <c r="I111" s="191"/>
      <c r="J111" s="191"/>
      <c r="K111" s="192" t="s">
        <v>1064</v>
      </c>
      <c r="L111" s="191" t="s">
        <v>747</v>
      </c>
      <c r="M111" s="688"/>
      <c r="N111" s="688"/>
      <c r="O111" s="688"/>
      <c r="P111" s="688"/>
      <c r="Q111" s="688"/>
      <c r="R111" s="688"/>
      <c r="S111" s="688"/>
      <c r="T111" s="688"/>
      <c r="U111" s="688"/>
      <c r="V111" s="688"/>
      <c r="W111" s="688"/>
      <c r="X111" s="688"/>
      <c r="Y111" s="688"/>
      <c r="Z111" s="688"/>
      <c r="AA111" s="688"/>
      <c r="AC111" s="511"/>
      <c r="AD111" s="59">
        <f>SUM(AE111:AS111)</f>
        <v>0</v>
      </c>
      <c r="AE111" s="615">
        <f>M109*M110*M111/1000</f>
        <v>0</v>
      </c>
      <c r="AF111" s="615">
        <f t="shared" ref="AF111" si="218">N109*N110*N111/1000</f>
        <v>0</v>
      </c>
      <c r="AG111" s="615">
        <f t="shared" ref="AG111" si="219">O109*O110*O111/1000</f>
        <v>0</v>
      </c>
      <c r="AH111" s="615">
        <f t="shared" ref="AH111" si="220">P109*P110*P111/1000</f>
        <v>0</v>
      </c>
      <c r="AI111" s="615">
        <f t="shared" ref="AI111" si="221">Q109*Q110*Q111/1000</f>
        <v>0</v>
      </c>
      <c r="AJ111" s="615">
        <f t="shared" ref="AJ111" si="222">R109*R110*R111/1000</f>
        <v>0</v>
      </c>
      <c r="AK111" s="615">
        <f t="shared" ref="AK111" si="223">S109*S110*S111/1000</f>
        <v>0</v>
      </c>
      <c r="AL111" s="615">
        <f t="shared" ref="AL111" si="224">T109*T110*T111/1000</f>
        <v>0</v>
      </c>
      <c r="AM111" s="615">
        <f t="shared" ref="AM111" si="225">U109*U110*U111/1000</f>
        <v>0</v>
      </c>
      <c r="AN111" s="615">
        <f t="shared" ref="AN111" si="226">V109*V110*V111/1000</f>
        <v>0</v>
      </c>
      <c r="AO111" s="615">
        <f t="shared" ref="AO111" si="227">W109*W110*W111/1000</f>
        <v>0</v>
      </c>
      <c r="AP111" s="615">
        <f t="shared" ref="AP111" si="228">X109*X110*X111/1000</f>
        <v>0</v>
      </c>
      <c r="AQ111" s="615">
        <f t="shared" ref="AQ111" si="229">Y109*Y110*Y111/1000</f>
        <v>0</v>
      </c>
      <c r="AR111" s="615">
        <f t="shared" ref="AR111" si="230">Z109*Z110*Z111/1000</f>
        <v>0</v>
      </c>
      <c r="AS111" s="615">
        <f t="shared" ref="AS111" si="231">AA109*AA110*AA111/1000</f>
        <v>0</v>
      </c>
      <c r="AV111" s="699" t="str">
        <f t="shared" si="147"/>
        <v/>
      </c>
      <c r="AW111" s="701"/>
      <c r="AX111" s="701"/>
      <c r="AY111" s="701"/>
      <c r="AZ111" s="701"/>
      <c r="BA111" s="701"/>
      <c r="BB111" s="701"/>
      <c r="BC111" s="701"/>
      <c r="BD111" s="701"/>
      <c r="BE111" s="701"/>
      <c r="BF111" s="701"/>
      <c r="BG111" s="701"/>
      <c r="BH111" s="701"/>
      <c r="BI111" s="701"/>
      <c r="BJ111" s="701"/>
      <c r="BK111" s="701"/>
      <c r="BL111" s="701"/>
    </row>
    <row r="112" spans="1:64" s="35" customFormat="1" x14ac:dyDescent="0.3">
      <c r="B112" s="186" t="str">
        <f t="shared" si="214"/>
        <v>TWN900</v>
      </c>
      <c r="C112" s="186"/>
      <c r="D112" s="187"/>
      <c r="E112" s="186"/>
      <c r="F112" s="189"/>
      <c r="G112" s="170"/>
      <c r="H112" s="190">
        <f>AE$3</f>
        <v>2016</v>
      </c>
      <c r="I112" s="191"/>
      <c r="J112" s="191"/>
      <c r="K112" s="192" t="s">
        <v>1064</v>
      </c>
      <c r="L112" s="191" t="s">
        <v>747</v>
      </c>
      <c r="M112" s="686"/>
      <c r="N112" s="686"/>
      <c r="O112" s="686"/>
      <c r="P112" s="686"/>
      <c r="Q112" s="686"/>
      <c r="R112" s="686"/>
      <c r="S112" s="686"/>
      <c r="T112" s="686"/>
      <c r="U112" s="686"/>
      <c r="V112" s="686"/>
      <c r="W112" s="686"/>
      <c r="X112" s="686"/>
      <c r="Y112" s="686"/>
      <c r="Z112" s="686"/>
      <c r="AA112" s="686"/>
      <c r="AV112" s="699" t="str">
        <f t="shared" si="147"/>
        <v/>
      </c>
      <c r="AW112" s="701"/>
      <c r="AX112" s="701"/>
      <c r="AY112" s="701"/>
      <c r="AZ112" s="701"/>
      <c r="BA112" s="701"/>
      <c r="BB112" s="701"/>
      <c r="BC112" s="701"/>
      <c r="BD112" s="701"/>
      <c r="BE112" s="701"/>
      <c r="BF112" s="701"/>
      <c r="BG112" s="701"/>
      <c r="BH112" s="701"/>
      <c r="BI112" s="701"/>
      <c r="BJ112" s="701"/>
      <c r="BK112" s="701"/>
      <c r="BL112" s="701"/>
    </row>
    <row r="113" spans="1:64" s="35" customFormat="1" x14ac:dyDescent="0.3">
      <c r="B113" s="186" t="str">
        <f t="shared" si="214"/>
        <v>TWN900</v>
      </c>
      <c r="C113" s="186"/>
      <c r="D113" s="187"/>
      <c r="E113" s="186"/>
      <c r="F113" s="189"/>
      <c r="G113" s="170"/>
      <c r="H113" s="190">
        <f>AE$4</f>
        <v>2020</v>
      </c>
      <c r="I113" s="191"/>
      <c r="J113" s="191"/>
      <c r="K113" s="192" t="s">
        <v>1064</v>
      </c>
      <c r="L113" s="191" t="s">
        <v>747</v>
      </c>
      <c r="M113" s="686"/>
      <c r="N113" s="686"/>
      <c r="O113" s="686"/>
      <c r="P113" s="686"/>
      <c r="Q113" s="686"/>
      <c r="R113" s="686"/>
      <c r="S113" s="686"/>
      <c r="T113" s="686"/>
      <c r="U113" s="686"/>
      <c r="V113" s="686"/>
      <c r="W113" s="686"/>
      <c r="X113" s="686"/>
      <c r="Y113" s="686"/>
      <c r="Z113" s="686"/>
      <c r="AA113" s="686"/>
      <c r="AD113" s="57"/>
      <c r="AE113" s="57"/>
      <c r="AF113" s="57"/>
      <c r="AG113" s="57"/>
      <c r="AH113" s="57"/>
      <c r="AI113" s="57"/>
      <c r="AJ113" s="57"/>
      <c r="AK113" s="57"/>
      <c r="AL113" s="57"/>
      <c r="AM113" s="57"/>
      <c r="AN113" s="57"/>
      <c r="AO113" s="57"/>
      <c r="AP113" s="57"/>
      <c r="AQ113" s="57"/>
      <c r="AR113" s="57"/>
      <c r="AS113" s="57"/>
      <c r="AT113" s="57"/>
      <c r="AU113" s="57"/>
      <c r="AV113" s="699" t="str">
        <f t="shared" si="147"/>
        <v/>
      </c>
      <c r="AW113" s="701"/>
      <c r="AX113" s="701"/>
      <c r="AY113" s="701"/>
      <c r="AZ113" s="701"/>
      <c r="BA113" s="701"/>
      <c r="BB113" s="701"/>
      <c r="BC113" s="701"/>
      <c r="BD113" s="701"/>
      <c r="BE113" s="701"/>
      <c r="BF113" s="701"/>
      <c r="BG113" s="701"/>
      <c r="BH113" s="701"/>
      <c r="BI113" s="701"/>
      <c r="BJ113" s="701"/>
      <c r="BK113" s="701"/>
      <c r="BL113" s="701"/>
    </row>
    <row r="114" spans="1:64" s="35" customFormat="1" x14ac:dyDescent="0.3">
      <c r="B114" s="186" t="str">
        <f t="shared" si="214"/>
        <v>TWN900</v>
      </c>
      <c r="C114" s="186"/>
      <c r="D114" s="187"/>
      <c r="E114" s="186"/>
      <c r="F114" s="189"/>
      <c r="G114" s="170"/>
      <c r="H114" s="190">
        <f>AE$5</f>
        <v>2025</v>
      </c>
      <c r="I114" s="191"/>
      <c r="J114" s="191"/>
      <c r="K114" s="192" t="s">
        <v>1064</v>
      </c>
      <c r="L114" s="191" t="s">
        <v>747</v>
      </c>
      <c r="M114" s="686"/>
      <c r="N114" s="686"/>
      <c r="O114" s="686"/>
      <c r="P114" s="686"/>
      <c r="Q114" s="686"/>
      <c r="R114" s="686"/>
      <c r="S114" s="686"/>
      <c r="T114" s="686"/>
      <c r="U114" s="686"/>
      <c r="V114" s="686"/>
      <c r="W114" s="686"/>
      <c r="X114" s="686"/>
      <c r="Y114" s="686"/>
      <c r="Z114" s="686"/>
      <c r="AA114" s="686"/>
      <c r="AV114" s="699" t="str">
        <f t="shared" si="147"/>
        <v/>
      </c>
      <c r="AW114" s="701"/>
      <c r="AX114" s="701"/>
      <c r="AY114" s="701"/>
      <c r="AZ114" s="701"/>
      <c r="BA114" s="701"/>
      <c r="BB114" s="701"/>
      <c r="BC114" s="701"/>
      <c r="BD114" s="701"/>
      <c r="BE114" s="701"/>
      <c r="BF114" s="701"/>
      <c r="BG114" s="701"/>
      <c r="BH114" s="701"/>
      <c r="BI114" s="701"/>
      <c r="BJ114" s="701"/>
      <c r="BK114" s="701"/>
      <c r="BL114" s="701"/>
    </row>
    <row r="115" spans="1:64" s="35" customFormat="1" x14ac:dyDescent="0.3">
      <c r="B115" s="186" t="str">
        <f t="shared" si="214"/>
        <v>TWN900</v>
      </c>
      <c r="C115" s="186"/>
      <c r="D115" s="187"/>
      <c r="E115" s="186"/>
      <c r="F115" s="189"/>
      <c r="G115" s="170"/>
      <c r="H115" s="190">
        <f>AE$6</f>
        <v>2030</v>
      </c>
      <c r="I115" s="191"/>
      <c r="J115" s="191"/>
      <c r="K115" s="192" t="s">
        <v>1064</v>
      </c>
      <c r="L115" s="191" t="s">
        <v>747</v>
      </c>
      <c r="M115" s="686"/>
      <c r="N115" s="686"/>
      <c r="O115" s="686"/>
      <c r="P115" s="686"/>
      <c r="Q115" s="686"/>
      <c r="R115" s="686"/>
      <c r="S115" s="686"/>
      <c r="T115" s="686"/>
      <c r="U115" s="686"/>
      <c r="V115" s="686"/>
      <c r="W115" s="686"/>
      <c r="X115" s="686"/>
      <c r="Y115" s="686"/>
      <c r="Z115" s="686"/>
      <c r="AA115" s="686"/>
      <c r="AV115" s="699" t="str">
        <f t="shared" si="147"/>
        <v/>
      </c>
      <c r="AW115" s="701"/>
      <c r="AX115" s="701"/>
      <c r="AY115" s="701"/>
      <c r="AZ115" s="701"/>
      <c r="BA115" s="701"/>
      <c r="BB115" s="701"/>
      <c r="BC115" s="701"/>
      <c r="BD115" s="701"/>
      <c r="BE115" s="701"/>
      <c r="BF115" s="701"/>
      <c r="BG115" s="701"/>
      <c r="BH115" s="701"/>
      <c r="BI115" s="701"/>
      <c r="BJ115" s="701"/>
      <c r="BK115" s="701"/>
      <c r="BL115" s="701"/>
    </row>
    <row r="116" spans="1:64" s="35" customFormat="1" x14ac:dyDescent="0.3">
      <c r="B116" s="186" t="str">
        <f t="shared" si="214"/>
        <v>TWN900</v>
      </c>
      <c r="C116" s="186"/>
      <c r="D116" s="187"/>
      <c r="E116" s="186"/>
      <c r="F116" s="189"/>
      <c r="G116" s="170"/>
      <c r="H116" s="190">
        <f>AE$7</f>
        <v>2040</v>
      </c>
      <c r="I116" s="191"/>
      <c r="J116" s="191"/>
      <c r="K116" s="192" t="s">
        <v>1064</v>
      </c>
      <c r="L116" s="191" t="s">
        <v>747</v>
      </c>
      <c r="M116" s="686"/>
      <c r="N116" s="686"/>
      <c r="O116" s="686"/>
      <c r="P116" s="686"/>
      <c r="Q116" s="686"/>
      <c r="R116" s="686"/>
      <c r="S116" s="686"/>
      <c r="T116" s="686"/>
      <c r="U116" s="686"/>
      <c r="V116" s="686"/>
      <c r="W116" s="686"/>
      <c r="X116" s="686"/>
      <c r="Y116" s="686"/>
      <c r="Z116" s="686"/>
      <c r="AA116" s="686"/>
      <c r="AC116" s="49" t="str">
        <f>CONCATENATE("TEST: ",D118)</f>
        <v>TEST: LightElectricVehicle.Passenger.City.Base-year.</v>
      </c>
      <c r="AD116" s="49"/>
      <c r="AV116" s="699" t="str">
        <f t="shared" si="147"/>
        <v/>
      </c>
      <c r="AW116" s="701"/>
      <c r="AX116" s="701"/>
      <c r="AY116" s="701"/>
      <c r="AZ116" s="701"/>
      <c r="BA116" s="701"/>
      <c r="BB116" s="701"/>
      <c r="BC116" s="701"/>
      <c r="BD116" s="701"/>
      <c r="BE116" s="701"/>
      <c r="BF116" s="701"/>
      <c r="BG116" s="701"/>
      <c r="BH116" s="701"/>
      <c r="BI116" s="701"/>
      <c r="BJ116" s="701"/>
      <c r="BK116" s="701"/>
      <c r="BL116" s="701"/>
    </row>
    <row r="117" spans="1:64" s="35" customFormat="1" x14ac:dyDescent="0.3">
      <c r="B117" s="193" t="str">
        <f t="shared" si="214"/>
        <v>TWN900</v>
      </c>
      <c r="C117" s="193"/>
      <c r="D117" s="194"/>
      <c r="E117" s="193"/>
      <c r="F117" s="195"/>
      <c r="G117" s="196"/>
      <c r="H117" s="197">
        <f>AE$8</f>
        <v>2050</v>
      </c>
      <c r="I117" s="198"/>
      <c r="J117" s="198"/>
      <c r="K117" s="199" t="s">
        <v>1064</v>
      </c>
      <c r="L117" s="198" t="s">
        <v>747</v>
      </c>
      <c r="M117" s="687"/>
      <c r="N117" s="687"/>
      <c r="O117" s="687"/>
      <c r="P117" s="687"/>
      <c r="Q117" s="687"/>
      <c r="R117" s="687"/>
      <c r="S117" s="687"/>
      <c r="T117" s="687"/>
      <c r="U117" s="687"/>
      <c r="V117" s="687"/>
      <c r="W117" s="687"/>
      <c r="X117" s="687"/>
      <c r="Y117" s="687"/>
      <c r="Z117" s="687"/>
      <c r="AA117" s="687"/>
      <c r="AC117" s="58"/>
      <c r="AD117" s="714" t="s">
        <v>421</v>
      </c>
      <c r="AE117" s="714" t="str">
        <f>M$8</f>
        <v>Z01</v>
      </c>
      <c r="AF117" s="714" t="str">
        <f t="shared" ref="AF117" si="232">N$8</f>
        <v>Z02</v>
      </c>
      <c r="AG117" s="714" t="str">
        <f t="shared" ref="AG117" si="233">O$8</f>
        <v>Z03</v>
      </c>
      <c r="AH117" s="714" t="str">
        <f t="shared" ref="AH117" si="234">P$8</f>
        <v>Z04</v>
      </c>
      <c r="AI117" s="714" t="str">
        <f t="shared" ref="AI117" si="235">Q$8</f>
        <v>Z05</v>
      </c>
      <c r="AJ117" s="714" t="str">
        <f t="shared" ref="AJ117" si="236">R$8</f>
        <v>Z06</v>
      </c>
      <c r="AK117" s="714" t="str">
        <f t="shared" ref="AK117" si="237">S$8</f>
        <v>Z07</v>
      </c>
      <c r="AL117" s="714" t="str">
        <f t="shared" ref="AL117" si="238">T$8</f>
        <v>Z08</v>
      </c>
      <c r="AM117" s="714" t="str">
        <f t="shared" ref="AM117" si="239">U$8</f>
        <v>Z09</v>
      </c>
      <c r="AN117" s="714" t="str">
        <f t="shared" ref="AN117" si="240">V$8</f>
        <v>Z10</v>
      </c>
      <c r="AO117" s="714" t="str">
        <f t="shared" ref="AO117" si="241">W$8</f>
        <v>Z11</v>
      </c>
      <c r="AP117" s="714" t="str">
        <f t="shared" ref="AP117" si="242">X$8</f>
        <v>Z12</v>
      </c>
      <c r="AQ117" s="714" t="str">
        <f t="shared" ref="AQ117" si="243">Y$8</f>
        <v>Z13</v>
      </c>
      <c r="AR117" s="714" t="str">
        <f t="shared" ref="AR117" si="244">Z$8</f>
        <v>Z14</v>
      </c>
      <c r="AS117" s="714" t="str">
        <f t="shared" ref="AS117" si="245">AA$8</f>
        <v>Z15</v>
      </c>
      <c r="AV117" s="699" t="str">
        <f t="shared" si="147"/>
        <v/>
      </c>
      <c r="AW117" s="701"/>
      <c r="AX117" s="701"/>
      <c r="AY117" s="701"/>
      <c r="AZ117" s="701"/>
      <c r="BA117" s="701"/>
      <c r="BB117" s="701"/>
      <c r="BC117" s="701"/>
      <c r="BD117" s="701"/>
      <c r="BE117" s="701"/>
      <c r="BF117" s="701"/>
      <c r="BG117" s="701"/>
      <c r="BH117" s="701"/>
      <c r="BI117" s="701"/>
      <c r="BJ117" s="701"/>
      <c r="BK117" s="701"/>
      <c r="BL117" s="701"/>
    </row>
    <row r="118" spans="1:64" s="83" customFormat="1" x14ac:dyDescent="0.3">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4" t="str">
        <f>IF(AD119-AC11&lt;0,"too small",IF(AD119-AC11&gt;0.005,"Too big","ok"))</f>
        <v>ok</v>
      </c>
      <c r="AE118" s="618" t="str">
        <f>IF(AE119-M11&lt;0,"too small",IF(AE119-M11&gt;0.001,"Too big","ok"))</f>
        <v>ok</v>
      </c>
      <c r="AF118" s="618" t="str">
        <f t="shared" ref="AF118:AS118" si="247">IF(AF119-N11&lt;0,"too small",IF(AF119-N11&gt;0.001,"Too big","ok"))</f>
        <v>ok</v>
      </c>
      <c r="AG118" s="618" t="str">
        <f t="shared" si="247"/>
        <v>ok</v>
      </c>
      <c r="AH118" s="618" t="str">
        <f t="shared" si="247"/>
        <v>ok</v>
      </c>
      <c r="AI118" s="618" t="str">
        <f t="shared" si="247"/>
        <v>ok</v>
      </c>
      <c r="AJ118" s="618" t="str">
        <f t="shared" si="247"/>
        <v>ok</v>
      </c>
      <c r="AK118" s="618" t="str">
        <f t="shared" si="247"/>
        <v>ok</v>
      </c>
      <c r="AL118" s="618" t="str">
        <f t="shared" si="247"/>
        <v>ok</v>
      </c>
      <c r="AM118" s="618" t="str">
        <f t="shared" si="247"/>
        <v>ok</v>
      </c>
      <c r="AN118" s="618" t="str">
        <f t="shared" si="247"/>
        <v>ok</v>
      </c>
      <c r="AO118" s="618" t="str">
        <f t="shared" si="247"/>
        <v>ok</v>
      </c>
      <c r="AP118" s="618" t="str">
        <f t="shared" si="247"/>
        <v>ok</v>
      </c>
      <c r="AQ118" s="618" t="str">
        <f t="shared" si="247"/>
        <v>ok</v>
      </c>
      <c r="AR118" s="618" t="str">
        <f t="shared" si="247"/>
        <v>ok</v>
      </c>
      <c r="AS118" s="618" t="str">
        <f t="shared" si="247"/>
        <v>ok</v>
      </c>
      <c r="AV118" s="699" t="str">
        <f t="shared" si="147"/>
        <v/>
      </c>
      <c r="AW118" s="701"/>
      <c r="AX118" s="701"/>
      <c r="AY118" s="701"/>
      <c r="AZ118" s="701"/>
      <c r="BA118" s="701"/>
      <c r="BB118" s="701"/>
      <c r="BC118" s="701"/>
      <c r="BD118" s="701"/>
      <c r="BE118" s="701"/>
      <c r="BF118" s="701"/>
      <c r="BG118" s="701"/>
      <c r="BH118" s="701"/>
      <c r="BI118" s="701"/>
      <c r="BJ118" s="701"/>
      <c r="BK118" s="701"/>
      <c r="BL118" s="701"/>
    </row>
    <row r="119" spans="1:64" s="35" customFormat="1" x14ac:dyDescent="0.3">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0" t="str">
        <f>IF(COUNTIF($AF$2:$AM$2,AC118)=1,"ok","MISSING")</f>
        <v>ok</v>
      </c>
      <c r="AD119" s="59">
        <f>AD122</f>
        <v>0</v>
      </c>
      <c r="AE119" s="617">
        <f>AE122</f>
        <v>0</v>
      </c>
      <c r="AF119" s="617">
        <f t="shared" ref="AF119:AS119" si="249">AF122</f>
        <v>0</v>
      </c>
      <c r="AG119" s="617">
        <f t="shared" si="249"/>
        <v>0</v>
      </c>
      <c r="AH119" s="617">
        <f t="shared" si="249"/>
        <v>0</v>
      </c>
      <c r="AI119" s="617">
        <f t="shared" si="249"/>
        <v>0</v>
      </c>
      <c r="AJ119" s="617">
        <f t="shared" si="249"/>
        <v>0</v>
      </c>
      <c r="AK119" s="617">
        <f t="shared" si="249"/>
        <v>0</v>
      </c>
      <c r="AL119" s="617">
        <f t="shared" si="249"/>
        <v>0</v>
      </c>
      <c r="AM119" s="617">
        <f t="shared" si="249"/>
        <v>0</v>
      </c>
      <c r="AN119" s="617">
        <f t="shared" si="249"/>
        <v>0</v>
      </c>
      <c r="AO119" s="617">
        <f t="shared" si="249"/>
        <v>0</v>
      </c>
      <c r="AP119" s="617">
        <f t="shared" si="249"/>
        <v>0</v>
      </c>
      <c r="AQ119" s="617">
        <f t="shared" si="249"/>
        <v>0</v>
      </c>
      <c r="AR119" s="617">
        <f t="shared" si="249"/>
        <v>0</v>
      </c>
      <c r="AS119" s="617">
        <f t="shared" si="249"/>
        <v>0</v>
      </c>
      <c r="AT119" s="55"/>
      <c r="AU119" s="55"/>
      <c r="AV119" s="699" t="str">
        <f t="shared" si="147"/>
        <v>TRAELC</v>
      </c>
      <c r="AW119" s="701">
        <f>SUM(AX119:BL119)</f>
        <v>0</v>
      </c>
      <c r="AX119" s="701"/>
      <c r="AY119" s="701"/>
      <c r="AZ119" s="701"/>
      <c r="BA119" s="701"/>
      <c r="BB119" s="701"/>
      <c r="BC119" s="701"/>
      <c r="BD119" s="701"/>
      <c r="BE119" s="701"/>
      <c r="BF119" s="701"/>
      <c r="BG119" s="701"/>
      <c r="BH119" s="701"/>
      <c r="BI119" s="701"/>
      <c r="BJ119" s="701"/>
      <c r="BK119" s="701"/>
      <c r="BL119" s="701"/>
    </row>
    <row r="120" spans="1:64" s="35" customFormat="1" x14ac:dyDescent="0.3">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699" t="str">
        <f t="shared" si="147"/>
        <v/>
      </c>
    </row>
    <row r="121" spans="1:64" s="35" customFormat="1" x14ac:dyDescent="0.3">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699" t="str">
        <f t="shared" si="147"/>
        <v/>
      </c>
    </row>
    <row r="122" spans="1:64" s="83" customFormat="1" x14ac:dyDescent="0.3">
      <c r="B122" s="178" t="str">
        <f t="shared" si="248"/>
        <v>TLEPELC900</v>
      </c>
      <c r="C122" s="178"/>
      <c r="D122" s="179"/>
      <c r="E122" s="178"/>
      <c r="F122" s="323"/>
      <c r="G122" s="182"/>
      <c r="H122" s="183">
        <f>$L$3</f>
        <v>2019</v>
      </c>
      <c r="I122" s="184"/>
      <c r="J122" s="184"/>
      <c r="K122" s="185" t="s">
        <v>1064</v>
      </c>
      <c r="L122" s="184" t="s">
        <v>747</v>
      </c>
      <c r="M122" s="688"/>
      <c r="N122" s="688"/>
      <c r="O122" s="688"/>
      <c r="P122" s="688"/>
      <c r="Q122" s="688"/>
      <c r="R122" s="688"/>
      <c r="S122" s="688"/>
      <c r="T122" s="688"/>
      <c r="U122" s="688"/>
      <c r="V122" s="688"/>
      <c r="W122" s="688"/>
      <c r="X122" s="688"/>
      <c r="Y122" s="688"/>
      <c r="Z122" s="688"/>
      <c r="AA122" s="688"/>
      <c r="AB122" s="93"/>
      <c r="AC122" s="512"/>
      <c r="AD122" s="59">
        <f>SUM(AE122:AS122)</f>
        <v>0</v>
      </c>
      <c r="AE122" s="615">
        <f>M120*M121*M122/1000</f>
        <v>0</v>
      </c>
      <c r="AF122" s="615">
        <f t="shared" ref="AF122" si="251">N120*N121*N122/1000</f>
        <v>0</v>
      </c>
      <c r="AG122" s="615">
        <f t="shared" ref="AG122" si="252">O120*O121*O122/1000</f>
        <v>0</v>
      </c>
      <c r="AH122" s="615">
        <f t="shared" ref="AH122" si="253">P120*P121*P122/1000</f>
        <v>0</v>
      </c>
      <c r="AI122" s="615">
        <f t="shared" ref="AI122" si="254">Q120*Q121*Q122/1000</f>
        <v>0</v>
      </c>
      <c r="AJ122" s="615">
        <f t="shared" ref="AJ122" si="255">R120*R121*R122/1000</f>
        <v>0</v>
      </c>
      <c r="AK122" s="615">
        <f t="shared" ref="AK122" si="256">S120*S121*S122/1000</f>
        <v>0</v>
      </c>
      <c r="AL122" s="615">
        <f t="shared" ref="AL122" si="257">T120*T121*T122/1000</f>
        <v>0</v>
      </c>
      <c r="AM122" s="615">
        <f t="shared" ref="AM122" si="258">U120*U121*U122/1000</f>
        <v>0</v>
      </c>
      <c r="AN122" s="615">
        <f t="shared" ref="AN122" si="259">V120*V121*V122/1000</f>
        <v>0</v>
      </c>
      <c r="AO122" s="615">
        <f t="shared" ref="AO122" si="260">W120*W121*W122/1000</f>
        <v>0</v>
      </c>
      <c r="AP122" s="615">
        <f t="shared" ref="AP122" si="261">X120*X121*X122/1000</f>
        <v>0</v>
      </c>
      <c r="AQ122" s="615">
        <f t="shared" ref="AQ122" si="262">Y120*Y121*Y122/1000</f>
        <v>0</v>
      </c>
      <c r="AR122" s="615">
        <f t="shared" ref="AR122" si="263">Z120*Z121*Z122/1000</f>
        <v>0</v>
      </c>
      <c r="AS122" s="615">
        <f t="shared" ref="AS122" si="264">AA120*AA121*AA122/1000</f>
        <v>0</v>
      </c>
      <c r="AV122" s="699" t="str">
        <f t="shared" si="147"/>
        <v/>
      </c>
    </row>
    <row r="123" spans="1:64" s="35" customFormat="1" x14ac:dyDescent="0.3">
      <c r="B123" s="186" t="str">
        <f t="shared" si="248"/>
        <v>TLEPELC900</v>
      </c>
      <c r="C123" s="186"/>
      <c r="D123" s="187"/>
      <c r="E123" s="186"/>
      <c r="F123" s="220"/>
      <c r="G123" s="170"/>
      <c r="H123" s="190">
        <f>AE$3</f>
        <v>2016</v>
      </c>
      <c r="I123" s="191"/>
      <c r="J123" s="191"/>
      <c r="K123" s="192" t="s">
        <v>1064</v>
      </c>
      <c r="L123" s="191" t="s">
        <v>747</v>
      </c>
      <c r="M123" s="686"/>
      <c r="N123" s="686"/>
      <c r="O123" s="686"/>
      <c r="P123" s="686"/>
      <c r="Q123" s="686"/>
      <c r="R123" s="686"/>
      <c r="S123" s="686"/>
      <c r="T123" s="686"/>
      <c r="U123" s="686"/>
      <c r="V123" s="686"/>
      <c r="W123" s="686"/>
      <c r="X123" s="686"/>
      <c r="Y123" s="686"/>
      <c r="Z123" s="686"/>
      <c r="AA123" s="686"/>
      <c r="AV123" s="699" t="str">
        <f t="shared" si="147"/>
        <v/>
      </c>
    </row>
    <row r="124" spans="1:64" s="35" customFormat="1" x14ac:dyDescent="0.3">
      <c r="B124" s="186" t="str">
        <f t="shared" si="248"/>
        <v>TLEPELC900</v>
      </c>
      <c r="C124" s="186"/>
      <c r="D124" s="187"/>
      <c r="E124" s="186"/>
      <c r="F124" s="220"/>
      <c r="G124" s="170"/>
      <c r="H124" s="190">
        <f>AE$4</f>
        <v>2020</v>
      </c>
      <c r="I124" s="191"/>
      <c r="J124" s="191"/>
      <c r="K124" s="192" t="s">
        <v>1064</v>
      </c>
      <c r="L124" s="191" t="s">
        <v>747</v>
      </c>
      <c r="M124" s="686"/>
      <c r="N124" s="686"/>
      <c r="O124" s="686"/>
      <c r="P124" s="686"/>
      <c r="Q124" s="686"/>
      <c r="R124" s="686"/>
      <c r="S124" s="686"/>
      <c r="T124" s="686"/>
      <c r="U124" s="686"/>
      <c r="V124" s="686"/>
      <c r="W124" s="686"/>
      <c r="X124" s="686"/>
      <c r="Y124" s="686"/>
      <c r="Z124" s="686"/>
      <c r="AA124" s="686"/>
      <c r="AD124" s="57"/>
      <c r="AE124" s="57"/>
      <c r="AF124" s="57"/>
      <c r="AG124" s="57"/>
      <c r="AH124" s="57"/>
      <c r="AI124" s="57"/>
      <c r="AJ124" s="57"/>
      <c r="AK124" s="57"/>
      <c r="AL124" s="57"/>
      <c r="AM124" s="57"/>
      <c r="AN124" s="57"/>
      <c r="AO124" s="57"/>
      <c r="AP124" s="57"/>
      <c r="AQ124" s="57"/>
      <c r="AR124" s="57"/>
      <c r="AS124" s="57"/>
      <c r="AT124" s="57"/>
      <c r="AU124" s="57"/>
      <c r="AV124" s="699" t="str">
        <f t="shared" si="147"/>
        <v/>
      </c>
    </row>
    <row r="125" spans="1:64" s="35" customFormat="1" x14ac:dyDescent="0.3">
      <c r="B125" s="186" t="str">
        <f t="shared" si="248"/>
        <v>TLEPELC900</v>
      </c>
      <c r="C125" s="186"/>
      <c r="D125" s="187"/>
      <c r="E125" s="186"/>
      <c r="F125" s="220"/>
      <c r="G125" s="170"/>
      <c r="H125" s="190">
        <f>AE$5</f>
        <v>2025</v>
      </c>
      <c r="I125" s="191"/>
      <c r="J125" s="191"/>
      <c r="K125" s="192" t="s">
        <v>1064</v>
      </c>
      <c r="L125" s="191" t="s">
        <v>747</v>
      </c>
      <c r="M125" s="686"/>
      <c r="N125" s="686"/>
      <c r="O125" s="686"/>
      <c r="P125" s="686"/>
      <c r="Q125" s="686"/>
      <c r="R125" s="686"/>
      <c r="S125" s="686"/>
      <c r="T125" s="686"/>
      <c r="U125" s="686"/>
      <c r="V125" s="686"/>
      <c r="W125" s="686"/>
      <c r="X125" s="686"/>
      <c r="Y125" s="686"/>
      <c r="Z125" s="686"/>
      <c r="AA125" s="686"/>
      <c r="AV125" s="699" t="str">
        <f t="shared" si="147"/>
        <v/>
      </c>
    </row>
    <row r="126" spans="1:64" s="35" customFormat="1" x14ac:dyDescent="0.3">
      <c r="B126" s="186" t="str">
        <f t="shared" si="248"/>
        <v>TLEPELC900</v>
      </c>
      <c r="C126" s="186"/>
      <c r="D126" s="187"/>
      <c r="E126" s="186"/>
      <c r="F126" s="220"/>
      <c r="G126" s="170"/>
      <c r="H126" s="190">
        <f>AE$6</f>
        <v>2030</v>
      </c>
      <c r="I126" s="191"/>
      <c r="J126" s="191"/>
      <c r="K126" s="192" t="s">
        <v>1064</v>
      </c>
      <c r="L126" s="191" t="s">
        <v>747</v>
      </c>
      <c r="M126" s="686"/>
      <c r="N126" s="686"/>
      <c r="O126" s="686"/>
      <c r="P126" s="686"/>
      <c r="Q126" s="686"/>
      <c r="R126" s="686"/>
      <c r="S126" s="686"/>
      <c r="T126" s="686"/>
      <c r="U126" s="686"/>
      <c r="V126" s="686"/>
      <c r="W126" s="686"/>
      <c r="X126" s="686"/>
      <c r="Y126" s="686"/>
      <c r="Z126" s="686"/>
      <c r="AA126" s="686"/>
      <c r="AV126" s="55" t="str">
        <f>MID(E126, 4,4)</f>
        <v/>
      </c>
    </row>
    <row r="127" spans="1:64" s="35" customFormat="1" x14ac:dyDescent="0.3">
      <c r="B127" s="186" t="str">
        <f t="shared" si="248"/>
        <v>TLEPELC900</v>
      </c>
      <c r="C127" s="186"/>
      <c r="D127" s="187"/>
      <c r="E127" s="186"/>
      <c r="F127" s="220"/>
      <c r="G127" s="170"/>
      <c r="H127" s="190">
        <f>AE$7</f>
        <v>2040</v>
      </c>
      <c r="I127" s="191"/>
      <c r="J127" s="191"/>
      <c r="K127" s="192" t="s">
        <v>1064</v>
      </c>
      <c r="L127" s="191" t="s">
        <v>747</v>
      </c>
      <c r="M127" s="686"/>
      <c r="N127" s="686"/>
      <c r="O127" s="686"/>
      <c r="P127" s="686"/>
      <c r="Q127" s="686"/>
      <c r="R127" s="686"/>
      <c r="S127" s="686"/>
      <c r="T127" s="686"/>
      <c r="U127" s="686"/>
      <c r="V127" s="686"/>
      <c r="W127" s="686"/>
      <c r="X127" s="686"/>
      <c r="Y127" s="686"/>
      <c r="Z127" s="686"/>
      <c r="AA127" s="686"/>
      <c r="AD127" s="49"/>
      <c r="AV127" s="55" t="str">
        <f>MID(E127, 4,4)</f>
        <v/>
      </c>
    </row>
    <row r="128" spans="1:64" s="35" customFormat="1" x14ac:dyDescent="0.3">
      <c r="B128" s="193" t="str">
        <f t="shared" si="248"/>
        <v>TLEPELC900</v>
      </c>
      <c r="C128" s="193"/>
      <c r="D128" s="194"/>
      <c r="E128" s="193"/>
      <c r="F128" s="221"/>
      <c r="G128" s="196"/>
      <c r="H128" s="197">
        <f>AE$8</f>
        <v>2050</v>
      </c>
      <c r="I128" s="198"/>
      <c r="J128" s="198"/>
      <c r="K128" s="199" t="s">
        <v>1064</v>
      </c>
      <c r="L128" s="198" t="s">
        <v>747</v>
      </c>
      <c r="M128" s="687"/>
      <c r="N128" s="687"/>
      <c r="O128" s="687"/>
      <c r="P128" s="687"/>
      <c r="Q128" s="687"/>
      <c r="R128" s="687"/>
      <c r="S128" s="687"/>
      <c r="T128" s="687"/>
      <c r="U128" s="687"/>
      <c r="V128" s="687"/>
      <c r="W128" s="687"/>
      <c r="X128" s="687"/>
      <c r="Y128" s="687"/>
      <c r="Z128" s="687"/>
      <c r="AA128" s="687"/>
      <c r="AD128" s="593"/>
      <c r="AE128" s="593"/>
      <c r="AF128" s="593"/>
      <c r="AG128" s="593"/>
      <c r="AH128" s="593"/>
      <c r="AI128" s="593"/>
      <c r="AJ128" s="593"/>
      <c r="AK128" s="593"/>
      <c r="AL128" s="593"/>
      <c r="AM128" s="593"/>
      <c r="AN128" s="593"/>
      <c r="AO128" s="593"/>
      <c r="AP128" s="593"/>
      <c r="AQ128" s="593"/>
      <c r="AR128" s="593"/>
      <c r="AS128" s="593"/>
      <c r="AV128" s="55" t="str">
        <f>MID(E128, 4,4)</f>
        <v/>
      </c>
    </row>
    <row r="129" spans="2:64" s="35" customFormat="1" x14ac:dyDescent="0.3">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3">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4.4" x14ac:dyDescent="0.3"/>
  <cols>
    <col min="2" max="2" width="18.33203125" customWidth="1"/>
    <col min="3" max="3" width="10.5546875" bestFit="1" customWidth="1"/>
    <col min="4" max="4" width="32.33203125" customWidth="1"/>
    <col min="6" max="6" width="11.33203125" bestFit="1" customWidth="1"/>
    <col min="9" max="9" width="19.33203125" bestFit="1" customWidth="1"/>
    <col min="10" max="10" width="14.33203125" bestFit="1" customWidth="1"/>
    <col min="11" max="11" width="14.44140625" bestFit="1" customWidth="1"/>
    <col min="12" max="12" width="14.33203125" customWidth="1"/>
    <col min="13" max="28" width="11" bestFit="1" customWidth="1"/>
    <col min="29" max="29" width="16.6640625" customWidth="1"/>
    <col min="30" max="30" width="12" customWidth="1"/>
    <col min="31" max="31" width="11.5546875" customWidth="1"/>
  </cols>
  <sheetData>
    <row r="1" spans="1:46" s="35" customFormat="1" ht="19.5" customHeight="1" x14ac:dyDescent="0.3">
      <c r="A1" s="22"/>
      <c r="B1" s="148" t="s">
        <v>1134</v>
      </c>
      <c r="C1" s="22"/>
      <c r="D1" s="22"/>
      <c r="H1" s="36"/>
      <c r="L1" s="113" t="s">
        <v>1110</v>
      </c>
      <c r="M1" s="119"/>
      <c r="N1" s="119"/>
      <c r="O1" s="119"/>
      <c r="P1" s="119"/>
      <c r="AE1" s="37" t="s">
        <v>1111</v>
      </c>
      <c r="AF1" s="38"/>
      <c r="AG1" s="38"/>
      <c r="AH1" s="33"/>
      <c r="AI1" s="33"/>
      <c r="AJ1" s="33"/>
      <c r="AK1" s="33"/>
    </row>
    <row r="2" spans="1:46" s="35" customFormat="1" ht="18" x14ac:dyDescent="0.35">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3">
      <c r="H3" s="36"/>
      <c r="L3" s="170">
        <f>INFO!$C$5</f>
        <v>2019</v>
      </c>
      <c r="M3" s="561">
        <v>1</v>
      </c>
      <c r="N3" s="561">
        <f>M3</f>
        <v>1</v>
      </c>
      <c r="O3" s="561">
        <f t="shared" ref="O3:AA5" si="0">N3</f>
        <v>1</v>
      </c>
      <c r="P3" s="561">
        <f t="shared" si="0"/>
        <v>1</v>
      </c>
      <c r="Q3" s="561">
        <f t="shared" si="0"/>
        <v>1</v>
      </c>
      <c r="R3" s="561">
        <f t="shared" si="0"/>
        <v>1</v>
      </c>
      <c r="S3" s="561">
        <f t="shared" si="0"/>
        <v>1</v>
      </c>
      <c r="T3" s="561">
        <f t="shared" si="0"/>
        <v>1</v>
      </c>
      <c r="U3" s="561">
        <f t="shared" si="0"/>
        <v>1</v>
      </c>
      <c r="V3" s="561">
        <f t="shared" si="0"/>
        <v>1</v>
      </c>
      <c r="W3" s="561">
        <f t="shared" si="0"/>
        <v>1</v>
      </c>
      <c r="X3" s="561">
        <f t="shared" si="0"/>
        <v>1</v>
      </c>
      <c r="Y3" s="561">
        <f t="shared" si="0"/>
        <v>1</v>
      </c>
      <c r="Z3" s="561">
        <f t="shared" si="0"/>
        <v>1</v>
      </c>
      <c r="AA3" s="561">
        <f t="shared" si="0"/>
        <v>1</v>
      </c>
      <c r="AB3" s="370"/>
      <c r="AE3" s="38">
        <v>2016</v>
      </c>
      <c r="AF3" s="39">
        <v>1</v>
      </c>
      <c r="AG3" s="39">
        <v>1</v>
      </c>
      <c r="AH3" s="439"/>
      <c r="AI3" s="439"/>
      <c r="AJ3" s="439"/>
      <c r="AK3" s="439"/>
    </row>
    <row r="4" spans="1:46" s="35" customFormat="1" x14ac:dyDescent="0.3">
      <c r="H4" s="36"/>
      <c r="L4" s="170">
        <f>L3+1</f>
        <v>2020</v>
      </c>
      <c r="M4" s="561">
        <v>2</v>
      </c>
      <c r="N4" s="561">
        <f>M4</f>
        <v>2</v>
      </c>
      <c r="O4" s="561">
        <f t="shared" si="0"/>
        <v>2</v>
      </c>
      <c r="P4" s="561">
        <f t="shared" si="0"/>
        <v>2</v>
      </c>
      <c r="Q4" s="561">
        <f t="shared" si="0"/>
        <v>2</v>
      </c>
      <c r="R4" s="561">
        <f t="shared" si="0"/>
        <v>2</v>
      </c>
      <c r="S4" s="561">
        <f t="shared" si="0"/>
        <v>2</v>
      </c>
      <c r="T4" s="561">
        <f t="shared" si="0"/>
        <v>2</v>
      </c>
      <c r="U4" s="561">
        <f t="shared" si="0"/>
        <v>2</v>
      </c>
      <c r="V4" s="561">
        <f t="shared" si="0"/>
        <v>2</v>
      </c>
      <c r="W4" s="561">
        <f t="shared" si="0"/>
        <v>2</v>
      </c>
      <c r="X4" s="561">
        <f t="shared" si="0"/>
        <v>2</v>
      </c>
      <c r="Y4" s="561">
        <f t="shared" si="0"/>
        <v>2</v>
      </c>
      <c r="Z4" s="561">
        <f t="shared" si="0"/>
        <v>2</v>
      </c>
      <c r="AA4" s="561">
        <f t="shared" si="0"/>
        <v>2</v>
      </c>
      <c r="AB4" s="370"/>
      <c r="AE4" s="38">
        <v>2020</v>
      </c>
      <c r="AF4" s="39">
        <v>1</v>
      </c>
      <c r="AG4" s="39">
        <v>1</v>
      </c>
      <c r="AH4" s="439"/>
      <c r="AI4" s="439"/>
      <c r="AJ4" s="439"/>
      <c r="AK4" s="439"/>
    </row>
    <row r="5" spans="1:46" s="35" customFormat="1" x14ac:dyDescent="0.3">
      <c r="H5" s="36"/>
      <c r="L5" s="170">
        <v>2050</v>
      </c>
      <c r="M5" s="561">
        <v>10</v>
      </c>
      <c r="N5" s="561">
        <f>M5</f>
        <v>10</v>
      </c>
      <c r="O5" s="561">
        <f t="shared" si="0"/>
        <v>10</v>
      </c>
      <c r="P5" s="561">
        <f t="shared" si="0"/>
        <v>10</v>
      </c>
      <c r="Q5" s="561">
        <f t="shared" si="0"/>
        <v>10</v>
      </c>
      <c r="R5" s="561">
        <f t="shared" si="0"/>
        <v>10</v>
      </c>
      <c r="S5" s="561">
        <f t="shared" si="0"/>
        <v>10</v>
      </c>
      <c r="T5" s="561">
        <f t="shared" si="0"/>
        <v>10</v>
      </c>
      <c r="U5" s="561">
        <f t="shared" si="0"/>
        <v>10</v>
      </c>
      <c r="V5" s="561">
        <f t="shared" si="0"/>
        <v>10</v>
      </c>
      <c r="W5" s="561">
        <f t="shared" si="0"/>
        <v>10</v>
      </c>
      <c r="X5" s="561">
        <f t="shared" si="0"/>
        <v>10</v>
      </c>
      <c r="Y5" s="561">
        <f t="shared" si="0"/>
        <v>10</v>
      </c>
      <c r="Z5" s="561">
        <f t="shared" si="0"/>
        <v>10</v>
      </c>
      <c r="AA5" s="561">
        <f t="shared" si="0"/>
        <v>10</v>
      </c>
      <c r="AB5" s="370"/>
      <c r="AE5" s="38">
        <f>AE4+5</f>
        <v>2025</v>
      </c>
      <c r="AF5" s="39">
        <v>1</v>
      </c>
      <c r="AG5" s="39">
        <v>1</v>
      </c>
      <c r="AH5" s="439"/>
      <c r="AI5" s="439"/>
      <c r="AJ5" s="439"/>
      <c r="AK5" s="439"/>
    </row>
    <row r="6" spans="1:46" s="35" customFormat="1" x14ac:dyDescent="0.3">
      <c r="H6" s="36"/>
      <c r="M6" s="916"/>
      <c r="N6" s="916"/>
      <c r="O6" s="916"/>
      <c r="P6" s="916"/>
      <c r="Q6" s="916"/>
      <c r="R6" s="916"/>
      <c r="S6" s="916"/>
      <c r="T6" s="916"/>
      <c r="U6" s="916"/>
      <c r="V6" s="916"/>
      <c r="W6" s="916"/>
      <c r="X6" s="916"/>
      <c r="Y6" s="916"/>
      <c r="Z6" s="916"/>
      <c r="AA6" s="916"/>
      <c r="AB6" s="370"/>
      <c r="AE6" s="38">
        <f>AE5+5</f>
        <v>2030</v>
      </c>
      <c r="AF6" s="39">
        <v>1</v>
      </c>
      <c r="AG6" s="39">
        <v>1</v>
      </c>
      <c r="AH6" s="439"/>
      <c r="AI6" s="439"/>
      <c r="AJ6" s="439"/>
      <c r="AK6" s="439"/>
    </row>
    <row r="7" spans="1:46" s="33" customFormat="1" x14ac:dyDescent="0.3">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3">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3">
      <c r="A10" s="44"/>
      <c r="B10" s="44"/>
      <c r="C10" s="44"/>
      <c r="D10" s="35"/>
      <c r="E10" s="35"/>
      <c r="F10" s="44"/>
      <c r="G10" s="35"/>
      <c r="H10" s="169" t="s">
        <v>420</v>
      </c>
      <c r="I10" s="173" t="str">
        <f>LOOKUP(H10,TRA_Comm!$C$29:$C$90,TRA_Comm!$D$29:$D$90)</f>
        <v>Non-traveling.</v>
      </c>
      <c r="J10" s="173"/>
      <c r="K10" s="173" t="s">
        <v>1117</v>
      </c>
      <c r="L10" s="173" t="s">
        <v>85</v>
      </c>
      <c r="M10" s="626">
        <f>SUMIF(DEMAND_Pkm_Tkm!$C$6:$C$43, $H10, DEMAND_Pkm_Tkm!G$6:G$43)</f>
        <v>0</v>
      </c>
      <c r="N10" s="626">
        <f>SUMIF(DEMAND_Pkm_Tkm!$C$6:$C$43, $H10, DEMAND_Pkm_Tkm!H$6:H$43)</f>
        <v>0</v>
      </c>
      <c r="O10" s="626">
        <f>SUMIF(DEMAND_Pkm_Tkm!$C$6:$C$43, $H10, DEMAND_Pkm_Tkm!I$6:I$43)</f>
        <v>0</v>
      </c>
      <c r="P10" s="626">
        <f>SUMIF(DEMAND_Pkm_Tkm!$C$6:$C$43, $H10, DEMAND_Pkm_Tkm!J$6:J$43)</f>
        <v>0</v>
      </c>
      <c r="Q10" s="626">
        <f>SUMIF(DEMAND_Pkm_Tkm!$C$6:$C$43, $H10, DEMAND_Pkm_Tkm!K$6:K$43)</f>
        <v>0</v>
      </c>
      <c r="R10" s="626">
        <f>SUMIF(DEMAND_Pkm_Tkm!$C$6:$C$43, $H10, DEMAND_Pkm_Tkm!L$6:L$43)</f>
        <v>0</v>
      </c>
      <c r="S10" s="626">
        <f>SUMIF(DEMAND_Pkm_Tkm!$C$6:$C$43, $H10, DEMAND_Pkm_Tkm!M$6:M$43)</f>
        <v>0</v>
      </c>
      <c r="T10" s="626">
        <f>SUMIF(DEMAND_Pkm_Tkm!$C$6:$C$43, $H10, DEMAND_Pkm_Tkm!N$6:N$43)</f>
        <v>0</v>
      </c>
      <c r="U10" s="626">
        <f>SUMIF(DEMAND_Pkm_Tkm!$C$6:$C$43, $H10, DEMAND_Pkm_Tkm!O$6:O$43)</f>
        <v>0</v>
      </c>
      <c r="V10" s="626">
        <f>SUMIF(DEMAND_Pkm_Tkm!$C$6:$C$43, $H10, DEMAND_Pkm_Tkm!P$6:P$43)</f>
        <v>0</v>
      </c>
      <c r="W10" s="626">
        <f>SUMIF(DEMAND_Pkm_Tkm!$C$6:$C$43, $H10, DEMAND_Pkm_Tkm!Q$6:Q$43)</f>
        <v>0</v>
      </c>
      <c r="X10" s="626">
        <f>SUMIF(DEMAND_Pkm_Tkm!$C$6:$C$43, $H10, DEMAND_Pkm_Tkm!R$6:R$43)</f>
        <v>0</v>
      </c>
      <c r="Y10" s="626">
        <f>SUMIF(DEMAND_Pkm_Tkm!$C$6:$C$43, $H10, DEMAND_Pkm_Tkm!S$6:S$43)</f>
        <v>0</v>
      </c>
      <c r="Z10" s="626">
        <f>SUMIF(DEMAND_Pkm_Tkm!$C$6:$C$43, $H10, DEMAND_Pkm_Tkm!T$6:T$43)</f>
        <v>0</v>
      </c>
      <c r="AA10" s="626">
        <f>SUMIF(DEMAND_Pkm_Tkm!$C$6:$C$43, $H10, DEMAND_Pkm_Tkm!U$6:U$43)</f>
        <v>0</v>
      </c>
      <c r="AC10" s="595">
        <f>SUM(M10:AA10)</f>
        <v>0</v>
      </c>
    </row>
    <row r="11" spans="1:46" s="33" customFormat="1" x14ac:dyDescent="0.3">
      <c r="A11" s="44"/>
      <c r="B11" s="44"/>
      <c r="C11" s="44"/>
      <c r="D11" s="35"/>
      <c r="E11" s="35"/>
      <c r="F11" s="44"/>
      <c r="G11" s="35"/>
      <c r="H11" s="169" t="s">
        <v>483</v>
      </c>
      <c r="I11" s="173" t="str">
        <f>LOOKUP(H11,TRA_Comm!$C$29:$C$90,TRA_Comm!$D$29:$D$90)</f>
        <v>Non-traveling.City.</v>
      </c>
      <c r="J11" s="173"/>
      <c r="K11" s="173" t="s">
        <v>1117</v>
      </c>
      <c r="L11" s="173" t="s">
        <v>85</v>
      </c>
      <c r="M11" s="626">
        <f>SUMIF(DEMAND_Pkm_Tkm!$C$6:$C$43, $H11, DEMAND_Pkm_Tkm!G$6:G$43)</f>
        <v>0</v>
      </c>
      <c r="N11" s="626">
        <f>SUMIF(DEMAND_Pkm_Tkm!$C$6:$C$43, $H11, DEMAND_Pkm_Tkm!H$6:H$43)</f>
        <v>0</v>
      </c>
      <c r="O11" s="626">
        <f>SUMIF(DEMAND_Pkm_Tkm!$C$6:$C$43, $H11, DEMAND_Pkm_Tkm!I$6:I$43)</f>
        <v>0</v>
      </c>
      <c r="P11" s="626">
        <f>SUMIF(DEMAND_Pkm_Tkm!$C$6:$C$43, $H11, DEMAND_Pkm_Tkm!J$6:J$43)</f>
        <v>0</v>
      </c>
      <c r="Q11" s="626">
        <f>SUMIF(DEMAND_Pkm_Tkm!$C$6:$C$43, $H11, DEMAND_Pkm_Tkm!K$6:K$43)</f>
        <v>0</v>
      </c>
      <c r="R11" s="626">
        <f>SUMIF(DEMAND_Pkm_Tkm!$C$6:$C$43, $H11, DEMAND_Pkm_Tkm!L$6:L$43)</f>
        <v>0</v>
      </c>
      <c r="S11" s="626">
        <f>SUMIF(DEMAND_Pkm_Tkm!$C$6:$C$43, $H11, DEMAND_Pkm_Tkm!M$6:M$43)</f>
        <v>0</v>
      </c>
      <c r="T11" s="626">
        <f>SUMIF(DEMAND_Pkm_Tkm!$C$6:$C$43, $H11, DEMAND_Pkm_Tkm!N$6:N$43)</f>
        <v>0</v>
      </c>
      <c r="U11" s="626">
        <f>SUMIF(DEMAND_Pkm_Tkm!$C$6:$C$43, $H11, DEMAND_Pkm_Tkm!O$6:O$43)</f>
        <v>0</v>
      </c>
      <c r="V11" s="626">
        <f>SUMIF(DEMAND_Pkm_Tkm!$C$6:$C$43, $H11, DEMAND_Pkm_Tkm!P$6:P$43)</f>
        <v>0</v>
      </c>
      <c r="W11" s="626">
        <f>SUMIF(DEMAND_Pkm_Tkm!$C$6:$C$43, $H11, DEMAND_Pkm_Tkm!Q$6:Q$43)</f>
        <v>0</v>
      </c>
      <c r="X11" s="626">
        <f>SUMIF(DEMAND_Pkm_Tkm!$C$6:$C$43, $H11, DEMAND_Pkm_Tkm!R$6:R$43)</f>
        <v>0</v>
      </c>
      <c r="Y11" s="626">
        <f>SUMIF(DEMAND_Pkm_Tkm!$C$6:$C$43, $H11, DEMAND_Pkm_Tkm!S$6:S$43)</f>
        <v>0</v>
      </c>
      <c r="Z11" s="626">
        <f>SUMIF(DEMAND_Pkm_Tkm!$C$6:$C$43, $H11, DEMAND_Pkm_Tkm!T$6:T$43)</f>
        <v>0</v>
      </c>
      <c r="AA11" s="626">
        <f>SUMIF(DEMAND_Pkm_Tkm!$C$6:$C$43, $H11, DEMAND_Pkm_Tkm!U$6:U$43)</f>
        <v>0</v>
      </c>
      <c r="AC11" s="595">
        <f>SUM(M11:AA11)</f>
        <v>0</v>
      </c>
    </row>
    <row r="12" spans="1:46"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3">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3">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3">
      <c r="B15" s="32" t="s">
        <v>1135</v>
      </c>
      <c r="C15" s="26"/>
      <c r="D15" s="26"/>
      <c r="E15" s="606"/>
      <c r="F15" s="606"/>
      <c r="H15" s="36"/>
      <c r="AE15" s="49"/>
    </row>
    <row r="16" spans="1:46" s="22" customFormat="1" x14ac:dyDescent="0.3">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3">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3"/>
      <c r="AD17" s="593"/>
      <c r="AE17" s="593"/>
      <c r="AF17" s="593"/>
      <c r="AG17" s="593"/>
      <c r="AH17" s="593"/>
      <c r="AI17" s="593"/>
      <c r="AJ17" s="593"/>
      <c r="AK17" s="593"/>
      <c r="AL17" s="593"/>
      <c r="AM17" s="593"/>
      <c r="AN17" s="593"/>
      <c r="AO17" s="593"/>
      <c r="AP17" s="593"/>
      <c r="AQ17" s="593"/>
      <c r="AR17" s="593"/>
      <c r="AS17" s="593"/>
      <c r="AT17" s="48"/>
    </row>
    <row r="18" spans="1:46" s="22" customFormat="1" x14ac:dyDescent="0.3">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0"/>
      <c r="AD18" s="35"/>
      <c r="AE18" s="35"/>
      <c r="AF18" s="35"/>
      <c r="AG18" s="35"/>
      <c r="AH18" s="35"/>
      <c r="AI18" s="35"/>
      <c r="AJ18" s="35"/>
      <c r="AK18" s="35"/>
      <c r="AL18" s="35"/>
      <c r="AM18" s="35"/>
      <c r="AN18" s="35"/>
      <c r="AO18" s="35"/>
      <c r="AP18" s="35"/>
      <c r="AQ18" s="35"/>
      <c r="AR18" s="35"/>
      <c r="AS18" s="35"/>
      <c r="AT18" s="35"/>
    </row>
    <row r="19" spans="1:46" s="35" customFormat="1" x14ac:dyDescent="0.3">
      <c r="B19" s="186" t="str">
        <f>C19</f>
        <v>TNO100</v>
      </c>
      <c r="C19" s="186" t="s">
        <v>688</v>
      </c>
      <c r="D19" s="608" t="s">
        <v>880</v>
      </c>
      <c r="E19" s="258" t="s">
        <v>682</v>
      </c>
      <c r="F19" s="213"/>
      <c r="G19" s="170"/>
      <c r="H19" s="190"/>
      <c r="I19" s="191"/>
      <c r="J19" s="191"/>
      <c r="K19" s="192" t="s">
        <v>1136</v>
      </c>
      <c r="L19" s="191" t="s">
        <v>447</v>
      </c>
      <c r="M19" s="651">
        <v>1</v>
      </c>
      <c r="N19" s="651">
        <v>1</v>
      </c>
      <c r="O19" s="651">
        <v>1</v>
      </c>
      <c r="P19" s="651">
        <v>1</v>
      </c>
      <c r="Q19" s="651">
        <v>1</v>
      </c>
      <c r="R19" s="651">
        <v>1</v>
      </c>
      <c r="S19" s="651">
        <v>1</v>
      </c>
      <c r="T19" s="651">
        <v>1</v>
      </c>
      <c r="U19" s="651">
        <v>1</v>
      </c>
      <c r="V19" s="651">
        <v>1</v>
      </c>
      <c r="W19" s="651">
        <v>1</v>
      </c>
      <c r="X19" s="651">
        <v>1</v>
      </c>
      <c r="Y19" s="651">
        <v>1</v>
      </c>
      <c r="Z19" s="651">
        <v>1</v>
      </c>
      <c r="AA19" s="651">
        <v>1</v>
      </c>
      <c r="AC19" s="57"/>
    </row>
    <row r="20" spans="1:46" s="35" customFormat="1" x14ac:dyDescent="0.3">
      <c r="B20" s="193" t="str">
        <f>B19</f>
        <v>TNO100</v>
      </c>
      <c r="C20" s="193"/>
      <c r="D20" s="194"/>
      <c r="E20" s="649"/>
      <c r="F20" s="650" t="s">
        <v>420</v>
      </c>
      <c r="G20" s="196"/>
      <c r="H20" s="197"/>
      <c r="I20" s="198"/>
      <c r="J20" s="198"/>
      <c r="K20" s="199" t="s">
        <v>1137</v>
      </c>
      <c r="L20" s="198" t="s">
        <v>447</v>
      </c>
      <c r="M20" s="652">
        <v>1</v>
      </c>
      <c r="N20" s="652">
        <v>1</v>
      </c>
      <c r="O20" s="652">
        <v>1</v>
      </c>
      <c r="P20" s="652">
        <v>1</v>
      </c>
      <c r="Q20" s="652">
        <v>1</v>
      </c>
      <c r="R20" s="652">
        <v>1</v>
      </c>
      <c r="S20" s="652">
        <v>1</v>
      </c>
      <c r="T20" s="652">
        <v>1</v>
      </c>
      <c r="U20" s="652">
        <v>1</v>
      </c>
      <c r="V20" s="652">
        <v>1</v>
      </c>
      <c r="W20" s="652">
        <v>1</v>
      </c>
      <c r="X20" s="652">
        <v>1</v>
      </c>
      <c r="Y20" s="652">
        <v>1</v>
      </c>
      <c r="Z20" s="652">
        <v>1</v>
      </c>
      <c r="AA20" s="652">
        <v>1</v>
      </c>
    </row>
    <row r="21" spans="1:46" s="620" customFormat="1" x14ac:dyDescent="0.3">
      <c r="D21" s="653"/>
      <c r="E21" s="654"/>
      <c r="F21" s="655"/>
      <c r="H21" s="656"/>
      <c r="I21" s="434"/>
      <c r="J21" s="434"/>
      <c r="K21" s="657"/>
      <c r="L21" s="434"/>
      <c r="M21" s="658"/>
      <c r="N21" s="658"/>
      <c r="O21" s="658"/>
      <c r="P21" s="658"/>
      <c r="Q21" s="658"/>
      <c r="R21" s="658"/>
      <c r="S21" s="658"/>
      <c r="T21" s="658"/>
      <c r="U21" s="658"/>
      <c r="V21" s="658"/>
      <c r="W21" s="658"/>
      <c r="X21" s="658"/>
      <c r="Y21" s="658"/>
      <c r="Z21" s="658"/>
      <c r="AA21" s="658"/>
    </row>
    <row r="22" spans="1:46" s="620" customFormat="1" x14ac:dyDescent="0.3">
      <c r="D22" s="653"/>
      <c r="E22" s="654"/>
      <c r="F22" s="655"/>
      <c r="H22" s="656"/>
      <c r="I22" s="434"/>
      <c r="J22" s="434"/>
      <c r="K22" s="657"/>
      <c r="L22" s="434"/>
      <c r="M22" s="658"/>
      <c r="N22" s="658"/>
      <c r="O22" s="658"/>
      <c r="P22" s="658"/>
      <c r="Q22" s="658"/>
      <c r="R22" s="658"/>
      <c r="S22" s="658"/>
      <c r="T22" s="658"/>
      <c r="U22" s="658"/>
      <c r="V22" s="658"/>
      <c r="W22" s="658"/>
      <c r="X22" s="658"/>
      <c r="Y22" s="658"/>
      <c r="Z22" s="658"/>
      <c r="AA22" s="658"/>
    </row>
    <row r="23" spans="1:46" s="620" customFormat="1" x14ac:dyDescent="0.3">
      <c r="D23" s="653"/>
      <c r="E23" s="654"/>
      <c r="F23" s="655"/>
      <c r="H23" s="656"/>
      <c r="I23" s="434"/>
      <c r="J23" s="434"/>
      <c r="K23" s="657"/>
      <c r="L23" s="434"/>
      <c r="M23" s="658"/>
      <c r="N23" s="658"/>
      <c r="O23" s="658"/>
      <c r="P23" s="658"/>
      <c r="Q23" s="658"/>
      <c r="R23" s="658"/>
      <c r="S23" s="658"/>
      <c r="T23" s="658"/>
      <c r="U23" s="658"/>
      <c r="V23" s="658"/>
      <c r="W23" s="658"/>
      <c r="X23" s="658"/>
      <c r="Y23" s="658"/>
      <c r="Z23" s="658"/>
      <c r="AA23" s="658"/>
    </row>
    <row r="24" spans="1:46" s="35" customFormat="1" ht="16.5" customHeight="1" x14ac:dyDescent="0.3">
      <c r="B24" s="32" t="s">
        <v>1138</v>
      </c>
      <c r="C24" s="26"/>
      <c r="D24" s="26"/>
      <c r="E24" s="606"/>
      <c r="F24" s="606"/>
      <c r="H24" s="36"/>
      <c r="AE24" s="49"/>
    </row>
    <row r="25" spans="1:46" s="22" customFormat="1" x14ac:dyDescent="0.3">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3"/>
      <c r="AD26" s="593"/>
      <c r="AE26" s="593"/>
      <c r="AF26" s="593"/>
      <c r="AG26" s="593"/>
      <c r="AH26" s="593"/>
      <c r="AI26" s="593"/>
      <c r="AJ26" s="593"/>
      <c r="AK26" s="593"/>
      <c r="AL26" s="593"/>
      <c r="AM26" s="593"/>
      <c r="AN26" s="593"/>
      <c r="AO26" s="593"/>
      <c r="AP26" s="593"/>
      <c r="AQ26" s="593"/>
      <c r="AR26" s="593"/>
      <c r="AS26" s="593"/>
      <c r="AT26" s="48"/>
    </row>
    <row r="27" spans="1:46"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0"/>
      <c r="AD27" s="35"/>
      <c r="AE27" s="35"/>
      <c r="AF27" s="35"/>
      <c r="AG27" s="35"/>
      <c r="AH27" s="35"/>
      <c r="AI27" s="35"/>
      <c r="AJ27" s="35"/>
      <c r="AK27" s="35"/>
      <c r="AL27" s="35"/>
      <c r="AM27" s="35"/>
      <c r="AN27" s="35"/>
      <c r="AO27" s="35"/>
      <c r="AP27" s="35"/>
      <c r="AQ27" s="35"/>
      <c r="AR27" s="35"/>
      <c r="AS27" s="35"/>
      <c r="AT27" s="35"/>
    </row>
    <row r="28" spans="1:46" s="35" customFormat="1" x14ac:dyDescent="0.3">
      <c r="B28" s="186" t="str">
        <f>C28</f>
        <v>TNO900</v>
      </c>
      <c r="C28" s="186" t="s">
        <v>689</v>
      </c>
      <c r="D28" s="608" t="s">
        <v>1139</v>
      </c>
      <c r="E28" s="258" t="s">
        <v>682</v>
      </c>
      <c r="F28" s="213"/>
      <c r="G28" s="170"/>
      <c r="H28" s="190"/>
      <c r="I28" s="191"/>
      <c r="J28" s="191"/>
      <c r="K28" s="192" t="s">
        <v>1136</v>
      </c>
      <c r="L28" s="191" t="s">
        <v>447</v>
      </c>
      <c r="M28" s="651">
        <v>1</v>
      </c>
      <c r="N28" s="651">
        <v>1</v>
      </c>
      <c r="O28" s="651">
        <v>1</v>
      </c>
      <c r="P28" s="651">
        <v>1</v>
      </c>
      <c r="Q28" s="651">
        <v>1</v>
      </c>
      <c r="R28" s="651">
        <v>1</v>
      </c>
      <c r="S28" s="651">
        <v>1</v>
      </c>
      <c r="T28" s="651">
        <v>1</v>
      </c>
      <c r="U28" s="651">
        <v>1</v>
      </c>
      <c r="V28" s="651">
        <v>1</v>
      </c>
      <c r="W28" s="651">
        <v>1</v>
      </c>
      <c r="X28" s="651">
        <v>1</v>
      </c>
      <c r="Y28" s="651">
        <v>1</v>
      </c>
      <c r="Z28" s="651">
        <v>1</v>
      </c>
      <c r="AA28" s="651">
        <v>1</v>
      </c>
      <c r="AC28" s="57"/>
    </row>
    <row r="29" spans="1:46" s="35" customFormat="1" x14ac:dyDescent="0.3">
      <c r="B29" s="193" t="str">
        <f>B28</f>
        <v>TNO900</v>
      </c>
      <c r="C29" s="193"/>
      <c r="D29" s="194"/>
      <c r="E29" s="649"/>
      <c r="F29" s="650" t="s">
        <v>483</v>
      </c>
      <c r="G29" s="196"/>
      <c r="H29" s="197"/>
      <c r="I29" s="198"/>
      <c r="J29" s="198"/>
      <c r="K29" s="199" t="s">
        <v>1137</v>
      </c>
      <c r="L29" s="198" t="s">
        <v>447</v>
      </c>
      <c r="M29" s="652">
        <v>1</v>
      </c>
      <c r="N29" s="652">
        <v>1</v>
      </c>
      <c r="O29" s="652">
        <v>1</v>
      </c>
      <c r="P29" s="652">
        <v>1</v>
      </c>
      <c r="Q29" s="652">
        <v>1</v>
      </c>
      <c r="R29" s="652">
        <v>1</v>
      </c>
      <c r="S29" s="652">
        <v>1</v>
      </c>
      <c r="T29" s="652">
        <v>1</v>
      </c>
      <c r="U29" s="652">
        <v>1</v>
      </c>
      <c r="V29" s="652">
        <v>1</v>
      </c>
      <c r="W29" s="652">
        <v>1</v>
      </c>
      <c r="X29" s="652">
        <v>1</v>
      </c>
      <c r="Y29" s="652">
        <v>1</v>
      </c>
      <c r="Z29" s="652">
        <v>1</v>
      </c>
      <c r="AA29" s="652">
        <v>1</v>
      </c>
    </row>
    <row r="30" spans="1:46" s="620" customFormat="1" x14ac:dyDescent="0.3">
      <c r="D30" s="653"/>
      <c r="E30" s="654"/>
      <c r="F30" s="655"/>
      <c r="H30" s="656"/>
      <c r="I30" s="434"/>
      <c r="J30" s="434"/>
      <c r="K30" s="657"/>
      <c r="L30" s="434"/>
      <c r="M30" s="658"/>
      <c r="N30" s="658"/>
      <c r="O30" s="658"/>
      <c r="P30" s="658"/>
      <c r="Q30" s="658"/>
      <c r="R30" s="658"/>
      <c r="S30" s="658"/>
      <c r="T30" s="658"/>
      <c r="U30" s="658"/>
      <c r="V30" s="658"/>
      <c r="W30" s="658"/>
      <c r="X30" s="658"/>
      <c r="Y30" s="658"/>
      <c r="Z30" s="658"/>
      <c r="AA30" s="658"/>
    </row>
    <row r="31" spans="1:46" s="620" customFormat="1" x14ac:dyDescent="0.3">
      <c r="D31" s="653"/>
      <c r="E31" s="654"/>
      <c r="F31" s="655"/>
      <c r="H31" s="656"/>
      <c r="I31" s="434"/>
      <c r="J31" s="434"/>
      <c r="K31" s="657"/>
      <c r="L31" s="434"/>
      <c r="M31" s="658"/>
      <c r="N31" s="658"/>
      <c r="O31" s="658"/>
      <c r="P31" s="658"/>
      <c r="Q31" s="658"/>
      <c r="R31" s="658"/>
      <c r="S31" s="658"/>
      <c r="T31" s="658"/>
      <c r="U31" s="658"/>
      <c r="V31" s="658"/>
      <c r="W31" s="658"/>
      <c r="X31" s="658"/>
      <c r="Y31" s="658"/>
      <c r="Z31" s="658"/>
      <c r="AA31" s="658"/>
    </row>
    <row r="32" spans="1:46" s="620" customFormat="1" x14ac:dyDescent="0.3">
      <c r="D32" s="653"/>
      <c r="E32" s="654"/>
      <c r="F32" s="655"/>
      <c r="H32" s="656"/>
      <c r="I32" s="434"/>
      <c r="J32" s="434"/>
      <c r="K32" s="657"/>
      <c r="L32" s="434"/>
      <c r="M32" s="658"/>
      <c r="N32" s="658"/>
      <c r="O32" s="658"/>
      <c r="P32" s="658"/>
      <c r="Q32" s="658"/>
      <c r="R32" s="658"/>
      <c r="S32" s="658"/>
      <c r="T32" s="658"/>
      <c r="U32" s="658"/>
      <c r="V32" s="658"/>
      <c r="W32" s="658"/>
      <c r="X32" s="658"/>
      <c r="Y32" s="658"/>
      <c r="Z32" s="658"/>
      <c r="AA32" s="658"/>
    </row>
    <row r="33" spans="4:27" s="620" customFormat="1" x14ac:dyDescent="0.3">
      <c r="D33" s="653"/>
      <c r="E33" s="654"/>
      <c r="F33" s="655"/>
      <c r="H33" s="656"/>
      <c r="I33" s="434"/>
      <c r="J33" s="434"/>
      <c r="K33" s="657"/>
      <c r="L33" s="434"/>
      <c r="M33" s="658"/>
      <c r="N33" s="658"/>
      <c r="O33" s="658"/>
      <c r="P33" s="658"/>
      <c r="Q33" s="658"/>
      <c r="R33" s="658"/>
      <c r="S33" s="658"/>
      <c r="T33" s="658"/>
      <c r="U33" s="658"/>
      <c r="V33" s="658"/>
      <c r="W33" s="658"/>
      <c r="X33" s="658"/>
      <c r="Y33" s="658"/>
      <c r="Z33" s="658"/>
      <c r="AA33" s="658"/>
    </row>
    <row r="34" spans="4:27" s="620" customFormat="1" x14ac:dyDescent="0.3">
      <c r="D34" s="653"/>
      <c r="E34" s="654"/>
      <c r="F34" s="655"/>
      <c r="H34" s="656"/>
      <c r="I34" s="434"/>
      <c r="J34" s="434"/>
      <c r="K34" s="657"/>
      <c r="L34" s="434"/>
      <c r="M34" s="658"/>
      <c r="N34" s="658"/>
      <c r="O34" s="658"/>
      <c r="P34" s="658"/>
      <c r="Q34" s="658"/>
      <c r="R34" s="658"/>
      <c r="S34" s="658"/>
      <c r="T34" s="658"/>
      <c r="U34" s="658"/>
      <c r="V34" s="658"/>
      <c r="W34" s="658"/>
      <c r="X34" s="658"/>
      <c r="Y34" s="658"/>
      <c r="Z34" s="658"/>
      <c r="AA34" s="658"/>
    </row>
    <row r="35" spans="4:27" s="620" customFormat="1" x14ac:dyDescent="0.3">
      <c r="D35" s="653"/>
      <c r="E35" s="654"/>
      <c r="F35" s="655"/>
      <c r="H35" s="656"/>
      <c r="I35" s="434"/>
      <c r="J35" s="434"/>
      <c r="K35" s="657"/>
      <c r="L35" s="434"/>
      <c r="M35" s="658"/>
      <c r="N35" s="658"/>
      <c r="O35" s="658"/>
      <c r="P35" s="658"/>
      <c r="Q35" s="658"/>
      <c r="R35" s="658"/>
      <c r="S35" s="658"/>
      <c r="T35" s="658"/>
      <c r="U35" s="658"/>
      <c r="V35" s="658"/>
      <c r="W35" s="658"/>
      <c r="X35" s="658"/>
      <c r="Y35" s="658"/>
      <c r="Z35" s="658"/>
      <c r="AA35" s="658"/>
    </row>
    <row r="36" spans="4:27" s="620" customFormat="1" x14ac:dyDescent="0.3">
      <c r="D36" s="653"/>
      <c r="E36" s="654"/>
      <c r="F36" s="655"/>
      <c r="H36" s="656"/>
      <c r="I36" s="434"/>
      <c r="J36" s="434"/>
      <c r="K36" s="657"/>
      <c r="L36" s="434"/>
      <c r="M36" s="658"/>
      <c r="N36" s="658"/>
      <c r="O36" s="658"/>
      <c r="P36" s="658"/>
      <c r="Q36" s="658"/>
      <c r="R36" s="658"/>
      <c r="S36" s="658"/>
      <c r="T36" s="658"/>
      <c r="U36" s="658"/>
      <c r="V36" s="658"/>
      <c r="W36" s="658"/>
      <c r="X36" s="658"/>
      <c r="Y36" s="658"/>
      <c r="Z36" s="658"/>
      <c r="AA36" s="658"/>
    </row>
    <row r="37" spans="4:27" s="620" customFormat="1" x14ac:dyDescent="0.3">
      <c r="D37" s="653"/>
      <c r="E37" s="654"/>
      <c r="F37" s="655"/>
      <c r="H37" s="656"/>
      <c r="I37" s="434"/>
      <c r="J37" s="434"/>
      <c r="K37" s="657"/>
      <c r="L37" s="434"/>
      <c r="M37" s="658"/>
      <c r="N37" s="658"/>
      <c r="O37" s="658"/>
      <c r="P37" s="658"/>
      <c r="Q37" s="658"/>
      <c r="R37" s="658"/>
      <c r="S37" s="658"/>
      <c r="T37" s="658"/>
      <c r="U37" s="658"/>
      <c r="V37" s="658"/>
      <c r="W37" s="658"/>
      <c r="X37" s="658"/>
      <c r="Y37" s="658"/>
      <c r="Z37" s="658"/>
      <c r="AA37" s="658"/>
    </row>
    <row r="38" spans="4:27" s="620" customFormat="1" x14ac:dyDescent="0.3">
      <c r="D38" s="653"/>
      <c r="E38" s="654"/>
      <c r="F38" s="655"/>
      <c r="H38" s="656"/>
      <c r="I38" s="434"/>
      <c r="J38" s="434"/>
      <c r="K38" s="657"/>
      <c r="L38" s="434"/>
      <c r="M38" s="658"/>
      <c r="N38" s="658"/>
      <c r="O38" s="658"/>
      <c r="P38" s="658"/>
      <c r="Q38" s="658"/>
      <c r="R38" s="658"/>
      <c r="S38" s="658"/>
      <c r="T38" s="658"/>
      <c r="U38" s="658"/>
      <c r="V38" s="658"/>
      <c r="W38" s="658"/>
      <c r="X38" s="658"/>
      <c r="Y38" s="658"/>
      <c r="Z38" s="658"/>
      <c r="AA38" s="658"/>
    </row>
    <row r="39" spans="4:27" s="620" customFormat="1" x14ac:dyDescent="0.3">
      <c r="D39" s="653"/>
      <c r="E39" s="654"/>
      <c r="F39" s="655"/>
      <c r="H39" s="656"/>
      <c r="I39" s="434"/>
      <c r="J39" s="434"/>
      <c r="K39" s="657"/>
      <c r="L39" s="434"/>
      <c r="M39" s="658"/>
      <c r="N39" s="658"/>
      <c r="O39" s="658"/>
      <c r="P39" s="658"/>
      <c r="Q39" s="658"/>
      <c r="R39" s="658"/>
      <c r="S39" s="658"/>
      <c r="T39" s="658"/>
      <c r="U39" s="658"/>
      <c r="V39" s="658"/>
      <c r="W39" s="658"/>
      <c r="X39" s="658"/>
      <c r="Y39" s="658"/>
      <c r="Z39" s="658"/>
      <c r="AA39" s="658"/>
    </row>
    <row r="40" spans="4:27" s="620" customFormat="1" x14ac:dyDescent="0.3">
      <c r="D40" s="653"/>
      <c r="E40" s="654"/>
      <c r="F40" s="655"/>
      <c r="H40" s="656"/>
      <c r="I40" s="434"/>
      <c r="J40" s="434"/>
      <c r="K40" s="657"/>
      <c r="L40" s="434"/>
      <c r="M40" s="658"/>
      <c r="N40" s="658"/>
      <c r="O40" s="658"/>
      <c r="P40" s="658"/>
      <c r="Q40" s="658"/>
      <c r="R40" s="658"/>
      <c r="S40" s="658"/>
      <c r="T40" s="658"/>
      <c r="U40" s="658"/>
      <c r="V40" s="658"/>
      <c r="W40" s="658"/>
      <c r="X40" s="658"/>
      <c r="Y40" s="658"/>
      <c r="Z40" s="658"/>
      <c r="AA40" s="658"/>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zoomScale="75" zoomScaleNormal="75" workbookViewId="0">
      <selection activeCell="AB27" sqref="N26:AB27"/>
    </sheetView>
  </sheetViews>
  <sheetFormatPr defaultColWidth="9.33203125" defaultRowHeight="14.4" x14ac:dyDescent="0.3"/>
  <cols>
    <col min="1" max="1" width="9.33203125" style="35"/>
    <col min="2" max="2" width="21" style="35" customWidth="1"/>
    <col min="3" max="3" width="15.33203125" style="35" customWidth="1"/>
    <col min="4" max="4" width="36.33203125" style="35" customWidth="1"/>
    <col min="5" max="5" width="11.33203125" style="35" bestFit="1" customWidth="1"/>
    <col min="6" max="6" width="13.33203125" style="35" bestFit="1" customWidth="1"/>
    <col min="7" max="8" width="15.5546875" style="35" bestFit="1" customWidth="1"/>
    <col min="9" max="9" width="17.33203125" style="35" customWidth="1"/>
    <col min="10" max="10" width="20.6640625" style="35" customWidth="1"/>
    <col min="11" max="11" width="15.5546875" style="35" customWidth="1"/>
    <col min="12" max="12" width="14.44140625" style="35" bestFit="1" customWidth="1"/>
    <col min="13" max="13" width="19.33203125" style="35" bestFit="1" customWidth="1"/>
    <col min="14" max="28" width="11.44140625" style="35" bestFit="1" customWidth="1"/>
    <col min="29" max="29" width="12.6640625" style="35" customWidth="1"/>
    <col min="30" max="30" width="14.5546875" style="35" bestFit="1" customWidth="1"/>
    <col min="31" max="31" width="8.33203125" style="35" bestFit="1" customWidth="1"/>
    <col min="32" max="32" width="10.33203125" style="35" customWidth="1"/>
    <col min="33" max="16384" width="9.33203125" style="35"/>
  </cols>
  <sheetData>
    <row r="1" spans="1:64" x14ac:dyDescent="0.3">
      <c r="M1" s="120" t="s">
        <v>1110</v>
      </c>
    </row>
    <row r="2" spans="1:64" ht="18.600000000000001" customHeight="1" x14ac:dyDescent="0.3">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0" t="s">
        <v>85</v>
      </c>
      <c r="AW4" s="700" t="s">
        <v>421</v>
      </c>
      <c r="AX4" s="700" t="str">
        <f t="shared" ref="AX4:BL4" si="2">M$2</f>
        <v>Zones</v>
      </c>
      <c r="AY4" s="700" t="str">
        <f t="shared" si="2"/>
        <v>Z01</v>
      </c>
      <c r="AZ4" s="700" t="str">
        <f t="shared" si="2"/>
        <v>Z02</v>
      </c>
      <c r="BA4" s="700" t="str">
        <f t="shared" si="2"/>
        <v>Z03</v>
      </c>
      <c r="BB4" s="700" t="str">
        <f t="shared" si="2"/>
        <v>Z04</v>
      </c>
      <c r="BC4" s="700" t="str">
        <f t="shared" si="2"/>
        <v>Z05</v>
      </c>
      <c r="BD4" s="700" t="str">
        <f t="shared" si="2"/>
        <v>Z06</v>
      </c>
      <c r="BE4" s="700" t="str">
        <f t="shared" si="2"/>
        <v>Z07</v>
      </c>
      <c r="BF4" s="700" t="str">
        <f t="shared" si="2"/>
        <v>Z08</v>
      </c>
      <c r="BG4" s="700" t="str">
        <f t="shared" si="2"/>
        <v>Z09</v>
      </c>
      <c r="BH4" s="700" t="str">
        <f t="shared" si="2"/>
        <v>Z10</v>
      </c>
      <c r="BI4" s="700" t="str">
        <f t="shared" si="2"/>
        <v>Z11</v>
      </c>
      <c r="BJ4" s="700" t="str">
        <f t="shared" si="2"/>
        <v>Z12</v>
      </c>
      <c r="BK4" s="700" t="str">
        <f t="shared" si="2"/>
        <v>Z13</v>
      </c>
      <c r="BL4" s="700" t="str">
        <f t="shared" si="2"/>
        <v>Z14</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09">
        <f>SUM(AX5:BL5)</f>
        <v>0</v>
      </c>
      <c r="AX5" s="708">
        <f t="shared" ref="AX5:BL5" si="3">SUM(AX6:AX24)</f>
        <v>0</v>
      </c>
      <c r="AY5" s="708">
        <f t="shared" si="3"/>
        <v>0</v>
      </c>
      <c r="AZ5" s="708">
        <f t="shared" si="3"/>
        <v>0</v>
      </c>
      <c r="BA5" s="708">
        <f t="shared" si="3"/>
        <v>0</v>
      </c>
      <c r="BB5" s="708">
        <f t="shared" si="3"/>
        <v>0</v>
      </c>
      <c r="BC5" s="708">
        <f t="shared" si="3"/>
        <v>0</v>
      </c>
      <c r="BD5" s="708">
        <f t="shared" si="3"/>
        <v>0</v>
      </c>
      <c r="BE5" s="708">
        <f t="shared" si="3"/>
        <v>0</v>
      </c>
      <c r="BF5" s="708">
        <f t="shared" si="3"/>
        <v>0</v>
      </c>
      <c r="BG5" s="708">
        <f t="shared" si="3"/>
        <v>0</v>
      </c>
      <c r="BH5" s="708">
        <f t="shared" si="3"/>
        <v>0</v>
      </c>
      <c r="BI5" s="708">
        <f t="shared" si="3"/>
        <v>0</v>
      </c>
      <c r="BJ5" s="708">
        <f t="shared" si="3"/>
        <v>0</v>
      </c>
      <c r="BK5" s="708">
        <f t="shared" si="3"/>
        <v>0</v>
      </c>
      <c r="BL5" s="708">
        <f t="shared" si="3"/>
        <v>0</v>
      </c>
    </row>
    <row r="6" spans="1:64" x14ac:dyDescent="0.3">
      <c r="I6" s="36"/>
      <c r="AV6" s="724" t="s">
        <v>987</v>
      </c>
      <c r="AW6" s="725">
        <f>SUM(AX6:BL6)</f>
        <v>0</v>
      </c>
      <c r="AX6" s="722">
        <f>AX32+AX99+AX139</f>
        <v>0</v>
      </c>
      <c r="AY6" s="722">
        <f t="shared" ref="AY6:BL6" si="4">AY32+AY99+AY139</f>
        <v>0</v>
      </c>
      <c r="AZ6" s="722">
        <f t="shared" si="4"/>
        <v>0</v>
      </c>
      <c r="BA6" s="722">
        <f t="shared" si="4"/>
        <v>0</v>
      </c>
      <c r="BB6" s="722">
        <f t="shared" si="4"/>
        <v>0</v>
      </c>
      <c r="BC6" s="722">
        <f t="shared" si="4"/>
        <v>0</v>
      </c>
      <c r="BD6" s="722">
        <f t="shared" si="4"/>
        <v>0</v>
      </c>
      <c r="BE6" s="722">
        <f t="shared" si="4"/>
        <v>0</v>
      </c>
      <c r="BF6" s="722">
        <f t="shared" si="4"/>
        <v>0</v>
      </c>
      <c r="BG6" s="722">
        <f t="shared" si="4"/>
        <v>0</v>
      </c>
      <c r="BH6" s="722">
        <f t="shared" si="4"/>
        <v>0</v>
      </c>
      <c r="BI6" s="722">
        <f t="shared" si="4"/>
        <v>0</v>
      </c>
      <c r="BJ6" s="722">
        <f t="shared" si="4"/>
        <v>0</v>
      </c>
      <c r="BK6" s="722">
        <f t="shared" si="4"/>
        <v>0</v>
      </c>
      <c r="BL6" s="722">
        <f t="shared" si="4"/>
        <v>0</v>
      </c>
    </row>
    <row r="7" spans="1:64" s="33" customFormat="1" x14ac:dyDescent="0.3">
      <c r="B7" s="34"/>
      <c r="H7" s="19"/>
      <c r="I7" s="19"/>
      <c r="L7" s="40" t="s">
        <v>1050</v>
      </c>
      <c r="M7" s="40"/>
      <c r="R7" s="41"/>
      <c r="V7" s="41"/>
      <c r="AV7" s="724" t="s">
        <v>989</v>
      </c>
      <c r="AW7" s="725">
        <f t="shared" ref="AW7:AW8" si="5">SUM(AX7:BL7)</f>
        <v>0</v>
      </c>
      <c r="AX7" s="722">
        <f>AX34+AX101+AX141</f>
        <v>0</v>
      </c>
      <c r="AY7" s="722">
        <f t="shared" ref="AY7:BL7" si="6">AY34+AY101+AY141</f>
        <v>0</v>
      </c>
      <c r="AZ7" s="722">
        <f t="shared" si="6"/>
        <v>0</v>
      </c>
      <c r="BA7" s="722">
        <f t="shared" si="6"/>
        <v>0</v>
      </c>
      <c r="BB7" s="722">
        <f t="shared" si="6"/>
        <v>0</v>
      </c>
      <c r="BC7" s="722">
        <f t="shared" si="6"/>
        <v>0</v>
      </c>
      <c r="BD7" s="722">
        <f t="shared" si="6"/>
        <v>0</v>
      </c>
      <c r="BE7" s="722">
        <f t="shared" si="6"/>
        <v>0</v>
      </c>
      <c r="BF7" s="722">
        <f t="shared" si="6"/>
        <v>0</v>
      </c>
      <c r="BG7" s="722">
        <f t="shared" si="6"/>
        <v>0</v>
      </c>
      <c r="BH7" s="722">
        <f t="shared" si="6"/>
        <v>0</v>
      </c>
      <c r="BI7" s="722">
        <f t="shared" si="6"/>
        <v>0</v>
      </c>
      <c r="BJ7" s="722">
        <f t="shared" si="6"/>
        <v>0</v>
      </c>
      <c r="BK7" s="722">
        <f t="shared" si="6"/>
        <v>0</v>
      </c>
      <c r="BL7" s="722">
        <f t="shared" si="6"/>
        <v>0</v>
      </c>
    </row>
    <row r="8" spans="1:64" s="33" customFormat="1" x14ac:dyDescent="0.3">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3" t="s">
        <v>995</v>
      </c>
      <c r="AW8" s="725">
        <f t="shared" si="5"/>
        <v>0</v>
      </c>
      <c r="AX8" s="914">
        <f>AX87+AX115+AX155</f>
        <v>0</v>
      </c>
      <c r="AY8" s="914">
        <f t="shared" ref="AY8:BL8" si="8">AY87+AY115+AY155</f>
        <v>0</v>
      </c>
      <c r="AZ8" s="914">
        <f t="shared" si="8"/>
        <v>0</v>
      </c>
      <c r="BA8" s="914">
        <f t="shared" si="8"/>
        <v>0</v>
      </c>
      <c r="BB8" s="914">
        <f t="shared" si="8"/>
        <v>0</v>
      </c>
      <c r="BC8" s="914">
        <f t="shared" si="8"/>
        <v>0</v>
      </c>
      <c r="BD8" s="914">
        <f t="shared" si="8"/>
        <v>0</v>
      </c>
      <c r="BE8" s="914">
        <f t="shared" si="8"/>
        <v>0</v>
      </c>
      <c r="BF8" s="914">
        <f t="shared" si="8"/>
        <v>0</v>
      </c>
      <c r="BG8" s="914">
        <f t="shared" si="8"/>
        <v>0</v>
      </c>
      <c r="BH8" s="914">
        <f t="shared" si="8"/>
        <v>0</v>
      </c>
      <c r="BI8" s="914">
        <f t="shared" si="8"/>
        <v>0</v>
      </c>
      <c r="BJ8" s="914">
        <f t="shared" si="8"/>
        <v>0</v>
      </c>
      <c r="BK8" s="914">
        <f t="shared" si="8"/>
        <v>0</v>
      </c>
      <c r="BL8" s="914">
        <f t="shared" si="8"/>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4" t="s">
        <v>993</v>
      </c>
      <c r="AW9" s="725">
        <f t="shared" ref="AW9:AW18" si="9">SUM(AX9:BL9)</f>
        <v>0</v>
      </c>
      <c r="AX9" s="722">
        <f t="shared" ref="AX9:BL9" si="10">AX71</f>
        <v>0</v>
      </c>
      <c r="AY9" s="722">
        <f t="shared" si="10"/>
        <v>0</v>
      </c>
      <c r="AZ9" s="722">
        <f t="shared" si="10"/>
        <v>0</v>
      </c>
      <c r="BA9" s="722">
        <f t="shared" si="10"/>
        <v>0</v>
      </c>
      <c r="BB9" s="722">
        <f t="shared" si="10"/>
        <v>0</v>
      </c>
      <c r="BC9" s="722">
        <f t="shared" si="10"/>
        <v>0</v>
      </c>
      <c r="BD9" s="722">
        <f t="shared" si="10"/>
        <v>0</v>
      </c>
      <c r="BE9" s="722">
        <f t="shared" si="10"/>
        <v>0</v>
      </c>
      <c r="BF9" s="722">
        <f t="shared" si="10"/>
        <v>0</v>
      </c>
      <c r="BG9" s="722">
        <f t="shared" si="10"/>
        <v>0</v>
      </c>
      <c r="BH9" s="722">
        <f t="shared" si="10"/>
        <v>0</v>
      </c>
      <c r="BI9" s="722">
        <f t="shared" si="10"/>
        <v>0</v>
      </c>
      <c r="BJ9" s="722">
        <f t="shared" si="10"/>
        <v>0</v>
      </c>
      <c r="BK9" s="722">
        <f t="shared" si="10"/>
        <v>0</v>
      </c>
      <c r="BL9" s="722">
        <f t="shared" si="10"/>
        <v>0</v>
      </c>
    </row>
    <row r="10" spans="1:64" s="33" customFormat="1" x14ac:dyDescent="0.3">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3">
        <f>SUM(N10:AB10)</f>
        <v>0</v>
      </c>
      <c r="AV10" s="724" t="s">
        <v>997</v>
      </c>
      <c r="AW10" s="725">
        <f t="shared" si="9"/>
        <v>0</v>
      </c>
      <c r="AX10" s="724"/>
      <c r="AY10" s="724"/>
      <c r="AZ10" s="724"/>
      <c r="BA10" s="724"/>
      <c r="BB10" s="724"/>
      <c r="BC10" s="724"/>
      <c r="BD10" s="724"/>
      <c r="BE10" s="724"/>
      <c r="BF10" s="724"/>
      <c r="BG10" s="724"/>
      <c r="BH10" s="724"/>
      <c r="BI10" s="724"/>
      <c r="BJ10" s="724"/>
      <c r="BK10" s="724"/>
      <c r="BL10" s="724"/>
    </row>
    <row r="11" spans="1:64" s="33" customFormat="1" x14ac:dyDescent="0.3">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3">
        <f>SUM(N11:AB11)</f>
        <v>0</v>
      </c>
      <c r="AG11" s="35"/>
      <c r="AH11" s="35"/>
      <c r="AI11" s="35"/>
      <c r="AJ11" s="35"/>
      <c r="AK11" s="35"/>
      <c r="AL11" s="35"/>
      <c r="AM11" s="35"/>
      <c r="AN11" s="35"/>
      <c r="AO11" s="35"/>
      <c r="AP11" s="35"/>
      <c r="AV11" s="726" t="s">
        <v>999</v>
      </c>
      <c r="AW11" s="725">
        <f t="shared" si="9"/>
        <v>0</v>
      </c>
      <c r="AX11" s="725"/>
      <c r="AY11" s="725"/>
      <c r="AZ11" s="725"/>
      <c r="BA11" s="725"/>
      <c r="BB11" s="725"/>
      <c r="BC11" s="725"/>
      <c r="BD11" s="725"/>
      <c r="BE11" s="725"/>
      <c r="BF11" s="725"/>
      <c r="BG11" s="725"/>
      <c r="BH11" s="725"/>
      <c r="BI11" s="725"/>
      <c r="BJ11" s="725"/>
      <c r="BK11" s="725"/>
      <c r="BL11" s="725"/>
    </row>
    <row r="12" spans="1:64" s="33" customFormat="1" x14ac:dyDescent="0.3">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7" t="s">
        <v>185</v>
      </c>
      <c r="AW12" s="725">
        <f t="shared" si="9"/>
        <v>0</v>
      </c>
      <c r="AX12" s="722">
        <f t="shared" ref="AX12:BL12" si="11">AX33+AX100+AX140</f>
        <v>0</v>
      </c>
      <c r="AY12" s="722">
        <f t="shared" si="11"/>
        <v>0</v>
      </c>
      <c r="AZ12" s="722">
        <f t="shared" si="11"/>
        <v>0</v>
      </c>
      <c r="BA12" s="722">
        <f t="shared" si="11"/>
        <v>0</v>
      </c>
      <c r="BB12" s="722">
        <f t="shared" si="11"/>
        <v>0</v>
      </c>
      <c r="BC12" s="722">
        <f t="shared" si="11"/>
        <v>0</v>
      </c>
      <c r="BD12" s="722">
        <f t="shared" si="11"/>
        <v>0</v>
      </c>
      <c r="BE12" s="722">
        <f t="shared" si="11"/>
        <v>0</v>
      </c>
      <c r="BF12" s="722">
        <f t="shared" si="11"/>
        <v>0</v>
      </c>
      <c r="BG12" s="722">
        <f t="shared" si="11"/>
        <v>0</v>
      </c>
      <c r="BH12" s="722">
        <f t="shared" si="11"/>
        <v>0</v>
      </c>
      <c r="BI12" s="722">
        <f t="shared" si="11"/>
        <v>0</v>
      </c>
      <c r="BJ12" s="722">
        <f t="shared" si="11"/>
        <v>0</v>
      </c>
      <c r="BK12" s="722">
        <f t="shared" si="11"/>
        <v>0</v>
      </c>
      <c r="BL12" s="722">
        <f t="shared" si="11"/>
        <v>0</v>
      </c>
    </row>
    <row r="13" spans="1:64" s="33" customFormat="1" x14ac:dyDescent="0.3">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7" t="s">
        <v>682</v>
      </c>
      <c r="AW13" s="725">
        <f t="shared" si="9"/>
        <v>0</v>
      </c>
      <c r="AX13" s="728">
        <f t="shared" ref="AX13:BL13" si="13">AX46</f>
        <v>0</v>
      </c>
      <c r="AY13" s="728">
        <f t="shared" si="13"/>
        <v>0</v>
      </c>
      <c r="AZ13" s="728">
        <f t="shared" si="13"/>
        <v>0</v>
      </c>
      <c r="BA13" s="728">
        <f t="shared" si="13"/>
        <v>0</v>
      </c>
      <c r="BB13" s="728">
        <f t="shared" si="13"/>
        <v>0</v>
      </c>
      <c r="BC13" s="728">
        <f t="shared" si="13"/>
        <v>0</v>
      </c>
      <c r="BD13" s="728">
        <f t="shared" si="13"/>
        <v>0</v>
      </c>
      <c r="BE13" s="728">
        <f t="shared" si="13"/>
        <v>0</v>
      </c>
      <c r="BF13" s="728">
        <f t="shared" si="13"/>
        <v>0</v>
      </c>
      <c r="BG13" s="728">
        <f t="shared" si="13"/>
        <v>0</v>
      </c>
      <c r="BH13" s="728">
        <f t="shared" si="13"/>
        <v>0</v>
      </c>
      <c r="BI13" s="728">
        <f t="shared" si="13"/>
        <v>0</v>
      </c>
      <c r="BJ13" s="728">
        <f t="shared" si="13"/>
        <v>0</v>
      </c>
      <c r="BK13" s="728">
        <f t="shared" si="13"/>
        <v>0</v>
      </c>
      <c r="BL13" s="728">
        <f t="shared" si="13"/>
        <v>0</v>
      </c>
    </row>
    <row r="14" spans="1:64" s="33" customFormat="1" x14ac:dyDescent="0.3">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7" t="s">
        <v>1009</v>
      </c>
      <c r="AW14" s="725">
        <f t="shared" si="9"/>
        <v>0</v>
      </c>
      <c r="AX14" s="722">
        <f t="shared" ref="AX14:BL14" si="14">AX58</f>
        <v>0</v>
      </c>
      <c r="AY14" s="722">
        <f t="shared" si="14"/>
        <v>0</v>
      </c>
      <c r="AZ14" s="722">
        <f t="shared" si="14"/>
        <v>0</v>
      </c>
      <c r="BA14" s="722">
        <f t="shared" si="14"/>
        <v>0</v>
      </c>
      <c r="BB14" s="722">
        <f t="shared" si="14"/>
        <v>0</v>
      </c>
      <c r="BC14" s="722">
        <f t="shared" si="14"/>
        <v>0</v>
      </c>
      <c r="BD14" s="722">
        <f t="shared" si="14"/>
        <v>0</v>
      </c>
      <c r="BE14" s="722">
        <f t="shared" si="14"/>
        <v>0</v>
      </c>
      <c r="BF14" s="722">
        <f t="shared" si="14"/>
        <v>0</v>
      </c>
      <c r="BG14" s="722">
        <f t="shared" si="14"/>
        <v>0</v>
      </c>
      <c r="BH14" s="722">
        <f t="shared" si="14"/>
        <v>0</v>
      </c>
      <c r="BI14" s="722">
        <f t="shared" si="14"/>
        <v>0</v>
      </c>
      <c r="BJ14" s="722">
        <f t="shared" si="14"/>
        <v>0</v>
      </c>
      <c r="BK14" s="722">
        <f t="shared" si="14"/>
        <v>0</v>
      </c>
      <c r="BL14" s="722">
        <f t="shared" si="14"/>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7" t="s">
        <v>1011</v>
      </c>
      <c r="AW15" s="725">
        <f t="shared" si="9"/>
        <v>0</v>
      </c>
      <c r="AX15" s="722">
        <f t="shared" ref="AX15:BL15" si="15">AX86+AX114+AX154</f>
        <v>0</v>
      </c>
      <c r="AY15" s="722">
        <f t="shared" si="15"/>
        <v>0</v>
      </c>
      <c r="AZ15" s="722">
        <f t="shared" si="15"/>
        <v>0</v>
      </c>
      <c r="BA15" s="722">
        <f t="shared" si="15"/>
        <v>0</v>
      </c>
      <c r="BB15" s="722">
        <f t="shared" si="15"/>
        <v>0</v>
      </c>
      <c r="BC15" s="722">
        <f t="shared" si="15"/>
        <v>0</v>
      </c>
      <c r="BD15" s="722">
        <f t="shared" si="15"/>
        <v>0</v>
      </c>
      <c r="BE15" s="722">
        <f t="shared" si="15"/>
        <v>0</v>
      </c>
      <c r="BF15" s="722">
        <f t="shared" si="15"/>
        <v>0</v>
      </c>
      <c r="BG15" s="722">
        <f t="shared" si="15"/>
        <v>0</v>
      </c>
      <c r="BH15" s="722">
        <f t="shared" si="15"/>
        <v>0</v>
      </c>
      <c r="BI15" s="722">
        <f t="shared" si="15"/>
        <v>0</v>
      </c>
      <c r="BJ15" s="722">
        <f t="shared" si="15"/>
        <v>0</v>
      </c>
      <c r="BK15" s="722">
        <f t="shared" si="15"/>
        <v>0</v>
      </c>
      <c r="BL15" s="722">
        <f t="shared" si="15"/>
        <v>0</v>
      </c>
    </row>
    <row r="16" spans="1:64" s="33" customFormat="1" x14ac:dyDescent="0.3">
      <c r="A16" s="44"/>
      <c r="B16" s="44"/>
      <c r="C16" s="44"/>
      <c r="D16" s="44"/>
      <c r="E16" s="44"/>
      <c r="F16" s="44"/>
      <c r="G16" s="44"/>
      <c r="K16" s="172"/>
      <c r="L16" s="172"/>
      <c r="M16" s="174" t="str">
        <f>STAT_TRA_Shares!B7</f>
        <v>% of biogas in CNG</v>
      </c>
      <c r="N16" s="514">
        <f>STAT_TRA_Shares!C7</f>
        <v>0.95</v>
      </c>
      <c r="O16" s="513">
        <f t="shared" ref="O16:AB24" si="16">$N16</f>
        <v>0.95</v>
      </c>
      <c r="P16" s="513">
        <f t="shared" si="16"/>
        <v>0.95</v>
      </c>
      <c r="Q16" s="513">
        <f t="shared" si="16"/>
        <v>0.95</v>
      </c>
      <c r="R16" s="513">
        <f t="shared" si="16"/>
        <v>0.95</v>
      </c>
      <c r="S16" s="513">
        <f t="shared" si="16"/>
        <v>0.95</v>
      </c>
      <c r="T16" s="513">
        <f t="shared" si="16"/>
        <v>0.95</v>
      </c>
      <c r="U16" s="513">
        <f t="shared" si="16"/>
        <v>0.95</v>
      </c>
      <c r="V16" s="513">
        <f t="shared" si="16"/>
        <v>0.95</v>
      </c>
      <c r="W16" s="513">
        <f t="shared" si="16"/>
        <v>0.95</v>
      </c>
      <c r="X16" s="513">
        <f t="shared" si="16"/>
        <v>0.95</v>
      </c>
      <c r="Y16" s="513">
        <f t="shared" si="16"/>
        <v>0.95</v>
      </c>
      <c r="Z16" s="513">
        <f t="shared" si="16"/>
        <v>0.95</v>
      </c>
      <c r="AA16" s="513">
        <f t="shared" si="16"/>
        <v>0.95</v>
      </c>
      <c r="AB16" s="513">
        <f t="shared" si="16"/>
        <v>0.95</v>
      </c>
      <c r="AC16" s="44"/>
      <c r="AF16" s="38">
        <v>2020</v>
      </c>
      <c r="AG16" s="67">
        <v>0.5</v>
      </c>
      <c r="AH16" s="67">
        <v>0.5</v>
      </c>
      <c r="AI16" s="67">
        <v>0.5</v>
      </c>
      <c r="AJ16" s="67">
        <v>0.5</v>
      </c>
      <c r="AK16" s="67">
        <v>0.5</v>
      </c>
      <c r="AL16" s="67">
        <v>0.5</v>
      </c>
      <c r="AM16" s="67">
        <v>0.5</v>
      </c>
      <c r="AN16" s="67">
        <v>0.5</v>
      </c>
      <c r="AO16" s="67">
        <v>0.5</v>
      </c>
      <c r="AP16" s="67">
        <v>0.5</v>
      </c>
      <c r="AV16" s="727" t="s">
        <v>1013</v>
      </c>
      <c r="AW16" s="725">
        <f t="shared" si="9"/>
        <v>0</v>
      </c>
      <c r="AX16" s="722">
        <f t="shared" ref="AX16:BL16" si="17">AX59+AX73+AX85+AX113+AX153</f>
        <v>0</v>
      </c>
      <c r="AY16" s="722">
        <f t="shared" si="17"/>
        <v>0</v>
      </c>
      <c r="AZ16" s="722">
        <f t="shared" si="17"/>
        <v>0</v>
      </c>
      <c r="BA16" s="722">
        <f t="shared" si="17"/>
        <v>0</v>
      </c>
      <c r="BB16" s="722">
        <f t="shared" si="17"/>
        <v>0</v>
      </c>
      <c r="BC16" s="722">
        <f t="shared" si="17"/>
        <v>0</v>
      </c>
      <c r="BD16" s="722">
        <f t="shared" si="17"/>
        <v>0</v>
      </c>
      <c r="BE16" s="722">
        <f t="shared" si="17"/>
        <v>0</v>
      </c>
      <c r="BF16" s="722">
        <f t="shared" si="17"/>
        <v>0</v>
      </c>
      <c r="BG16" s="722">
        <f t="shared" si="17"/>
        <v>0</v>
      </c>
      <c r="BH16" s="722">
        <f t="shared" si="17"/>
        <v>0</v>
      </c>
      <c r="BI16" s="722">
        <f t="shared" si="17"/>
        <v>0</v>
      </c>
      <c r="BJ16" s="722">
        <f t="shared" si="17"/>
        <v>0</v>
      </c>
      <c r="BK16" s="722">
        <f t="shared" si="17"/>
        <v>0</v>
      </c>
      <c r="BL16" s="722">
        <f t="shared" si="17"/>
        <v>0</v>
      </c>
    </row>
    <row r="17" spans="1:64" s="33" customFormat="1" x14ac:dyDescent="0.3">
      <c r="A17" s="44"/>
      <c r="B17" s="44"/>
      <c r="C17" s="44"/>
      <c r="D17" s="44"/>
      <c r="E17" s="44"/>
      <c r="F17" s="44"/>
      <c r="G17" s="44"/>
      <c r="K17" s="172"/>
      <c r="L17" s="172"/>
      <c r="M17" s="174" t="str">
        <f>STAT_TRA_Shares!B8</f>
        <v>% of FAME in diesel</v>
      </c>
      <c r="N17" s="514">
        <f>STAT_TRA_Shares!C8</f>
        <v>5.8000000000000003E-2</v>
      </c>
      <c r="O17" s="513">
        <f t="shared" si="16"/>
        <v>5.8000000000000003E-2</v>
      </c>
      <c r="P17" s="513">
        <f t="shared" si="16"/>
        <v>5.8000000000000003E-2</v>
      </c>
      <c r="Q17" s="513">
        <f t="shared" si="16"/>
        <v>5.8000000000000003E-2</v>
      </c>
      <c r="R17" s="513">
        <f t="shared" si="16"/>
        <v>5.8000000000000003E-2</v>
      </c>
      <c r="S17" s="513">
        <f t="shared" si="16"/>
        <v>5.8000000000000003E-2</v>
      </c>
      <c r="T17" s="513">
        <f t="shared" si="16"/>
        <v>5.8000000000000003E-2</v>
      </c>
      <c r="U17" s="513">
        <f t="shared" si="16"/>
        <v>5.8000000000000003E-2</v>
      </c>
      <c r="V17" s="513">
        <f t="shared" si="16"/>
        <v>5.8000000000000003E-2</v>
      </c>
      <c r="W17" s="513">
        <f t="shared" si="16"/>
        <v>5.8000000000000003E-2</v>
      </c>
      <c r="X17" s="513">
        <f t="shared" si="16"/>
        <v>5.8000000000000003E-2</v>
      </c>
      <c r="Y17" s="513">
        <f t="shared" si="16"/>
        <v>5.8000000000000003E-2</v>
      </c>
      <c r="Z17" s="513">
        <f t="shared" si="16"/>
        <v>5.8000000000000003E-2</v>
      </c>
      <c r="AA17" s="513">
        <f t="shared" si="16"/>
        <v>5.8000000000000003E-2</v>
      </c>
      <c r="AB17" s="513">
        <f t="shared" si="16"/>
        <v>5.8000000000000003E-2</v>
      </c>
      <c r="AC17" s="44"/>
      <c r="AF17" s="38">
        <f>AF16+5</f>
        <v>2025</v>
      </c>
      <c r="AG17" s="67">
        <v>0.1</v>
      </c>
      <c r="AH17" s="67">
        <v>0.1</v>
      </c>
      <c r="AI17" s="67">
        <v>0.1</v>
      </c>
      <c r="AJ17" s="67">
        <v>0.1</v>
      </c>
      <c r="AK17" s="67">
        <v>0.1</v>
      </c>
      <c r="AL17" s="67">
        <v>0.1</v>
      </c>
      <c r="AM17" s="67">
        <v>0.1</v>
      </c>
      <c r="AN17" s="67">
        <v>0.1</v>
      </c>
      <c r="AO17" s="67">
        <v>0.1</v>
      </c>
      <c r="AP17" s="67">
        <v>0.1</v>
      </c>
      <c r="AV17" s="727" t="s">
        <v>1015</v>
      </c>
      <c r="AW17" s="725">
        <f t="shared" si="9"/>
        <v>0</v>
      </c>
      <c r="AX17" s="724"/>
      <c r="AY17" s="724"/>
      <c r="AZ17" s="724"/>
      <c r="BA17" s="724"/>
      <c r="BB17" s="724"/>
      <c r="BC17" s="724"/>
      <c r="BD17" s="724"/>
      <c r="BE17" s="724"/>
      <c r="BF17" s="724"/>
      <c r="BG17" s="724"/>
      <c r="BH17" s="724"/>
      <c r="BI17" s="724"/>
      <c r="BJ17" s="724"/>
      <c r="BK17" s="724"/>
      <c r="BL17" s="724"/>
    </row>
    <row r="18" spans="1:64" s="33" customFormat="1" x14ac:dyDescent="0.3">
      <c r="A18" s="44"/>
      <c r="B18" s="44"/>
      <c r="C18" s="44"/>
      <c r="D18" s="44"/>
      <c r="E18" s="44"/>
      <c r="F18" s="44"/>
      <c r="G18" s="44"/>
      <c r="K18" s="172"/>
      <c r="L18" s="172"/>
      <c r="M18" s="174" t="str">
        <f>STAT_TRA_Shares!B9</f>
        <v>% of HVO in diesel</v>
      </c>
      <c r="N18" s="514">
        <f>STAT_TRA_Shares!C9</f>
        <v>0.17499999999999999</v>
      </c>
      <c r="O18" s="513">
        <f t="shared" si="16"/>
        <v>0.17499999999999999</v>
      </c>
      <c r="P18" s="513">
        <f t="shared" si="16"/>
        <v>0.17499999999999999</v>
      </c>
      <c r="Q18" s="513">
        <f t="shared" si="16"/>
        <v>0.17499999999999999</v>
      </c>
      <c r="R18" s="513">
        <f t="shared" si="16"/>
        <v>0.17499999999999999</v>
      </c>
      <c r="S18" s="513">
        <f t="shared" si="16"/>
        <v>0.17499999999999999</v>
      </c>
      <c r="T18" s="513">
        <f t="shared" si="16"/>
        <v>0.17499999999999999</v>
      </c>
      <c r="U18" s="513">
        <f t="shared" si="16"/>
        <v>0.17499999999999999</v>
      </c>
      <c r="V18" s="513">
        <f t="shared" si="16"/>
        <v>0.17499999999999999</v>
      </c>
      <c r="W18" s="513">
        <f t="shared" si="16"/>
        <v>0.17499999999999999</v>
      </c>
      <c r="X18" s="513">
        <f t="shared" si="16"/>
        <v>0.17499999999999999</v>
      </c>
      <c r="Y18" s="513">
        <f t="shared" si="16"/>
        <v>0.17499999999999999</v>
      </c>
      <c r="Z18" s="513">
        <f t="shared" si="16"/>
        <v>0.17499999999999999</v>
      </c>
      <c r="AA18" s="513">
        <f t="shared" si="16"/>
        <v>0.17499999999999999</v>
      </c>
      <c r="AB18" s="513">
        <f t="shared" si="16"/>
        <v>0.17499999999999999</v>
      </c>
      <c r="AC18" s="373"/>
      <c r="AF18" s="38">
        <f>AF17+5</f>
        <v>2030</v>
      </c>
      <c r="AG18" s="554">
        <v>0.01</v>
      </c>
      <c r="AH18" s="554">
        <v>0.01</v>
      </c>
      <c r="AI18" s="554">
        <v>0.01</v>
      </c>
      <c r="AJ18" s="554">
        <v>0.01</v>
      </c>
      <c r="AK18" s="554">
        <v>0.01</v>
      </c>
      <c r="AL18" s="554">
        <v>0.01</v>
      </c>
      <c r="AM18" s="554">
        <v>0.01</v>
      </c>
      <c r="AN18" s="554">
        <v>0.01</v>
      </c>
      <c r="AO18" s="554">
        <v>0.01</v>
      </c>
      <c r="AP18" s="554">
        <v>0.01</v>
      </c>
      <c r="AV18" s="727" t="s">
        <v>1022</v>
      </c>
      <c r="AW18" s="725">
        <f t="shared" si="9"/>
        <v>0</v>
      </c>
      <c r="AX18" s="724"/>
      <c r="AY18" s="724"/>
      <c r="AZ18" s="724"/>
      <c r="BA18" s="724"/>
      <c r="BB18" s="724"/>
      <c r="BC18" s="724"/>
      <c r="BD18" s="724"/>
      <c r="BE18" s="724"/>
      <c r="BF18" s="724"/>
      <c r="BG18" s="724"/>
      <c r="BH18" s="724"/>
      <c r="BI18" s="724"/>
      <c r="BJ18" s="724"/>
      <c r="BK18" s="724"/>
      <c r="BL18" s="724"/>
    </row>
    <row r="19" spans="1:64" s="33" customFormat="1" x14ac:dyDescent="0.3">
      <c r="A19" s="44"/>
      <c r="B19" s="44"/>
      <c r="C19" s="44"/>
      <c r="D19" s="44"/>
      <c r="E19" s="44"/>
      <c r="F19" s="44"/>
      <c r="G19" s="44"/>
      <c r="K19" s="172"/>
      <c r="L19" s="172"/>
      <c r="M19" s="174" t="str">
        <f>STAT_TRA_Shares!B10</f>
        <v>% of low-blend bioethanol in gasoline</v>
      </c>
      <c r="N19" s="514">
        <f>STAT_TRA_Shares!C10</f>
        <v>5.0999999999999997E-2</v>
      </c>
      <c r="O19" s="513">
        <f t="shared" si="16"/>
        <v>5.0999999999999997E-2</v>
      </c>
      <c r="P19" s="513">
        <f t="shared" si="16"/>
        <v>5.0999999999999997E-2</v>
      </c>
      <c r="Q19" s="513">
        <f t="shared" si="16"/>
        <v>5.0999999999999997E-2</v>
      </c>
      <c r="R19" s="513">
        <f t="shared" si="16"/>
        <v>5.0999999999999997E-2</v>
      </c>
      <c r="S19" s="513">
        <f t="shared" si="16"/>
        <v>5.0999999999999997E-2</v>
      </c>
      <c r="T19" s="513">
        <f t="shared" si="16"/>
        <v>5.0999999999999997E-2</v>
      </c>
      <c r="U19" s="513">
        <f t="shared" si="16"/>
        <v>5.0999999999999997E-2</v>
      </c>
      <c r="V19" s="513">
        <f t="shared" si="16"/>
        <v>5.0999999999999997E-2</v>
      </c>
      <c r="W19" s="513">
        <f t="shared" si="16"/>
        <v>5.0999999999999997E-2</v>
      </c>
      <c r="X19" s="513">
        <f t="shared" si="16"/>
        <v>5.0999999999999997E-2</v>
      </c>
      <c r="Y19" s="513">
        <f t="shared" si="16"/>
        <v>5.0999999999999997E-2</v>
      </c>
      <c r="Z19" s="513">
        <f t="shared" si="16"/>
        <v>5.0999999999999997E-2</v>
      </c>
      <c r="AA19" s="513">
        <f t="shared" si="16"/>
        <v>5.0999999999999997E-2</v>
      </c>
      <c r="AB19" s="513">
        <f t="shared" si="16"/>
        <v>5.0999999999999997E-2</v>
      </c>
      <c r="AC19" s="374"/>
      <c r="AF19" s="38">
        <f>AF18+10</f>
        <v>2040</v>
      </c>
      <c r="AG19" s="67">
        <v>0</v>
      </c>
      <c r="AH19" s="67">
        <v>0</v>
      </c>
      <c r="AI19" s="67">
        <v>0</v>
      </c>
      <c r="AJ19" s="67">
        <v>0</v>
      </c>
      <c r="AK19" s="67">
        <v>0</v>
      </c>
      <c r="AL19" s="67">
        <v>0</v>
      </c>
      <c r="AM19" s="67">
        <v>0</v>
      </c>
      <c r="AN19" s="67">
        <v>0</v>
      </c>
      <c r="AO19" s="67">
        <v>0</v>
      </c>
      <c r="AP19" s="67">
        <v>0</v>
      </c>
      <c r="AV19" s="724" t="s">
        <v>680</v>
      </c>
      <c r="AW19" s="725">
        <f t="shared" ref="AW19:AW24" si="18">SUM(AX19:BL19)</f>
        <v>0</v>
      </c>
      <c r="AX19" s="728"/>
      <c r="AY19" s="728"/>
      <c r="AZ19" s="728"/>
      <c r="BA19" s="728"/>
      <c r="BB19" s="728"/>
      <c r="BC19" s="728"/>
      <c r="BD19" s="728"/>
      <c r="BE19" s="728"/>
      <c r="BF19" s="728"/>
      <c r="BG19" s="728"/>
      <c r="BH19" s="728"/>
      <c r="BI19" s="728"/>
      <c r="BJ19" s="728"/>
      <c r="BK19" s="728"/>
      <c r="BL19" s="728"/>
    </row>
    <row r="20" spans="1:64" s="33" customFormat="1" x14ac:dyDescent="0.3">
      <c r="A20" s="44"/>
      <c r="B20" s="44"/>
      <c r="C20" s="44"/>
      <c r="D20" s="44"/>
      <c r="E20" s="44"/>
      <c r="F20" s="44"/>
      <c r="G20" s="44"/>
      <c r="K20" s="172"/>
      <c r="L20" s="172"/>
      <c r="M20" s="174" t="str">
        <f>STAT_TRA_Shares!B11</f>
        <v>% of low-blend biogasoline in gasoline</v>
      </c>
      <c r="N20" s="514">
        <f>STAT_TRA_Shares!C11</f>
        <v>0</v>
      </c>
      <c r="O20" s="513">
        <f t="shared" si="16"/>
        <v>0</v>
      </c>
      <c r="P20" s="513">
        <f t="shared" si="16"/>
        <v>0</v>
      </c>
      <c r="Q20" s="513">
        <f t="shared" si="16"/>
        <v>0</v>
      </c>
      <c r="R20" s="513">
        <f t="shared" si="16"/>
        <v>0</v>
      </c>
      <c r="S20" s="513">
        <f t="shared" si="16"/>
        <v>0</v>
      </c>
      <c r="T20" s="513">
        <f t="shared" si="16"/>
        <v>0</v>
      </c>
      <c r="U20" s="513">
        <f t="shared" si="16"/>
        <v>0</v>
      </c>
      <c r="V20" s="513">
        <f t="shared" si="16"/>
        <v>0</v>
      </c>
      <c r="W20" s="513">
        <f t="shared" si="16"/>
        <v>0</v>
      </c>
      <c r="X20" s="513">
        <f t="shared" si="16"/>
        <v>0</v>
      </c>
      <c r="Y20" s="513">
        <f t="shared" si="16"/>
        <v>0</v>
      </c>
      <c r="Z20" s="513">
        <f t="shared" si="16"/>
        <v>0</v>
      </c>
      <c r="AA20" s="513">
        <f t="shared" si="16"/>
        <v>0</v>
      </c>
      <c r="AB20" s="513">
        <f t="shared" si="16"/>
        <v>0</v>
      </c>
      <c r="AC20" s="374"/>
      <c r="AF20" s="38">
        <f>AF19+10</f>
        <v>2050</v>
      </c>
      <c r="AG20" s="67">
        <v>0</v>
      </c>
      <c r="AH20" s="67">
        <v>0</v>
      </c>
      <c r="AI20" s="67">
        <v>0</v>
      </c>
      <c r="AJ20" s="67">
        <v>0</v>
      </c>
      <c r="AK20" s="67">
        <v>0</v>
      </c>
      <c r="AL20" s="67">
        <v>0</v>
      </c>
      <c r="AM20" s="67">
        <v>0</v>
      </c>
      <c r="AN20" s="67">
        <v>0</v>
      </c>
      <c r="AO20" s="67">
        <v>0</v>
      </c>
      <c r="AP20" s="67">
        <v>0</v>
      </c>
      <c r="AV20" s="724" t="s">
        <v>1028</v>
      </c>
      <c r="AW20" s="725">
        <f t="shared" si="18"/>
        <v>0</v>
      </c>
      <c r="AX20" s="724"/>
      <c r="AY20" s="724"/>
      <c r="AZ20" s="724"/>
      <c r="BA20" s="724"/>
      <c r="BB20" s="724"/>
      <c r="BC20" s="724"/>
      <c r="BD20" s="724"/>
      <c r="BE20" s="724"/>
      <c r="BF20" s="724"/>
      <c r="BG20" s="724"/>
      <c r="BH20" s="724"/>
      <c r="BI20" s="724"/>
      <c r="BJ20" s="724"/>
      <c r="BK20" s="724"/>
      <c r="BL20" s="724"/>
    </row>
    <row r="21" spans="1:64" s="33" customFormat="1" x14ac:dyDescent="0.3">
      <c r="A21" s="44"/>
      <c r="B21" s="44"/>
      <c r="C21" s="44"/>
      <c r="D21" s="44"/>
      <c r="E21" s="44"/>
      <c r="F21" s="44"/>
      <c r="G21" s="44"/>
      <c r="K21" s="172"/>
      <c r="L21" s="172"/>
      <c r="M21" s="174" t="str">
        <f>STAT_TRA_Shares!B12</f>
        <v>% of bioethanol in E85 (TRAETH)</v>
      </c>
      <c r="N21" s="514">
        <f>STAT_TRA_Shares!C12</f>
        <v>0.82</v>
      </c>
      <c r="O21" s="513">
        <f t="shared" si="16"/>
        <v>0.82</v>
      </c>
      <c r="P21" s="513">
        <f t="shared" si="16"/>
        <v>0.82</v>
      </c>
      <c r="Q21" s="513">
        <f t="shared" si="16"/>
        <v>0.82</v>
      </c>
      <c r="R21" s="513">
        <f t="shared" si="16"/>
        <v>0.82</v>
      </c>
      <c r="S21" s="513">
        <f t="shared" si="16"/>
        <v>0.82</v>
      </c>
      <c r="T21" s="513">
        <f t="shared" si="16"/>
        <v>0.82</v>
      </c>
      <c r="U21" s="513">
        <f t="shared" si="16"/>
        <v>0.82</v>
      </c>
      <c r="V21" s="513">
        <f t="shared" si="16"/>
        <v>0.82</v>
      </c>
      <c r="W21" s="513">
        <f t="shared" si="16"/>
        <v>0.82</v>
      </c>
      <c r="X21" s="513">
        <f t="shared" si="16"/>
        <v>0.82</v>
      </c>
      <c r="Y21" s="513">
        <f t="shared" si="16"/>
        <v>0.82</v>
      </c>
      <c r="Z21" s="513">
        <f t="shared" si="16"/>
        <v>0.82</v>
      </c>
      <c r="AA21" s="513">
        <f t="shared" si="16"/>
        <v>0.82</v>
      </c>
      <c r="AB21" s="513">
        <f t="shared" si="16"/>
        <v>0.82</v>
      </c>
      <c r="AC21" s="374"/>
      <c r="AV21" s="724" t="s">
        <v>1030</v>
      </c>
      <c r="AW21" s="725">
        <f t="shared" si="18"/>
        <v>0</v>
      </c>
      <c r="AX21" s="724"/>
      <c r="AY21" s="724"/>
      <c r="AZ21" s="724"/>
      <c r="BA21" s="724"/>
      <c r="BB21" s="724"/>
      <c r="BC21" s="724"/>
      <c r="BD21" s="724"/>
      <c r="BE21" s="724"/>
      <c r="BF21" s="724"/>
      <c r="BG21" s="724"/>
      <c r="BH21" s="724"/>
      <c r="BI21" s="724"/>
      <c r="BJ21" s="724"/>
      <c r="BK21" s="724"/>
      <c r="BL21" s="724"/>
    </row>
    <row r="22" spans="1:64" s="33" customFormat="1" x14ac:dyDescent="0.3">
      <c r="A22" s="44"/>
      <c r="B22" s="44"/>
      <c r="C22" s="44"/>
      <c r="D22" s="44"/>
      <c r="E22" s="44"/>
      <c r="F22" s="44"/>
      <c r="G22" s="44"/>
      <c r="K22" s="172"/>
      <c r="L22" s="172"/>
      <c r="M22" s="174" t="str">
        <f>STAT_TRA_Shares!B18</f>
        <v>% of CNG fuelled in flexfuel GAS vehicles (rest is GSL)</v>
      </c>
      <c r="N22" s="514">
        <f>STAT_TRA_Shares!C18</f>
        <v>0.8</v>
      </c>
      <c r="O22" s="513">
        <f t="shared" si="16"/>
        <v>0.8</v>
      </c>
      <c r="P22" s="513">
        <f t="shared" si="16"/>
        <v>0.8</v>
      </c>
      <c r="Q22" s="513">
        <f t="shared" si="16"/>
        <v>0.8</v>
      </c>
      <c r="R22" s="513">
        <f t="shared" si="16"/>
        <v>0.8</v>
      </c>
      <c r="S22" s="513">
        <f t="shared" si="16"/>
        <v>0.8</v>
      </c>
      <c r="T22" s="513">
        <f t="shared" si="16"/>
        <v>0.8</v>
      </c>
      <c r="U22" s="513">
        <f t="shared" si="16"/>
        <v>0.8</v>
      </c>
      <c r="V22" s="513">
        <f t="shared" si="16"/>
        <v>0.8</v>
      </c>
      <c r="W22" s="513">
        <f t="shared" si="16"/>
        <v>0.8</v>
      </c>
      <c r="X22" s="513">
        <f t="shared" si="16"/>
        <v>0.8</v>
      </c>
      <c r="Y22" s="513">
        <f t="shared" si="16"/>
        <v>0.8</v>
      </c>
      <c r="Z22" s="513">
        <f t="shared" si="16"/>
        <v>0.8</v>
      </c>
      <c r="AA22" s="513">
        <f t="shared" si="16"/>
        <v>0.8</v>
      </c>
      <c r="AB22" s="513">
        <f t="shared" si="16"/>
        <v>0.8</v>
      </c>
      <c r="AC22" s="44"/>
      <c r="AV22" s="724" t="s">
        <v>1032</v>
      </c>
      <c r="AW22" s="725">
        <f t="shared" si="18"/>
        <v>0</v>
      </c>
      <c r="AX22" s="722">
        <f t="shared" ref="AX22:BL22" si="19">AX127</f>
        <v>0</v>
      </c>
      <c r="AY22" s="722">
        <f t="shared" si="19"/>
        <v>0</v>
      </c>
      <c r="AZ22" s="722">
        <f t="shared" si="19"/>
        <v>0</v>
      </c>
      <c r="BA22" s="722">
        <f t="shared" si="19"/>
        <v>0</v>
      </c>
      <c r="BB22" s="722">
        <f t="shared" si="19"/>
        <v>0</v>
      </c>
      <c r="BC22" s="722">
        <f t="shared" si="19"/>
        <v>0</v>
      </c>
      <c r="BD22" s="722">
        <f t="shared" si="19"/>
        <v>0</v>
      </c>
      <c r="BE22" s="722">
        <f t="shared" si="19"/>
        <v>0</v>
      </c>
      <c r="BF22" s="722">
        <f t="shared" si="19"/>
        <v>0</v>
      </c>
      <c r="BG22" s="722">
        <f t="shared" si="19"/>
        <v>0</v>
      </c>
      <c r="BH22" s="722">
        <f t="shared" si="19"/>
        <v>0</v>
      </c>
      <c r="BI22" s="722">
        <f t="shared" si="19"/>
        <v>0</v>
      </c>
      <c r="BJ22" s="722">
        <f t="shared" si="19"/>
        <v>0</v>
      </c>
      <c r="BK22" s="722">
        <f t="shared" si="19"/>
        <v>0</v>
      </c>
      <c r="BL22" s="722">
        <f t="shared" si="19"/>
        <v>0</v>
      </c>
    </row>
    <row r="23" spans="1:64" s="33" customFormat="1" x14ac:dyDescent="0.3">
      <c r="A23" s="44"/>
      <c r="B23" s="44"/>
      <c r="C23" s="44"/>
      <c r="D23" s="44"/>
      <c r="E23" s="44"/>
      <c r="F23" s="44"/>
      <c r="G23" s="44"/>
      <c r="K23" s="172"/>
      <c r="L23" s="172"/>
      <c r="M23" s="174" t="str">
        <f>STAT_TRA_Shares!B19</f>
        <v>% of ethanol fuelled in E85 flexfuel vehicles (rest is GSL)</v>
      </c>
      <c r="N23" s="514">
        <f>STAT_TRA_Shares!C19</f>
        <v>0.75</v>
      </c>
      <c r="O23" s="513">
        <f t="shared" si="16"/>
        <v>0.75</v>
      </c>
      <c r="P23" s="513">
        <f t="shared" si="16"/>
        <v>0.75</v>
      </c>
      <c r="Q23" s="513">
        <f t="shared" si="16"/>
        <v>0.75</v>
      </c>
      <c r="R23" s="513">
        <f t="shared" si="16"/>
        <v>0.75</v>
      </c>
      <c r="S23" s="513">
        <f t="shared" si="16"/>
        <v>0.75</v>
      </c>
      <c r="T23" s="513">
        <f t="shared" si="16"/>
        <v>0.75</v>
      </c>
      <c r="U23" s="513">
        <f t="shared" si="16"/>
        <v>0.75</v>
      </c>
      <c r="V23" s="513">
        <f t="shared" si="16"/>
        <v>0.75</v>
      </c>
      <c r="W23" s="513">
        <f t="shared" si="16"/>
        <v>0.75</v>
      </c>
      <c r="X23" s="513">
        <f t="shared" si="16"/>
        <v>0.75</v>
      </c>
      <c r="Y23" s="513">
        <f t="shared" si="16"/>
        <v>0.75</v>
      </c>
      <c r="Z23" s="513">
        <f t="shared" si="16"/>
        <v>0.75</v>
      </c>
      <c r="AA23" s="513">
        <f t="shared" si="16"/>
        <v>0.75</v>
      </c>
      <c r="AB23" s="513">
        <f t="shared" si="16"/>
        <v>0.75</v>
      </c>
      <c r="AC23" s="373"/>
      <c r="AV23" s="724" t="s">
        <v>1034</v>
      </c>
      <c r="AW23" s="725">
        <f t="shared" si="18"/>
        <v>0</v>
      </c>
      <c r="AX23" s="724"/>
      <c r="AY23" s="724"/>
      <c r="AZ23" s="724"/>
      <c r="BA23" s="724"/>
      <c r="BB23" s="724"/>
      <c r="BC23" s="724"/>
      <c r="BD23" s="724"/>
      <c r="BE23" s="724"/>
      <c r="BF23" s="724"/>
      <c r="BG23" s="724"/>
      <c r="BH23" s="724"/>
      <c r="BI23" s="724"/>
      <c r="BJ23" s="724"/>
      <c r="BK23" s="724"/>
      <c r="BL23" s="724"/>
    </row>
    <row r="24" spans="1:64" s="33" customFormat="1" x14ac:dyDescent="0.3">
      <c r="A24" s="44"/>
      <c r="B24" s="44"/>
      <c r="C24" s="44"/>
      <c r="D24" s="44"/>
      <c r="E24" s="44"/>
      <c r="F24" s="44"/>
      <c r="G24" s="44"/>
      <c r="K24" s="172"/>
      <c r="L24" s="172"/>
      <c r="M24" s="174" t="str">
        <f>STAT_TRA_Shares!B20</f>
        <v>% of LPG fuelled in flexfuel LPG vehicles (rest is GSL)</v>
      </c>
      <c r="N24" s="514">
        <f>STAT_TRA_Shares!C20</f>
        <v>0.8</v>
      </c>
      <c r="O24" s="513">
        <f t="shared" si="16"/>
        <v>0.8</v>
      </c>
      <c r="P24" s="513">
        <f t="shared" si="16"/>
        <v>0.8</v>
      </c>
      <c r="Q24" s="513">
        <f t="shared" si="16"/>
        <v>0.8</v>
      </c>
      <c r="R24" s="513">
        <f t="shared" si="16"/>
        <v>0.8</v>
      </c>
      <c r="S24" s="513">
        <f t="shared" si="16"/>
        <v>0.8</v>
      </c>
      <c r="T24" s="513">
        <f t="shared" si="16"/>
        <v>0.8</v>
      </c>
      <c r="U24" s="513">
        <f t="shared" si="16"/>
        <v>0.8</v>
      </c>
      <c r="V24" s="513">
        <f t="shared" si="16"/>
        <v>0.8</v>
      </c>
      <c r="W24" s="513">
        <f t="shared" si="16"/>
        <v>0.8</v>
      </c>
      <c r="X24" s="513">
        <f t="shared" si="16"/>
        <v>0.8</v>
      </c>
      <c r="Y24" s="513">
        <f t="shared" si="16"/>
        <v>0.8</v>
      </c>
      <c r="Z24" s="513">
        <f t="shared" si="16"/>
        <v>0.8</v>
      </c>
      <c r="AA24" s="513">
        <f t="shared" si="16"/>
        <v>0.8</v>
      </c>
      <c r="AB24" s="513">
        <f t="shared" si="16"/>
        <v>0.8</v>
      </c>
      <c r="AC24" s="373"/>
      <c r="AV24" s="724" t="s">
        <v>1038</v>
      </c>
      <c r="AW24" s="725">
        <f t="shared" si="18"/>
        <v>0</v>
      </c>
      <c r="AX24" s="722">
        <f t="shared" ref="AX24:BL24" si="20">AX72</f>
        <v>0</v>
      </c>
      <c r="AY24" s="722">
        <f t="shared" si="20"/>
        <v>0</v>
      </c>
      <c r="AZ24" s="722">
        <f t="shared" si="20"/>
        <v>0</v>
      </c>
      <c r="BA24" s="722">
        <f t="shared" si="20"/>
        <v>0</v>
      </c>
      <c r="BB24" s="722">
        <f t="shared" si="20"/>
        <v>0</v>
      </c>
      <c r="BC24" s="722">
        <f t="shared" si="20"/>
        <v>0</v>
      </c>
      <c r="BD24" s="722">
        <f t="shared" si="20"/>
        <v>0</v>
      </c>
      <c r="BE24" s="722">
        <f t="shared" si="20"/>
        <v>0</v>
      </c>
      <c r="BF24" s="722">
        <f t="shared" si="20"/>
        <v>0</v>
      </c>
      <c r="BG24" s="722">
        <f t="shared" si="20"/>
        <v>0</v>
      </c>
      <c r="BH24" s="722">
        <f t="shared" si="20"/>
        <v>0</v>
      </c>
      <c r="BI24" s="722">
        <f t="shared" si="20"/>
        <v>0</v>
      </c>
      <c r="BJ24" s="722">
        <f t="shared" si="20"/>
        <v>0</v>
      </c>
      <c r="BK24" s="722">
        <f t="shared" si="20"/>
        <v>0</v>
      </c>
      <c r="BL24" s="722">
        <f t="shared" si="20"/>
        <v>0</v>
      </c>
    </row>
    <row r="25" spans="1:64" s="33" customFormat="1" x14ac:dyDescent="0.3">
      <c r="A25" s="44"/>
      <c r="B25" s="828"/>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3">
      <c r="A26" s="44"/>
      <c r="B26" s="474"/>
      <c r="C26" s="44"/>
      <c r="D26" s="44"/>
      <c r="E26" s="44"/>
      <c r="F26" s="44"/>
      <c r="G26" s="44"/>
      <c r="M26" s="473" t="s">
        <v>1151</v>
      </c>
      <c r="N26" s="481">
        <v>0</v>
      </c>
      <c r="O26" s="481">
        <v>0</v>
      </c>
      <c r="P26" s="481">
        <v>0</v>
      </c>
      <c r="Q26" s="481">
        <v>0</v>
      </c>
      <c r="R26" s="481">
        <v>0</v>
      </c>
      <c r="S26" s="481">
        <v>0</v>
      </c>
      <c r="T26" s="481">
        <v>0</v>
      </c>
      <c r="U26" s="481">
        <v>0</v>
      </c>
      <c r="V26" s="481">
        <v>0</v>
      </c>
      <c r="W26" s="481">
        <v>0</v>
      </c>
      <c r="X26" s="481">
        <v>0</v>
      </c>
      <c r="Y26" s="481">
        <v>0</v>
      </c>
      <c r="Z26" s="481">
        <v>0</v>
      </c>
      <c r="AA26" s="481">
        <v>0</v>
      </c>
      <c r="AB26" s="481">
        <v>0</v>
      </c>
    </row>
    <row r="27" spans="1:64" x14ac:dyDescent="0.3">
      <c r="B27" s="26" t="s">
        <v>1183</v>
      </c>
      <c r="C27" s="26"/>
      <c r="I27" s="36"/>
      <c r="M27" s="473" t="s">
        <v>1153</v>
      </c>
      <c r="N27" s="481">
        <v>0</v>
      </c>
      <c r="O27" s="481">
        <v>0</v>
      </c>
      <c r="P27" s="481">
        <v>0</v>
      </c>
      <c r="Q27" s="481">
        <v>0</v>
      </c>
      <c r="R27" s="481">
        <v>0</v>
      </c>
      <c r="S27" s="481">
        <v>0</v>
      </c>
      <c r="T27" s="481">
        <v>0</v>
      </c>
      <c r="U27" s="481">
        <v>0</v>
      </c>
      <c r="V27" s="481">
        <v>0</v>
      </c>
      <c r="W27" s="481">
        <v>0</v>
      </c>
      <c r="X27" s="481">
        <v>0</v>
      </c>
      <c r="Y27" s="481">
        <v>0</v>
      </c>
      <c r="Z27" s="481">
        <v>0</v>
      </c>
      <c r="AA27" s="481">
        <v>0</v>
      </c>
      <c r="AB27" s="481">
        <v>0</v>
      </c>
    </row>
    <row r="28" spans="1:64" x14ac:dyDescent="0.3">
      <c r="I28" s="36"/>
      <c r="M28" s="473"/>
      <c r="N28" s="473"/>
      <c r="O28" s="473"/>
      <c r="P28" s="473"/>
      <c r="Q28" s="473"/>
      <c r="R28" s="473"/>
      <c r="S28" s="473"/>
      <c r="T28" s="473"/>
      <c r="U28" s="473"/>
      <c r="V28" s="473"/>
      <c r="W28" s="473"/>
      <c r="X28" s="473"/>
      <c r="Y28" s="473"/>
      <c r="Z28" s="473"/>
      <c r="AA28" s="473"/>
      <c r="AB28" s="473"/>
    </row>
    <row r="29" spans="1:64" s="22" customFormat="1" x14ac:dyDescent="0.3">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3">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0" t="s">
        <v>85</v>
      </c>
      <c r="AW30" s="700" t="s">
        <v>421</v>
      </c>
      <c r="AX30" s="700" t="str">
        <f t="shared" ref="AX30:BL30" si="23">N$2</f>
        <v>Z01</v>
      </c>
      <c r="AY30" s="700" t="str">
        <f t="shared" si="23"/>
        <v>Z02</v>
      </c>
      <c r="AZ30" s="700" t="str">
        <f t="shared" si="23"/>
        <v>Z03</v>
      </c>
      <c r="BA30" s="700" t="str">
        <f t="shared" si="23"/>
        <v>Z04</v>
      </c>
      <c r="BB30" s="700" t="str">
        <f t="shared" si="23"/>
        <v>Z05</v>
      </c>
      <c r="BC30" s="700" t="str">
        <f t="shared" si="23"/>
        <v>Z06</v>
      </c>
      <c r="BD30" s="700" t="str">
        <f t="shared" si="23"/>
        <v>Z07</v>
      </c>
      <c r="BE30" s="700" t="str">
        <f t="shared" si="23"/>
        <v>Z08</v>
      </c>
      <c r="BF30" s="700" t="str">
        <f t="shared" si="23"/>
        <v>Z09</v>
      </c>
      <c r="BG30" s="700" t="str">
        <f t="shared" si="23"/>
        <v>Z10</v>
      </c>
      <c r="BH30" s="700" t="str">
        <f t="shared" si="23"/>
        <v>Z11</v>
      </c>
      <c r="BI30" s="700" t="str">
        <f t="shared" si="23"/>
        <v>Z12</v>
      </c>
      <c r="BJ30" s="700" t="str">
        <f t="shared" si="23"/>
        <v>Z13</v>
      </c>
      <c r="BK30" s="700" t="str">
        <f t="shared" si="23"/>
        <v>Z14</v>
      </c>
      <c r="BL30" s="700" t="str">
        <f t="shared" si="23"/>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4" t="str">
        <f>IF(AE32-SUM(AD10:AD11)&lt;0,"too small",IF(AE32-SUM(AD10:AD11)&gt;0.005,"Too big","ok"))</f>
        <v>ok</v>
      </c>
      <c r="AF31" s="622" t="str">
        <f>IF(AF32-SUM(N10:N11)&lt;0,"too small",IF(AF32-SUM(N10:N11)&gt;0.001,"Too big","ok"))</f>
        <v>ok</v>
      </c>
      <c r="AG31" s="622" t="str">
        <f t="shared" ref="AG31:AT31" si="24">IF(AG32-SUM(O10:O11)&lt;0,"too small",IF(AG32-SUM(O10:O11)&gt;0.001,"Too big","ok"))</f>
        <v>ok</v>
      </c>
      <c r="AH31" s="622" t="str">
        <f t="shared" si="24"/>
        <v>ok</v>
      </c>
      <c r="AI31" s="622" t="str">
        <f t="shared" si="24"/>
        <v>ok</v>
      </c>
      <c r="AJ31" s="622" t="str">
        <f t="shared" si="24"/>
        <v>ok</v>
      </c>
      <c r="AK31" s="622" t="str">
        <f t="shared" si="24"/>
        <v>ok</v>
      </c>
      <c r="AL31" s="622" t="str">
        <f t="shared" si="24"/>
        <v>ok</v>
      </c>
      <c r="AM31" s="622" t="str">
        <f t="shared" si="24"/>
        <v>ok</v>
      </c>
      <c r="AN31" s="622" t="str">
        <f>IF(AN32-SUM(V10:V11)&lt;0,"too small",IF(AN32-SUM(V10:V11)&gt;0.001,"Too big","ok"))</f>
        <v>ok</v>
      </c>
      <c r="AO31" s="622" t="str">
        <f t="shared" si="24"/>
        <v>ok</v>
      </c>
      <c r="AP31" s="622" t="str">
        <f t="shared" si="24"/>
        <v>ok</v>
      </c>
      <c r="AQ31" s="622" t="str">
        <f t="shared" si="24"/>
        <v>ok</v>
      </c>
      <c r="AR31" s="622" t="str">
        <f t="shared" si="24"/>
        <v>ok</v>
      </c>
      <c r="AS31" s="622" t="str">
        <f t="shared" si="24"/>
        <v>ok</v>
      </c>
      <c r="AT31" s="622" t="str">
        <f t="shared" si="24"/>
        <v>ok</v>
      </c>
      <c r="AV31" s="398" t="s">
        <v>103</v>
      </c>
      <c r="AW31" s="716">
        <f>SUM(AX31:BL31)</f>
        <v>0</v>
      </c>
      <c r="AX31" s="717">
        <f t="shared" ref="AX31:BL31" si="25">SUM(AX32:AX166)</f>
        <v>0</v>
      </c>
      <c r="AY31" s="717">
        <f t="shared" si="25"/>
        <v>0</v>
      </c>
      <c r="AZ31" s="717">
        <f t="shared" si="25"/>
        <v>0</v>
      </c>
      <c r="BA31" s="717">
        <f t="shared" si="25"/>
        <v>0</v>
      </c>
      <c r="BB31" s="717">
        <f t="shared" si="25"/>
        <v>0</v>
      </c>
      <c r="BC31" s="717">
        <f t="shared" si="25"/>
        <v>0</v>
      </c>
      <c r="BD31" s="717">
        <f t="shared" si="25"/>
        <v>0</v>
      </c>
      <c r="BE31" s="717">
        <f t="shared" si="25"/>
        <v>0</v>
      </c>
      <c r="BF31" s="717">
        <f t="shared" si="25"/>
        <v>0</v>
      </c>
      <c r="BG31" s="717">
        <f t="shared" si="25"/>
        <v>0</v>
      </c>
      <c r="BH31" s="717">
        <f t="shared" si="25"/>
        <v>0</v>
      </c>
      <c r="BI31" s="717">
        <f t="shared" si="25"/>
        <v>0</v>
      </c>
      <c r="BJ31" s="717">
        <f t="shared" si="25"/>
        <v>0</v>
      </c>
      <c r="BK31" s="717">
        <f t="shared" si="25"/>
        <v>0</v>
      </c>
      <c r="BL31" s="717">
        <f t="shared" si="25"/>
        <v>0</v>
      </c>
    </row>
    <row r="32" spans="1:64" x14ac:dyDescent="0.3">
      <c r="A32" s="22"/>
      <c r="B32" s="186" t="str">
        <f>C32</f>
        <v>TCARDST900</v>
      </c>
      <c r="C32" s="186" t="s">
        <v>528</v>
      </c>
      <c r="D32" s="187" t="s">
        <v>775</v>
      </c>
      <c r="E32" s="258" t="s">
        <v>987</v>
      </c>
      <c r="F32" s="170"/>
      <c r="G32" s="189"/>
      <c r="H32" s="170"/>
      <c r="I32" s="190"/>
      <c r="J32" s="191"/>
      <c r="K32" s="191"/>
      <c r="L32" s="211" t="s">
        <v>1106</v>
      </c>
      <c r="M32" s="191" t="s">
        <v>1155</v>
      </c>
      <c r="N32" s="566">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7">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699" t="str">
        <f>MID(E32,1,7)</f>
        <v>TRABDL</v>
      </c>
      <c r="AW32" s="567">
        <f>SUM(AX32:BL32)</f>
        <v>0</v>
      </c>
      <c r="AX32" s="567">
        <f>N$38*N$39*(1-N33-N34)/N$36/1000</f>
        <v>0</v>
      </c>
      <c r="AY32" s="567">
        <f t="shared" ref="AY32:BL32" si="28">O$38*O$39*(1-O33-O34)/O$36/1000</f>
        <v>0</v>
      </c>
      <c r="AZ32" s="567">
        <f t="shared" si="28"/>
        <v>0</v>
      </c>
      <c r="BA32" s="567">
        <f t="shared" si="28"/>
        <v>0</v>
      </c>
      <c r="BB32" s="567">
        <f t="shared" si="28"/>
        <v>0</v>
      </c>
      <c r="BC32" s="567">
        <f t="shared" si="28"/>
        <v>0</v>
      </c>
      <c r="BD32" s="567">
        <f t="shared" si="28"/>
        <v>0</v>
      </c>
      <c r="BE32" s="567">
        <f t="shared" si="28"/>
        <v>0</v>
      </c>
      <c r="BF32" s="567">
        <f t="shared" si="28"/>
        <v>0</v>
      </c>
      <c r="BG32" s="567">
        <f t="shared" si="28"/>
        <v>0</v>
      </c>
      <c r="BH32" s="567">
        <f t="shared" si="28"/>
        <v>0</v>
      </c>
      <c r="BI32" s="567">
        <f t="shared" si="28"/>
        <v>0</v>
      </c>
      <c r="BJ32" s="567">
        <f t="shared" si="28"/>
        <v>0</v>
      </c>
      <c r="BK32" s="567">
        <f t="shared" si="28"/>
        <v>0</v>
      </c>
      <c r="BL32" s="567">
        <f t="shared" si="28"/>
        <v>0</v>
      </c>
    </row>
    <row r="33" spans="1:64" x14ac:dyDescent="0.3">
      <c r="A33" s="22"/>
      <c r="B33" s="186" t="str">
        <f>B32</f>
        <v>TCARDST900</v>
      </c>
      <c r="C33" s="186"/>
      <c r="D33" s="187"/>
      <c r="E33" s="258" t="s">
        <v>185</v>
      </c>
      <c r="F33" s="170"/>
      <c r="G33" s="189"/>
      <c r="H33" s="170"/>
      <c r="I33" s="190"/>
      <c r="J33" s="191" t="s">
        <v>1156</v>
      </c>
      <c r="K33" s="191"/>
      <c r="L33" s="211" t="s">
        <v>101</v>
      </c>
      <c r="M33" s="191"/>
      <c r="N33" s="377">
        <f>1-N$17-N$18</f>
        <v>0.7669999999999999</v>
      </c>
      <c r="O33" s="377">
        <f t="shared" ref="O33:AB33" si="29">1-O$17-O$18</f>
        <v>0.7669999999999999</v>
      </c>
      <c r="P33" s="377">
        <f t="shared" si="29"/>
        <v>0.7669999999999999</v>
      </c>
      <c r="Q33" s="377">
        <f t="shared" si="29"/>
        <v>0.7669999999999999</v>
      </c>
      <c r="R33" s="377">
        <f t="shared" si="29"/>
        <v>0.7669999999999999</v>
      </c>
      <c r="S33" s="377">
        <f t="shared" si="29"/>
        <v>0.7669999999999999</v>
      </c>
      <c r="T33" s="377">
        <f t="shared" si="29"/>
        <v>0.7669999999999999</v>
      </c>
      <c r="U33" s="377">
        <f t="shared" si="29"/>
        <v>0.7669999999999999</v>
      </c>
      <c r="V33" s="377">
        <f t="shared" si="29"/>
        <v>0.7669999999999999</v>
      </c>
      <c r="W33" s="377">
        <f t="shared" si="29"/>
        <v>0.7669999999999999</v>
      </c>
      <c r="X33" s="377">
        <f t="shared" si="29"/>
        <v>0.7669999999999999</v>
      </c>
      <c r="Y33" s="377">
        <f t="shared" si="29"/>
        <v>0.7669999999999999</v>
      </c>
      <c r="Z33" s="377">
        <f t="shared" si="29"/>
        <v>0.7669999999999999</v>
      </c>
      <c r="AA33" s="377">
        <f t="shared" si="29"/>
        <v>0.7669999999999999</v>
      </c>
      <c r="AB33" s="377">
        <f t="shared" si="29"/>
        <v>0.7669999999999999</v>
      </c>
      <c r="AD33" s="399" t="str">
        <f>IF(COUNTIF($AG$14:$AP$14,AD32)=1,"ok","MISSING")</f>
        <v>ok</v>
      </c>
      <c r="AE33" s="405"/>
      <c r="AV33" s="699" t="str">
        <f>MID(E33,1,7)</f>
        <v>TRADST</v>
      </c>
      <c r="AW33" s="567">
        <f>SUM(AX33:BL33)</f>
        <v>0</v>
      </c>
      <c r="AX33" s="567">
        <f>N$38*N$39*N33/N$36/1000</f>
        <v>0</v>
      </c>
      <c r="AY33" s="567">
        <f t="shared" ref="AY33:BL34" si="30">O$38*O$39*O33/O$36/1000</f>
        <v>0</v>
      </c>
      <c r="AZ33" s="567">
        <f t="shared" si="30"/>
        <v>0</v>
      </c>
      <c r="BA33" s="567">
        <f t="shared" si="30"/>
        <v>0</v>
      </c>
      <c r="BB33" s="567">
        <f t="shared" si="30"/>
        <v>0</v>
      </c>
      <c r="BC33" s="567">
        <f t="shared" si="30"/>
        <v>0</v>
      </c>
      <c r="BD33" s="567">
        <f t="shared" si="30"/>
        <v>0</v>
      </c>
      <c r="BE33" s="567">
        <f t="shared" si="30"/>
        <v>0</v>
      </c>
      <c r="BF33" s="567">
        <f t="shared" si="30"/>
        <v>0</v>
      </c>
      <c r="BG33" s="567">
        <f t="shared" si="30"/>
        <v>0</v>
      </c>
      <c r="BH33" s="567">
        <f t="shared" si="30"/>
        <v>0</v>
      </c>
      <c r="BI33" s="567">
        <f t="shared" si="30"/>
        <v>0</v>
      </c>
      <c r="BJ33" s="567">
        <f t="shared" si="30"/>
        <v>0</v>
      </c>
      <c r="BK33" s="567">
        <f t="shared" si="30"/>
        <v>0</v>
      </c>
      <c r="BL33" s="567">
        <f t="shared" si="30"/>
        <v>0</v>
      </c>
    </row>
    <row r="34" spans="1:64" x14ac:dyDescent="0.3">
      <c r="A34" s="22"/>
      <c r="B34" s="186" t="str">
        <f t="shared" ref="B34:B45" si="31">B33</f>
        <v>TCARDST900</v>
      </c>
      <c r="C34" s="186"/>
      <c r="D34" s="187"/>
      <c r="E34" s="258" t="s">
        <v>989</v>
      </c>
      <c r="F34" s="170"/>
      <c r="G34" s="189"/>
      <c r="H34" s="170"/>
      <c r="I34" s="190"/>
      <c r="J34" s="191" t="s">
        <v>1156</v>
      </c>
      <c r="K34" s="191"/>
      <c r="L34" s="211" t="s">
        <v>101</v>
      </c>
      <c r="M34" s="191"/>
      <c r="N34" s="377">
        <f>N$17</f>
        <v>5.8000000000000003E-2</v>
      </c>
      <c r="O34" s="377">
        <f t="shared" ref="O34:AB34" si="32">O$17</f>
        <v>5.8000000000000003E-2</v>
      </c>
      <c r="P34" s="377">
        <f t="shared" si="32"/>
        <v>5.8000000000000003E-2</v>
      </c>
      <c r="Q34" s="377">
        <f t="shared" si="32"/>
        <v>5.8000000000000003E-2</v>
      </c>
      <c r="R34" s="377">
        <f t="shared" si="32"/>
        <v>5.8000000000000003E-2</v>
      </c>
      <c r="S34" s="377">
        <f t="shared" si="32"/>
        <v>5.8000000000000003E-2</v>
      </c>
      <c r="T34" s="377">
        <f t="shared" si="32"/>
        <v>5.8000000000000003E-2</v>
      </c>
      <c r="U34" s="377">
        <f t="shared" si="32"/>
        <v>5.8000000000000003E-2</v>
      </c>
      <c r="V34" s="377">
        <f t="shared" si="32"/>
        <v>5.8000000000000003E-2</v>
      </c>
      <c r="W34" s="377">
        <f t="shared" si="32"/>
        <v>5.8000000000000003E-2</v>
      </c>
      <c r="X34" s="377">
        <f t="shared" si="32"/>
        <v>5.8000000000000003E-2</v>
      </c>
      <c r="Y34" s="377">
        <f t="shared" si="32"/>
        <v>5.8000000000000003E-2</v>
      </c>
      <c r="Z34" s="377">
        <f t="shared" si="32"/>
        <v>5.8000000000000003E-2</v>
      </c>
      <c r="AA34" s="377">
        <f t="shared" si="32"/>
        <v>5.8000000000000003E-2</v>
      </c>
      <c r="AB34" s="377">
        <f t="shared" si="32"/>
        <v>5.8000000000000003E-2</v>
      </c>
      <c r="AD34" s="399"/>
      <c r="AE34" s="405"/>
      <c r="AV34" s="699" t="str">
        <f>MID(E34,1,7)</f>
        <v>TRABDLM</v>
      </c>
      <c r="AW34" s="567">
        <f>SUM(AX34:BL34)</f>
        <v>0</v>
      </c>
      <c r="AX34" s="567">
        <f>N$38*N$39*N34/N$36/1000</f>
        <v>0</v>
      </c>
      <c r="AY34" s="567">
        <f t="shared" si="30"/>
        <v>0</v>
      </c>
      <c r="AZ34" s="567">
        <f t="shared" si="30"/>
        <v>0</v>
      </c>
      <c r="BA34" s="567">
        <f t="shared" si="30"/>
        <v>0</v>
      </c>
      <c r="BB34" s="567">
        <f t="shared" si="30"/>
        <v>0</v>
      </c>
      <c r="BC34" s="567">
        <f t="shared" si="30"/>
        <v>0</v>
      </c>
      <c r="BD34" s="567">
        <f t="shared" si="30"/>
        <v>0</v>
      </c>
      <c r="BE34" s="567">
        <f t="shared" si="30"/>
        <v>0</v>
      </c>
      <c r="BF34" s="567">
        <f t="shared" si="30"/>
        <v>0</v>
      </c>
      <c r="BG34" s="567">
        <f t="shared" si="30"/>
        <v>0</v>
      </c>
      <c r="BH34" s="567">
        <f t="shared" si="30"/>
        <v>0</v>
      </c>
      <c r="BI34" s="567">
        <f t="shared" si="30"/>
        <v>0</v>
      </c>
      <c r="BJ34" s="567">
        <f t="shared" si="30"/>
        <v>0</v>
      </c>
      <c r="BK34" s="567">
        <f t="shared" si="30"/>
        <v>0</v>
      </c>
      <c r="BL34" s="567">
        <f t="shared" si="30"/>
        <v>0</v>
      </c>
    </row>
    <row r="35" spans="1:64" x14ac:dyDescent="0.3">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699" t="str">
        <f t="shared" ref="AV35:AV99" si="33">MID(E35,1,7)</f>
        <v/>
      </c>
      <c r="AW35" s="704"/>
      <c r="AX35" s="567"/>
      <c r="AY35" s="704"/>
      <c r="AZ35" s="704"/>
      <c r="BA35" s="704"/>
      <c r="BB35" s="704"/>
      <c r="BC35" s="704"/>
      <c r="BD35" s="704"/>
      <c r="BE35" s="704"/>
      <c r="BF35" s="704"/>
      <c r="BG35" s="704"/>
      <c r="BH35" s="704"/>
      <c r="BI35" s="704"/>
      <c r="BJ35" s="704"/>
      <c r="BK35" s="704"/>
      <c r="BL35" s="704"/>
    </row>
    <row r="36" spans="1:64" x14ac:dyDescent="0.3">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699" t="str">
        <f t="shared" si="33"/>
        <v/>
      </c>
      <c r="AX36" s="567"/>
    </row>
    <row r="37" spans="1:64" x14ac:dyDescent="0.3">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699" t="str">
        <f t="shared" si="33"/>
        <v/>
      </c>
    </row>
    <row r="38" spans="1:64" x14ac:dyDescent="0.3">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699" t="str">
        <f t="shared" si="33"/>
        <v/>
      </c>
    </row>
    <row r="39" spans="1:64" x14ac:dyDescent="0.3">
      <c r="B39" s="186" t="str">
        <f t="shared" si="31"/>
        <v>TCARDST900</v>
      </c>
      <c r="C39" s="186"/>
      <c r="D39" s="187"/>
      <c r="E39" s="186"/>
      <c r="F39" s="170"/>
      <c r="G39" s="189"/>
      <c r="H39" s="170"/>
      <c r="I39" s="190">
        <f>$M$3</f>
        <v>2019</v>
      </c>
      <c r="J39" s="191"/>
      <c r="K39" s="191"/>
      <c r="L39" s="211" t="s">
        <v>1064</v>
      </c>
      <c r="M39" s="186" t="s">
        <v>747</v>
      </c>
      <c r="N39" s="686">
        <f>LOOKUP($C$32, 'T_Stock_TOTAL_&amp;_City'!$C$10:$C$20, 'T_Stock_TOTAL_&amp;_City'!D$10:D$20)*(1+N27)</f>
        <v>0</v>
      </c>
      <c r="O39" s="686">
        <f>LOOKUP($C$32, 'T_Stock_TOTAL_&amp;_City'!$C$10:$C$20, 'T_Stock_TOTAL_&amp;_City'!E$10:E$20)*(1+O27)</f>
        <v>0</v>
      </c>
      <c r="P39" s="686">
        <f>LOOKUP($C$32, 'T_Stock_TOTAL_&amp;_City'!$C$10:$C$20, 'T_Stock_TOTAL_&amp;_City'!F$10:F$20)*(1+P27)</f>
        <v>0</v>
      </c>
      <c r="Q39" s="686">
        <f>LOOKUP($C$32, 'T_Stock_TOTAL_&amp;_City'!$C$10:$C$20, 'T_Stock_TOTAL_&amp;_City'!G$10:G$20)*(1+Q27)</f>
        <v>0</v>
      </c>
      <c r="R39" s="686">
        <f>LOOKUP($C$32, 'T_Stock_TOTAL_&amp;_City'!$C$10:$C$20, 'T_Stock_TOTAL_&amp;_City'!H$10:H$20)*(1+R27)</f>
        <v>0</v>
      </c>
      <c r="S39" s="686">
        <f>LOOKUP($C$32, 'T_Stock_TOTAL_&amp;_City'!$C$10:$C$20, 'T_Stock_TOTAL_&amp;_City'!I$10:I$20)*(1+S27)</f>
        <v>0</v>
      </c>
      <c r="T39" s="686">
        <f>LOOKUP($C$32, 'T_Stock_TOTAL_&amp;_City'!$C$10:$C$20, 'T_Stock_TOTAL_&amp;_City'!J$10:J$20)*(1+T27)</f>
        <v>0</v>
      </c>
      <c r="U39" s="686">
        <f>LOOKUP($C$32, 'T_Stock_TOTAL_&amp;_City'!$C$10:$C$20, 'T_Stock_TOTAL_&amp;_City'!K$10:K$20)*(1+U27)</f>
        <v>0</v>
      </c>
      <c r="V39" s="686">
        <f>LOOKUP($C$32, 'T_Stock_TOTAL_&amp;_City'!$C$10:$C$20, 'T_Stock_TOTAL_&amp;_City'!L$10:L$20)*(1+V27)</f>
        <v>0</v>
      </c>
      <c r="W39" s="686">
        <f>LOOKUP($C$32, 'T_Stock_TOTAL_&amp;_City'!$C$10:$C$20, 'T_Stock_TOTAL_&amp;_City'!M$10:M$20)*(1+W27)</f>
        <v>0</v>
      </c>
      <c r="X39" s="686">
        <f>LOOKUP($C$32, 'T_Stock_TOTAL_&amp;_City'!$C$10:$C$20, 'T_Stock_TOTAL_&amp;_City'!N$10:N$20)*(1+X27)</f>
        <v>0</v>
      </c>
      <c r="Y39" s="686">
        <f>LOOKUP($C$32, 'T_Stock_TOTAL_&amp;_City'!$C$10:$C$20, 'T_Stock_TOTAL_&amp;_City'!O$10:O$20)*(1+Y27)</f>
        <v>0</v>
      </c>
      <c r="Z39" s="686">
        <f>LOOKUP($C$32, 'T_Stock_TOTAL_&amp;_City'!$C$10:$C$20, 'T_Stock_TOTAL_&amp;_City'!P$10:P$20)*(1+Z27)</f>
        <v>0</v>
      </c>
      <c r="AA39" s="686">
        <f>LOOKUP($C$32, 'T_Stock_TOTAL_&amp;_City'!$C$10:$C$20, 'T_Stock_TOTAL_&amp;_City'!Q$10:Q$20)*(1+AA27)</f>
        <v>0</v>
      </c>
      <c r="AB39" s="686">
        <f>LOOKUP($C$32, 'T_Stock_TOTAL_&amp;_City'!$C$10:$C$20, 'T_Stock_TOTAL_&amp;_City'!R$10:R$20)*(1+AB27)</f>
        <v>0</v>
      </c>
      <c r="AC39" s="61"/>
      <c r="AV39" s="699" t="str">
        <f t="shared" si="33"/>
        <v/>
      </c>
    </row>
    <row r="40" spans="1:64" x14ac:dyDescent="0.3">
      <c r="B40" s="186" t="str">
        <f t="shared" si="31"/>
        <v>TCARDST900</v>
      </c>
      <c r="C40" s="186"/>
      <c r="D40" s="187"/>
      <c r="E40" s="186"/>
      <c r="F40" s="170"/>
      <c r="G40" s="189"/>
      <c r="H40" s="170"/>
      <c r="I40" s="190">
        <f>AF$15</f>
        <v>2016</v>
      </c>
      <c r="J40" s="191"/>
      <c r="K40" s="191"/>
      <c r="L40" s="211" t="s">
        <v>1064</v>
      </c>
      <c r="M40" s="186" t="s">
        <v>747</v>
      </c>
      <c r="N40" s="686">
        <f t="shared" ref="N40:AB40" si="35">N$39*LOOKUP($AD$32,$AG$14:$AP$14,$AG$15:$AP$15)</f>
        <v>0</v>
      </c>
      <c r="O40" s="686">
        <f t="shared" si="35"/>
        <v>0</v>
      </c>
      <c r="P40" s="686">
        <f t="shared" si="35"/>
        <v>0</v>
      </c>
      <c r="Q40" s="686">
        <f t="shared" si="35"/>
        <v>0</v>
      </c>
      <c r="R40" s="686">
        <f t="shared" si="35"/>
        <v>0</v>
      </c>
      <c r="S40" s="686">
        <f t="shared" si="35"/>
        <v>0</v>
      </c>
      <c r="T40" s="686">
        <f t="shared" si="35"/>
        <v>0</v>
      </c>
      <c r="U40" s="686">
        <f t="shared" si="35"/>
        <v>0</v>
      </c>
      <c r="V40" s="686">
        <f t="shared" si="35"/>
        <v>0</v>
      </c>
      <c r="W40" s="686">
        <f t="shared" si="35"/>
        <v>0</v>
      </c>
      <c r="X40" s="686">
        <f t="shared" si="35"/>
        <v>0</v>
      </c>
      <c r="Y40" s="686">
        <f t="shared" si="35"/>
        <v>0</v>
      </c>
      <c r="Z40" s="686">
        <f t="shared" si="35"/>
        <v>0</v>
      </c>
      <c r="AA40" s="686">
        <f t="shared" si="35"/>
        <v>0</v>
      </c>
      <c r="AB40" s="686">
        <f t="shared" si="35"/>
        <v>0</v>
      </c>
      <c r="AE40" s="568">
        <f>SUM(AF40:AT40)</f>
        <v>0</v>
      </c>
      <c r="AF40" s="567">
        <f>N37*N38*N39/1000</f>
        <v>0</v>
      </c>
      <c r="AG40" s="567">
        <f t="shared" ref="AG40:AT40" si="36">O37*O38*O39/1000</f>
        <v>0</v>
      </c>
      <c r="AH40" s="567">
        <f t="shared" si="36"/>
        <v>0</v>
      </c>
      <c r="AI40" s="567">
        <f t="shared" si="36"/>
        <v>0</v>
      </c>
      <c r="AJ40" s="567">
        <f t="shared" si="36"/>
        <v>0</v>
      </c>
      <c r="AK40" s="567">
        <f t="shared" si="36"/>
        <v>0</v>
      </c>
      <c r="AL40" s="567">
        <f t="shared" si="36"/>
        <v>0</v>
      </c>
      <c r="AM40" s="567">
        <f t="shared" si="36"/>
        <v>0</v>
      </c>
      <c r="AN40" s="567">
        <f t="shared" si="36"/>
        <v>0</v>
      </c>
      <c r="AO40" s="567">
        <f t="shared" si="36"/>
        <v>0</v>
      </c>
      <c r="AP40" s="567">
        <f t="shared" si="36"/>
        <v>0</v>
      </c>
      <c r="AQ40" s="567">
        <f t="shared" si="36"/>
        <v>0</v>
      </c>
      <c r="AR40" s="567">
        <f t="shared" si="36"/>
        <v>0</v>
      </c>
      <c r="AS40" s="567">
        <f t="shared" si="36"/>
        <v>0</v>
      </c>
      <c r="AT40" s="567">
        <f t="shared" si="36"/>
        <v>0</v>
      </c>
      <c r="AV40" s="699" t="str">
        <f t="shared" si="33"/>
        <v/>
      </c>
    </row>
    <row r="41" spans="1:64" x14ac:dyDescent="0.3">
      <c r="B41" s="186" t="str">
        <f t="shared" si="31"/>
        <v>TCARDST900</v>
      </c>
      <c r="C41" s="186"/>
      <c r="D41" s="187"/>
      <c r="E41" s="186"/>
      <c r="F41" s="170"/>
      <c r="G41" s="189"/>
      <c r="H41" s="170"/>
      <c r="I41" s="190">
        <f>AF$16</f>
        <v>2020</v>
      </c>
      <c r="J41" s="191"/>
      <c r="K41" s="191"/>
      <c r="L41" s="211" t="s">
        <v>1064</v>
      </c>
      <c r="M41" s="186" t="s">
        <v>747</v>
      </c>
      <c r="N41" s="686">
        <f t="shared" ref="N41:AB41" si="37">N$39*LOOKUP($AD$32,$AG$14:$AP$14,$AG$16:$AP$16)</f>
        <v>0</v>
      </c>
      <c r="O41" s="686">
        <f t="shared" si="37"/>
        <v>0</v>
      </c>
      <c r="P41" s="686">
        <f t="shared" si="37"/>
        <v>0</v>
      </c>
      <c r="Q41" s="686">
        <f t="shared" si="37"/>
        <v>0</v>
      </c>
      <c r="R41" s="686">
        <f t="shared" si="37"/>
        <v>0</v>
      </c>
      <c r="S41" s="686">
        <f t="shared" si="37"/>
        <v>0</v>
      </c>
      <c r="T41" s="686">
        <f t="shared" si="37"/>
        <v>0</v>
      </c>
      <c r="U41" s="686">
        <f t="shared" si="37"/>
        <v>0</v>
      </c>
      <c r="V41" s="686">
        <f t="shared" si="37"/>
        <v>0</v>
      </c>
      <c r="W41" s="686">
        <f t="shared" si="37"/>
        <v>0</v>
      </c>
      <c r="X41" s="686">
        <f t="shared" si="37"/>
        <v>0</v>
      </c>
      <c r="Y41" s="686">
        <f t="shared" si="37"/>
        <v>0</v>
      </c>
      <c r="Z41" s="686">
        <f t="shared" si="37"/>
        <v>0</v>
      </c>
      <c r="AA41" s="686">
        <f t="shared" si="37"/>
        <v>0</v>
      </c>
      <c r="AB41" s="686">
        <f t="shared" si="37"/>
        <v>0</v>
      </c>
      <c r="AV41" s="699" t="str">
        <f t="shared" si="33"/>
        <v/>
      </c>
    </row>
    <row r="42" spans="1:64" x14ac:dyDescent="0.3">
      <c r="B42" s="186" t="str">
        <f t="shared" si="31"/>
        <v>TCARDST900</v>
      </c>
      <c r="C42" s="186"/>
      <c r="D42" s="187"/>
      <c r="E42" s="186"/>
      <c r="F42" s="170"/>
      <c r="G42" s="189"/>
      <c r="H42" s="170"/>
      <c r="I42" s="190">
        <v>2025</v>
      </c>
      <c r="J42" s="191"/>
      <c r="K42" s="191"/>
      <c r="L42" s="211" t="s">
        <v>1064</v>
      </c>
      <c r="M42" s="186" t="s">
        <v>747</v>
      </c>
      <c r="N42" s="686">
        <f t="shared" ref="N42:AB42" si="38">N$39*LOOKUP($AD$32,$AG$14:$AP$14,$AG$17:$AP$17)</f>
        <v>0</v>
      </c>
      <c r="O42" s="686">
        <f t="shared" si="38"/>
        <v>0</v>
      </c>
      <c r="P42" s="686">
        <f t="shared" si="38"/>
        <v>0</v>
      </c>
      <c r="Q42" s="686">
        <f t="shared" si="38"/>
        <v>0</v>
      </c>
      <c r="R42" s="686">
        <f t="shared" si="38"/>
        <v>0</v>
      </c>
      <c r="S42" s="686">
        <f t="shared" si="38"/>
        <v>0</v>
      </c>
      <c r="T42" s="686">
        <f t="shared" si="38"/>
        <v>0</v>
      </c>
      <c r="U42" s="686">
        <f t="shared" si="38"/>
        <v>0</v>
      </c>
      <c r="V42" s="686">
        <f t="shared" si="38"/>
        <v>0</v>
      </c>
      <c r="W42" s="686">
        <f t="shared" si="38"/>
        <v>0</v>
      </c>
      <c r="X42" s="686">
        <f t="shared" si="38"/>
        <v>0</v>
      </c>
      <c r="Y42" s="686">
        <f t="shared" si="38"/>
        <v>0</v>
      </c>
      <c r="Z42" s="686">
        <f t="shared" si="38"/>
        <v>0</v>
      </c>
      <c r="AA42" s="686">
        <f t="shared" si="38"/>
        <v>0</v>
      </c>
      <c r="AB42" s="686">
        <f t="shared" si="38"/>
        <v>0</v>
      </c>
      <c r="AV42" s="699" t="str">
        <f t="shared" si="33"/>
        <v/>
      </c>
    </row>
    <row r="43" spans="1:64" x14ac:dyDescent="0.3">
      <c r="B43" s="186" t="str">
        <f t="shared" si="31"/>
        <v>TCARDST900</v>
      </c>
      <c r="C43" s="186"/>
      <c r="D43" s="187"/>
      <c r="E43" s="186"/>
      <c r="F43" s="170"/>
      <c r="G43" s="189"/>
      <c r="H43" s="170"/>
      <c r="I43" s="190">
        <f>AF$18</f>
        <v>2030</v>
      </c>
      <c r="J43" s="191"/>
      <c r="K43" s="191"/>
      <c r="L43" s="211" t="s">
        <v>1064</v>
      </c>
      <c r="M43" s="186" t="s">
        <v>747</v>
      </c>
      <c r="N43" s="686">
        <f t="shared" ref="N43:AB43" si="39">N$39*LOOKUP($AD$32,$AG$14:$AP$14,$AG$18:$AP$18)</f>
        <v>0</v>
      </c>
      <c r="O43" s="686">
        <f t="shared" si="39"/>
        <v>0</v>
      </c>
      <c r="P43" s="686">
        <f t="shared" si="39"/>
        <v>0</v>
      </c>
      <c r="Q43" s="686">
        <f t="shared" si="39"/>
        <v>0</v>
      </c>
      <c r="R43" s="686">
        <f t="shared" si="39"/>
        <v>0</v>
      </c>
      <c r="S43" s="686">
        <f t="shared" si="39"/>
        <v>0</v>
      </c>
      <c r="T43" s="686">
        <f t="shared" si="39"/>
        <v>0</v>
      </c>
      <c r="U43" s="686">
        <f t="shared" si="39"/>
        <v>0</v>
      </c>
      <c r="V43" s="686">
        <f t="shared" si="39"/>
        <v>0</v>
      </c>
      <c r="W43" s="686">
        <f t="shared" si="39"/>
        <v>0</v>
      </c>
      <c r="X43" s="686">
        <f t="shared" si="39"/>
        <v>0</v>
      </c>
      <c r="Y43" s="686">
        <f t="shared" si="39"/>
        <v>0</v>
      </c>
      <c r="Z43" s="686">
        <f t="shared" si="39"/>
        <v>0</v>
      </c>
      <c r="AA43" s="686">
        <f t="shared" si="39"/>
        <v>0</v>
      </c>
      <c r="AB43" s="686">
        <f t="shared" si="39"/>
        <v>0</v>
      </c>
      <c r="AV43" s="699" t="str">
        <f t="shared" si="33"/>
        <v/>
      </c>
    </row>
    <row r="44" spans="1:64" x14ac:dyDescent="0.3">
      <c r="B44" s="186" t="str">
        <f t="shared" si="31"/>
        <v>TCARDST900</v>
      </c>
      <c r="C44" s="186"/>
      <c r="D44" s="187"/>
      <c r="E44" s="186"/>
      <c r="F44" s="170"/>
      <c r="G44" s="189"/>
      <c r="H44" s="170"/>
      <c r="I44" s="190">
        <f>AF$19</f>
        <v>2040</v>
      </c>
      <c r="J44" s="191"/>
      <c r="K44" s="191"/>
      <c r="L44" s="211" t="s">
        <v>1064</v>
      </c>
      <c r="M44" s="186" t="s">
        <v>747</v>
      </c>
      <c r="N44" s="686">
        <f t="shared" ref="N44:AB44" si="40">N$39*LOOKUP($AD$32,$AG$14:$AP$14,$AG$19:$AP$19)</f>
        <v>0</v>
      </c>
      <c r="O44" s="686">
        <f t="shared" si="40"/>
        <v>0</v>
      </c>
      <c r="P44" s="686">
        <f t="shared" si="40"/>
        <v>0</v>
      </c>
      <c r="Q44" s="686">
        <f t="shared" si="40"/>
        <v>0</v>
      </c>
      <c r="R44" s="686">
        <f t="shared" si="40"/>
        <v>0</v>
      </c>
      <c r="S44" s="686">
        <f t="shared" si="40"/>
        <v>0</v>
      </c>
      <c r="T44" s="686">
        <f t="shared" si="40"/>
        <v>0</v>
      </c>
      <c r="U44" s="686">
        <f t="shared" si="40"/>
        <v>0</v>
      </c>
      <c r="V44" s="686">
        <f t="shared" si="40"/>
        <v>0</v>
      </c>
      <c r="W44" s="686">
        <f t="shared" si="40"/>
        <v>0</v>
      </c>
      <c r="X44" s="686">
        <f t="shared" si="40"/>
        <v>0</v>
      </c>
      <c r="Y44" s="686">
        <f t="shared" si="40"/>
        <v>0</v>
      </c>
      <c r="Z44" s="686">
        <f t="shared" si="40"/>
        <v>0</v>
      </c>
      <c r="AA44" s="686">
        <f t="shared" si="40"/>
        <v>0</v>
      </c>
      <c r="AB44" s="686">
        <f t="shared" si="40"/>
        <v>0</v>
      </c>
      <c r="AV44" s="699" t="str">
        <f t="shared" si="33"/>
        <v/>
      </c>
    </row>
    <row r="45" spans="1:64" x14ac:dyDescent="0.3">
      <c r="B45" s="193" t="str">
        <f t="shared" si="31"/>
        <v>TCARDST900</v>
      </c>
      <c r="C45" s="193"/>
      <c r="D45" s="194"/>
      <c r="E45" s="193"/>
      <c r="F45" s="196"/>
      <c r="G45" s="195"/>
      <c r="H45" s="196"/>
      <c r="I45" s="197">
        <f>AF$20</f>
        <v>2050</v>
      </c>
      <c r="J45" s="198"/>
      <c r="K45" s="198"/>
      <c r="L45" s="212" t="s">
        <v>1064</v>
      </c>
      <c r="M45" s="193" t="s">
        <v>747</v>
      </c>
      <c r="N45" s="687">
        <f t="shared" ref="N45:AB45" si="41">N$39*LOOKUP($AD$32,$AG$14:$AP$14,$AG$20:$AP$20)</f>
        <v>0</v>
      </c>
      <c r="O45" s="687">
        <f t="shared" si="41"/>
        <v>0</v>
      </c>
      <c r="P45" s="687">
        <f t="shared" si="41"/>
        <v>0</v>
      </c>
      <c r="Q45" s="687">
        <f t="shared" si="41"/>
        <v>0</v>
      </c>
      <c r="R45" s="687">
        <f t="shared" si="41"/>
        <v>0</v>
      </c>
      <c r="S45" s="687">
        <f t="shared" si="41"/>
        <v>0</v>
      </c>
      <c r="T45" s="687">
        <f t="shared" si="41"/>
        <v>0</v>
      </c>
      <c r="U45" s="687">
        <f t="shared" si="41"/>
        <v>0</v>
      </c>
      <c r="V45" s="687">
        <f t="shared" si="41"/>
        <v>0</v>
      </c>
      <c r="W45" s="687">
        <f t="shared" si="41"/>
        <v>0</v>
      </c>
      <c r="X45" s="687">
        <f t="shared" si="41"/>
        <v>0</v>
      </c>
      <c r="Y45" s="687">
        <f t="shared" si="41"/>
        <v>0</v>
      </c>
      <c r="Z45" s="687">
        <f t="shared" si="41"/>
        <v>0</v>
      </c>
      <c r="AA45" s="687">
        <f t="shared" si="41"/>
        <v>0</v>
      </c>
      <c r="AB45" s="687">
        <f t="shared" si="41"/>
        <v>0</v>
      </c>
      <c r="AD45" s="400"/>
      <c r="AV45" s="699" t="str">
        <f t="shared" si="33"/>
        <v/>
      </c>
    </row>
    <row r="46" spans="1:64" x14ac:dyDescent="0.3">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699" t="str">
        <f t="shared" si="33"/>
        <v>TRAELC</v>
      </c>
      <c r="AW46" s="567">
        <f>SUM(AX46:BL46)</f>
        <v>0</v>
      </c>
      <c r="AX46" s="567">
        <f>N50*N51/N47/1000</f>
        <v>0</v>
      </c>
      <c r="AY46" s="567">
        <f t="shared" ref="AY46:BL46" si="43">O50*O51/O47/1000</f>
        <v>0</v>
      </c>
      <c r="AZ46" s="567">
        <f t="shared" si="43"/>
        <v>0</v>
      </c>
      <c r="BA46" s="567">
        <f t="shared" si="43"/>
        <v>0</v>
      </c>
      <c r="BB46" s="567">
        <f t="shared" si="43"/>
        <v>0</v>
      </c>
      <c r="BC46" s="567">
        <f t="shared" si="43"/>
        <v>0</v>
      </c>
      <c r="BD46" s="567">
        <f t="shared" si="43"/>
        <v>0</v>
      </c>
      <c r="BE46" s="567">
        <f t="shared" si="43"/>
        <v>0</v>
      </c>
      <c r="BF46" s="567">
        <f t="shared" si="43"/>
        <v>0</v>
      </c>
      <c r="BG46" s="567">
        <f t="shared" si="43"/>
        <v>0</v>
      </c>
      <c r="BH46" s="567">
        <f t="shared" si="43"/>
        <v>0</v>
      </c>
      <c r="BI46" s="567">
        <f t="shared" si="43"/>
        <v>0</v>
      </c>
      <c r="BJ46" s="567">
        <f t="shared" si="43"/>
        <v>0</v>
      </c>
      <c r="BK46" s="567">
        <f t="shared" si="43"/>
        <v>0</v>
      </c>
      <c r="BL46" s="567">
        <f t="shared" si="43"/>
        <v>0</v>
      </c>
    </row>
    <row r="47" spans="1:64" x14ac:dyDescent="0.3">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699" t="str">
        <f t="shared" si="33"/>
        <v/>
      </c>
    </row>
    <row r="48" spans="1:64" x14ac:dyDescent="0.3">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699" t="str">
        <f t="shared" si="33"/>
        <v/>
      </c>
    </row>
    <row r="49" spans="1:64" x14ac:dyDescent="0.3">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699" t="str">
        <f t="shared" si="33"/>
        <v/>
      </c>
    </row>
    <row r="50" spans="1:64" x14ac:dyDescent="0.3">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699" t="str">
        <f t="shared" si="33"/>
        <v/>
      </c>
    </row>
    <row r="51" spans="1:64" x14ac:dyDescent="0.3">
      <c r="A51" s="22"/>
      <c r="B51" s="186" t="str">
        <f>B50</f>
        <v>TCARELC900</v>
      </c>
      <c r="C51" s="186"/>
      <c r="D51" s="187"/>
      <c r="E51" s="186"/>
      <c r="F51" s="170"/>
      <c r="G51" s="189"/>
      <c r="H51" s="170"/>
      <c r="I51" s="190">
        <f>$M$3</f>
        <v>2019</v>
      </c>
      <c r="J51" s="191"/>
      <c r="K51" s="191"/>
      <c r="L51" s="211" t="s">
        <v>1064</v>
      </c>
      <c r="M51" s="186" t="s">
        <v>747</v>
      </c>
      <c r="N51" s="686">
        <f>LOOKUP($C$46, 'T_Stock_TOTAL_&amp;_City'!$C$10:$C$20, 'T_Stock_TOTAL_&amp;_City'!D$10:D$20)*(1+N27)</f>
        <v>0</v>
      </c>
      <c r="O51" s="686">
        <f>LOOKUP($C$46, 'T_Stock_TOTAL_&amp;_City'!$C$10:$C$20, 'T_Stock_TOTAL_&amp;_City'!E$10:E$20)*(1+O27)</f>
        <v>0</v>
      </c>
      <c r="P51" s="686">
        <f>LOOKUP($C$46, 'T_Stock_TOTAL_&amp;_City'!$C$10:$C$20, 'T_Stock_TOTAL_&amp;_City'!F$10:F$20)*(1+P27)</f>
        <v>0</v>
      </c>
      <c r="Q51" s="686">
        <f>LOOKUP($C$46, 'T_Stock_TOTAL_&amp;_City'!$C$10:$C$20, 'T_Stock_TOTAL_&amp;_City'!G$10:G$20)*(1+Q27)</f>
        <v>0</v>
      </c>
      <c r="R51" s="686">
        <f>LOOKUP($C$46, 'T_Stock_TOTAL_&amp;_City'!$C$10:$C$20, 'T_Stock_TOTAL_&amp;_City'!H$10:H$20)*(1+R27)</f>
        <v>0</v>
      </c>
      <c r="S51" s="686">
        <f>LOOKUP($C$46, 'T_Stock_TOTAL_&amp;_City'!$C$10:$C$20, 'T_Stock_TOTAL_&amp;_City'!I$10:I$20)*(1+S27)</f>
        <v>0</v>
      </c>
      <c r="T51" s="686">
        <f>LOOKUP($C$46, 'T_Stock_TOTAL_&amp;_City'!$C$10:$C$20, 'T_Stock_TOTAL_&amp;_City'!J$10:J$20)*(1+T27)</f>
        <v>0</v>
      </c>
      <c r="U51" s="686">
        <f>LOOKUP($C$46, 'T_Stock_TOTAL_&amp;_City'!$C$10:$C$20, 'T_Stock_TOTAL_&amp;_City'!K$10:K$20)*(1+U27)</f>
        <v>0</v>
      </c>
      <c r="V51" s="686">
        <f>LOOKUP($C$46, 'T_Stock_TOTAL_&amp;_City'!$C$10:$C$20, 'T_Stock_TOTAL_&amp;_City'!L$10:L$20)*(1+V27)</f>
        <v>0</v>
      </c>
      <c r="W51" s="686">
        <f>LOOKUP($C$46, 'T_Stock_TOTAL_&amp;_City'!$C$10:$C$20, 'T_Stock_TOTAL_&amp;_City'!M$10:M$20)*(1+W27)</f>
        <v>0</v>
      </c>
      <c r="X51" s="686">
        <f>LOOKUP($C$46, 'T_Stock_TOTAL_&amp;_City'!$C$10:$C$20, 'T_Stock_TOTAL_&amp;_City'!N$10:N$20)*(1+X27)</f>
        <v>0</v>
      </c>
      <c r="Y51" s="686">
        <f>LOOKUP($C$46, 'T_Stock_TOTAL_&amp;_City'!$C$10:$C$20, 'T_Stock_TOTAL_&amp;_City'!O$10:O$20)*(1+Y27)</f>
        <v>0</v>
      </c>
      <c r="Z51" s="686">
        <f>LOOKUP($C$46, 'T_Stock_TOTAL_&amp;_City'!$C$10:$C$20, 'T_Stock_TOTAL_&amp;_City'!P$10:P$20)*(1+Z27)</f>
        <v>0</v>
      </c>
      <c r="AA51" s="686">
        <f>LOOKUP($C$46, 'T_Stock_TOTAL_&amp;_City'!$C$10:$C$20, 'T_Stock_TOTAL_&amp;_City'!Q$10:Q$20)*(1+AA27)</f>
        <v>0</v>
      </c>
      <c r="AB51" s="686">
        <f>LOOKUP($C$46, 'T_Stock_TOTAL_&amp;_City'!$C$10:$C$20, 'T_Stock_TOTAL_&amp;_City'!R$10:R$20)*(1+AB27)</f>
        <v>0</v>
      </c>
      <c r="AV51" s="699" t="str">
        <f t="shared" si="33"/>
        <v/>
      </c>
    </row>
    <row r="52" spans="1:64" x14ac:dyDescent="0.3">
      <c r="A52" s="22"/>
      <c r="B52" s="186" t="str">
        <f t="shared" si="44"/>
        <v>TCARELC900</v>
      </c>
      <c r="C52" s="186"/>
      <c r="D52" s="187"/>
      <c r="E52" s="186"/>
      <c r="F52" s="170"/>
      <c r="G52" s="189"/>
      <c r="H52" s="170"/>
      <c r="I52" s="190">
        <f>AF$15</f>
        <v>2016</v>
      </c>
      <c r="J52" s="191"/>
      <c r="K52" s="191"/>
      <c r="L52" s="211" t="s">
        <v>1064</v>
      </c>
      <c r="M52" s="186" t="s">
        <v>747</v>
      </c>
      <c r="N52" s="686">
        <f t="shared" ref="N52:AB52" si="46">N$51*LOOKUP($AD$46,$AG$14:$AP$14,$AG15:$AP15)</f>
        <v>0</v>
      </c>
      <c r="O52" s="686">
        <f t="shared" si="46"/>
        <v>0</v>
      </c>
      <c r="P52" s="686">
        <f t="shared" si="46"/>
        <v>0</v>
      </c>
      <c r="Q52" s="686">
        <f t="shared" si="46"/>
        <v>0</v>
      </c>
      <c r="R52" s="686">
        <f t="shared" si="46"/>
        <v>0</v>
      </c>
      <c r="S52" s="686">
        <f t="shared" si="46"/>
        <v>0</v>
      </c>
      <c r="T52" s="686">
        <f t="shared" si="46"/>
        <v>0</v>
      </c>
      <c r="U52" s="686">
        <f t="shared" si="46"/>
        <v>0</v>
      </c>
      <c r="V52" s="686">
        <f t="shared" si="46"/>
        <v>0</v>
      </c>
      <c r="W52" s="686">
        <f t="shared" si="46"/>
        <v>0</v>
      </c>
      <c r="X52" s="686">
        <f t="shared" si="46"/>
        <v>0</v>
      </c>
      <c r="Y52" s="686">
        <f t="shared" si="46"/>
        <v>0</v>
      </c>
      <c r="Z52" s="686">
        <f t="shared" si="46"/>
        <v>0</v>
      </c>
      <c r="AA52" s="686">
        <f t="shared" si="46"/>
        <v>0</v>
      </c>
      <c r="AB52" s="686">
        <f t="shared" si="46"/>
        <v>0</v>
      </c>
      <c r="AE52" s="568">
        <f>SUM(AF52:AT52)</f>
        <v>0</v>
      </c>
      <c r="AF52" s="567">
        <f t="shared" ref="AF52:AT52" si="47">N49*N50*N51/1000</f>
        <v>0</v>
      </c>
      <c r="AG52" s="567">
        <f t="shared" si="47"/>
        <v>0</v>
      </c>
      <c r="AH52" s="567">
        <f t="shared" si="47"/>
        <v>0</v>
      </c>
      <c r="AI52" s="567">
        <f t="shared" si="47"/>
        <v>0</v>
      </c>
      <c r="AJ52" s="567">
        <f t="shared" si="47"/>
        <v>0</v>
      </c>
      <c r="AK52" s="567">
        <f t="shared" si="47"/>
        <v>0</v>
      </c>
      <c r="AL52" s="567">
        <f t="shared" si="47"/>
        <v>0</v>
      </c>
      <c r="AM52" s="567">
        <f t="shared" si="47"/>
        <v>0</v>
      </c>
      <c r="AN52" s="567">
        <f t="shared" si="47"/>
        <v>0</v>
      </c>
      <c r="AO52" s="567">
        <f t="shared" si="47"/>
        <v>0</v>
      </c>
      <c r="AP52" s="567">
        <f t="shared" si="47"/>
        <v>0</v>
      </c>
      <c r="AQ52" s="567">
        <f t="shared" si="47"/>
        <v>0</v>
      </c>
      <c r="AR52" s="567">
        <f t="shared" si="47"/>
        <v>0</v>
      </c>
      <c r="AS52" s="567">
        <f t="shared" si="47"/>
        <v>0</v>
      </c>
      <c r="AT52" s="567">
        <f t="shared" si="47"/>
        <v>0</v>
      </c>
      <c r="AV52" s="699" t="str">
        <f t="shared" si="33"/>
        <v/>
      </c>
    </row>
    <row r="53" spans="1:64" x14ac:dyDescent="0.3">
      <c r="A53" s="22"/>
      <c r="B53" s="186" t="str">
        <f t="shared" si="44"/>
        <v>TCARELC900</v>
      </c>
      <c r="C53" s="186"/>
      <c r="D53" s="187"/>
      <c r="E53" s="186"/>
      <c r="F53" s="170"/>
      <c r="G53" s="189"/>
      <c r="H53" s="170"/>
      <c r="I53" s="190">
        <f>AF$16</f>
        <v>2020</v>
      </c>
      <c r="J53" s="191"/>
      <c r="K53" s="191"/>
      <c r="L53" s="211" t="s">
        <v>1064</v>
      </c>
      <c r="M53" s="186" t="s">
        <v>747</v>
      </c>
      <c r="N53" s="686">
        <f t="shared" ref="N53:AB53" si="48">N$51*LOOKUP($AD$46,$AG$14:$AP$14,$AG16:$AP16)</f>
        <v>0</v>
      </c>
      <c r="O53" s="686">
        <f t="shared" si="48"/>
        <v>0</v>
      </c>
      <c r="P53" s="686">
        <f t="shared" si="48"/>
        <v>0</v>
      </c>
      <c r="Q53" s="686">
        <f t="shared" si="48"/>
        <v>0</v>
      </c>
      <c r="R53" s="686">
        <f t="shared" si="48"/>
        <v>0</v>
      </c>
      <c r="S53" s="686">
        <f t="shared" si="48"/>
        <v>0</v>
      </c>
      <c r="T53" s="686">
        <f t="shared" si="48"/>
        <v>0</v>
      </c>
      <c r="U53" s="686">
        <f t="shared" si="48"/>
        <v>0</v>
      </c>
      <c r="V53" s="686">
        <f t="shared" si="48"/>
        <v>0</v>
      </c>
      <c r="W53" s="686">
        <f t="shared" si="48"/>
        <v>0</v>
      </c>
      <c r="X53" s="686">
        <f t="shared" si="48"/>
        <v>0</v>
      </c>
      <c r="Y53" s="686">
        <f t="shared" si="48"/>
        <v>0</v>
      </c>
      <c r="Z53" s="686">
        <f t="shared" si="48"/>
        <v>0</v>
      </c>
      <c r="AA53" s="686">
        <f t="shared" si="48"/>
        <v>0</v>
      </c>
      <c r="AB53" s="686">
        <f t="shared" si="48"/>
        <v>0</v>
      </c>
      <c r="AV53" s="699" t="str">
        <f t="shared" si="33"/>
        <v/>
      </c>
    </row>
    <row r="54" spans="1:64" x14ac:dyDescent="0.3">
      <c r="A54" s="22"/>
      <c r="B54" s="186" t="str">
        <f t="shared" si="44"/>
        <v>TCARELC900</v>
      </c>
      <c r="C54" s="186"/>
      <c r="D54" s="187"/>
      <c r="E54" s="186"/>
      <c r="F54" s="170"/>
      <c r="G54" s="189"/>
      <c r="H54" s="170"/>
      <c r="I54" s="190">
        <v>2025</v>
      </c>
      <c r="J54" s="191"/>
      <c r="K54" s="191"/>
      <c r="L54" s="211" t="s">
        <v>1064</v>
      </c>
      <c r="M54" s="186" t="s">
        <v>747</v>
      </c>
      <c r="N54" s="686">
        <f t="shared" ref="N54:AB54" si="49">N$51*LOOKUP($AD$46,$AG$14:$AP$14,$AG17:$AP17)</f>
        <v>0</v>
      </c>
      <c r="O54" s="686">
        <f t="shared" si="49"/>
        <v>0</v>
      </c>
      <c r="P54" s="686">
        <f t="shared" si="49"/>
        <v>0</v>
      </c>
      <c r="Q54" s="686">
        <f t="shared" si="49"/>
        <v>0</v>
      </c>
      <c r="R54" s="686">
        <f t="shared" si="49"/>
        <v>0</v>
      </c>
      <c r="S54" s="686">
        <f t="shared" si="49"/>
        <v>0</v>
      </c>
      <c r="T54" s="686">
        <f t="shared" si="49"/>
        <v>0</v>
      </c>
      <c r="U54" s="686">
        <f t="shared" si="49"/>
        <v>0</v>
      </c>
      <c r="V54" s="686">
        <f t="shared" si="49"/>
        <v>0</v>
      </c>
      <c r="W54" s="686">
        <f t="shared" si="49"/>
        <v>0</v>
      </c>
      <c r="X54" s="686">
        <f t="shared" si="49"/>
        <v>0</v>
      </c>
      <c r="Y54" s="686">
        <f t="shared" si="49"/>
        <v>0</v>
      </c>
      <c r="Z54" s="686">
        <f t="shared" si="49"/>
        <v>0</v>
      </c>
      <c r="AA54" s="686">
        <f t="shared" si="49"/>
        <v>0</v>
      </c>
      <c r="AB54" s="686">
        <f t="shared" si="49"/>
        <v>0</v>
      </c>
      <c r="AV54" s="699" t="str">
        <f t="shared" si="33"/>
        <v/>
      </c>
    </row>
    <row r="55" spans="1:64" x14ac:dyDescent="0.3">
      <c r="A55" s="22"/>
      <c r="B55" s="186" t="str">
        <f t="shared" si="44"/>
        <v>TCARELC900</v>
      </c>
      <c r="C55" s="186"/>
      <c r="D55" s="187"/>
      <c r="E55" s="186"/>
      <c r="F55" s="170"/>
      <c r="G55" s="189"/>
      <c r="H55" s="170"/>
      <c r="I55" s="190">
        <f>AF$18</f>
        <v>2030</v>
      </c>
      <c r="J55" s="191"/>
      <c r="K55" s="191"/>
      <c r="L55" s="211" t="s">
        <v>1064</v>
      </c>
      <c r="M55" s="186" t="s">
        <v>747</v>
      </c>
      <c r="N55" s="686">
        <f t="shared" ref="N55:AB55" si="50">N$51*LOOKUP($AD$46,$AG$14:$AP$14,$AG18:$AP18)</f>
        <v>0</v>
      </c>
      <c r="O55" s="686">
        <f t="shared" si="50"/>
        <v>0</v>
      </c>
      <c r="P55" s="686">
        <f t="shared" si="50"/>
        <v>0</v>
      </c>
      <c r="Q55" s="686">
        <f t="shared" si="50"/>
        <v>0</v>
      </c>
      <c r="R55" s="686">
        <f t="shared" si="50"/>
        <v>0</v>
      </c>
      <c r="S55" s="686">
        <f t="shared" si="50"/>
        <v>0</v>
      </c>
      <c r="T55" s="686">
        <f t="shared" si="50"/>
        <v>0</v>
      </c>
      <c r="U55" s="686">
        <f t="shared" si="50"/>
        <v>0</v>
      </c>
      <c r="V55" s="686">
        <f t="shared" si="50"/>
        <v>0</v>
      </c>
      <c r="W55" s="686">
        <f t="shared" si="50"/>
        <v>0</v>
      </c>
      <c r="X55" s="686">
        <f t="shared" si="50"/>
        <v>0</v>
      </c>
      <c r="Y55" s="686">
        <f t="shared" si="50"/>
        <v>0</v>
      </c>
      <c r="Z55" s="686">
        <f t="shared" si="50"/>
        <v>0</v>
      </c>
      <c r="AA55" s="686">
        <f t="shared" si="50"/>
        <v>0</v>
      </c>
      <c r="AB55" s="686">
        <f t="shared" si="50"/>
        <v>0</v>
      </c>
      <c r="AV55" s="699" t="str">
        <f t="shared" si="33"/>
        <v/>
      </c>
    </row>
    <row r="56" spans="1:64" x14ac:dyDescent="0.3">
      <c r="A56" s="22"/>
      <c r="B56" s="186" t="str">
        <f t="shared" si="44"/>
        <v>TCARELC900</v>
      </c>
      <c r="C56" s="186"/>
      <c r="D56" s="187"/>
      <c r="E56" s="186"/>
      <c r="F56" s="170"/>
      <c r="G56" s="189"/>
      <c r="H56" s="170"/>
      <c r="I56" s="190">
        <f>AF$19</f>
        <v>2040</v>
      </c>
      <c r="J56" s="191"/>
      <c r="K56" s="191"/>
      <c r="L56" s="211" t="s">
        <v>1064</v>
      </c>
      <c r="M56" s="186" t="s">
        <v>747</v>
      </c>
      <c r="N56" s="686">
        <f t="shared" ref="N56:AB56" si="51">N$51*LOOKUP($AD$46,$AG$14:$AP$14,$AG19:$AP19)</f>
        <v>0</v>
      </c>
      <c r="O56" s="686">
        <f t="shared" si="51"/>
        <v>0</v>
      </c>
      <c r="P56" s="686">
        <f t="shared" si="51"/>
        <v>0</v>
      </c>
      <c r="Q56" s="686">
        <f t="shared" si="51"/>
        <v>0</v>
      </c>
      <c r="R56" s="686">
        <f t="shared" si="51"/>
        <v>0</v>
      </c>
      <c r="S56" s="686">
        <f t="shared" si="51"/>
        <v>0</v>
      </c>
      <c r="T56" s="686">
        <f t="shared" si="51"/>
        <v>0</v>
      </c>
      <c r="U56" s="686">
        <f t="shared" si="51"/>
        <v>0</v>
      </c>
      <c r="V56" s="686">
        <f t="shared" si="51"/>
        <v>0</v>
      </c>
      <c r="W56" s="686">
        <f t="shared" si="51"/>
        <v>0</v>
      </c>
      <c r="X56" s="686">
        <f t="shared" si="51"/>
        <v>0</v>
      </c>
      <c r="Y56" s="686">
        <f t="shared" si="51"/>
        <v>0</v>
      </c>
      <c r="Z56" s="686">
        <f t="shared" si="51"/>
        <v>0</v>
      </c>
      <c r="AA56" s="686">
        <f t="shared" si="51"/>
        <v>0</v>
      </c>
      <c r="AB56" s="686">
        <f t="shared" si="51"/>
        <v>0</v>
      </c>
      <c r="AV56" s="699" t="str">
        <f t="shared" si="33"/>
        <v/>
      </c>
    </row>
    <row r="57" spans="1:64" x14ac:dyDescent="0.3">
      <c r="A57" s="22"/>
      <c r="B57" s="193" t="str">
        <f t="shared" si="44"/>
        <v>TCARELC900</v>
      </c>
      <c r="C57" s="193"/>
      <c r="D57" s="194"/>
      <c r="E57" s="193"/>
      <c r="F57" s="196"/>
      <c r="G57" s="195"/>
      <c r="H57" s="196"/>
      <c r="I57" s="197">
        <f>AF$20</f>
        <v>2050</v>
      </c>
      <c r="J57" s="198"/>
      <c r="K57" s="198"/>
      <c r="L57" s="212" t="s">
        <v>1064</v>
      </c>
      <c r="M57" s="193" t="s">
        <v>747</v>
      </c>
      <c r="N57" s="687">
        <f t="shared" ref="N57:AB57" si="52">N$51*LOOKUP($AD$46,$AG$14:$AP$14,$AG20:$AP20)</f>
        <v>0</v>
      </c>
      <c r="O57" s="687">
        <f t="shared" si="52"/>
        <v>0</v>
      </c>
      <c r="P57" s="687">
        <f t="shared" si="52"/>
        <v>0</v>
      </c>
      <c r="Q57" s="687">
        <f t="shared" si="52"/>
        <v>0</v>
      </c>
      <c r="R57" s="687">
        <f t="shared" si="52"/>
        <v>0</v>
      </c>
      <c r="S57" s="687">
        <f t="shared" si="52"/>
        <v>0</v>
      </c>
      <c r="T57" s="687">
        <f t="shared" si="52"/>
        <v>0</v>
      </c>
      <c r="U57" s="687">
        <f t="shared" si="52"/>
        <v>0</v>
      </c>
      <c r="V57" s="687">
        <f t="shared" si="52"/>
        <v>0</v>
      </c>
      <c r="W57" s="687">
        <f t="shared" si="52"/>
        <v>0</v>
      </c>
      <c r="X57" s="687">
        <f t="shared" si="52"/>
        <v>0</v>
      </c>
      <c r="Y57" s="687">
        <f t="shared" si="52"/>
        <v>0</v>
      </c>
      <c r="Z57" s="687">
        <f t="shared" si="52"/>
        <v>0</v>
      </c>
      <c r="AA57" s="687">
        <f t="shared" si="52"/>
        <v>0</v>
      </c>
      <c r="AB57" s="687">
        <f t="shared" si="52"/>
        <v>0</v>
      </c>
      <c r="AD57" s="400"/>
      <c r="AV57" s="699" t="str">
        <f t="shared" si="33"/>
        <v/>
      </c>
    </row>
    <row r="58" spans="1:64" x14ac:dyDescent="0.3">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699" t="str">
        <f t="shared" si="33"/>
        <v>TRAETH</v>
      </c>
      <c r="AW58" s="567">
        <f t="shared" ref="AW58:AW59" si="54">SUM(AX58:BL58)</f>
        <v>0</v>
      </c>
      <c r="AX58" s="567">
        <f t="shared" ref="AX58:BL58" si="55">N63*N64*(1-N59)/N61/1000</f>
        <v>0</v>
      </c>
      <c r="AY58" s="567">
        <f t="shared" si="55"/>
        <v>0</v>
      </c>
      <c r="AZ58" s="567">
        <f t="shared" si="55"/>
        <v>0</v>
      </c>
      <c r="BA58" s="567">
        <f t="shared" si="55"/>
        <v>0</v>
      </c>
      <c r="BB58" s="567">
        <f t="shared" si="55"/>
        <v>0</v>
      </c>
      <c r="BC58" s="567">
        <f t="shared" si="55"/>
        <v>0</v>
      </c>
      <c r="BD58" s="567">
        <f t="shared" si="55"/>
        <v>0</v>
      </c>
      <c r="BE58" s="567">
        <f t="shared" si="55"/>
        <v>0</v>
      </c>
      <c r="BF58" s="567">
        <f t="shared" si="55"/>
        <v>0</v>
      </c>
      <c r="BG58" s="567">
        <f t="shared" si="55"/>
        <v>0</v>
      </c>
      <c r="BH58" s="567">
        <f t="shared" si="55"/>
        <v>0</v>
      </c>
      <c r="BI58" s="567">
        <f t="shared" si="55"/>
        <v>0</v>
      </c>
      <c r="BJ58" s="567">
        <f t="shared" si="55"/>
        <v>0</v>
      </c>
      <c r="BK58" s="567">
        <f t="shared" si="55"/>
        <v>0</v>
      </c>
      <c r="BL58" s="567">
        <f t="shared" si="55"/>
        <v>0</v>
      </c>
    </row>
    <row r="59" spans="1:64" x14ac:dyDescent="0.3">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699" t="str">
        <f t="shared" si="33"/>
        <v>TRAGSL</v>
      </c>
      <c r="AW59" s="567">
        <f t="shared" si="54"/>
        <v>0</v>
      </c>
      <c r="AX59" s="567">
        <f t="shared" ref="AX59:BL59" si="57">N63*N64*N59/N61/1000</f>
        <v>0</v>
      </c>
      <c r="AY59" s="567">
        <f t="shared" si="57"/>
        <v>0</v>
      </c>
      <c r="AZ59" s="567">
        <f t="shared" si="57"/>
        <v>0</v>
      </c>
      <c r="BA59" s="567">
        <f t="shared" si="57"/>
        <v>0</v>
      </c>
      <c r="BB59" s="567">
        <f t="shared" si="57"/>
        <v>0</v>
      </c>
      <c r="BC59" s="567">
        <f t="shared" si="57"/>
        <v>0</v>
      </c>
      <c r="BD59" s="567">
        <f t="shared" si="57"/>
        <v>0</v>
      </c>
      <c r="BE59" s="567">
        <f t="shared" si="57"/>
        <v>0</v>
      </c>
      <c r="BF59" s="567">
        <f t="shared" si="57"/>
        <v>0</v>
      </c>
      <c r="BG59" s="567">
        <f t="shared" si="57"/>
        <v>0</v>
      </c>
      <c r="BH59" s="567">
        <f t="shared" si="57"/>
        <v>0</v>
      </c>
      <c r="BI59" s="567">
        <f t="shared" si="57"/>
        <v>0</v>
      </c>
      <c r="BJ59" s="567">
        <f t="shared" si="57"/>
        <v>0</v>
      </c>
      <c r="BK59" s="567">
        <f t="shared" si="57"/>
        <v>0</v>
      </c>
      <c r="BL59" s="567">
        <f t="shared" si="57"/>
        <v>0</v>
      </c>
    </row>
    <row r="60" spans="1:64" x14ac:dyDescent="0.3">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699" t="str">
        <f t="shared" si="33"/>
        <v/>
      </c>
    </row>
    <row r="61" spans="1:64" x14ac:dyDescent="0.3">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699" t="str">
        <f t="shared" si="33"/>
        <v/>
      </c>
    </row>
    <row r="62" spans="1:64" x14ac:dyDescent="0.3">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699" t="str">
        <f t="shared" si="33"/>
        <v/>
      </c>
    </row>
    <row r="63" spans="1:64" x14ac:dyDescent="0.3">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699" t="str">
        <f t="shared" si="33"/>
        <v/>
      </c>
    </row>
    <row r="64" spans="1:64" x14ac:dyDescent="0.3">
      <c r="A64" s="22"/>
      <c r="B64" s="186" t="str">
        <f>B63</f>
        <v>TCARETH900</v>
      </c>
      <c r="C64" s="186"/>
      <c r="D64" s="187"/>
      <c r="E64" s="186"/>
      <c r="F64" s="170"/>
      <c r="G64" s="189"/>
      <c r="H64" s="170"/>
      <c r="I64" s="190">
        <f>$M$3</f>
        <v>2019</v>
      </c>
      <c r="J64" s="191"/>
      <c r="K64" s="191"/>
      <c r="L64" s="211" t="s">
        <v>1064</v>
      </c>
      <c r="M64" s="186" t="s">
        <v>747</v>
      </c>
      <c r="N64" s="686">
        <f>LOOKUP($C$58, 'T_Stock_TOTAL_&amp;_City'!$C$10:$C$20, 'T_Stock_TOTAL_&amp;_City'!D$10:D$20)*(1+N27)</f>
        <v>0</v>
      </c>
      <c r="O64" s="686">
        <f>LOOKUP($C$58, 'T_Stock_TOTAL_&amp;_City'!$C$10:$C$20, 'T_Stock_TOTAL_&amp;_City'!E$10:E$20)*(1+O27)</f>
        <v>0</v>
      </c>
      <c r="P64" s="686">
        <f>LOOKUP($C$58, 'T_Stock_TOTAL_&amp;_City'!$C$10:$C$20, 'T_Stock_TOTAL_&amp;_City'!F$10:F$20)*(1+P27)</f>
        <v>0</v>
      </c>
      <c r="Q64" s="686">
        <f>LOOKUP($C$58, 'T_Stock_TOTAL_&amp;_City'!$C$10:$C$20, 'T_Stock_TOTAL_&amp;_City'!G$10:G$20)*(1+Q27)</f>
        <v>0</v>
      </c>
      <c r="R64" s="686">
        <f>LOOKUP($C$58, 'T_Stock_TOTAL_&amp;_City'!$C$10:$C$20, 'T_Stock_TOTAL_&amp;_City'!H$10:H$20)*(1+R27)</f>
        <v>0</v>
      </c>
      <c r="S64" s="686">
        <f>LOOKUP($C$58, 'T_Stock_TOTAL_&amp;_City'!$C$10:$C$20, 'T_Stock_TOTAL_&amp;_City'!I$10:I$20)*(1+S27)</f>
        <v>0</v>
      </c>
      <c r="T64" s="686">
        <f>LOOKUP($C$58, 'T_Stock_TOTAL_&amp;_City'!$C$10:$C$20, 'T_Stock_TOTAL_&amp;_City'!J$10:J$20)*(1+T27)</f>
        <v>0</v>
      </c>
      <c r="U64" s="686">
        <f>LOOKUP($C$58, 'T_Stock_TOTAL_&amp;_City'!$C$10:$C$20, 'T_Stock_TOTAL_&amp;_City'!K$10:K$20)*(1+U27)</f>
        <v>0</v>
      </c>
      <c r="V64" s="686">
        <f>LOOKUP($C$58, 'T_Stock_TOTAL_&amp;_City'!$C$10:$C$20, 'T_Stock_TOTAL_&amp;_City'!L$10:L$20)*(1+V27)</f>
        <v>0</v>
      </c>
      <c r="W64" s="686">
        <f>LOOKUP($C$58, 'T_Stock_TOTAL_&amp;_City'!$C$10:$C$20, 'T_Stock_TOTAL_&amp;_City'!M$10:M$20)*(1+W27)</f>
        <v>0</v>
      </c>
      <c r="X64" s="686">
        <f>LOOKUP($C$58, 'T_Stock_TOTAL_&amp;_City'!$C$10:$C$20, 'T_Stock_TOTAL_&amp;_City'!N$10:N$20)*(1+X27)</f>
        <v>0</v>
      </c>
      <c r="Y64" s="686">
        <f>LOOKUP($C$58, 'T_Stock_TOTAL_&amp;_City'!$C$10:$C$20, 'T_Stock_TOTAL_&amp;_City'!O$10:O$20)*(1+Y27)</f>
        <v>0</v>
      </c>
      <c r="Z64" s="686">
        <f>LOOKUP($C$58, 'T_Stock_TOTAL_&amp;_City'!$C$10:$C$20, 'T_Stock_TOTAL_&amp;_City'!P$10:P$20)*(1+Z27)</f>
        <v>0</v>
      </c>
      <c r="AA64" s="686">
        <f>LOOKUP($C$58, 'T_Stock_TOTAL_&amp;_City'!$C$10:$C$20, 'T_Stock_TOTAL_&amp;_City'!Q$10:Q$20)*(1+AA27)</f>
        <v>0</v>
      </c>
      <c r="AB64" s="686">
        <f>LOOKUP($C$58, 'T_Stock_TOTAL_&amp;_City'!$C$10:$C$20, 'T_Stock_TOTAL_&amp;_City'!R$10:R$20)*(1+AB27)</f>
        <v>0</v>
      </c>
      <c r="AV64" s="699" t="str">
        <f t="shared" si="33"/>
        <v/>
      </c>
    </row>
    <row r="65" spans="1:64" x14ac:dyDescent="0.3">
      <c r="A65" s="22"/>
      <c r="B65" s="186" t="str">
        <f t="shared" si="58"/>
        <v>TCARETH900</v>
      </c>
      <c r="C65" s="186"/>
      <c r="D65" s="187"/>
      <c r="E65" s="186"/>
      <c r="F65" s="170"/>
      <c r="G65" s="189"/>
      <c r="H65" s="170"/>
      <c r="I65" s="190">
        <f>AF$15</f>
        <v>2016</v>
      </c>
      <c r="J65" s="191"/>
      <c r="K65" s="191"/>
      <c r="L65" s="211" t="s">
        <v>1064</v>
      </c>
      <c r="M65" s="186" t="s">
        <v>747</v>
      </c>
      <c r="N65" s="686">
        <f t="shared" ref="N65:AB65" si="60">N$64*LOOKUP($AD$58,$AG$14:$AP$14,$AG15:$AP15)</f>
        <v>0</v>
      </c>
      <c r="O65" s="686">
        <f t="shared" si="60"/>
        <v>0</v>
      </c>
      <c r="P65" s="686">
        <f t="shared" si="60"/>
        <v>0</v>
      </c>
      <c r="Q65" s="686">
        <f t="shared" si="60"/>
        <v>0</v>
      </c>
      <c r="R65" s="686">
        <f t="shared" si="60"/>
        <v>0</v>
      </c>
      <c r="S65" s="686">
        <f t="shared" si="60"/>
        <v>0</v>
      </c>
      <c r="T65" s="686">
        <f t="shared" si="60"/>
        <v>0</v>
      </c>
      <c r="U65" s="686">
        <f t="shared" si="60"/>
        <v>0</v>
      </c>
      <c r="V65" s="686">
        <f t="shared" si="60"/>
        <v>0</v>
      </c>
      <c r="W65" s="686">
        <f t="shared" si="60"/>
        <v>0</v>
      </c>
      <c r="X65" s="686">
        <f t="shared" si="60"/>
        <v>0</v>
      </c>
      <c r="Y65" s="686">
        <f t="shared" si="60"/>
        <v>0</v>
      </c>
      <c r="Z65" s="686">
        <f t="shared" si="60"/>
        <v>0</v>
      </c>
      <c r="AA65" s="686">
        <f t="shared" si="60"/>
        <v>0</v>
      </c>
      <c r="AB65" s="686">
        <f t="shared" si="60"/>
        <v>0</v>
      </c>
      <c r="AE65" s="568">
        <f>SUM(AF65:AT65)</f>
        <v>0</v>
      </c>
      <c r="AF65" s="567">
        <f t="shared" ref="AF65:AT65" si="61">N62*N63*N64/1000</f>
        <v>0</v>
      </c>
      <c r="AG65" s="567">
        <f t="shared" si="61"/>
        <v>0</v>
      </c>
      <c r="AH65" s="567">
        <f t="shared" si="61"/>
        <v>0</v>
      </c>
      <c r="AI65" s="567">
        <f t="shared" si="61"/>
        <v>0</v>
      </c>
      <c r="AJ65" s="567">
        <f t="shared" si="61"/>
        <v>0</v>
      </c>
      <c r="AK65" s="567">
        <f t="shared" si="61"/>
        <v>0</v>
      </c>
      <c r="AL65" s="567">
        <f t="shared" si="61"/>
        <v>0</v>
      </c>
      <c r="AM65" s="567">
        <f t="shared" si="61"/>
        <v>0</v>
      </c>
      <c r="AN65" s="567">
        <f t="shared" si="61"/>
        <v>0</v>
      </c>
      <c r="AO65" s="567">
        <f t="shared" si="61"/>
        <v>0</v>
      </c>
      <c r="AP65" s="567">
        <f t="shared" si="61"/>
        <v>0</v>
      </c>
      <c r="AQ65" s="567">
        <f t="shared" si="61"/>
        <v>0</v>
      </c>
      <c r="AR65" s="567">
        <f t="shared" si="61"/>
        <v>0</v>
      </c>
      <c r="AS65" s="567">
        <f t="shared" si="61"/>
        <v>0</v>
      </c>
      <c r="AT65" s="567">
        <f t="shared" si="61"/>
        <v>0</v>
      </c>
      <c r="AV65" s="699" t="str">
        <f t="shared" si="33"/>
        <v/>
      </c>
    </row>
    <row r="66" spans="1:64" x14ac:dyDescent="0.3">
      <c r="A66" s="22"/>
      <c r="B66" s="186" t="str">
        <f t="shared" si="58"/>
        <v>TCARETH900</v>
      </c>
      <c r="C66" s="186"/>
      <c r="D66" s="187"/>
      <c r="E66" s="186"/>
      <c r="F66" s="170"/>
      <c r="G66" s="189"/>
      <c r="H66" s="170"/>
      <c r="I66" s="190">
        <f>AF$16</f>
        <v>2020</v>
      </c>
      <c r="J66" s="191"/>
      <c r="K66" s="191"/>
      <c r="L66" s="211" t="s">
        <v>1064</v>
      </c>
      <c r="M66" s="186" t="s">
        <v>747</v>
      </c>
      <c r="N66" s="686">
        <f t="shared" ref="N66:AB66" si="62">N$64*LOOKUP($AD$58,$AG$14:$AP$14,$AG16:$AP16)</f>
        <v>0</v>
      </c>
      <c r="O66" s="686">
        <f t="shared" si="62"/>
        <v>0</v>
      </c>
      <c r="P66" s="686">
        <f t="shared" si="62"/>
        <v>0</v>
      </c>
      <c r="Q66" s="686">
        <f t="shared" si="62"/>
        <v>0</v>
      </c>
      <c r="R66" s="686">
        <f t="shared" si="62"/>
        <v>0</v>
      </c>
      <c r="S66" s="686">
        <f t="shared" si="62"/>
        <v>0</v>
      </c>
      <c r="T66" s="686">
        <f t="shared" si="62"/>
        <v>0</v>
      </c>
      <c r="U66" s="686">
        <f t="shared" si="62"/>
        <v>0</v>
      </c>
      <c r="V66" s="686">
        <f t="shared" si="62"/>
        <v>0</v>
      </c>
      <c r="W66" s="686">
        <f t="shared" si="62"/>
        <v>0</v>
      </c>
      <c r="X66" s="686">
        <f t="shared" si="62"/>
        <v>0</v>
      </c>
      <c r="Y66" s="686">
        <f t="shared" si="62"/>
        <v>0</v>
      </c>
      <c r="Z66" s="686">
        <f t="shared" si="62"/>
        <v>0</v>
      </c>
      <c r="AA66" s="686">
        <f t="shared" si="62"/>
        <v>0</v>
      </c>
      <c r="AB66" s="686">
        <f t="shared" si="62"/>
        <v>0</v>
      </c>
      <c r="AV66" s="699" t="str">
        <f t="shared" si="33"/>
        <v/>
      </c>
    </row>
    <row r="67" spans="1:64" x14ac:dyDescent="0.3">
      <c r="A67" s="22"/>
      <c r="B67" s="186" t="str">
        <f t="shared" si="58"/>
        <v>TCARETH900</v>
      </c>
      <c r="C67" s="186"/>
      <c r="D67" s="187"/>
      <c r="E67" s="186"/>
      <c r="F67" s="170"/>
      <c r="G67" s="189"/>
      <c r="H67" s="170"/>
      <c r="I67" s="190">
        <v>2025</v>
      </c>
      <c r="J67" s="191"/>
      <c r="K67" s="191"/>
      <c r="L67" s="211" t="s">
        <v>1064</v>
      </c>
      <c r="M67" s="186" t="s">
        <v>747</v>
      </c>
      <c r="N67" s="686">
        <f t="shared" ref="N67:AB67" si="63">N$64*LOOKUP($AD$58,$AG$14:$AP$14,$AG17:$AP17)</f>
        <v>0</v>
      </c>
      <c r="O67" s="686">
        <f t="shared" si="63"/>
        <v>0</v>
      </c>
      <c r="P67" s="686">
        <f t="shared" si="63"/>
        <v>0</v>
      </c>
      <c r="Q67" s="686">
        <f t="shared" si="63"/>
        <v>0</v>
      </c>
      <c r="R67" s="686">
        <f t="shared" si="63"/>
        <v>0</v>
      </c>
      <c r="S67" s="686">
        <f t="shared" si="63"/>
        <v>0</v>
      </c>
      <c r="T67" s="686">
        <f t="shared" si="63"/>
        <v>0</v>
      </c>
      <c r="U67" s="686">
        <f t="shared" si="63"/>
        <v>0</v>
      </c>
      <c r="V67" s="686">
        <f t="shared" si="63"/>
        <v>0</v>
      </c>
      <c r="W67" s="686">
        <f t="shared" si="63"/>
        <v>0</v>
      </c>
      <c r="X67" s="686">
        <f t="shared" si="63"/>
        <v>0</v>
      </c>
      <c r="Y67" s="686">
        <f t="shared" si="63"/>
        <v>0</v>
      </c>
      <c r="Z67" s="686">
        <f t="shared" si="63"/>
        <v>0</v>
      </c>
      <c r="AA67" s="686">
        <f t="shared" si="63"/>
        <v>0</v>
      </c>
      <c r="AB67" s="686">
        <f t="shared" si="63"/>
        <v>0</v>
      </c>
      <c r="AV67" s="699" t="str">
        <f t="shared" si="33"/>
        <v/>
      </c>
    </row>
    <row r="68" spans="1:64" x14ac:dyDescent="0.3">
      <c r="A68" s="22"/>
      <c r="B68" s="186" t="str">
        <f t="shared" si="58"/>
        <v>TCARETH900</v>
      </c>
      <c r="C68" s="186"/>
      <c r="D68" s="187"/>
      <c r="E68" s="186"/>
      <c r="F68" s="170"/>
      <c r="G68" s="189"/>
      <c r="H68" s="170"/>
      <c r="I68" s="190">
        <f>AF$18</f>
        <v>2030</v>
      </c>
      <c r="J68" s="191"/>
      <c r="K68" s="191"/>
      <c r="L68" s="211" t="s">
        <v>1064</v>
      </c>
      <c r="M68" s="186" t="s">
        <v>747</v>
      </c>
      <c r="N68" s="686">
        <f t="shared" ref="N68:AB68" si="64">N$64*LOOKUP($AD$58,$AG$14:$AP$14,$AG18:$AP18)</f>
        <v>0</v>
      </c>
      <c r="O68" s="686">
        <f t="shared" si="64"/>
        <v>0</v>
      </c>
      <c r="P68" s="686">
        <f t="shared" si="64"/>
        <v>0</v>
      </c>
      <c r="Q68" s="686">
        <f t="shared" si="64"/>
        <v>0</v>
      </c>
      <c r="R68" s="686">
        <f t="shared" si="64"/>
        <v>0</v>
      </c>
      <c r="S68" s="686">
        <f t="shared" si="64"/>
        <v>0</v>
      </c>
      <c r="T68" s="686">
        <f t="shared" si="64"/>
        <v>0</v>
      </c>
      <c r="U68" s="686">
        <f t="shared" si="64"/>
        <v>0</v>
      </c>
      <c r="V68" s="686">
        <f t="shared" si="64"/>
        <v>0</v>
      </c>
      <c r="W68" s="686">
        <f t="shared" si="64"/>
        <v>0</v>
      </c>
      <c r="X68" s="686">
        <f t="shared" si="64"/>
        <v>0</v>
      </c>
      <c r="Y68" s="686">
        <f t="shared" si="64"/>
        <v>0</v>
      </c>
      <c r="Z68" s="686">
        <f t="shared" si="64"/>
        <v>0</v>
      </c>
      <c r="AA68" s="686">
        <f t="shared" si="64"/>
        <v>0</v>
      </c>
      <c r="AB68" s="686">
        <f t="shared" si="64"/>
        <v>0</v>
      </c>
      <c r="AV68" s="699" t="str">
        <f t="shared" si="33"/>
        <v/>
      </c>
    </row>
    <row r="69" spans="1:64" x14ac:dyDescent="0.3">
      <c r="A69" s="22"/>
      <c r="B69" s="186" t="str">
        <f t="shared" si="58"/>
        <v>TCARETH900</v>
      </c>
      <c r="C69" s="186"/>
      <c r="D69" s="187"/>
      <c r="E69" s="186"/>
      <c r="F69" s="170"/>
      <c r="G69" s="189"/>
      <c r="H69" s="170"/>
      <c r="I69" s="190">
        <f>AF$19</f>
        <v>2040</v>
      </c>
      <c r="J69" s="191"/>
      <c r="K69" s="191"/>
      <c r="L69" s="211" t="s">
        <v>1064</v>
      </c>
      <c r="M69" s="186" t="s">
        <v>747</v>
      </c>
      <c r="N69" s="686">
        <f t="shared" ref="N69:AB69" si="65">N$64*LOOKUP($AD$58,$AG$14:$AP$14,$AG19:$AP19)</f>
        <v>0</v>
      </c>
      <c r="O69" s="686">
        <f t="shared" si="65"/>
        <v>0</v>
      </c>
      <c r="P69" s="686">
        <f t="shared" si="65"/>
        <v>0</v>
      </c>
      <c r="Q69" s="686">
        <f t="shared" si="65"/>
        <v>0</v>
      </c>
      <c r="R69" s="686">
        <f t="shared" si="65"/>
        <v>0</v>
      </c>
      <c r="S69" s="686">
        <f t="shared" si="65"/>
        <v>0</v>
      </c>
      <c r="T69" s="686">
        <f t="shared" si="65"/>
        <v>0</v>
      </c>
      <c r="U69" s="686">
        <f t="shared" si="65"/>
        <v>0</v>
      </c>
      <c r="V69" s="686">
        <f t="shared" si="65"/>
        <v>0</v>
      </c>
      <c r="W69" s="686">
        <f t="shared" si="65"/>
        <v>0</v>
      </c>
      <c r="X69" s="686">
        <f t="shared" si="65"/>
        <v>0</v>
      </c>
      <c r="Y69" s="686">
        <f t="shared" si="65"/>
        <v>0</v>
      </c>
      <c r="Z69" s="686">
        <f t="shared" si="65"/>
        <v>0</v>
      </c>
      <c r="AA69" s="686">
        <f t="shared" si="65"/>
        <v>0</v>
      </c>
      <c r="AB69" s="686">
        <f t="shared" si="65"/>
        <v>0</v>
      </c>
      <c r="AV69" s="699" t="str">
        <f t="shared" si="33"/>
        <v/>
      </c>
    </row>
    <row r="70" spans="1:64" x14ac:dyDescent="0.3">
      <c r="A70" s="22"/>
      <c r="B70" s="193" t="str">
        <f t="shared" si="58"/>
        <v>TCARETH900</v>
      </c>
      <c r="C70" s="193"/>
      <c r="D70" s="194"/>
      <c r="E70" s="193"/>
      <c r="F70" s="196"/>
      <c r="G70" s="195"/>
      <c r="H70" s="196"/>
      <c r="I70" s="197">
        <f>AF$20</f>
        <v>2050</v>
      </c>
      <c r="J70" s="198"/>
      <c r="K70" s="198"/>
      <c r="L70" s="212" t="s">
        <v>1064</v>
      </c>
      <c r="M70" s="193" t="s">
        <v>747</v>
      </c>
      <c r="N70" s="687">
        <f t="shared" ref="N70:AB70" si="66">N$64*LOOKUP($AD$58,$AG$14:$AP$14,$AG20:$AP20)</f>
        <v>0</v>
      </c>
      <c r="O70" s="687">
        <f t="shared" si="66"/>
        <v>0</v>
      </c>
      <c r="P70" s="687">
        <f t="shared" si="66"/>
        <v>0</v>
      </c>
      <c r="Q70" s="687">
        <f t="shared" si="66"/>
        <v>0</v>
      </c>
      <c r="R70" s="687">
        <f t="shared" si="66"/>
        <v>0</v>
      </c>
      <c r="S70" s="687">
        <f t="shared" si="66"/>
        <v>0</v>
      </c>
      <c r="T70" s="687">
        <f t="shared" si="66"/>
        <v>0</v>
      </c>
      <c r="U70" s="687">
        <f t="shared" si="66"/>
        <v>0</v>
      </c>
      <c r="V70" s="687">
        <f t="shared" si="66"/>
        <v>0</v>
      </c>
      <c r="W70" s="687">
        <f t="shared" si="66"/>
        <v>0</v>
      </c>
      <c r="X70" s="687">
        <f t="shared" si="66"/>
        <v>0</v>
      </c>
      <c r="Y70" s="687">
        <f t="shared" si="66"/>
        <v>0</v>
      </c>
      <c r="Z70" s="687">
        <f t="shared" si="66"/>
        <v>0</v>
      </c>
      <c r="AA70" s="687">
        <f t="shared" si="66"/>
        <v>0</v>
      </c>
      <c r="AB70" s="687">
        <f t="shared" si="66"/>
        <v>0</v>
      </c>
      <c r="AD70" s="400"/>
      <c r="AV70" s="699" t="str">
        <f t="shared" si="33"/>
        <v/>
      </c>
    </row>
    <row r="71" spans="1:64" x14ac:dyDescent="0.3">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699" t="str">
        <f t="shared" si="33"/>
        <v>TRABGS</v>
      </c>
      <c r="AW71" s="567">
        <f t="shared" ref="AW71:AW73" si="68">SUM(AX71:BL71)</f>
        <v>0</v>
      </c>
      <c r="AX71" s="567">
        <f>N$77*N$78*0.6/N$75/1000</f>
        <v>0</v>
      </c>
      <c r="AY71" s="567">
        <f t="shared" ref="AY71:BL71" si="69">O$77*O$78*0.6/O$75/1000</f>
        <v>0</v>
      </c>
      <c r="AZ71" s="567">
        <f t="shared" si="69"/>
        <v>0</v>
      </c>
      <c r="BA71" s="567">
        <f t="shared" si="69"/>
        <v>0</v>
      </c>
      <c r="BB71" s="567">
        <f t="shared" si="69"/>
        <v>0</v>
      </c>
      <c r="BC71" s="567">
        <f t="shared" si="69"/>
        <v>0</v>
      </c>
      <c r="BD71" s="567">
        <f t="shared" si="69"/>
        <v>0</v>
      </c>
      <c r="BE71" s="567">
        <f t="shared" si="69"/>
        <v>0</v>
      </c>
      <c r="BF71" s="567">
        <f t="shared" si="69"/>
        <v>0</v>
      </c>
      <c r="BG71" s="567">
        <f t="shared" si="69"/>
        <v>0</v>
      </c>
      <c r="BH71" s="567">
        <f t="shared" si="69"/>
        <v>0</v>
      </c>
      <c r="BI71" s="567">
        <f t="shared" si="69"/>
        <v>0</v>
      </c>
      <c r="BJ71" s="567">
        <f t="shared" si="69"/>
        <v>0</v>
      </c>
      <c r="BK71" s="567">
        <f t="shared" si="69"/>
        <v>0</v>
      </c>
      <c r="BL71" s="567">
        <f t="shared" si="69"/>
        <v>0</v>
      </c>
    </row>
    <row r="72" spans="1:64" x14ac:dyDescent="0.3">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699" t="str">
        <f t="shared" si="33"/>
        <v>TRANGS</v>
      </c>
      <c r="AW72" s="567">
        <f t="shared" si="68"/>
        <v>0</v>
      </c>
      <c r="AX72" s="567">
        <f>N$77*N$78*0.2/N$75/1000</f>
        <v>0</v>
      </c>
      <c r="AY72" s="567">
        <f t="shared" ref="AY72:BL73" si="71">O$77*O$78*0.2/O$75/1000</f>
        <v>0</v>
      </c>
      <c r="AZ72" s="567">
        <f t="shared" si="71"/>
        <v>0</v>
      </c>
      <c r="BA72" s="567">
        <f t="shared" si="71"/>
        <v>0</v>
      </c>
      <c r="BB72" s="567">
        <f t="shared" si="71"/>
        <v>0</v>
      </c>
      <c r="BC72" s="567">
        <f t="shared" si="71"/>
        <v>0</v>
      </c>
      <c r="BD72" s="567">
        <f t="shared" si="71"/>
        <v>0</v>
      </c>
      <c r="BE72" s="567">
        <f t="shared" si="71"/>
        <v>0</v>
      </c>
      <c r="BF72" s="567">
        <f t="shared" si="71"/>
        <v>0</v>
      </c>
      <c r="BG72" s="567">
        <f t="shared" si="71"/>
        <v>0</v>
      </c>
      <c r="BH72" s="567">
        <f t="shared" si="71"/>
        <v>0</v>
      </c>
      <c r="BI72" s="567">
        <f t="shared" si="71"/>
        <v>0</v>
      </c>
      <c r="BJ72" s="567">
        <f t="shared" si="71"/>
        <v>0</v>
      </c>
      <c r="BK72" s="567">
        <f t="shared" si="71"/>
        <v>0</v>
      </c>
      <c r="BL72" s="567">
        <f t="shared" si="71"/>
        <v>0</v>
      </c>
    </row>
    <row r="73" spans="1:64" x14ac:dyDescent="0.3">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699" t="str">
        <f t="shared" si="33"/>
        <v>TRAGSL</v>
      </c>
      <c r="AW73" s="567">
        <f t="shared" si="68"/>
        <v>0</v>
      </c>
      <c r="AX73" s="567">
        <f>N$77*N$78*0.2/N$75/1000</f>
        <v>0</v>
      </c>
      <c r="AY73" s="567">
        <f t="shared" si="71"/>
        <v>0</v>
      </c>
      <c r="AZ73" s="567">
        <f t="shared" si="71"/>
        <v>0</v>
      </c>
      <c r="BA73" s="567">
        <f t="shared" si="71"/>
        <v>0</v>
      </c>
      <c r="BB73" s="567">
        <f t="shared" si="71"/>
        <v>0</v>
      </c>
      <c r="BC73" s="567">
        <f t="shared" si="71"/>
        <v>0</v>
      </c>
      <c r="BD73" s="567">
        <f t="shared" si="71"/>
        <v>0</v>
      </c>
      <c r="BE73" s="567">
        <f t="shared" si="71"/>
        <v>0</v>
      </c>
      <c r="BF73" s="567">
        <f t="shared" si="71"/>
        <v>0</v>
      </c>
      <c r="BG73" s="567">
        <f t="shared" si="71"/>
        <v>0</v>
      </c>
      <c r="BH73" s="567">
        <f t="shared" si="71"/>
        <v>0</v>
      </c>
      <c r="BI73" s="567">
        <f t="shared" si="71"/>
        <v>0</v>
      </c>
      <c r="BJ73" s="567">
        <f t="shared" si="71"/>
        <v>0</v>
      </c>
      <c r="BK73" s="567">
        <f t="shared" si="71"/>
        <v>0</v>
      </c>
      <c r="BL73" s="567">
        <f t="shared" si="71"/>
        <v>0</v>
      </c>
    </row>
    <row r="74" spans="1:64" x14ac:dyDescent="0.3">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699" t="str">
        <f t="shared" si="33"/>
        <v/>
      </c>
    </row>
    <row r="75" spans="1:64" x14ac:dyDescent="0.3">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699" t="str">
        <f t="shared" si="33"/>
        <v/>
      </c>
    </row>
    <row r="76" spans="1:64" x14ac:dyDescent="0.3">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699" t="str">
        <f t="shared" si="33"/>
        <v/>
      </c>
    </row>
    <row r="77" spans="1:64" x14ac:dyDescent="0.3">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699" t="str">
        <f t="shared" si="33"/>
        <v/>
      </c>
    </row>
    <row r="78" spans="1:64" x14ac:dyDescent="0.3">
      <c r="A78" s="22"/>
      <c r="B78" s="186" t="str">
        <f t="shared" si="73"/>
        <v>TCARGAS900</v>
      </c>
      <c r="C78" s="186"/>
      <c r="D78" s="187"/>
      <c r="E78" s="186"/>
      <c r="F78" s="170"/>
      <c r="G78" s="189"/>
      <c r="H78" s="170"/>
      <c r="I78" s="190">
        <f>$M$3</f>
        <v>2019</v>
      </c>
      <c r="J78" s="191"/>
      <c r="K78" s="191"/>
      <c r="L78" s="211" t="s">
        <v>1064</v>
      </c>
      <c r="M78" s="186" t="s">
        <v>747</v>
      </c>
      <c r="N78" s="686">
        <f>LOOKUP($C$71, 'T_Stock_TOTAL_&amp;_City'!$C$10:$C$20, 'T_Stock_TOTAL_&amp;_City'!D$10:D$20)*(1+N27)</f>
        <v>0</v>
      </c>
      <c r="O78" s="686">
        <f>LOOKUP($C$71, 'T_Stock_TOTAL_&amp;_City'!$C$10:$C$20, 'T_Stock_TOTAL_&amp;_City'!E$10:E$20)*(1+O27)</f>
        <v>0</v>
      </c>
      <c r="P78" s="686">
        <f>LOOKUP($C$71, 'T_Stock_TOTAL_&amp;_City'!$C$10:$C$20, 'T_Stock_TOTAL_&amp;_City'!F$10:F$20)*(1+P27)</f>
        <v>0</v>
      </c>
      <c r="Q78" s="686">
        <f>LOOKUP($C$71, 'T_Stock_TOTAL_&amp;_City'!$C$10:$C$20, 'T_Stock_TOTAL_&amp;_City'!G$10:G$20)*(1+Q27)</f>
        <v>0</v>
      </c>
      <c r="R78" s="686">
        <f>LOOKUP($C$71, 'T_Stock_TOTAL_&amp;_City'!$C$10:$C$20, 'T_Stock_TOTAL_&amp;_City'!H$10:H$20)*(1+R27)</f>
        <v>0</v>
      </c>
      <c r="S78" s="686">
        <f>LOOKUP($C$71, 'T_Stock_TOTAL_&amp;_City'!$C$10:$C$20, 'T_Stock_TOTAL_&amp;_City'!I$10:I$20)*(1+S27)</f>
        <v>0</v>
      </c>
      <c r="T78" s="686">
        <f>LOOKUP($C$71, 'T_Stock_TOTAL_&amp;_City'!$C$10:$C$20, 'T_Stock_TOTAL_&amp;_City'!J$10:J$20)*(1+T27)</f>
        <v>0</v>
      </c>
      <c r="U78" s="686">
        <f>LOOKUP($C$71, 'T_Stock_TOTAL_&amp;_City'!$C$10:$C$20, 'T_Stock_TOTAL_&amp;_City'!K$10:K$20)*(1+U27)</f>
        <v>0</v>
      </c>
      <c r="V78" s="686">
        <f>LOOKUP($C$71, 'T_Stock_TOTAL_&amp;_City'!$C$10:$C$20, 'T_Stock_TOTAL_&amp;_City'!L$10:L$20)*(1+V27)</f>
        <v>0</v>
      </c>
      <c r="W78" s="686">
        <f>LOOKUP($C$71, 'T_Stock_TOTAL_&amp;_City'!$C$10:$C$20, 'T_Stock_TOTAL_&amp;_City'!M$10:M$20)*(1+W27)</f>
        <v>0</v>
      </c>
      <c r="X78" s="686">
        <f>LOOKUP($C$71, 'T_Stock_TOTAL_&amp;_City'!$C$10:$C$20, 'T_Stock_TOTAL_&amp;_City'!N$10:N$20)*(1+X27)</f>
        <v>0</v>
      </c>
      <c r="Y78" s="686">
        <f>LOOKUP($C$71, 'T_Stock_TOTAL_&amp;_City'!$C$10:$C$20, 'T_Stock_TOTAL_&amp;_City'!O$10:O$20)*(1+Y27)</f>
        <v>0</v>
      </c>
      <c r="Z78" s="686">
        <f>LOOKUP($C$71, 'T_Stock_TOTAL_&amp;_City'!$C$10:$C$20, 'T_Stock_TOTAL_&amp;_City'!P$10:P$20)*(1+Z27)</f>
        <v>0</v>
      </c>
      <c r="AA78" s="686">
        <f>LOOKUP($C$71, 'T_Stock_TOTAL_&amp;_City'!$C$10:$C$20, 'T_Stock_TOTAL_&amp;_City'!Q$10:Q$20)*(1+AA27)</f>
        <v>0</v>
      </c>
      <c r="AB78" s="686">
        <f>LOOKUP($C$71, 'T_Stock_TOTAL_&amp;_City'!$C$10:$C$20, 'T_Stock_TOTAL_&amp;_City'!R$10:R$20)*(1+AB27)</f>
        <v>0</v>
      </c>
      <c r="AV78" s="699" t="str">
        <f t="shared" si="33"/>
        <v/>
      </c>
    </row>
    <row r="79" spans="1:64" x14ac:dyDescent="0.3">
      <c r="A79" s="22"/>
      <c r="B79" s="186" t="str">
        <f t="shared" si="73"/>
        <v>TCARGAS900</v>
      </c>
      <c r="C79" s="186"/>
      <c r="D79" s="187"/>
      <c r="E79" s="186"/>
      <c r="F79" s="170"/>
      <c r="G79" s="189"/>
      <c r="H79" s="170"/>
      <c r="I79" s="190">
        <f>AF$15</f>
        <v>2016</v>
      </c>
      <c r="J79" s="191"/>
      <c r="K79" s="191"/>
      <c r="L79" s="211" t="s">
        <v>1064</v>
      </c>
      <c r="M79" s="186" t="s">
        <v>747</v>
      </c>
      <c r="N79" s="686">
        <f t="shared" ref="N79:AB79" si="75">N$78*LOOKUP($AD$71,$AG$14:$AP$14,$AG15:$AP15)</f>
        <v>0</v>
      </c>
      <c r="O79" s="686">
        <f t="shared" si="75"/>
        <v>0</v>
      </c>
      <c r="P79" s="686">
        <f t="shared" si="75"/>
        <v>0</v>
      </c>
      <c r="Q79" s="686">
        <f t="shared" si="75"/>
        <v>0</v>
      </c>
      <c r="R79" s="686">
        <f t="shared" si="75"/>
        <v>0</v>
      </c>
      <c r="S79" s="686">
        <f t="shared" si="75"/>
        <v>0</v>
      </c>
      <c r="T79" s="686">
        <f t="shared" si="75"/>
        <v>0</v>
      </c>
      <c r="U79" s="686">
        <f t="shared" si="75"/>
        <v>0</v>
      </c>
      <c r="V79" s="686">
        <f t="shared" si="75"/>
        <v>0</v>
      </c>
      <c r="W79" s="686">
        <f t="shared" si="75"/>
        <v>0</v>
      </c>
      <c r="X79" s="686">
        <f t="shared" si="75"/>
        <v>0</v>
      </c>
      <c r="Y79" s="686">
        <f t="shared" si="75"/>
        <v>0</v>
      </c>
      <c r="Z79" s="686">
        <f t="shared" si="75"/>
        <v>0</v>
      </c>
      <c r="AA79" s="686">
        <f t="shared" si="75"/>
        <v>0</v>
      </c>
      <c r="AB79" s="686">
        <f t="shared" si="75"/>
        <v>0</v>
      </c>
      <c r="AE79" s="568">
        <f>SUM(AF79:AT79)</f>
        <v>0</v>
      </c>
      <c r="AF79" s="567">
        <f t="shared" ref="AF79:AT79" si="76">N76*N77*N78/1000</f>
        <v>0</v>
      </c>
      <c r="AG79" s="567">
        <f t="shared" si="76"/>
        <v>0</v>
      </c>
      <c r="AH79" s="567">
        <f t="shared" si="76"/>
        <v>0</v>
      </c>
      <c r="AI79" s="567">
        <f t="shared" si="76"/>
        <v>0</v>
      </c>
      <c r="AJ79" s="567">
        <f t="shared" si="76"/>
        <v>0</v>
      </c>
      <c r="AK79" s="567">
        <f t="shared" si="76"/>
        <v>0</v>
      </c>
      <c r="AL79" s="567">
        <f t="shared" si="76"/>
        <v>0</v>
      </c>
      <c r="AM79" s="567">
        <f t="shared" si="76"/>
        <v>0</v>
      </c>
      <c r="AN79" s="567">
        <f t="shared" si="76"/>
        <v>0</v>
      </c>
      <c r="AO79" s="567">
        <f t="shared" si="76"/>
        <v>0</v>
      </c>
      <c r="AP79" s="567">
        <f t="shared" si="76"/>
        <v>0</v>
      </c>
      <c r="AQ79" s="567">
        <f t="shared" si="76"/>
        <v>0</v>
      </c>
      <c r="AR79" s="567">
        <f t="shared" si="76"/>
        <v>0</v>
      </c>
      <c r="AS79" s="567">
        <f t="shared" si="76"/>
        <v>0</v>
      </c>
      <c r="AT79" s="567">
        <f t="shared" si="76"/>
        <v>0</v>
      </c>
      <c r="AV79" s="699" t="str">
        <f t="shared" si="33"/>
        <v/>
      </c>
    </row>
    <row r="80" spans="1:64" x14ac:dyDescent="0.3">
      <c r="A80" s="22"/>
      <c r="B80" s="186" t="str">
        <f t="shared" si="73"/>
        <v>TCARGAS900</v>
      </c>
      <c r="C80" s="186"/>
      <c r="D80" s="187"/>
      <c r="E80" s="186"/>
      <c r="F80" s="170"/>
      <c r="G80" s="189"/>
      <c r="H80" s="170"/>
      <c r="I80" s="190">
        <f>AF$16</f>
        <v>2020</v>
      </c>
      <c r="J80" s="191"/>
      <c r="K80" s="191"/>
      <c r="L80" s="211" t="s">
        <v>1064</v>
      </c>
      <c r="M80" s="186" t="s">
        <v>747</v>
      </c>
      <c r="N80" s="686">
        <f t="shared" ref="N80:AB80" si="77">N$78*LOOKUP($AD$71,$AG$14:$AP$14,$AG16:$AP16)</f>
        <v>0</v>
      </c>
      <c r="O80" s="686">
        <f t="shared" si="77"/>
        <v>0</v>
      </c>
      <c r="P80" s="686">
        <f t="shared" si="77"/>
        <v>0</v>
      </c>
      <c r="Q80" s="686">
        <f t="shared" si="77"/>
        <v>0</v>
      </c>
      <c r="R80" s="686">
        <f t="shared" si="77"/>
        <v>0</v>
      </c>
      <c r="S80" s="686">
        <f t="shared" si="77"/>
        <v>0</v>
      </c>
      <c r="T80" s="686">
        <f t="shared" si="77"/>
        <v>0</v>
      </c>
      <c r="U80" s="686">
        <f t="shared" si="77"/>
        <v>0</v>
      </c>
      <c r="V80" s="686">
        <f t="shared" si="77"/>
        <v>0</v>
      </c>
      <c r="W80" s="686">
        <f t="shared" si="77"/>
        <v>0</v>
      </c>
      <c r="X80" s="686">
        <f t="shared" si="77"/>
        <v>0</v>
      </c>
      <c r="Y80" s="686">
        <f t="shared" si="77"/>
        <v>0</v>
      </c>
      <c r="Z80" s="686">
        <f t="shared" si="77"/>
        <v>0</v>
      </c>
      <c r="AA80" s="686">
        <f t="shared" si="77"/>
        <v>0</v>
      </c>
      <c r="AB80" s="686">
        <f t="shared" si="77"/>
        <v>0</v>
      </c>
      <c r="AV80" s="699" t="str">
        <f t="shared" si="33"/>
        <v/>
      </c>
    </row>
    <row r="81" spans="1:64" x14ac:dyDescent="0.3">
      <c r="A81" s="22"/>
      <c r="B81" s="186" t="str">
        <f t="shared" si="73"/>
        <v>TCARGAS900</v>
      </c>
      <c r="C81" s="186"/>
      <c r="D81" s="187"/>
      <c r="E81" s="186"/>
      <c r="F81" s="170"/>
      <c r="G81" s="189"/>
      <c r="H81" s="170"/>
      <c r="I81" s="190">
        <v>2025</v>
      </c>
      <c r="J81" s="191"/>
      <c r="K81" s="191"/>
      <c r="L81" s="211" t="s">
        <v>1064</v>
      </c>
      <c r="M81" s="186" t="s">
        <v>747</v>
      </c>
      <c r="N81" s="686">
        <f t="shared" ref="N81:AB81" si="78">N$78*LOOKUP($AD$71,$AG$14:$AP$14,$AG17:$AP17)</f>
        <v>0</v>
      </c>
      <c r="O81" s="686">
        <f t="shared" si="78"/>
        <v>0</v>
      </c>
      <c r="P81" s="686">
        <f t="shared" si="78"/>
        <v>0</v>
      </c>
      <c r="Q81" s="686">
        <f t="shared" si="78"/>
        <v>0</v>
      </c>
      <c r="R81" s="686">
        <f t="shared" si="78"/>
        <v>0</v>
      </c>
      <c r="S81" s="686">
        <f t="shared" si="78"/>
        <v>0</v>
      </c>
      <c r="T81" s="686">
        <f t="shared" si="78"/>
        <v>0</v>
      </c>
      <c r="U81" s="686">
        <f t="shared" si="78"/>
        <v>0</v>
      </c>
      <c r="V81" s="686">
        <f t="shared" si="78"/>
        <v>0</v>
      </c>
      <c r="W81" s="686">
        <f t="shared" si="78"/>
        <v>0</v>
      </c>
      <c r="X81" s="686">
        <f t="shared" si="78"/>
        <v>0</v>
      </c>
      <c r="Y81" s="686">
        <f t="shared" si="78"/>
        <v>0</v>
      </c>
      <c r="Z81" s="686">
        <f t="shared" si="78"/>
        <v>0</v>
      </c>
      <c r="AA81" s="686">
        <f t="shared" si="78"/>
        <v>0</v>
      </c>
      <c r="AB81" s="686">
        <f t="shared" si="78"/>
        <v>0</v>
      </c>
      <c r="AV81" s="699" t="str">
        <f t="shared" si="33"/>
        <v/>
      </c>
    </row>
    <row r="82" spans="1:64" x14ac:dyDescent="0.3">
      <c r="A82" s="22"/>
      <c r="B82" s="186" t="str">
        <f>B81</f>
        <v>TCARGAS900</v>
      </c>
      <c r="C82" s="186"/>
      <c r="D82" s="187"/>
      <c r="E82" s="186"/>
      <c r="F82" s="170"/>
      <c r="G82" s="189"/>
      <c r="H82" s="170"/>
      <c r="I82" s="190">
        <f>AF$18</f>
        <v>2030</v>
      </c>
      <c r="J82" s="191"/>
      <c r="K82" s="191"/>
      <c r="L82" s="211" t="s">
        <v>1064</v>
      </c>
      <c r="M82" s="186" t="s">
        <v>747</v>
      </c>
      <c r="N82" s="686">
        <f t="shared" ref="N82:AB82" si="79">N$78*LOOKUP($AD$71,$AG$14:$AP$14,$AG18:$AP18)</f>
        <v>0</v>
      </c>
      <c r="O82" s="686">
        <f t="shared" si="79"/>
        <v>0</v>
      </c>
      <c r="P82" s="686">
        <f t="shared" si="79"/>
        <v>0</v>
      </c>
      <c r="Q82" s="686">
        <f t="shared" si="79"/>
        <v>0</v>
      </c>
      <c r="R82" s="686">
        <f t="shared" si="79"/>
        <v>0</v>
      </c>
      <c r="S82" s="686">
        <f t="shared" si="79"/>
        <v>0</v>
      </c>
      <c r="T82" s="686">
        <f t="shared" si="79"/>
        <v>0</v>
      </c>
      <c r="U82" s="686">
        <f t="shared" si="79"/>
        <v>0</v>
      </c>
      <c r="V82" s="686">
        <f t="shared" si="79"/>
        <v>0</v>
      </c>
      <c r="W82" s="686">
        <f t="shared" si="79"/>
        <v>0</v>
      </c>
      <c r="X82" s="686">
        <f t="shared" si="79"/>
        <v>0</v>
      </c>
      <c r="Y82" s="686">
        <f t="shared" si="79"/>
        <v>0</v>
      </c>
      <c r="Z82" s="686">
        <f t="shared" si="79"/>
        <v>0</v>
      </c>
      <c r="AA82" s="686">
        <f t="shared" si="79"/>
        <v>0</v>
      </c>
      <c r="AB82" s="686">
        <f t="shared" si="79"/>
        <v>0</v>
      </c>
      <c r="AV82" s="699" t="str">
        <f t="shared" si="33"/>
        <v/>
      </c>
    </row>
    <row r="83" spans="1:64" x14ac:dyDescent="0.3">
      <c r="A83" s="22"/>
      <c r="B83" s="186" t="str">
        <f>B82</f>
        <v>TCARGAS900</v>
      </c>
      <c r="C83" s="186"/>
      <c r="D83" s="187"/>
      <c r="E83" s="186"/>
      <c r="F83" s="170"/>
      <c r="G83" s="189"/>
      <c r="H83" s="170"/>
      <c r="I83" s="190">
        <f>AF$19</f>
        <v>2040</v>
      </c>
      <c r="J83" s="191"/>
      <c r="K83" s="191"/>
      <c r="L83" s="211" t="s">
        <v>1064</v>
      </c>
      <c r="M83" s="186" t="s">
        <v>747</v>
      </c>
      <c r="N83" s="686">
        <f t="shared" ref="N83:AB83" si="80">N$78*LOOKUP($AD$71,$AG$14:$AP$14,$AG19:$AP19)</f>
        <v>0</v>
      </c>
      <c r="O83" s="686">
        <f t="shared" si="80"/>
        <v>0</v>
      </c>
      <c r="P83" s="686">
        <f t="shared" si="80"/>
        <v>0</v>
      </c>
      <c r="Q83" s="686">
        <f t="shared" si="80"/>
        <v>0</v>
      </c>
      <c r="R83" s="686">
        <f t="shared" si="80"/>
        <v>0</v>
      </c>
      <c r="S83" s="686">
        <f t="shared" si="80"/>
        <v>0</v>
      </c>
      <c r="T83" s="686">
        <f t="shared" si="80"/>
        <v>0</v>
      </c>
      <c r="U83" s="686">
        <f t="shared" si="80"/>
        <v>0</v>
      </c>
      <c r="V83" s="686">
        <f t="shared" si="80"/>
        <v>0</v>
      </c>
      <c r="W83" s="686">
        <f t="shared" si="80"/>
        <v>0</v>
      </c>
      <c r="X83" s="686">
        <f t="shared" si="80"/>
        <v>0</v>
      </c>
      <c r="Y83" s="686">
        <f t="shared" si="80"/>
        <v>0</v>
      </c>
      <c r="Z83" s="686">
        <f t="shared" si="80"/>
        <v>0</v>
      </c>
      <c r="AA83" s="686">
        <f t="shared" si="80"/>
        <v>0</v>
      </c>
      <c r="AB83" s="686">
        <f t="shared" si="80"/>
        <v>0</v>
      </c>
      <c r="AV83" s="699" t="str">
        <f t="shared" si="33"/>
        <v/>
      </c>
    </row>
    <row r="84" spans="1:64" x14ac:dyDescent="0.3">
      <c r="A84" s="22"/>
      <c r="B84" s="193" t="str">
        <f>B83</f>
        <v>TCARGAS900</v>
      </c>
      <c r="C84" s="193"/>
      <c r="D84" s="194"/>
      <c r="E84" s="193"/>
      <c r="F84" s="196"/>
      <c r="G84" s="195"/>
      <c r="H84" s="196"/>
      <c r="I84" s="197">
        <f>AF$20</f>
        <v>2050</v>
      </c>
      <c r="J84" s="198"/>
      <c r="K84" s="198"/>
      <c r="L84" s="212" t="s">
        <v>1064</v>
      </c>
      <c r="M84" s="193" t="s">
        <v>747</v>
      </c>
      <c r="N84" s="687">
        <f t="shared" ref="N84:AB84" si="81">N$78*LOOKUP($AD$71,$AG$14:$AP$14,$AG20:$AP20)</f>
        <v>0</v>
      </c>
      <c r="O84" s="687">
        <f t="shared" si="81"/>
        <v>0</v>
      </c>
      <c r="P84" s="687">
        <f t="shared" si="81"/>
        <v>0</v>
      </c>
      <c r="Q84" s="687">
        <f t="shared" si="81"/>
        <v>0</v>
      </c>
      <c r="R84" s="687">
        <f t="shared" si="81"/>
        <v>0</v>
      </c>
      <c r="S84" s="687">
        <f t="shared" si="81"/>
        <v>0</v>
      </c>
      <c r="T84" s="687">
        <f t="shared" si="81"/>
        <v>0</v>
      </c>
      <c r="U84" s="687">
        <f t="shared" si="81"/>
        <v>0</v>
      </c>
      <c r="V84" s="687">
        <f t="shared" si="81"/>
        <v>0</v>
      </c>
      <c r="W84" s="687">
        <f t="shared" si="81"/>
        <v>0</v>
      </c>
      <c r="X84" s="687">
        <f t="shared" si="81"/>
        <v>0</v>
      </c>
      <c r="Y84" s="687">
        <f t="shared" si="81"/>
        <v>0</v>
      </c>
      <c r="Z84" s="687">
        <f t="shared" si="81"/>
        <v>0</v>
      </c>
      <c r="AA84" s="687">
        <f t="shared" si="81"/>
        <v>0</v>
      </c>
      <c r="AB84" s="687">
        <f t="shared" si="81"/>
        <v>0</v>
      </c>
      <c r="AD84" s="400"/>
      <c r="AV84" s="699" t="str">
        <f t="shared" si="33"/>
        <v/>
      </c>
    </row>
    <row r="85" spans="1:64" x14ac:dyDescent="0.3">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699" t="str">
        <f t="shared" si="33"/>
        <v>TRAGSL</v>
      </c>
      <c r="AW85" s="567">
        <f t="shared" ref="AW85:AW87" si="83">SUM(AX85:BL85)</f>
        <v>0</v>
      </c>
      <c r="AX85" s="567">
        <f t="shared" ref="AX85:BL85" si="84">N$91*N$92*(1-N86)/N$89/1000</f>
        <v>0</v>
      </c>
      <c r="AY85" s="567">
        <f t="shared" si="84"/>
        <v>0</v>
      </c>
      <c r="AZ85" s="567">
        <f t="shared" si="84"/>
        <v>0</v>
      </c>
      <c r="BA85" s="567">
        <f t="shared" si="84"/>
        <v>0</v>
      </c>
      <c r="BB85" s="567">
        <f t="shared" si="84"/>
        <v>0</v>
      </c>
      <c r="BC85" s="567">
        <f t="shared" si="84"/>
        <v>0</v>
      </c>
      <c r="BD85" s="567">
        <f t="shared" si="84"/>
        <v>0</v>
      </c>
      <c r="BE85" s="567">
        <f t="shared" si="84"/>
        <v>0</v>
      </c>
      <c r="BF85" s="567">
        <f t="shared" si="84"/>
        <v>0</v>
      </c>
      <c r="BG85" s="567">
        <f t="shared" si="84"/>
        <v>0</v>
      </c>
      <c r="BH85" s="567">
        <f t="shared" si="84"/>
        <v>0</v>
      </c>
      <c r="BI85" s="567">
        <f t="shared" si="84"/>
        <v>0</v>
      </c>
      <c r="BJ85" s="567">
        <f t="shared" si="84"/>
        <v>0</v>
      </c>
      <c r="BK85" s="567">
        <f t="shared" si="84"/>
        <v>0</v>
      </c>
      <c r="BL85" s="567">
        <f t="shared" si="84"/>
        <v>0</v>
      </c>
    </row>
    <row r="86" spans="1:64" x14ac:dyDescent="0.3">
      <c r="A86" s="22"/>
      <c r="B86" s="186" t="str">
        <f t="shared" ref="B86:B98" si="85">B85</f>
        <v>TCARGSL900</v>
      </c>
      <c r="C86" s="186"/>
      <c r="D86" s="187"/>
      <c r="E86" s="258" t="s">
        <v>1011</v>
      </c>
      <c r="F86" s="170"/>
      <c r="G86" s="189"/>
      <c r="H86" s="170"/>
      <c r="I86" s="190"/>
      <c r="J86" s="191" t="s">
        <v>1156</v>
      </c>
      <c r="K86" s="191"/>
      <c r="L86" s="211" t="s">
        <v>101</v>
      </c>
      <c r="M86" s="186"/>
      <c r="N86" s="377">
        <f>N$19</f>
        <v>5.0999999999999997E-2</v>
      </c>
      <c r="O86" s="377">
        <f t="shared" ref="O86:AB86" si="86">O$19</f>
        <v>5.0999999999999997E-2</v>
      </c>
      <c r="P86" s="377">
        <f t="shared" si="86"/>
        <v>5.0999999999999997E-2</v>
      </c>
      <c r="Q86" s="377">
        <f t="shared" si="86"/>
        <v>5.0999999999999997E-2</v>
      </c>
      <c r="R86" s="377">
        <f t="shared" si="86"/>
        <v>5.0999999999999997E-2</v>
      </c>
      <c r="S86" s="377">
        <f t="shared" si="86"/>
        <v>5.0999999999999997E-2</v>
      </c>
      <c r="T86" s="377">
        <f t="shared" si="86"/>
        <v>5.0999999999999997E-2</v>
      </c>
      <c r="U86" s="377">
        <f t="shared" si="86"/>
        <v>5.0999999999999997E-2</v>
      </c>
      <c r="V86" s="377">
        <f t="shared" si="86"/>
        <v>5.0999999999999997E-2</v>
      </c>
      <c r="W86" s="377">
        <f t="shared" si="86"/>
        <v>5.0999999999999997E-2</v>
      </c>
      <c r="X86" s="377">
        <f t="shared" si="86"/>
        <v>5.0999999999999997E-2</v>
      </c>
      <c r="Y86" s="377">
        <f t="shared" si="86"/>
        <v>5.0999999999999997E-2</v>
      </c>
      <c r="Z86" s="377">
        <f t="shared" si="86"/>
        <v>5.0999999999999997E-2</v>
      </c>
      <c r="AA86" s="377">
        <f t="shared" si="86"/>
        <v>5.0999999999999997E-2</v>
      </c>
      <c r="AB86" s="377">
        <f t="shared" si="86"/>
        <v>5.0999999999999997E-2</v>
      </c>
      <c r="AD86" s="399" t="str">
        <f>IF(COUNTIF($AG$14:$AP$14,AD85)=1,"ok","MISSING")</f>
        <v>ok</v>
      </c>
      <c r="AV86" s="699" t="str">
        <f t="shared" si="33"/>
        <v>TRAETHM</v>
      </c>
      <c r="AW86" s="567">
        <f t="shared" si="83"/>
        <v>0</v>
      </c>
      <c r="AX86" s="567">
        <f t="shared" ref="AX86:BL87" si="87">N$91*N$92*N86/N$89/1000</f>
        <v>0</v>
      </c>
      <c r="AY86" s="567">
        <f t="shared" si="87"/>
        <v>0</v>
      </c>
      <c r="AZ86" s="567">
        <f t="shared" si="87"/>
        <v>0</v>
      </c>
      <c r="BA86" s="567">
        <f t="shared" si="87"/>
        <v>0</v>
      </c>
      <c r="BB86" s="567">
        <f t="shared" si="87"/>
        <v>0</v>
      </c>
      <c r="BC86" s="567">
        <f t="shared" si="87"/>
        <v>0</v>
      </c>
      <c r="BD86" s="567">
        <f t="shared" si="87"/>
        <v>0</v>
      </c>
      <c r="BE86" s="567">
        <f t="shared" si="87"/>
        <v>0</v>
      </c>
      <c r="BF86" s="567">
        <f t="shared" si="87"/>
        <v>0</v>
      </c>
      <c r="BG86" s="567">
        <f t="shared" si="87"/>
        <v>0</v>
      </c>
      <c r="BH86" s="567">
        <f t="shared" si="87"/>
        <v>0</v>
      </c>
      <c r="BI86" s="567">
        <f t="shared" si="87"/>
        <v>0</v>
      </c>
      <c r="BJ86" s="567">
        <f t="shared" si="87"/>
        <v>0</v>
      </c>
      <c r="BK86" s="567">
        <f t="shared" si="87"/>
        <v>0</v>
      </c>
      <c r="BL86" s="567">
        <f t="shared" si="87"/>
        <v>0</v>
      </c>
    </row>
    <row r="87" spans="1:64" x14ac:dyDescent="0.3">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7"/>
      <c r="AV87" s="699" t="str">
        <f>MID(E87,1,8)</f>
        <v>TRABGSLM</v>
      </c>
      <c r="AW87" s="567">
        <f t="shared" si="83"/>
        <v>0</v>
      </c>
      <c r="AX87" s="567">
        <f t="shared" si="87"/>
        <v>0</v>
      </c>
      <c r="AY87" s="567">
        <f t="shared" si="87"/>
        <v>0</v>
      </c>
      <c r="AZ87" s="567">
        <f t="shared" si="87"/>
        <v>0</v>
      </c>
      <c r="BA87" s="567">
        <f t="shared" si="87"/>
        <v>0</v>
      </c>
      <c r="BB87" s="567">
        <f t="shared" si="87"/>
        <v>0</v>
      </c>
      <c r="BC87" s="567">
        <f t="shared" si="87"/>
        <v>0</v>
      </c>
      <c r="BD87" s="567">
        <f t="shared" si="87"/>
        <v>0</v>
      </c>
      <c r="BE87" s="567">
        <f t="shared" si="87"/>
        <v>0</v>
      </c>
      <c r="BF87" s="567">
        <f t="shared" si="87"/>
        <v>0</v>
      </c>
      <c r="BG87" s="567">
        <f t="shared" si="87"/>
        <v>0</v>
      </c>
      <c r="BH87" s="567">
        <f t="shared" si="87"/>
        <v>0</v>
      </c>
      <c r="BI87" s="567">
        <f t="shared" si="87"/>
        <v>0</v>
      </c>
      <c r="BJ87" s="567">
        <f t="shared" si="87"/>
        <v>0</v>
      </c>
      <c r="BK87" s="567">
        <f t="shared" si="87"/>
        <v>0</v>
      </c>
      <c r="BL87" s="567">
        <f t="shared" si="87"/>
        <v>0</v>
      </c>
    </row>
    <row r="88" spans="1:64" x14ac:dyDescent="0.3">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699" t="str">
        <f t="shared" si="33"/>
        <v/>
      </c>
    </row>
    <row r="89" spans="1:64" x14ac:dyDescent="0.3">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699" t="str">
        <f t="shared" si="33"/>
        <v/>
      </c>
    </row>
    <row r="90" spans="1:64" x14ac:dyDescent="0.3">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699" t="str">
        <f t="shared" si="33"/>
        <v/>
      </c>
    </row>
    <row r="91" spans="1:64" x14ac:dyDescent="0.3">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699" t="str">
        <f t="shared" si="33"/>
        <v/>
      </c>
    </row>
    <row r="92" spans="1:64" x14ac:dyDescent="0.3">
      <c r="A92" s="22"/>
      <c r="B92" s="186" t="str">
        <f t="shared" si="85"/>
        <v>TCARGSL900</v>
      </c>
      <c r="C92" s="186"/>
      <c r="D92" s="187"/>
      <c r="E92" s="186"/>
      <c r="F92" s="170"/>
      <c r="G92" s="189"/>
      <c r="H92" s="170"/>
      <c r="I92" s="190">
        <f>$M$3</f>
        <v>2019</v>
      </c>
      <c r="J92" s="191"/>
      <c r="K92" s="191"/>
      <c r="L92" s="211" t="s">
        <v>1064</v>
      </c>
      <c r="M92" s="186" t="s">
        <v>747</v>
      </c>
      <c r="N92" s="686">
        <f>LOOKUP($C$85, 'T_Stock_TOTAL_&amp;_City'!$C$10:$C$20, 'T_Stock_TOTAL_&amp;_City'!D$10:D$20)*(1+N27)</f>
        <v>0</v>
      </c>
      <c r="O92" s="686">
        <f>LOOKUP($C$85, 'T_Stock_TOTAL_&amp;_City'!$C$10:$C$20, 'T_Stock_TOTAL_&amp;_City'!E$10:E$20)*(1+O27)</f>
        <v>0</v>
      </c>
      <c r="P92" s="686">
        <f>LOOKUP($C$85, 'T_Stock_TOTAL_&amp;_City'!$C$10:$C$20, 'T_Stock_TOTAL_&amp;_City'!F$10:F$20)*(1+P27)</f>
        <v>0</v>
      </c>
      <c r="Q92" s="686">
        <f>LOOKUP($C$85, 'T_Stock_TOTAL_&amp;_City'!$C$10:$C$20, 'T_Stock_TOTAL_&amp;_City'!G$10:G$20)*(1+Q27)</f>
        <v>0</v>
      </c>
      <c r="R92" s="686">
        <f>LOOKUP($C$85, 'T_Stock_TOTAL_&amp;_City'!$C$10:$C$20, 'T_Stock_TOTAL_&amp;_City'!H$10:H$20)*(1+R27)</f>
        <v>0</v>
      </c>
      <c r="S92" s="686">
        <f>LOOKUP($C$85, 'T_Stock_TOTAL_&amp;_City'!$C$10:$C$20, 'T_Stock_TOTAL_&amp;_City'!I$10:I$20)*(1+S27)</f>
        <v>0</v>
      </c>
      <c r="T92" s="686">
        <f>LOOKUP($C$85, 'T_Stock_TOTAL_&amp;_City'!$C$10:$C$20, 'T_Stock_TOTAL_&amp;_City'!J$10:J$20)*(1+T27)</f>
        <v>0</v>
      </c>
      <c r="U92" s="686">
        <f>LOOKUP($C$85, 'T_Stock_TOTAL_&amp;_City'!$C$10:$C$20, 'T_Stock_TOTAL_&amp;_City'!K$10:K$20)*(1+U27)</f>
        <v>0</v>
      </c>
      <c r="V92" s="686">
        <f>LOOKUP($C$85, 'T_Stock_TOTAL_&amp;_City'!$C$10:$C$20, 'T_Stock_TOTAL_&amp;_City'!L$10:L$20)*(1+V27)</f>
        <v>0</v>
      </c>
      <c r="W92" s="686">
        <f>LOOKUP($C$85, 'T_Stock_TOTAL_&amp;_City'!$C$10:$C$20, 'T_Stock_TOTAL_&amp;_City'!M$10:M$20)*(1+W27)</f>
        <v>0</v>
      </c>
      <c r="X92" s="686">
        <f>LOOKUP($C$85, 'T_Stock_TOTAL_&amp;_City'!$C$10:$C$20, 'T_Stock_TOTAL_&amp;_City'!N$10:N$20)*(1+X27)</f>
        <v>0</v>
      </c>
      <c r="Y92" s="686">
        <f>LOOKUP($C$85, 'T_Stock_TOTAL_&amp;_City'!$C$10:$C$20, 'T_Stock_TOTAL_&amp;_City'!O$10:O$20)*(1+Y27)</f>
        <v>0</v>
      </c>
      <c r="Z92" s="686">
        <f>LOOKUP($C$85, 'T_Stock_TOTAL_&amp;_City'!$C$10:$C$20, 'T_Stock_TOTAL_&amp;_City'!P$10:P$20)*(1+Z27)</f>
        <v>0</v>
      </c>
      <c r="AA92" s="686">
        <f>LOOKUP($C$85, 'T_Stock_TOTAL_&amp;_City'!$C$10:$C$20, 'T_Stock_TOTAL_&amp;_City'!Q$10:Q$20)*(1+AA27)</f>
        <v>0</v>
      </c>
      <c r="AB92" s="686">
        <f>LOOKUP($C$85, 'T_Stock_TOTAL_&amp;_City'!$C$10:$C$20, 'T_Stock_TOTAL_&amp;_City'!R$10:R$20)*(1+AB27)</f>
        <v>0</v>
      </c>
      <c r="AV92" s="699" t="str">
        <f t="shared" si="33"/>
        <v/>
      </c>
    </row>
    <row r="93" spans="1:64" x14ac:dyDescent="0.3">
      <c r="A93" s="22"/>
      <c r="B93" s="186" t="str">
        <f t="shared" si="85"/>
        <v>TCARGSL900</v>
      </c>
      <c r="C93" s="186"/>
      <c r="D93" s="187"/>
      <c r="E93" s="186"/>
      <c r="F93" s="170"/>
      <c r="G93" s="189"/>
      <c r="H93" s="170"/>
      <c r="I93" s="190">
        <f>AF$15</f>
        <v>2016</v>
      </c>
      <c r="J93" s="191"/>
      <c r="K93" s="191"/>
      <c r="L93" s="211" t="s">
        <v>1064</v>
      </c>
      <c r="M93" s="186" t="s">
        <v>747</v>
      </c>
      <c r="N93" s="686">
        <f t="shared" ref="N93:AB93" si="90">N$92*LOOKUP($AD$85,$AG$14:$AP$14,$AG15:$AP15)</f>
        <v>0</v>
      </c>
      <c r="O93" s="686">
        <f t="shared" si="90"/>
        <v>0</v>
      </c>
      <c r="P93" s="686">
        <f t="shared" si="90"/>
        <v>0</v>
      </c>
      <c r="Q93" s="686">
        <f t="shared" si="90"/>
        <v>0</v>
      </c>
      <c r="R93" s="686">
        <f t="shared" si="90"/>
        <v>0</v>
      </c>
      <c r="S93" s="686">
        <f t="shared" si="90"/>
        <v>0</v>
      </c>
      <c r="T93" s="686">
        <f t="shared" si="90"/>
        <v>0</v>
      </c>
      <c r="U93" s="686">
        <f t="shared" si="90"/>
        <v>0</v>
      </c>
      <c r="V93" s="686">
        <f t="shared" si="90"/>
        <v>0</v>
      </c>
      <c r="W93" s="686">
        <f t="shared" si="90"/>
        <v>0</v>
      </c>
      <c r="X93" s="686">
        <f t="shared" si="90"/>
        <v>0</v>
      </c>
      <c r="Y93" s="686">
        <f t="shared" si="90"/>
        <v>0</v>
      </c>
      <c r="Z93" s="686">
        <f t="shared" si="90"/>
        <v>0</v>
      </c>
      <c r="AA93" s="686">
        <f t="shared" si="90"/>
        <v>0</v>
      </c>
      <c r="AB93" s="686">
        <f t="shared" si="90"/>
        <v>0</v>
      </c>
      <c r="AE93" s="568">
        <f>SUM(AF93:AT93)</f>
        <v>0</v>
      </c>
      <c r="AF93" s="567">
        <f t="shared" ref="AF93:AT93" si="91">N90*N91*N92/1000</f>
        <v>0</v>
      </c>
      <c r="AG93" s="567">
        <f t="shared" si="91"/>
        <v>0</v>
      </c>
      <c r="AH93" s="567">
        <f t="shared" si="91"/>
        <v>0</v>
      </c>
      <c r="AI93" s="567">
        <f t="shared" si="91"/>
        <v>0</v>
      </c>
      <c r="AJ93" s="567">
        <f t="shared" si="91"/>
        <v>0</v>
      </c>
      <c r="AK93" s="567">
        <f t="shared" si="91"/>
        <v>0</v>
      </c>
      <c r="AL93" s="567">
        <f t="shared" si="91"/>
        <v>0</v>
      </c>
      <c r="AM93" s="567">
        <f t="shared" si="91"/>
        <v>0</v>
      </c>
      <c r="AN93" s="567">
        <f t="shared" si="91"/>
        <v>0</v>
      </c>
      <c r="AO93" s="567">
        <f t="shared" si="91"/>
        <v>0</v>
      </c>
      <c r="AP93" s="567">
        <f t="shared" si="91"/>
        <v>0</v>
      </c>
      <c r="AQ93" s="567">
        <f t="shared" si="91"/>
        <v>0</v>
      </c>
      <c r="AR93" s="567">
        <f t="shared" si="91"/>
        <v>0</v>
      </c>
      <c r="AS93" s="567">
        <f t="shared" si="91"/>
        <v>0</v>
      </c>
      <c r="AT93" s="567">
        <f t="shared" si="91"/>
        <v>0</v>
      </c>
      <c r="AV93" s="699" t="str">
        <f t="shared" si="33"/>
        <v/>
      </c>
    </row>
    <row r="94" spans="1:64" x14ac:dyDescent="0.3">
      <c r="A94" s="22"/>
      <c r="B94" s="186" t="str">
        <f t="shared" si="85"/>
        <v>TCARGSL900</v>
      </c>
      <c r="C94" s="186"/>
      <c r="D94" s="187"/>
      <c r="E94" s="186"/>
      <c r="F94" s="170"/>
      <c r="G94" s="189"/>
      <c r="H94" s="170"/>
      <c r="I94" s="190">
        <f>AF$16</f>
        <v>2020</v>
      </c>
      <c r="J94" s="191"/>
      <c r="K94" s="191"/>
      <c r="L94" s="211" t="s">
        <v>1064</v>
      </c>
      <c r="M94" s="186" t="s">
        <v>747</v>
      </c>
      <c r="N94" s="686">
        <f t="shared" ref="N94:AB94" si="92">N$92*LOOKUP($AD$85,$AG$14:$AP$14,$AG16:$AP16)</f>
        <v>0</v>
      </c>
      <c r="O94" s="686">
        <f t="shared" si="92"/>
        <v>0</v>
      </c>
      <c r="P94" s="686">
        <f t="shared" si="92"/>
        <v>0</v>
      </c>
      <c r="Q94" s="686">
        <f t="shared" si="92"/>
        <v>0</v>
      </c>
      <c r="R94" s="686">
        <f t="shared" si="92"/>
        <v>0</v>
      </c>
      <c r="S94" s="686">
        <f t="shared" si="92"/>
        <v>0</v>
      </c>
      <c r="T94" s="686">
        <f t="shared" si="92"/>
        <v>0</v>
      </c>
      <c r="U94" s="686">
        <f t="shared" si="92"/>
        <v>0</v>
      </c>
      <c r="V94" s="686">
        <f t="shared" si="92"/>
        <v>0</v>
      </c>
      <c r="W94" s="686">
        <f t="shared" si="92"/>
        <v>0</v>
      </c>
      <c r="X94" s="686">
        <f t="shared" si="92"/>
        <v>0</v>
      </c>
      <c r="Y94" s="686">
        <f t="shared" si="92"/>
        <v>0</v>
      </c>
      <c r="Z94" s="686">
        <f t="shared" si="92"/>
        <v>0</v>
      </c>
      <c r="AA94" s="686">
        <f t="shared" si="92"/>
        <v>0</v>
      </c>
      <c r="AB94" s="686">
        <f t="shared" si="92"/>
        <v>0</v>
      </c>
      <c r="AV94" s="699" t="str">
        <f t="shared" si="33"/>
        <v/>
      </c>
    </row>
    <row r="95" spans="1:64" x14ac:dyDescent="0.3">
      <c r="A95" s="22"/>
      <c r="B95" s="186" t="str">
        <f t="shared" si="85"/>
        <v>TCARGSL900</v>
      </c>
      <c r="C95" s="186"/>
      <c r="D95" s="187"/>
      <c r="E95" s="186"/>
      <c r="F95" s="170"/>
      <c r="G95" s="189"/>
      <c r="H95" s="170"/>
      <c r="I95" s="190">
        <v>2025</v>
      </c>
      <c r="J95" s="191"/>
      <c r="K95" s="191"/>
      <c r="L95" s="211" t="s">
        <v>1064</v>
      </c>
      <c r="M95" s="186" t="s">
        <v>747</v>
      </c>
      <c r="N95" s="686">
        <f t="shared" ref="N95:AB95" si="93">N$92*LOOKUP($AD$85,$AG$14:$AP$14,$AG17:$AP17)</f>
        <v>0</v>
      </c>
      <c r="O95" s="686">
        <f t="shared" si="93"/>
        <v>0</v>
      </c>
      <c r="P95" s="686">
        <f t="shared" si="93"/>
        <v>0</v>
      </c>
      <c r="Q95" s="686">
        <f t="shared" si="93"/>
        <v>0</v>
      </c>
      <c r="R95" s="686">
        <f t="shared" si="93"/>
        <v>0</v>
      </c>
      <c r="S95" s="686">
        <f t="shared" si="93"/>
        <v>0</v>
      </c>
      <c r="T95" s="686">
        <f t="shared" si="93"/>
        <v>0</v>
      </c>
      <c r="U95" s="686">
        <f t="shared" si="93"/>
        <v>0</v>
      </c>
      <c r="V95" s="686">
        <f t="shared" si="93"/>
        <v>0</v>
      </c>
      <c r="W95" s="686">
        <f t="shared" si="93"/>
        <v>0</v>
      </c>
      <c r="X95" s="686">
        <f t="shared" si="93"/>
        <v>0</v>
      </c>
      <c r="Y95" s="686">
        <f t="shared" si="93"/>
        <v>0</v>
      </c>
      <c r="Z95" s="686">
        <f t="shared" si="93"/>
        <v>0</v>
      </c>
      <c r="AA95" s="686">
        <f t="shared" si="93"/>
        <v>0</v>
      </c>
      <c r="AB95" s="686">
        <f t="shared" si="93"/>
        <v>0</v>
      </c>
      <c r="AV95" s="699" t="str">
        <f t="shared" si="33"/>
        <v/>
      </c>
    </row>
    <row r="96" spans="1:64" x14ac:dyDescent="0.3">
      <c r="A96" s="22"/>
      <c r="B96" s="186" t="str">
        <f t="shared" si="85"/>
        <v>TCARGSL900</v>
      </c>
      <c r="C96" s="186"/>
      <c r="D96" s="187"/>
      <c r="E96" s="186"/>
      <c r="F96" s="170"/>
      <c r="G96" s="189"/>
      <c r="H96" s="170"/>
      <c r="I96" s="190">
        <f>AF$18</f>
        <v>2030</v>
      </c>
      <c r="J96" s="191"/>
      <c r="K96" s="191"/>
      <c r="L96" s="211" t="s">
        <v>1064</v>
      </c>
      <c r="M96" s="186" t="s">
        <v>747</v>
      </c>
      <c r="N96" s="686">
        <f t="shared" ref="N96:AB96" si="94">N$92*LOOKUP($AD$85,$AG$14:$AP$14,$AG18:$AP18)</f>
        <v>0</v>
      </c>
      <c r="O96" s="686">
        <f t="shared" si="94"/>
        <v>0</v>
      </c>
      <c r="P96" s="686">
        <f t="shared" si="94"/>
        <v>0</v>
      </c>
      <c r="Q96" s="686">
        <f t="shared" si="94"/>
        <v>0</v>
      </c>
      <c r="R96" s="686">
        <f t="shared" si="94"/>
        <v>0</v>
      </c>
      <c r="S96" s="686">
        <f t="shared" si="94"/>
        <v>0</v>
      </c>
      <c r="T96" s="686">
        <f t="shared" si="94"/>
        <v>0</v>
      </c>
      <c r="U96" s="686">
        <f t="shared" si="94"/>
        <v>0</v>
      </c>
      <c r="V96" s="686">
        <f t="shared" si="94"/>
        <v>0</v>
      </c>
      <c r="W96" s="686">
        <f t="shared" si="94"/>
        <v>0</v>
      </c>
      <c r="X96" s="686">
        <f t="shared" si="94"/>
        <v>0</v>
      </c>
      <c r="Y96" s="686">
        <f t="shared" si="94"/>
        <v>0</v>
      </c>
      <c r="Z96" s="686">
        <f t="shared" si="94"/>
        <v>0</v>
      </c>
      <c r="AA96" s="686">
        <f t="shared" si="94"/>
        <v>0</v>
      </c>
      <c r="AB96" s="686">
        <f t="shared" si="94"/>
        <v>0</v>
      </c>
      <c r="AV96" s="699" t="str">
        <f t="shared" si="33"/>
        <v/>
      </c>
    </row>
    <row r="97" spans="1:64" x14ac:dyDescent="0.3">
      <c r="A97" s="22"/>
      <c r="B97" s="186" t="str">
        <f t="shared" si="85"/>
        <v>TCARGSL900</v>
      </c>
      <c r="C97" s="186"/>
      <c r="D97" s="187"/>
      <c r="E97" s="186"/>
      <c r="F97" s="170"/>
      <c r="G97" s="189"/>
      <c r="H97" s="170"/>
      <c r="I97" s="190">
        <f>AF$19</f>
        <v>2040</v>
      </c>
      <c r="J97" s="191"/>
      <c r="K97" s="191"/>
      <c r="L97" s="211" t="s">
        <v>1064</v>
      </c>
      <c r="M97" s="186" t="s">
        <v>747</v>
      </c>
      <c r="N97" s="686">
        <f t="shared" ref="N97:AB97" si="95">N$92*LOOKUP($AD$85,$AG$14:$AP$14,$AG19:$AP19)</f>
        <v>0</v>
      </c>
      <c r="O97" s="686">
        <f t="shared" si="95"/>
        <v>0</v>
      </c>
      <c r="P97" s="686">
        <f t="shared" si="95"/>
        <v>0</v>
      </c>
      <c r="Q97" s="686">
        <f t="shared" si="95"/>
        <v>0</v>
      </c>
      <c r="R97" s="686">
        <f t="shared" si="95"/>
        <v>0</v>
      </c>
      <c r="S97" s="686">
        <f t="shared" si="95"/>
        <v>0</v>
      </c>
      <c r="T97" s="686">
        <f t="shared" si="95"/>
        <v>0</v>
      </c>
      <c r="U97" s="686">
        <f t="shared" si="95"/>
        <v>0</v>
      </c>
      <c r="V97" s="686">
        <f t="shared" si="95"/>
        <v>0</v>
      </c>
      <c r="W97" s="686">
        <f t="shared" si="95"/>
        <v>0</v>
      </c>
      <c r="X97" s="686">
        <f t="shared" si="95"/>
        <v>0</v>
      </c>
      <c r="Y97" s="686">
        <f t="shared" si="95"/>
        <v>0</v>
      </c>
      <c r="Z97" s="686">
        <f t="shared" si="95"/>
        <v>0</v>
      </c>
      <c r="AA97" s="686">
        <f t="shared" si="95"/>
        <v>0</v>
      </c>
      <c r="AB97" s="686">
        <f t="shared" si="95"/>
        <v>0</v>
      </c>
      <c r="AV97" s="699" t="str">
        <f t="shared" si="33"/>
        <v/>
      </c>
    </row>
    <row r="98" spans="1:64" x14ac:dyDescent="0.3">
      <c r="A98" s="22"/>
      <c r="B98" s="193" t="str">
        <f t="shared" si="85"/>
        <v>TCARGSL900</v>
      </c>
      <c r="C98" s="193"/>
      <c r="D98" s="194"/>
      <c r="E98" s="193"/>
      <c r="F98" s="196"/>
      <c r="G98" s="195"/>
      <c r="H98" s="196"/>
      <c r="I98" s="197">
        <f>AF$20</f>
        <v>2050</v>
      </c>
      <c r="J98" s="198"/>
      <c r="K98" s="198"/>
      <c r="L98" s="212" t="s">
        <v>1064</v>
      </c>
      <c r="M98" s="193" t="s">
        <v>747</v>
      </c>
      <c r="N98" s="687">
        <f t="shared" ref="N98:AB98" si="96">N$92*LOOKUP($AD$85,$AG$14:$AP$14,$AG20:$AP20)</f>
        <v>0</v>
      </c>
      <c r="O98" s="687">
        <f t="shared" si="96"/>
        <v>0</v>
      </c>
      <c r="P98" s="687">
        <f t="shared" si="96"/>
        <v>0</v>
      </c>
      <c r="Q98" s="687">
        <f t="shared" si="96"/>
        <v>0</v>
      </c>
      <c r="R98" s="687">
        <f t="shared" si="96"/>
        <v>0</v>
      </c>
      <c r="S98" s="687">
        <f t="shared" si="96"/>
        <v>0</v>
      </c>
      <c r="T98" s="687">
        <f t="shared" si="96"/>
        <v>0</v>
      </c>
      <c r="U98" s="687">
        <f t="shared" si="96"/>
        <v>0</v>
      </c>
      <c r="V98" s="687">
        <f t="shared" si="96"/>
        <v>0</v>
      </c>
      <c r="W98" s="687">
        <f t="shared" si="96"/>
        <v>0</v>
      </c>
      <c r="X98" s="687">
        <f t="shared" si="96"/>
        <v>0</v>
      </c>
      <c r="Y98" s="687">
        <f t="shared" si="96"/>
        <v>0</v>
      </c>
      <c r="Z98" s="687">
        <f t="shared" si="96"/>
        <v>0</v>
      </c>
      <c r="AA98" s="687">
        <f t="shared" si="96"/>
        <v>0</v>
      </c>
      <c r="AB98" s="687">
        <f t="shared" si="96"/>
        <v>0</v>
      </c>
      <c r="AD98" s="400"/>
      <c r="AV98" s="699" t="str">
        <f t="shared" si="33"/>
        <v/>
      </c>
    </row>
    <row r="99" spans="1:64" x14ac:dyDescent="0.3">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699" t="str">
        <f t="shared" si="33"/>
        <v>TRABDL</v>
      </c>
      <c r="AW99" s="567">
        <f t="shared" ref="AW99:AW101" si="98">SUM(AX99:BL99)</f>
        <v>0</v>
      </c>
      <c r="AX99" s="567">
        <f>N$105*N$106*(1-N100)/N$103/1000</f>
        <v>0</v>
      </c>
      <c r="AY99" s="567">
        <f t="shared" ref="AY99:BL99" si="99">O$105*O$106*(1-O100)/O$103/1000</f>
        <v>0</v>
      </c>
      <c r="AZ99" s="567">
        <f t="shared" si="99"/>
        <v>0</v>
      </c>
      <c r="BA99" s="567">
        <f t="shared" si="99"/>
        <v>0</v>
      </c>
      <c r="BB99" s="567">
        <f t="shared" si="99"/>
        <v>0</v>
      </c>
      <c r="BC99" s="567">
        <f t="shared" si="99"/>
        <v>0</v>
      </c>
      <c r="BD99" s="567">
        <f t="shared" si="99"/>
        <v>0</v>
      </c>
      <c r="BE99" s="567">
        <f t="shared" si="99"/>
        <v>0</v>
      </c>
      <c r="BF99" s="567">
        <f t="shared" si="99"/>
        <v>0</v>
      </c>
      <c r="BG99" s="567">
        <f t="shared" si="99"/>
        <v>0</v>
      </c>
      <c r="BH99" s="567">
        <f t="shared" si="99"/>
        <v>0</v>
      </c>
      <c r="BI99" s="567">
        <f t="shared" si="99"/>
        <v>0</v>
      </c>
      <c r="BJ99" s="567">
        <f t="shared" si="99"/>
        <v>0</v>
      </c>
      <c r="BK99" s="567">
        <f t="shared" si="99"/>
        <v>0</v>
      </c>
      <c r="BL99" s="567">
        <f t="shared" si="99"/>
        <v>0</v>
      </c>
    </row>
    <row r="100" spans="1:64" x14ac:dyDescent="0.3">
      <c r="A100" s="22"/>
      <c r="B100" s="186" t="str">
        <f>B99</f>
        <v>TCARHYD900</v>
      </c>
      <c r="C100" s="186"/>
      <c r="D100" s="187"/>
      <c r="E100" s="258" t="s">
        <v>185</v>
      </c>
      <c r="F100" s="170"/>
      <c r="G100" s="213"/>
      <c r="H100" s="170"/>
      <c r="I100" s="190"/>
      <c r="J100" s="191" t="s">
        <v>1156</v>
      </c>
      <c r="K100" s="191"/>
      <c r="L100" s="211" t="s">
        <v>101</v>
      </c>
      <c r="M100" s="186"/>
      <c r="N100" s="377">
        <f>1-N$17-N$18</f>
        <v>0.7669999999999999</v>
      </c>
      <c r="O100" s="377">
        <f t="shared" ref="O100:AB100" si="100">1-O$17-O$18</f>
        <v>0.7669999999999999</v>
      </c>
      <c r="P100" s="377">
        <f t="shared" si="100"/>
        <v>0.7669999999999999</v>
      </c>
      <c r="Q100" s="377">
        <f t="shared" si="100"/>
        <v>0.7669999999999999</v>
      </c>
      <c r="R100" s="377">
        <f t="shared" si="100"/>
        <v>0.7669999999999999</v>
      </c>
      <c r="S100" s="377">
        <f t="shared" si="100"/>
        <v>0.7669999999999999</v>
      </c>
      <c r="T100" s="377">
        <f t="shared" si="100"/>
        <v>0.7669999999999999</v>
      </c>
      <c r="U100" s="377">
        <f t="shared" si="100"/>
        <v>0.7669999999999999</v>
      </c>
      <c r="V100" s="377">
        <f t="shared" si="100"/>
        <v>0.7669999999999999</v>
      </c>
      <c r="W100" s="377">
        <f t="shared" si="100"/>
        <v>0.7669999999999999</v>
      </c>
      <c r="X100" s="377">
        <f t="shared" si="100"/>
        <v>0.7669999999999999</v>
      </c>
      <c r="Y100" s="377">
        <f t="shared" si="100"/>
        <v>0.7669999999999999</v>
      </c>
      <c r="Z100" s="377">
        <f t="shared" si="100"/>
        <v>0.7669999999999999</v>
      </c>
      <c r="AA100" s="377">
        <f t="shared" si="100"/>
        <v>0.7669999999999999</v>
      </c>
      <c r="AB100" s="377">
        <f t="shared" si="100"/>
        <v>0.7669999999999999</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699" t="str">
        <f t="shared" ref="AV100:AV154" si="101">MID(E100,1,7)</f>
        <v>TRADST</v>
      </c>
      <c r="AW100" s="567">
        <f t="shared" si="98"/>
        <v>0</v>
      </c>
      <c r="AX100" s="567">
        <f>N$105*N$106*N100/N$103/1000</f>
        <v>0</v>
      </c>
      <c r="AY100" s="567">
        <f t="shared" ref="AY100:BL101" si="102">O$105*O$106*O100/O$103/1000</f>
        <v>0</v>
      </c>
      <c r="AZ100" s="567">
        <f t="shared" si="102"/>
        <v>0</v>
      </c>
      <c r="BA100" s="567">
        <f t="shared" si="102"/>
        <v>0</v>
      </c>
      <c r="BB100" s="567">
        <f t="shared" si="102"/>
        <v>0</v>
      </c>
      <c r="BC100" s="567">
        <f t="shared" si="102"/>
        <v>0</v>
      </c>
      <c r="BD100" s="567">
        <f t="shared" si="102"/>
        <v>0</v>
      </c>
      <c r="BE100" s="567">
        <f t="shared" si="102"/>
        <v>0</v>
      </c>
      <c r="BF100" s="567">
        <f t="shared" si="102"/>
        <v>0</v>
      </c>
      <c r="BG100" s="567">
        <f t="shared" si="102"/>
        <v>0</v>
      </c>
      <c r="BH100" s="567">
        <f t="shared" si="102"/>
        <v>0</v>
      </c>
      <c r="BI100" s="567">
        <f t="shared" si="102"/>
        <v>0</v>
      </c>
      <c r="BJ100" s="567">
        <f t="shared" si="102"/>
        <v>0</v>
      </c>
      <c r="BK100" s="567">
        <f t="shared" si="102"/>
        <v>0</v>
      </c>
      <c r="BL100" s="567">
        <f t="shared" si="102"/>
        <v>0</v>
      </c>
    </row>
    <row r="101" spans="1:64" x14ac:dyDescent="0.3">
      <c r="A101" s="22"/>
      <c r="B101" s="186" t="str">
        <f t="shared" ref="B101" si="103">B100</f>
        <v>TCARHYD900</v>
      </c>
      <c r="C101" s="186"/>
      <c r="D101" s="187"/>
      <c r="E101" s="258" t="s">
        <v>989</v>
      </c>
      <c r="F101" s="170"/>
      <c r="G101" s="189"/>
      <c r="H101" s="170"/>
      <c r="I101" s="190"/>
      <c r="J101" s="191" t="s">
        <v>1156</v>
      </c>
      <c r="K101" s="191"/>
      <c r="L101" s="211" t="s">
        <v>101</v>
      </c>
      <c r="M101" s="191"/>
      <c r="N101" s="377">
        <f>N$17</f>
        <v>5.8000000000000003E-2</v>
      </c>
      <c r="O101" s="377">
        <f t="shared" ref="O101:AB101" si="104">O$17</f>
        <v>5.8000000000000003E-2</v>
      </c>
      <c r="P101" s="377">
        <f t="shared" si="104"/>
        <v>5.8000000000000003E-2</v>
      </c>
      <c r="Q101" s="377">
        <f t="shared" si="104"/>
        <v>5.8000000000000003E-2</v>
      </c>
      <c r="R101" s="377">
        <f t="shared" si="104"/>
        <v>5.8000000000000003E-2</v>
      </c>
      <c r="S101" s="377">
        <f t="shared" si="104"/>
        <v>5.8000000000000003E-2</v>
      </c>
      <c r="T101" s="377">
        <f t="shared" si="104"/>
        <v>5.8000000000000003E-2</v>
      </c>
      <c r="U101" s="377">
        <f t="shared" si="104"/>
        <v>5.8000000000000003E-2</v>
      </c>
      <c r="V101" s="377">
        <f t="shared" si="104"/>
        <v>5.8000000000000003E-2</v>
      </c>
      <c r="W101" s="377">
        <f t="shared" si="104"/>
        <v>5.8000000000000003E-2</v>
      </c>
      <c r="X101" s="377">
        <f t="shared" si="104"/>
        <v>5.8000000000000003E-2</v>
      </c>
      <c r="Y101" s="377">
        <f t="shared" si="104"/>
        <v>5.8000000000000003E-2</v>
      </c>
      <c r="Z101" s="377">
        <f t="shared" si="104"/>
        <v>5.8000000000000003E-2</v>
      </c>
      <c r="AA101" s="377">
        <f t="shared" si="104"/>
        <v>5.8000000000000003E-2</v>
      </c>
      <c r="AB101" s="377">
        <f t="shared" si="104"/>
        <v>5.8000000000000003E-2</v>
      </c>
      <c r="AD101" s="399"/>
      <c r="AE101" s="405"/>
      <c r="AV101" s="699" t="str">
        <f t="shared" si="101"/>
        <v>TRABDLM</v>
      </c>
      <c r="AW101" s="567">
        <f t="shared" si="98"/>
        <v>0</v>
      </c>
      <c r="AX101" s="567">
        <f>N$105*N$106*N101/N$103/1000</f>
        <v>0</v>
      </c>
      <c r="AY101" s="567">
        <f t="shared" si="102"/>
        <v>0</v>
      </c>
      <c r="AZ101" s="567">
        <f t="shared" si="102"/>
        <v>0</v>
      </c>
      <c r="BA101" s="567">
        <f t="shared" si="102"/>
        <v>0</v>
      </c>
      <c r="BB101" s="567">
        <f t="shared" si="102"/>
        <v>0</v>
      </c>
      <c r="BC101" s="567">
        <f t="shared" si="102"/>
        <v>0</v>
      </c>
      <c r="BD101" s="567">
        <f t="shared" si="102"/>
        <v>0</v>
      </c>
      <c r="BE101" s="567">
        <f t="shared" si="102"/>
        <v>0</v>
      </c>
      <c r="BF101" s="567">
        <f t="shared" si="102"/>
        <v>0</v>
      </c>
      <c r="BG101" s="567">
        <f t="shared" si="102"/>
        <v>0</v>
      </c>
      <c r="BH101" s="567">
        <f t="shared" si="102"/>
        <v>0</v>
      </c>
      <c r="BI101" s="567">
        <f t="shared" si="102"/>
        <v>0</v>
      </c>
      <c r="BJ101" s="567">
        <f t="shared" si="102"/>
        <v>0</v>
      </c>
      <c r="BK101" s="567">
        <f t="shared" si="102"/>
        <v>0</v>
      </c>
      <c r="BL101" s="567">
        <f t="shared" si="102"/>
        <v>0</v>
      </c>
    </row>
    <row r="102" spans="1:64" x14ac:dyDescent="0.3">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699" t="str">
        <f t="shared" si="101"/>
        <v/>
      </c>
    </row>
    <row r="103" spans="1:64" x14ac:dyDescent="0.3">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699" t="str">
        <f t="shared" si="101"/>
        <v/>
      </c>
    </row>
    <row r="104" spans="1:64" x14ac:dyDescent="0.3">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699" t="str">
        <f t="shared" si="101"/>
        <v/>
      </c>
    </row>
    <row r="105" spans="1:64" x14ac:dyDescent="0.3">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699" t="str">
        <f t="shared" si="101"/>
        <v/>
      </c>
    </row>
    <row r="106" spans="1:64" x14ac:dyDescent="0.3">
      <c r="A106" s="22"/>
      <c r="B106" s="186" t="str">
        <f t="shared" si="105"/>
        <v>TCARHYD900</v>
      </c>
      <c r="C106" s="186"/>
      <c r="D106" s="187"/>
      <c r="E106" s="186"/>
      <c r="F106" s="170"/>
      <c r="G106" s="213"/>
      <c r="H106" s="170"/>
      <c r="I106" s="190">
        <f>$M$3</f>
        <v>2019</v>
      </c>
      <c r="J106" s="191"/>
      <c r="K106" s="191"/>
      <c r="L106" s="211" t="s">
        <v>1064</v>
      </c>
      <c r="M106" s="186" t="s">
        <v>747</v>
      </c>
      <c r="N106" s="686">
        <f>LOOKUP($C$99, 'T_Stock_TOTAL_&amp;_City'!$C$10:$C$20, 'T_Stock_TOTAL_&amp;_City'!D$10:D$20)*(1+N27)</f>
        <v>0</v>
      </c>
      <c r="O106" s="686">
        <f>LOOKUP($C$99, 'T_Stock_TOTAL_&amp;_City'!$C$10:$C$20, 'T_Stock_TOTAL_&amp;_City'!E$10:E$20)*(1+O27)</f>
        <v>0</v>
      </c>
      <c r="P106" s="686">
        <f>LOOKUP($C$99, 'T_Stock_TOTAL_&amp;_City'!$C$10:$C$20, 'T_Stock_TOTAL_&amp;_City'!F$10:F$20)*(1+P27)</f>
        <v>0</v>
      </c>
      <c r="Q106" s="686">
        <f>LOOKUP($C$99, 'T_Stock_TOTAL_&amp;_City'!$C$10:$C$20, 'T_Stock_TOTAL_&amp;_City'!G$10:G$20)*(1+Q27)</f>
        <v>0</v>
      </c>
      <c r="R106" s="686">
        <f>LOOKUP($C$99, 'T_Stock_TOTAL_&amp;_City'!$C$10:$C$20, 'T_Stock_TOTAL_&amp;_City'!H$10:H$20)*(1+R27)</f>
        <v>0</v>
      </c>
      <c r="S106" s="686">
        <f>LOOKUP($C$99, 'T_Stock_TOTAL_&amp;_City'!$C$10:$C$20, 'T_Stock_TOTAL_&amp;_City'!I$10:I$20)*(1+S27)</f>
        <v>0</v>
      </c>
      <c r="T106" s="686">
        <f>LOOKUP($C$99, 'T_Stock_TOTAL_&amp;_City'!$C$10:$C$20, 'T_Stock_TOTAL_&amp;_City'!J$10:J$20)*(1+T27)</f>
        <v>0</v>
      </c>
      <c r="U106" s="686">
        <f>LOOKUP($C$99, 'T_Stock_TOTAL_&amp;_City'!$C$10:$C$20, 'T_Stock_TOTAL_&amp;_City'!K$10:K$20)*(1+U27)</f>
        <v>0</v>
      </c>
      <c r="V106" s="686">
        <f>LOOKUP($C$99, 'T_Stock_TOTAL_&amp;_City'!$C$10:$C$20, 'T_Stock_TOTAL_&amp;_City'!L$10:L$20)*(1+V27)</f>
        <v>0</v>
      </c>
      <c r="W106" s="686">
        <f>LOOKUP($C$99, 'T_Stock_TOTAL_&amp;_City'!$C$10:$C$20, 'T_Stock_TOTAL_&amp;_City'!M$10:M$20)*(1+W27)</f>
        <v>0</v>
      </c>
      <c r="X106" s="686">
        <f>LOOKUP($C$99, 'T_Stock_TOTAL_&amp;_City'!$C$10:$C$20, 'T_Stock_TOTAL_&amp;_City'!N$10:N$20)*(1+X27)</f>
        <v>0</v>
      </c>
      <c r="Y106" s="686">
        <f>LOOKUP($C$99, 'T_Stock_TOTAL_&amp;_City'!$C$10:$C$20, 'T_Stock_TOTAL_&amp;_City'!O$10:O$20)*(1+Y27)</f>
        <v>0</v>
      </c>
      <c r="Z106" s="686">
        <f>LOOKUP($C$99, 'T_Stock_TOTAL_&amp;_City'!$C$10:$C$20, 'T_Stock_TOTAL_&amp;_City'!P$10:P$20)*(1+Z27)</f>
        <v>0</v>
      </c>
      <c r="AA106" s="686">
        <f>LOOKUP($C$99, 'T_Stock_TOTAL_&amp;_City'!$C$10:$C$20, 'T_Stock_TOTAL_&amp;_City'!Q$10:Q$20)*(1+AA27)</f>
        <v>0</v>
      </c>
      <c r="AB106" s="686">
        <f>LOOKUP($C$99, 'T_Stock_TOTAL_&amp;_City'!$C$10:$C$20, 'T_Stock_TOTAL_&amp;_City'!R$10:R$20)*(1+AB27)</f>
        <v>0</v>
      </c>
      <c r="AV106" s="699" t="str">
        <f t="shared" si="101"/>
        <v/>
      </c>
    </row>
    <row r="107" spans="1:64" x14ac:dyDescent="0.3">
      <c r="A107" s="22"/>
      <c r="B107" s="186" t="str">
        <f t="shared" si="105"/>
        <v>TCARHYD900</v>
      </c>
      <c r="C107" s="186"/>
      <c r="D107" s="187"/>
      <c r="E107" s="186"/>
      <c r="F107" s="170"/>
      <c r="G107" s="213"/>
      <c r="H107" s="170"/>
      <c r="I107" s="190">
        <f>AF$15</f>
        <v>2016</v>
      </c>
      <c r="J107" s="191"/>
      <c r="K107" s="191"/>
      <c r="L107" s="211" t="s">
        <v>1064</v>
      </c>
      <c r="M107" s="186" t="s">
        <v>747</v>
      </c>
      <c r="N107" s="686">
        <f t="shared" ref="N107:AB107" si="107">N106*LOOKUP($AD99,$AG$14:$AP$14,$AG$15:$AP$15)</f>
        <v>0</v>
      </c>
      <c r="O107" s="686">
        <f t="shared" si="107"/>
        <v>0</v>
      </c>
      <c r="P107" s="686">
        <f t="shared" si="107"/>
        <v>0</v>
      </c>
      <c r="Q107" s="686">
        <f t="shared" si="107"/>
        <v>0</v>
      </c>
      <c r="R107" s="686">
        <f t="shared" si="107"/>
        <v>0</v>
      </c>
      <c r="S107" s="686">
        <f t="shared" si="107"/>
        <v>0</v>
      </c>
      <c r="T107" s="686">
        <f t="shared" si="107"/>
        <v>0</v>
      </c>
      <c r="U107" s="686">
        <f t="shared" si="107"/>
        <v>0</v>
      </c>
      <c r="V107" s="686">
        <f t="shared" si="107"/>
        <v>0</v>
      </c>
      <c r="W107" s="686">
        <f t="shared" si="107"/>
        <v>0</v>
      </c>
      <c r="X107" s="686">
        <f t="shared" si="107"/>
        <v>0</v>
      </c>
      <c r="Y107" s="686">
        <f t="shared" si="107"/>
        <v>0</v>
      </c>
      <c r="Z107" s="686">
        <f t="shared" si="107"/>
        <v>0</v>
      </c>
      <c r="AA107" s="686">
        <f t="shared" si="107"/>
        <v>0</v>
      </c>
      <c r="AB107" s="686">
        <f t="shared" si="107"/>
        <v>0</v>
      </c>
      <c r="AE107" s="568">
        <f>SUM(AF107:AT107)</f>
        <v>0</v>
      </c>
      <c r="AF107" s="567">
        <f t="shared" ref="AF107:AT107" si="108">N104*N105*N106/1000</f>
        <v>0</v>
      </c>
      <c r="AG107" s="567">
        <f t="shared" si="108"/>
        <v>0</v>
      </c>
      <c r="AH107" s="567">
        <f t="shared" si="108"/>
        <v>0</v>
      </c>
      <c r="AI107" s="567">
        <f t="shared" si="108"/>
        <v>0</v>
      </c>
      <c r="AJ107" s="567">
        <f t="shared" si="108"/>
        <v>0</v>
      </c>
      <c r="AK107" s="567">
        <f t="shared" si="108"/>
        <v>0</v>
      </c>
      <c r="AL107" s="567">
        <f t="shared" si="108"/>
        <v>0</v>
      </c>
      <c r="AM107" s="567">
        <f t="shared" si="108"/>
        <v>0</v>
      </c>
      <c r="AN107" s="567">
        <f t="shared" si="108"/>
        <v>0</v>
      </c>
      <c r="AO107" s="567">
        <f t="shared" si="108"/>
        <v>0</v>
      </c>
      <c r="AP107" s="567">
        <f t="shared" si="108"/>
        <v>0</v>
      </c>
      <c r="AQ107" s="567">
        <f t="shared" si="108"/>
        <v>0</v>
      </c>
      <c r="AR107" s="567">
        <f t="shared" si="108"/>
        <v>0</v>
      </c>
      <c r="AS107" s="567">
        <f t="shared" si="108"/>
        <v>0</v>
      </c>
      <c r="AT107" s="567">
        <f t="shared" si="108"/>
        <v>0</v>
      </c>
      <c r="AV107" s="699" t="str">
        <f t="shared" si="101"/>
        <v/>
      </c>
    </row>
    <row r="108" spans="1:64" x14ac:dyDescent="0.3">
      <c r="A108" s="22"/>
      <c r="B108" s="186" t="str">
        <f t="shared" si="105"/>
        <v>TCARHYD900</v>
      </c>
      <c r="C108" s="186"/>
      <c r="D108" s="187"/>
      <c r="E108" s="186"/>
      <c r="F108" s="170"/>
      <c r="G108" s="213"/>
      <c r="H108" s="170"/>
      <c r="I108" s="190">
        <f>AF$16</f>
        <v>2020</v>
      </c>
      <c r="J108" s="191"/>
      <c r="K108" s="191"/>
      <c r="L108" s="211" t="s">
        <v>1064</v>
      </c>
      <c r="M108" s="186" t="s">
        <v>747</v>
      </c>
      <c r="N108" s="686">
        <f t="shared" ref="N108:AB108" si="109">N106*LOOKUP($AD99,$AG$14:$AP$14,$AG$16:$AP$16)</f>
        <v>0</v>
      </c>
      <c r="O108" s="686">
        <f t="shared" si="109"/>
        <v>0</v>
      </c>
      <c r="P108" s="686">
        <f t="shared" si="109"/>
        <v>0</v>
      </c>
      <c r="Q108" s="686">
        <f t="shared" si="109"/>
        <v>0</v>
      </c>
      <c r="R108" s="686">
        <f t="shared" si="109"/>
        <v>0</v>
      </c>
      <c r="S108" s="686">
        <f t="shared" si="109"/>
        <v>0</v>
      </c>
      <c r="T108" s="686">
        <f t="shared" si="109"/>
        <v>0</v>
      </c>
      <c r="U108" s="686">
        <f t="shared" si="109"/>
        <v>0</v>
      </c>
      <c r="V108" s="686">
        <f t="shared" si="109"/>
        <v>0</v>
      </c>
      <c r="W108" s="686">
        <f t="shared" si="109"/>
        <v>0</v>
      </c>
      <c r="X108" s="686">
        <f t="shared" si="109"/>
        <v>0</v>
      </c>
      <c r="Y108" s="686">
        <f t="shared" si="109"/>
        <v>0</v>
      </c>
      <c r="Z108" s="686">
        <f t="shared" si="109"/>
        <v>0</v>
      </c>
      <c r="AA108" s="686">
        <f t="shared" si="109"/>
        <v>0</v>
      </c>
      <c r="AB108" s="686">
        <f t="shared" si="109"/>
        <v>0</v>
      </c>
      <c r="AV108" s="699" t="str">
        <f t="shared" si="101"/>
        <v/>
      </c>
    </row>
    <row r="109" spans="1:64" x14ac:dyDescent="0.3">
      <c r="A109" s="22"/>
      <c r="B109" s="186" t="str">
        <f t="shared" si="105"/>
        <v>TCARHYD900</v>
      </c>
      <c r="C109" s="186"/>
      <c r="D109" s="187"/>
      <c r="E109" s="186"/>
      <c r="F109" s="170"/>
      <c r="G109" s="213"/>
      <c r="H109" s="170"/>
      <c r="I109" s="190">
        <f>AF$17</f>
        <v>2025</v>
      </c>
      <c r="J109" s="191"/>
      <c r="K109" s="191"/>
      <c r="L109" s="211" t="s">
        <v>1064</v>
      </c>
      <c r="M109" s="186" t="s">
        <v>747</v>
      </c>
      <c r="N109" s="686">
        <f t="shared" ref="N109:AB109" si="110">N106*LOOKUP($AD99,$AG$14:$AP$14,$AG$17:$AP$17)</f>
        <v>0</v>
      </c>
      <c r="O109" s="686">
        <f t="shared" si="110"/>
        <v>0</v>
      </c>
      <c r="P109" s="686">
        <f t="shared" si="110"/>
        <v>0</v>
      </c>
      <c r="Q109" s="686">
        <f t="shared" si="110"/>
        <v>0</v>
      </c>
      <c r="R109" s="686">
        <f t="shared" si="110"/>
        <v>0</v>
      </c>
      <c r="S109" s="686">
        <f t="shared" si="110"/>
        <v>0</v>
      </c>
      <c r="T109" s="686">
        <f t="shared" si="110"/>
        <v>0</v>
      </c>
      <c r="U109" s="686">
        <f t="shared" si="110"/>
        <v>0</v>
      </c>
      <c r="V109" s="686">
        <f t="shared" si="110"/>
        <v>0</v>
      </c>
      <c r="W109" s="686">
        <f t="shared" si="110"/>
        <v>0</v>
      </c>
      <c r="X109" s="686">
        <f t="shared" si="110"/>
        <v>0</v>
      </c>
      <c r="Y109" s="686">
        <f t="shared" si="110"/>
        <v>0</v>
      </c>
      <c r="Z109" s="686">
        <f t="shared" si="110"/>
        <v>0</v>
      </c>
      <c r="AA109" s="686">
        <f t="shared" si="110"/>
        <v>0</v>
      </c>
      <c r="AB109" s="686">
        <f t="shared" si="110"/>
        <v>0</v>
      </c>
      <c r="AV109" s="699" t="str">
        <f t="shared" si="101"/>
        <v/>
      </c>
    </row>
    <row r="110" spans="1:64" x14ac:dyDescent="0.3">
      <c r="A110" s="22"/>
      <c r="B110" s="186" t="str">
        <f t="shared" si="105"/>
        <v>TCARHYD900</v>
      </c>
      <c r="C110" s="186"/>
      <c r="D110" s="187"/>
      <c r="E110" s="186"/>
      <c r="F110" s="170"/>
      <c r="G110" s="213"/>
      <c r="H110" s="170"/>
      <c r="I110" s="190">
        <f>AF$18</f>
        <v>2030</v>
      </c>
      <c r="J110" s="191"/>
      <c r="K110" s="191"/>
      <c r="L110" s="211" t="s">
        <v>1064</v>
      </c>
      <c r="M110" s="186" t="s">
        <v>747</v>
      </c>
      <c r="N110" s="686">
        <f t="shared" ref="N110:AB110" si="111">N106*LOOKUP($AD99,$AG$14:$AP$14,$AG$18:$AP$18)</f>
        <v>0</v>
      </c>
      <c r="O110" s="686">
        <f t="shared" si="111"/>
        <v>0</v>
      </c>
      <c r="P110" s="686">
        <f t="shared" si="111"/>
        <v>0</v>
      </c>
      <c r="Q110" s="686">
        <f t="shared" si="111"/>
        <v>0</v>
      </c>
      <c r="R110" s="686">
        <f t="shared" si="111"/>
        <v>0</v>
      </c>
      <c r="S110" s="686">
        <f t="shared" si="111"/>
        <v>0</v>
      </c>
      <c r="T110" s="686">
        <f t="shared" si="111"/>
        <v>0</v>
      </c>
      <c r="U110" s="686">
        <f t="shared" si="111"/>
        <v>0</v>
      </c>
      <c r="V110" s="686">
        <f t="shared" si="111"/>
        <v>0</v>
      </c>
      <c r="W110" s="686">
        <f t="shared" si="111"/>
        <v>0</v>
      </c>
      <c r="X110" s="686">
        <f t="shared" si="111"/>
        <v>0</v>
      </c>
      <c r="Y110" s="686">
        <f t="shared" si="111"/>
        <v>0</v>
      </c>
      <c r="Z110" s="686">
        <f t="shared" si="111"/>
        <v>0</v>
      </c>
      <c r="AA110" s="686">
        <f t="shared" si="111"/>
        <v>0</v>
      </c>
      <c r="AB110" s="686">
        <f t="shared" si="111"/>
        <v>0</v>
      </c>
      <c r="AV110" s="699" t="str">
        <f t="shared" si="101"/>
        <v/>
      </c>
    </row>
    <row r="111" spans="1:64" x14ac:dyDescent="0.3">
      <c r="A111" s="22"/>
      <c r="B111" s="186" t="str">
        <f t="shared" si="105"/>
        <v>TCARHYD900</v>
      </c>
      <c r="C111" s="186"/>
      <c r="D111" s="187"/>
      <c r="E111" s="186"/>
      <c r="F111" s="170"/>
      <c r="G111" s="213"/>
      <c r="H111" s="170"/>
      <c r="I111" s="190">
        <f>AF$19</f>
        <v>2040</v>
      </c>
      <c r="J111" s="191"/>
      <c r="K111" s="191"/>
      <c r="L111" s="211" t="s">
        <v>1064</v>
      </c>
      <c r="M111" s="186" t="s">
        <v>747</v>
      </c>
      <c r="N111" s="686">
        <f t="shared" ref="N111:AB111" si="112">N106*LOOKUP($AD99,$AG$14:$AP$14,$AG$19:$AP$19)</f>
        <v>0</v>
      </c>
      <c r="O111" s="686">
        <f t="shared" si="112"/>
        <v>0</v>
      </c>
      <c r="P111" s="686">
        <f t="shared" si="112"/>
        <v>0</v>
      </c>
      <c r="Q111" s="686">
        <f t="shared" si="112"/>
        <v>0</v>
      </c>
      <c r="R111" s="686">
        <f t="shared" si="112"/>
        <v>0</v>
      </c>
      <c r="S111" s="686">
        <f t="shared" si="112"/>
        <v>0</v>
      </c>
      <c r="T111" s="686">
        <f t="shared" si="112"/>
        <v>0</v>
      </c>
      <c r="U111" s="686">
        <f t="shared" si="112"/>
        <v>0</v>
      </c>
      <c r="V111" s="686">
        <f t="shared" si="112"/>
        <v>0</v>
      </c>
      <c r="W111" s="686">
        <f t="shared" si="112"/>
        <v>0</v>
      </c>
      <c r="X111" s="686">
        <f t="shared" si="112"/>
        <v>0</v>
      </c>
      <c r="Y111" s="686">
        <f t="shared" si="112"/>
        <v>0</v>
      </c>
      <c r="Z111" s="686">
        <f t="shared" si="112"/>
        <v>0</v>
      </c>
      <c r="AA111" s="686">
        <f t="shared" si="112"/>
        <v>0</v>
      </c>
      <c r="AB111" s="686">
        <f t="shared" si="112"/>
        <v>0</v>
      </c>
      <c r="AV111" s="699" t="str">
        <f t="shared" si="101"/>
        <v/>
      </c>
    </row>
    <row r="112" spans="1:64" x14ac:dyDescent="0.3">
      <c r="A112" s="22"/>
      <c r="B112" s="193" t="str">
        <f t="shared" si="105"/>
        <v>TCARHYD900</v>
      </c>
      <c r="C112" s="193"/>
      <c r="D112" s="194"/>
      <c r="E112" s="193"/>
      <c r="F112" s="196"/>
      <c r="G112" s="215"/>
      <c r="H112" s="196"/>
      <c r="I112" s="197">
        <f>AF$20</f>
        <v>2050</v>
      </c>
      <c r="J112" s="198"/>
      <c r="K112" s="198"/>
      <c r="L112" s="212" t="s">
        <v>1064</v>
      </c>
      <c r="M112" s="193" t="s">
        <v>747</v>
      </c>
      <c r="N112" s="687">
        <f t="shared" ref="N112:AB112" si="113">N106*LOOKUP($AD99,$AG$14:$AP$14,$AG$20:$AP$20)</f>
        <v>0</v>
      </c>
      <c r="O112" s="687">
        <f t="shared" si="113"/>
        <v>0</v>
      </c>
      <c r="P112" s="687">
        <f t="shared" si="113"/>
        <v>0</v>
      </c>
      <c r="Q112" s="687">
        <f t="shared" si="113"/>
        <v>0</v>
      </c>
      <c r="R112" s="687">
        <f t="shared" si="113"/>
        <v>0</v>
      </c>
      <c r="S112" s="687">
        <f t="shared" si="113"/>
        <v>0</v>
      </c>
      <c r="T112" s="687">
        <f t="shared" si="113"/>
        <v>0</v>
      </c>
      <c r="U112" s="687">
        <f t="shared" si="113"/>
        <v>0</v>
      </c>
      <c r="V112" s="687">
        <f t="shared" si="113"/>
        <v>0</v>
      </c>
      <c r="W112" s="687">
        <f t="shared" si="113"/>
        <v>0</v>
      </c>
      <c r="X112" s="687">
        <f t="shared" si="113"/>
        <v>0</v>
      </c>
      <c r="Y112" s="687">
        <f t="shared" si="113"/>
        <v>0</v>
      </c>
      <c r="Z112" s="687">
        <f t="shared" si="113"/>
        <v>0</v>
      </c>
      <c r="AA112" s="687">
        <f t="shared" si="113"/>
        <v>0</v>
      </c>
      <c r="AB112" s="687">
        <f t="shared" si="113"/>
        <v>0</v>
      </c>
      <c r="AD112" s="400"/>
      <c r="AV112" s="699" t="str">
        <f t="shared" si="101"/>
        <v/>
      </c>
    </row>
    <row r="113" spans="1:64" x14ac:dyDescent="0.3">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699" t="str">
        <f t="shared" si="101"/>
        <v>TRAGSL</v>
      </c>
      <c r="AW113" s="567">
        <f t="shared" ref="AW113:AW115" si="115">SUM(AX113:BL113)</f>
        <v>0</v>
      </c>
      <c r="AX113" s="567">
        <f>N$119*N$120*(1-N114)/N$117/1000</f>
        <v>0</v>
      </c>
      <c r="AY113" s="567">
        <f t="shared" ref="AY113:BL113" si="116">O$119*O$120*(1-O114)/O$117/1000</f>
        <v>0</v>
      </c>
      <c r="AZ113" s="567">
        <f t="shared" si="116"/>
        <v>0</v>
      </c>
      <c r="BA113" s="567">
        <f t="shared" si="116"/>
        <v>0</v>
      </c>
      <c r="BB113" s="567">
        <f t="shared" si="116"/>
        <v>0</v>
      </c>
      <c r="BC113" s="567">
        <f t="shared" si="116"/>
        <v>0</v>
      </c>
      <c r="BD113" s="567">
        <f t="shared" si="116"/>
        <v>0</v>
      </c>
      <c r="BE113" s="567">
        <f t="shared" si="116"/>
        <v>0</v>
      </c>
      <c r="BF113" s="567">
        <f t="shared" si="116"/>
        <v>0</v>
      </c>
      <c r="BG113" s="567">
        <f t="shared" si="116"/>
        <v>0</v>
      </c>
      <c r="BH113" s="567">
        <f t="shared" si="116"/>
        <v>0</v>
      </c>
      <c r="BI113" s="567">
        <f t="shared" si="116"/>
        <v>0</v>
      </c>
      <c r="BJ113" s="567">
        <f t="shared" si="116"/>
        <v>0</v>
      </c>
      <c r="BK113" s="567">
        <f t="shared" si="116"/>
        <v>0</v>
      </c>
      <c r="BL113" s="567">
        <f t="shared" si="116"/>
        <v>0</v>
      </c>
    </row>
    <row r="114" spans="1:64" x14ac:dyDescent="0.3">
      <c r="A114" s="22"/>
      <c r="B114" s="186" t="str">
        <f>B113</f>
        <v>TCARHYG900</v>
      </c>
      <c r="C114" s="186"/>
      <c r="D114" s="187"/>
      <c r="E114" s="258" t="s">
        <v>1011</v>
      </c>
      <c r="F114" s="170"/>
      <c r="G114" s="213"/>
      <c r="H114" s="170"/>
      <c r="I114" s="190"/>
      <c r="J114" s="191" t="s">
        <v>1156</v>
      </c>
      <c r="K114" s="191"/>
      <c r="L114" s="211" t="s">
        <v>101</v>
      </c>
      <c r="M114" s="186"/>
      <c r="N114" s="377">
        <f>N$19</f>
        <v>5.0999999999999997E-2</v>
      </c>
      <c r="O114" s="377">
        <f t="shared" ref="O114:AB114" si="117">O$19</f>
        <v>5.0999999999999997E-2</v>
      </c>
      <c r="P114" s="377">
        <f t="shared" si="117"/>
        <v>5.0999999999999997E-2</v>
      </c>
      <c r="Q114" s="377">
        <f t="shared" si="117"/>
        <v>5.0999999999999997E-2</v>
      </c>
      <c r="R114" s="377">
        <f t="shared" si="117"/>
        <v>5.0999999999999997E-2</v>
      </c>
      <c r="S114" s="377">
        <f t="shared" si="117"/>
        <v>5.0999999999999997E-2</v>
      </c>
      <c r="T114" s="377">
        <f t="shared" si="117"/>
        <v>5.0999999999999997E-2</v>
      </c>
      <c r="U114" s="377">
        <f t="shared" si="117"/>
        <v>5.0999999999999997E-2</v>
      </c>
      <c r="V114" s="377">
        <f t="shared" si="117"/>
        <v>5.0999999999999997E-2</v>
      </c>
      <c r="W114" s="377">
        <f t="shared" si="117"/>
        <v>5.0999999999999997E-2</v>
      </c>
      <c r="X114" s="377">
        <f t="shared" si="117"/>
        <v>5.0999999999999997E-2</v>
      </c>
      <c r="Y114" s="377">
        <f t="shared" si="117"/>
        <v>5.0999999999999997E-2</v>
      </c>
      <c r="Z114" s="377">
        <f t="shared" si="117"/>
        <v>5.0999999999999997E-2</v>
      </c>
      <c r="AA114" s="377">
        <f t="shared" si="117"/>
        <v>5.0999999999999997E-2</v>
      </c>
      <c r="AB114" s="377">
        <f t="shared" si="117"/>
        <v>5.0999999999999997E-2</v>
      </c>
      <c r="AD114" s="399" t="str">
        <f>IF(COUNTIF($AG$14:$AP$14,AD113)=1,"ok","MISSING")</f>
        <v>ok</v>
      </c>
      <c r="AV114" s="699" t="str">
        <f t="shared" si="101"/>
        <v>TRAETHM</v>
      </c>
      <c r="AW114" s="567">
        <f t="shared" si="115"/>
        <v>0</v>
      </c>
      <c r="AX114" s="567">
        <f>N$119*N$120*N114/N$117/1000</f>
        <v>0</v>
      </c>
      <c r="AY114" s="567">
        <f t="shared" ref="AY114:BL115" si="118">O$119*O$120*O114/O$117/1000</f>
        <v>0</v>
      </c>
      <c r="AZ114" s="567">
        <f t="shared" si="118"/>
        <v>0</v>
      </c>
      <c r="BA114" s="567">
        <f t="shared" si="118"/>
        <v>0</v>
      </c>
      <c r="BB114" s="567">
        <f t="shared" si="118"/>
        <v>0</v>
      </c>
      <c r="BC114" s="567">
        <f t="shared" si="118"/>
        <v>0</v>
      </c>
      <c r="BD114" s="567">
        <f t="shared" si="118"/>
        <v>0</v>
      </c>
      <c r="BE114" s="567">
        <f t="shared" si="118"/>
        <v>0</v>
      </c>
      <c r="BF114" s="567">
        <f t="shared" si="118"/>
        <v>0</v>
      </c>
      <c r="BG114" s="567">
        <f t="shared" si="118"/>
        <v>0</v>
      </c>
      <c r="BH114" s="567">
        <f t="shared" si="118"/>
        <v>0</v>
      </c>
      <c r="BI114" s="567">
        <f t="shared" si="118"/>
        <v>0</v>
      </c>
      <c r="BJ114" s="567">
        <f t="shared" si="118"/>
        <v>0</v>
      </c>
      <c r="BK114" s="567">
        <f t="shared" si="118"/>
        <v>0</v>
      </c>
      <c r="BL114" s="567">
        <f t="shared" si="118"/>
        <v>0</v>
      </c>
    </row>
    <row r="115" spans="1:64" x14ac:dyDescent="0.3">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7"/>
      <c r="AV115" s="699" t="str">
        <f>MID(E115,1,8)</f>
        <v>TRABGSLM</v>
      </c>
      <c r="AW115" s="567">
        <f t="shared" si="115"/>
        <v>0</v>
      </c>
      <c r="AX115" s="567">
        <f>N$119*N$120*N115/N$117/1000</f>
        <v>0</v>
      </c>
      <c r="AY115" s="567">
        <f t="shared" si="118"/>
        <v>0</v>
      </c>
      <c r="AZ115" s="567">
        <f t="shared" si="118"/>
        <v>0</v>
      </c>
      <c r="BA115" s="567">
        <f t="shared" si="118"/>
        <v>0</v>
      </c>
      <c r="BB115" s="567">
        <f t="shared" si="118"/>
        <v>0</v>
      </c>
      <c r="BC115" s="567">
        <f t="shared" si="118"/>
        <v>0</v>
      </c>
      <c r="BD115" s="567">
        <f t="shared" si="118"/>
        <v>0</v>
      </c>
      <c r="BE115" s="567">
        <f t="shared" si="118"/>
        <v>0</v>
      </c>
      <c r="BF115" s="567">
        <f t="shared" si="118"/>
        <v>0</v>
      </c>
      <c r="BG115" s="567">
        <f t="shared" si="118"/>
        <v>0</v>
      </c>
      <c r="BH115" s="567">
        <f t="shared" si="118"/>
        <v>0</v>
      </c>
      <c r="BI115" s="567">
        <f t="shared" si="118"/>
        <v>0</v>
      </c>
      <c r="BJ115" s="567">
        <f t="shared" si="118"/>
        <v>0</v>
      </c>
      <c r="BK115" s="567">
        <f t="shared" si="118"/>
        <v>0</v>
      </c>
      <c r="BL115" s="567">
        <f t="shared" si="118"/>
        <v>0</v>
      </c>
    </row>
    <row r="116" spans="1:64" x14ac:dyDescent="0.3">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699" t="str">
        <f t="shared" si="101"/>
        <v/>
      </c>
    </row>
    <row r="117" spans="1:64" x14ac:dyDescent="0.3">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699" t="str">
        <f t="shared" si="101"/>
        <v/>
      </c>
    </row>
    <row r="118" spans="1:64" x14ac:dyDescent="0.3">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699" t="str">
        <f t="shared" si="101"/>
        <v/>
      </c>
    </row>
    <row r="119" spans="1:64" x14ac:dyDescent="0.3">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699" t="str">
        <f t="shared" si="101"/>
        <v/>
      </c>
    </row>
    <row r="120" spans="1:64" x14ac:dyDescent="0.3">
      <c r="A120" s="22"/>
      <c r="B120" s="186" t="str">
        <f t="shared" si="121"/>
        <v>TCARHYG900</v>
      </c>
      <c r="C120" s="186"/>
      <c r="D120" s="187"/>
      <c r="E120" s="186"/>
      <c r="F120" s="170"/>
      <c r="G120" s="213"/>
      <c r="H120" s="170"/>
      <c r="I120" s="190">
        <f>$M$3</f>
        <v>2019</v>
      </c>
      <c r="J120" s="191"/>
      <c r="K120" s="191"/>
      <c r="L120" s="211" t="s">
        <v>1064</v>
      </c>
      <c r="M120" s="186" t="s">
        <v>747</v>
      </c>
      <c r="N120" s="686">
        <f>LOOKUP($C$113, 'T_Stock_TOTAL_&amp;_City'!$C$10:$C$20, 'T_Stock_TOTAL_&amp;_City'!D$10:D$20)*(1+N27)</f>
        <v>0</v>
      </c>
      <c r="O120" s="686">
        <f>LOOKUP($C$113, 'T_Stock_TOTAL_&amp;_City'!$C$10:$C$20, 'T_Stock_TOTAL_&amp;_City'!E$10:E$20)*(1+O27)</f>
        <v>0</v>
      </c>
      <c r="P120" s="686">
        <f>LOOKUP($C$113, 'T_Stock_TOTAL_&amp;_City'!$C$10:$C$20, 'T_Stock_TOTAL_&amp;_City'!F$10:F$20)*(1+P27)</f>
        <v>0</v>
      </c>
      <c r="Q120" s="686">
        <f>LOOKUP($C$113, 'T_Stock_TOTAL_&amp;_City'!$C$10:$C$20, 'T_Stock_TOTAL_&amp;_City'!G$10:G$20)*(1+Q27)</f>
        <v>0</v>
      </c>
      <c r="R120" s="686">
        <f>LOOKUP($C$113, 'T_Stock_TOTAL_&amp;_City'!$C$10:$C$20, 'T_Stock_TOTAL_&amp;_City'!H$10:H$20)*(1+R27)</f>
        <v>0</v>
      </c>
      <c r="S120" s="686">
        <f>LOOKUP($C$113, 'T_Stock_TOTAL_&amp;_City'!$C$10:$C$20, 'T_Stock_TOTAL_&amp;_City'!I$10:I$20)*(1+S27)</f>
        <v>0</v>
      </c>
      <c r="T120" s="686">
        <f>LOOKUP($C$113, 'T_Stock_TOTAL_&amp;_City'!$C$10:$C$20, 'T_Stock_TOTAL_&amp;_City'!J$10:J$20)*(1+T27)</f>
        <v>0</v>
      </c>
      <c r="U120" s="686">
        <f>LOOKUP($C$113, 'T_Stock_TOTAL_&amp;_City'!$C$10:$C$20, 'T_Stock_TOTAL_&amp;_City'!K$10:K$20)*(1+U27)</f>
        <v>0</v>
      </c>
      <c r="V120" s="686">
        <f>LOOKUP($C$113, 'T_Stock_TOTAL_&amp;_City'!$C$10:$C$20, 'T_Stock_TOTAL_&amp;_City'!L$10:L$20)*(1+V27)</f>
        <v>0</v>
      </c>
      <c r="W120" s="686">
        <f>LOOKUP($C$113, 'T_Stock_TOTAL_&amp;_City'!$C$10:$C$20, 'T_Stock_TOTAL_&amp;_City'!M$10:M$20)*(1+W27)</f>
        <v>0</v>
      </c>
      <c r="X120" s="686">
        <f>LOOKUP($C$113, 'T_Stock_TOTAL_&amp;_City'!$C$10:$C$20, 'T_Stock_TOTAL_&amp;_City'!N$10:N$20)*(1+X27)</f>
        <v>0</v>
      </c>
      <c r="Y120" s="686">
        <f>LOOKUP($C$113, 'T_Stock_TOTAL_&amp;_City'!$C$10:$C$20, 'T_Stock_TOTAL_&amp;_City'!O$10:O$20)*(1+Y27)</f>
        <v>0</v>
      </c>
      <c r="Z120" s="686">
        <f>LOOKUP($C$113, 'T_Stock_TOTAL_&amp;_City'!$C$10:$C$20, 'T_Stock_TOTAL_&amp;_City'!P$10:P$20)*(1+Z27)</f>
        <v>0</v>
      </c>
      <c r="AA120" s="686">
        <f>LOOKUP($C$113, 'T_Stock_TOTAL_&amp;_City'!$C$10:$C$20, 'T_Stock_TOTAL_&amp;_City'!Q$10:Q$20)*(1+AA27)</f>
        <v>0</v>
      </c>
      <c r="AB120" s="686">
        <f>LOOKUP($C$113, 'T_Stock_TOTAL_&amp;_City'!$C$10:$C$20, 'T_Stock_TOTAL_&amp;_City'!R$10:R$20)*(1+AB27)</f>
        <v>0</v>
      </c>
      <c r="AV120" s="699" t="str">
        <f t="shared" si="101"/>
        <v/>
      </c>
    </row>
    <row r="121" spans="1:64" x14ac:dyDescent="0.3">
      <c r="A121" s="22"/>
      <c r="B121" s="186" t="str">
        <f t="shared" si="121"/>
        <v>TCARHYG900</v>
      </c>
      <c r="C121" s="186"/>
      <c r="D121" s="187"/>
      <c r="E121" s="186"/>
      <c r="F121" s="170"/>
      <c r="G121" s="213"/>
      <c r="H121" s="170"/>
      <c r="I121" s="190">
        <f>AF$15</f>
        <v>2016</v>
      </c>
      <c r="J121" s="191"/>
      <c r="K121" s="191"/>
      <c r="L121" s="211" t="s">
        <v>1064</v>
      </c>
      <c r="M121" s="186" t="s">
        <v>747</v>
      </c>
      <c r="N121" s="686">
        <f t="shared" ref="N121:AB121" si="123">N120*LOOKUP($AD113,$AG$14:$AP$14,$AG$15:$AP$15)</f>
        <v>0</v>
      </c>
      <c r="O121" s="686">
        <f t="shared" si="123"/>
        <v>0</v>
      </c>
      <c r="P121" s="686">
        <f t="shared" si="123"/>
        <v>0</v>
      </c>
      <c r="Q121" s="686">
        <f t="shared" si="123"/>
        <v>0</v>
      </c>
      <c r="R121" s="686">
        <f t="shared" si="123"/>
        <v>0</v>
      </c>
      <c r="S121" s="686">
        <f t="shared" si="123"/>
        <v>0</v>
      </c>
      <c r="T121" s="686">
        <f t="shared" si="123"/>
        <v>0</v>
      </c>
      <c r="U121" s="686">
        <f t="shared" si="123"/>
        <v>0</v>
      </c>
      <c r="V121" s="686">
        <f t="shared" si="123"/>
        <v>0</v>
      </c>
      <c r="W121" s="686">
        <f t="shared" si="123"/>
        <v>0</v>
      </c>
      <c r="X121" s="686">
        <f t="shared" si="123"/>
        <v>0</v>
      </c>
      <c r="Y121" s="686">
        <f t="shared" si="123"/>
        <v>0</v>
      </c>
      <c r="Z121" s="686">
        <f t="shared" si="123"/>
        <v>0</v>
      </c>
      <c r="AA121" s="686">
        <f t="shared" si="123"/>
        <v>0</v>
      </c>
      <c r="AB121" s="686">
        <f t="shared" si="123"/>
        <v>0</v>
      </c>
      <c r="AE121" s="568">
        <f>SUM(AF121:AT121)</f>
        <v>0</v>
      </c>
      <c r="AF121" s="567">
        <f t="shared" ref="AF121:AT121" si="124">N118*N119*N120/1000</f>
        <v>0</v>
      </c>
      <c r="AG121" s="567">
        <f t="shared" si="124"/>
        <v>0</v>
      </c>
      <c r="AH121" s="567">
        <f t="shared" si="124"/>
        <v>0</v>
      </c>
      <c r="AI121" s="567">
        <f t="shared" si="124"/>
        <v>0</v>
      </c>
      <c r="AJ121" s="567">
        <f t="shared" si="124"/>
        <v>0</v>
      </c>
      <c r="AK121" s="567">
        <f t="shared" si="124"/>
        <v>0</v>
      </c>
      <c r="AL121" s="567">
        <f t="shared" si="124"/>
        <v>0</v>
      </c>
      <c r="AM121" s="567">
        <f t="shared" si="124"/>
        <v>0</v>
      </c>
      <c r="AN121" s="567">
        <f t="shared" si="124"/>
        <v>0</v>
      </c>
      <c r="AO121" s="567">
        <f t="shared" si="124"/>
        <v>0</v>
      </c>
      <c r="AP121" s="567">
        <f t="shared" si="124"/>
        <v>0</v>
      </c>
      <c r="AQ121" s="567">
        <f t="shared" si="124"/>
        <v>0</v>
      </c>
      <c r="AR121" s="567">
        <f t="shared" si="124"/>
        <v>0</v>
      </c>
      <c r="AS121" s="567">
        <f t="shared" si="124"/>
        <v>0</v>
      </c>
      <c r="AT121" s="567">
        <f t="shared" si="124"/>
        <v>0</v>
      </c>
      <c r="AV121" s="699" t="str">
        <f t="shared" si="101"/>
        <v/>
      </c>
    </row>
    <row r="122" spans="1:64" x14ac:dyDescent="0.3">
      <c r="A122" s="22"/>
      <c r="B122" s="186" t="str">
        <f t="shared" si="121"/>
        <v>TCARHYG900</v>
      </c>
      <c r="C122" s="186"/>
      <c r="D122" s="187"/>
      <c r="E122" s="186"/>
      <c r="F122" s="170"/>
      <c r="G122" s="213"/>
      <c r="H122" s="170"/>
      <c r="I122" s="190">
        <f>AF$16</f>
        <v>2020</v>
      </c>
      <c r="J122" s="191"/>
      <c r="K122" s="191"/>
      <c r="L122" s="211" t="s">
        <v>1064</v>
      </c>
      <c r="M122" s="186" t="s">
        <v>747</v>
      </c>
      <c r="N122" s="686">
        <f t="shared" ref="N122:AB122" si="125">N120*LOOKUP($AD113,$AG$14:$AP$14,$AG$16:$AP$16)</f>
        <v>0</v>
      </c>
      <c r="O122" s="686">
        <f t="shared" si="125"/>
        <v>0</v>
      </c>
      <c r="P122" s="686">
        <f t="shared" si="125"/>
        <v>0</v>
      </c>
      <c r="Q122" s="686">
        <f t="shared" si="125"/>
        <v>0</v>
      </c>
      <c r="R122" s="686">
        <f t="shared" si="125"/>
        <v>0</v>
      </c>
      <c r="S122" s="686">
        <f t="shared" si="125"/>
        <v>0</v>
      </c>
      <c r="T122" s="686">
        <f t="shared" si="125"/>
        <v>0</v>
      </c>
      <c r="U122" s="686">
        <f t="shared" si="125"/>
        <v>0</v>
      </c>
      <c r="V122" s="686">
        <f t="shared" si="125"/>
        <v>0</v>
      </c>
      <c r="W122" s="686">
        <f t="shared" si="125"/>
        <v>0</v>
      </c>
      <c r="X122" s="686">
        <f t="shared" si="125"/>
        <v>0</v>
      </c>
      <c r="Y122" s="686">
        <f t="shared" si="125"/>
        <v>0</v>
      </c>
      <c r="Z122" s="686">
        <f t="shared" si="125"/>
        <v>0</v>
      </c>
      <c r="AA122" s="686">
        <f t="shared" si="125"/>
        <v>0</v>
      </c>
      <c r="AB122" s="686">
        <f t="shared" si="125"/>
        <v>0</v>
      </c>
      <c r="AV122" s="699" t="str">
        <f t="shared" si="101"/>
        <v/>
      </c>
    </row>
    <row r="123" spans="1:64" x14ac:dyDescent="0.3">
      <c r="A123" s="22"/>
      <c r="B123" s="186" t="str">
        <f t="shared" si="121"/>
        <v>TCARHYG900</v>
      </c>
      <c r="C123" s="186"/>
      <c r="D123" s="187"/>
      <c r="E123" s="186"/>
      <c r="F123" s="170"/>
      <c r="G123" s="213"/>
      <c r="H123" s="170"/>
      <c r="I123" s="190">
        <v>2025</v>
      </c>
      <c r="J123" s="191"/>
      <c r="K123" s="191"/>
      <c r="L123" s="211" t="s">
        <v>1064</v>
      </c>
      <c r="M123" s="186" t="s">
        <v>747</v>
      </c>
      <c r="N123" s="686">
        <f t="shared" ref="N123:AB123" si="126">N120*LOOKUP($AD113,$AG$14:$AP$14,$AG$17:$AP$17)</f>
        <v>0</v>
      </c>
      <c r="O123" s="686">
        <f t="shared" si="126"/>
        <v>0</v>
      </c>
      <c r="P123" s="686">
        <f t="shared" si="126"/>
        <v>0</v>
      </c>
      <c r="Q123" s="686">
        <f t="shared" si="126"/>
        <v>0</v>
      </c>
      <c r="R123" s="686">
        <f t="shared" si="126"/>
        <v>0</v>
      </c>
      <c r="S123" s="686">
        <f t="shared" si="126"/>
        <v>0</v>
      </c>
      <c r="T123" s="686">
        <f t="shared" si="126"/>
        <v>0</v>
      </c>
      <c r="U123" s="686">
        <f t="shared" si="126"/>
        <v>0</v>
      </c>
      <c r="V123" s="686">
        <f t="shared" si="126"/>
        <v>0</v>
      </c>
      <c r="W123" s="686">
        <f t="shared" si="126"/>
        <v>0</v>
      </c>
      <c r="X123" s="686">
        <f t="shared" si="126"/>
        <v>0</v>
      </c>
      <c r="Y123" s="686">
        <f t="shared" si="126"/>
        <v>0</v>
      </c>
      <c r="Z123" s="686">
        <f t="shared" si="126"/>
        <v>0</v>
      </c>
      <c r="AA123" s="686">
        <f t="shared" si="126"/>
        <v>0</v>
      </c>
      <c r="AB123" s="686">
        <f t="shared" si="126"/>
        <v>0</v>
      </c>
      <c r="AV123" s="699" t="str">
        <f t="shared" si="101"/>
        <v/>
      </c>
    </row>
    <row r="124" spans="1:64" x14ac:dyDescent="0.3">
      <c r="A124" s="22"/>
      <c r="B124" s="186" t="str">
        <f t="shared" si="121"/>
        <v>TCARHYG900</v>
      </c>
      <c r="C124" s="186"/>
      <c r="D124" s="187"/>
      <c r="E124" s="186"/>
      <c r="F124" s="170"/>
      <c r="G124" s="213"/>
      <c r="H124" s="170"/>
      <c r="I124" s="190">
        <f>AF$18</f>
        <v>2030</v>
      </c>
      <c r="J124" s="191"/>
      <c r="K124" s="191"/>
      <c r="L124" s="211" t="s">
        <v>1064</v>
      </c>
      <c r="M124" s="186" t="s">
        <v>747</v>
      </c>
      <c r="N124" s="686">
        <f t="shared" ref="N124:AB124" si="127">N120*LOOKUP($AD113,$AG$14:$AP$14,$AG$18:$AP$18)</f>
        <v>0</v>
      </c>
      <c r="O124" s="686">
        <f t="shared" si="127"/>
        <v>0</v>
      </c>
      <c r="P124" s="686">
        <f t="shared" si="127"/>
        <v>0</v>
      </c>
      <c r="Q124" s="686">
        <f t="shared" si="127"/>
        <v>0</v>
      </c>
      <c r="R124" s="686">
        <f t="shared" si="127"/>
        <v>0</v>
      </c>
      <c r="S124" s="686">
        <f t="shared" si="127"/>
        <v>0</v>
      </c>
      <c r="T124" s="686">
        <f t="shared" si="127"/>
        <v>0</v>
      </c>
      <c r="U124" s="686">
        <f t="shared" si="127"/>
        <v>0</v>
      </c>
      <c r="V124" s="686">
        <f t="shared" si="127"/>
        <v>0</v>
      </c>
      <c r="W124" s="686">
        <f t="shared" si="127"/>
        <v>0</v>
      </c>
      <c r="X124" s="686">
        <f t="shared" si="127"/>
        <v>0</v>
      </c>
      <c r="Y124" s="686">
        <f t="shared" si="127"/>
        <v>0</v>
      </c>
      <c r="Z124" s="686">
        <f t="shared" si="127"/>
        <v>0</v>
      </c>
      <c r="AA124" s="686">
        <f t="shared" si="127"/>
        <v>0</v>
      </c>
      <c r="AB124" s="686">
        <f t="shared" si="127"/>
        <v>0</v>
      </c>
      <c r="AV124" s="699" t="str">
        <f t="shared" si="101"/>
        <v/>
      </c>
    </row>
    <row r="125" spans="1:64" x14ac:dyDescent="0.3">
      <c r="A125" s="22"/>
      <c r="B125" s="186" t="str">
        <f t="shared" si="121"/>
        <v>TCARHYG900</v>
      </c>
      <c r="C125" s="186"/>
      <c r="D125" s="187"/>
      <c r="E125" s="186"/>
      <c r="F125" s="170"/>
      <c r="G125" s="213"/>
      <c r="H125" s="170"/>
      <c r="I125" s="190">
        <f>AF$19</f>
        <v>2040</v>
      </c>
      <c r="J125" s="191"/>
      <c r="K125" s="191"/>
      <c r="L125" s="211" t="s">
        <v>1064</v>
      </c>
      <c r="M125" s="186" t="s">
        <v>747</v>
      </c>
      <c r="N125" s="686">
        <f t="shared" ref="N125:AB125" si="128">N120*LOOKUP($AD113,$AG$14:$AP$14,$AG$19:$AP$19)</f>
        <v>0</v>
      </c>
      <c r="O125" s="686">
        <f t="shared" si="128"/>
        <v>0</v>
      </c>
      <c r="P125" s="686">
        <f t="shared" si="128"/>
        <v>0</v>
      </c>
      <c r="Q125" s="686">
        <f t="shared" si="128"/>
        <v>0</v>
      </c>
      <c r="R125" s="686">
        <f t="shared" si="128"/>
        <v>0</v>
      </c>
      <c r="S125" s="686">
        <f t="shared" si="128"/>
        <v>0</v>
      </c>
      <c r="T125" s="686">
        <f t="shared" si="128"/>
        <v>0</v>
      </c>
      <c r="U125" s="686">
        <f t="shared" si="128"/>
        <v>0</v>
      </c>
      <c r="V125" s="686">
        <f t="shared" si="128"/>
        <v>0</v>
      </c>
      <c r="W125" s="686">
        <f t="shared" si="128"/>
        <v>0</v>
      </c>
      <c r="X125" s="686">
        <f t="shared" si="128"/>
        <v>0</v>
      </c>
      <c r="Y125" s="686">
        <f t="shared" si="128"/>
        <v>0</v>
      </c>
      <c r="Z125" s="686">
        <f t="shared" si="128"/>
        <v>0</v>
      </c>
      <c r="AA125" s="686">
        <f t="shared" si="128"/>
        <v>0</v>
      </c>
      <c r="AB125" s="686">
        <f t="shared" si="128"/>
        <v>0</v>
      </c>
      <c r="AV125" s="699" t="str">
        <f t="shared" si="101"/>
        <v/>
      </c>
    </row>
    <row r="126" spans="1:64" x14ac:dyDescent="0.3">
      <c r="A126" s="22"/>
      <c r="B126" s="193" t="str">
        <f t="shared" si="121"/>
        <v>TCARHYG900</v>
      </c>
      <c r="C126" s="193"/>
      <c r="D126" s="194"/>
      <c r="E126" s="193"/>
      <c r="F126" s="196"/>
      <c r="G126" s="215"/>
      <c r="H126" s="196"/>
      <c r="I126" s="197">
        <f>AF$20</f>
        <v>2050</v>
      </c>
      <c r="J126" s="198"/>
      <c r="K126" s="198"/>
      <c r="L126" s="212" t="s">
        <v>1064</v>
      </c>
      <c r="M126" s="193" t="s">
        <v>747</v>
      </c>
      <c r="N126" s="687">
        <f t="shared" ref="N126:AB126" si="129">N120*LOOKUP($AD113,$AG$14:$AP$14,$AG$20:$AP$20)</f>
        <v>0</v>
      </c>
      <c r="O126" s="687">
        <f t="shared" si="129"/>
        <v>0</v>
      </c>
      <c r="P126" s="687">
        <f t="shared" si="129"/>
        <v>0</v>
      </c>
      <c r="Q126" s="687">
        <f t="shared" si="129"/>
        <v>0</v>
      </c>
      <c r="R126" s="687">
        <f t="shared" si="129"/>
        <v>0</v>
      </c>
      <c r="S126" s="687">
        <f t="shared" si="129"/>
        <v>0</v>
      </c>
      <c r="T126" s="687">
        <f t="shared" si="129"/>
        <v>0</v>
      </c>
      <c r="U126" s="687">
        <f t="shared" si="129"/>
        <v>0</v>
      </c>
      <c r="V126" s="687">
        <f t="shared" si="129"/>
        <v>0</v>
      </c>
      <c r="W126" s="687">
        <f t="shared" si="129"/>
        <v>0</v>
      </c>
      <c r="X126" s="687">
        <f t="shared" si="129"/>
        <v>0</v>
      </c>
      <c r="Y126" s="687">
        <f t="shared" si="129"/>
        <v>0</v>
      </c>
      <c r="Z126" s="687">
        <f t="shared" si="129"/>
        <v>0</v>
      </c>
      <c r="AA126" s="687">
        <f t="shared" si="129"/>
        <v>0</v>
      </c>
      <c r="AB126" s="687">
        <f t="shared" si="129"/>
        <v>0</v>
      </c>
      <c r="AD126" s="400"/>
      <c r="AV126" s="699" t="str">
        <f t="shared" si="101"/>
        <v/>
      </c>
    </row>
    <row r="127" spans="1:64" x14ac:dyDescent="0.3">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699" t="str">
        <f t="shared" si="101"/>
        <v>TRALPG</v>
      </c>
      <c r="AW127" s="567">
        <f>SUM(AX127:BL127)</f>
        <v>0</v>
      </c>
      <c r="AX127" s="567">
        <f>N$131*N$132/N$129/1000</f>
        <v>0</v>
      </c>
      <c r="AY127" s="567">
        <f t="shared" ref="AY127:BL127" si="131">O$131*O$132/O$129/1000</f>
        <v>0</v>
      </c>
      <c r="AZ127" s="567">
        <f t="shared" si="131"/>
        <v>0</v>
      </c>
      <c r="BA127" s="567">
        <f t="shared" si="131"/>
        <v>0</v>
      </c>
      <c r="BB127" s="567">
        <f t="shared" si="131"/>
        <v>0</v>
      </c>
      <c r="BC127" s="567">
        <f t="shared" si="131"/>
        <v>0</v>
      </c>
      <c r="BD127" s="567">
        <f t="shared" si="131"/>
        <v>0</v>
      </c>
      <c r="BE127" s="567">
        <f t="shared" si="131"/>
        <v>0</v>
      </c>
      <c r="BF127" s="567">
        <f t="shared" si="131"/>
        <v>0</v>
      </c>
      <c r="BG127" s="567">
        <f t="shared" si="131"/>
        <v>0</v>
      </c>
      <c r="BH127" s="567">
        <f t="shared" si="131"/>
        <v>0</v>
      </c>
      <c r="BI127" s="567">
        <f t="shared" si="131"/>
        <v>0</v>
      </c>
      <c r="BJ127" s="567">
        <f t="shared" si="131"/>
        <v>0</v>
      </c>
      <c r="BK127" s="567">
        <f t="shared" si="131"/>
        <v>0</v>
      </c>
      <c r="BL127" s="567">
        <f t="shared" si="131"/>
        <v>0</v>
      </c>
    </row>
    <row r="128" spans="1:64" x14ac:dyDescent="0.3">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699" t="str">
        <f t="shared" si="101"/>
        <v/>
      </c>
    </row>
    <row r="129" spans="1:64" x14ac:dyDescent="0.3">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699" t="str">
        <f t="shared" si="101"/>
        <v/>
      </c>
    </row>
    <row r="130" spans="1:64" x14ac:dyDescent="0.3">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699" t="str">
        <f t="shared" si="101"/>
        <v/>
      </c>
    </row>
    <row r="131" spans="1:64" x14ac:dyDescent="0.3">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699" t="str">
        <f t="shared" si="101"/>
        <v/>
      </c>
    </row>
    <row r="132" spans="1:64" x14ac:dyDescent="0.3">
      <c r="A132" s="22"/>
      <c r="B132" s="186" t="str">
        <f t="shared" si="132"/>
        <v>TCARLPG900</v>
      </c>
      <c r="C132" s="186"/>
      <c r="D132" s="187"/>
      <c r="E132" s="186"/>
      <c r="F132" s="170"/>
      <c r="G132" s="189"/>
      <c r="H132" s="170"/>
      <c r="I132" s="190">
        <f>$M$3</f>
        <v>2019</v>
      </c>
      <c r="J132" s="191"/>
      <c r="K132" s="191"/>
      <c r="L132" s="211" t="s">
        <v>1064</v>
      </c>
      <c r="M132" s="186" t="s">
        <v>747</v>
      </c>
      <c r="N132" s="686">
        <f>LOOKUP($C$127, 'T_Stock_TOTAL_&amp;_City'!$C$10:$C$20, 'T_Stock_TOTAL_&amp;_City'!D$10:D$20)*(1+N27)</f>
        <v>0</v>
      </c>
      <c r="O132" s="686">
        <f>LOOKUP($C$127, 'T_Stock_TOTAL_&amp;_City'!$C$10:$C$20, 'T_Stock_TOTAL_&amp;_City'!E$10:E$20)*(1+O27)</f>
        <v>0</v>
      </c>
      <c r="P132" s="686">
        <f>LOOKUP($C$127, 'T_Stock_TOTAL_&amp;_City'!$C$10:$C$20, 'T_Stock_TOTAL_&amp;_City'!F$10:F$20)*(1+P27)</f>
        <v>0</v>
      </c>
      <c r="Q132" s="686">
        <f>LOOKUP($C$127, 'T_Stock_TOTAL_&amp;_City'!$C$10:$C$20, 'T_Stock_TOTAL_&amp;_City'!G$10:G$20)*(1+Q27)</f>
        <v>0</v>
      </c>
      <c r="R132" s="686">
        <f>LOOKUP($C$127, 'T_Stock_TOTAL_&amp;_City'!$C$10:$C$20, 'T_Stock_TOTAL_&amp;_City'!H$10:H$20)*(1+R27)</f>
        <v>0</v>
      </c>
      <c r="S132" s="686">
        <f>LOOKUP($C$127, 'T_Stock_TOTAL_&amp;_City'!$C$10:$C$20, 'T_Stock_TOTAL_&amp;_City'!I$10:I$20)*(1+S27)</f>
        <v>0</v>
      </c>
      <c r="T132" s="686">
        <f>LOOKUP($C$127, 'T_Stock_TOTAL_&amp;_City'!$C$10:$C$20, 'T_Stock_TOTAL_&amp;_City'!J$10:J$20)*(1+T27)</f>
        <v>0</v>
      </c>
      <c r="U132" s="686">
        <f>LOOKUP($C$127, 'T_Stock_TOTAL_&amp;_City'!$C$10:$C$20, 'T_Stock_TOTAL_&amp;_City'!K$10:K$20)*(1+U27)</f>
        <v>0</v>
      </c>
      <c r="V132" s="686">
        <f>LOOKUP($C$127, 'T_Stock_TOTAL_&amp;_City'!$C$10:$C$20, 'T_Stock_TOTAL_&amp;_City'!L$10:L$20)*(1+V27)</f>
        <v>0</v>
      </c>
      <c r="W132" s="686">
        <f>LOOKUP($C$127, 'T_Stock_TOTAL_&amp;_City'!$C$10:$C$20, 'T_Stock_TOTAL_&amp;_City'!M$10:M$20)*(1+W27)</f>
        <v>0</v>
      </c>
      <c r="X132" s="686">
        <f>LOOKUP($C$127, 'T_Stock_TOTAL_&amp;_City'!$C$10:$C$20, 'T_Stock_TOTAL_&amp;_City'!N$10:N$20)*(1+X27)</f>
        <v>0</v>
      </c>
      <c r="Y132" s="686">
        <f>LOOKUP($C$127, 'T_Stock_TOTAL_&amp;_City'!$C$10:$C$20, 'T_Stock_TOTAL_&amp;_City'!O$10:O$20)*(1+Y27)</f>
        <v>0</v>
      </c>
      <c r="Z132" s="686">
        <f>LOOKUP($C$127, 'T_Stock_TOTAL_&amp;_City'!$C$10:$C$20, 'T_Stock_TOTAL_&amp;_City'!P$10:P$20)*(1+Z27)</f>
        <v>0</v>
      </c>
      <c r="AA132" s="686">
        <f>LOOKUP($C$127, 'T_Stock_TOTAL_&amp;_City'!$C$10:$C$20, 'T_Stock_TOTAL_&amp;_City'!Q$10:Q$20)*(1+AA27)</f>
        <v>0</v>
      </c>
      <c r="AB132" s="686">
        <f>LOOKUP($C$127, 'T_Stock_TOTAL_&amp;_City'!$C$10:$C$20, 'T_Stock_TOTAL_&amp;_City'!R$10:R$20)*(1+AB27)</f>
        <v>0</v>
      </c>
      <c r="AV132" s="699" t="str">
        <f t="shared" si="101"/>
        <v/>
      </c>
    </row>
    <row r="133" spans="1:64" x14ac:dyDescent="0.3">
      <c r="A133" s="22"/>
      <c r="B133" s="186" t="str">
        <f t="shared" si="132"/>
        <v>TCARLPG900</v>
      </c>
      <c r="C133" s="186"/>
      <c r="D133" s="187"/>
      <c r="E133" s="186"/>
      <c r="F133" s="170"/>
      <c r="G133" s="189"/>
      <c r="H133" s="170"/>
      <c r="I133" s="190">
        <f>AF$15</f>
        <v>2016</v>
      </c>
      <c r="J133" s="191"/>
      <c r="K133" s="191"/>
      <c r="L133" s="211" t="s">
        <v>1064</v>
      </c>
      <c r="M133" s="186" t="s">
        <v>747</v>
      </c>
      <c r="N133" s="686">
        <f t="shared" ref="N133:AB133" si="134">N$132*LOOKUP($AD$127,$AG$14:$AP$14,$AG15:$AP15)</f>
        <v>0</v>
      </c>
      <c r="O133" s="686">
        <f t="shared" si="134"/>
        <v>0</v>
      </c>
      <c r="P133" s="686">
        <f t="shared" si="134"/>
        <v>0</v>
      </c>
      <c r="Q133" s="686">
        <f t="shared" si="134"/>
        <v>0</v>
      </c>
      <c r="R133" s="686">
        <f t="shared" si="134"/>
        <v>0</v>
      </c>
      <c r="S133" s="686">
        <f t="shared" si="134"/>
        <v>0</v>
      </c>
      <c r="T133" s="686">
        <f t="shared" si="134"/>
        <v>0</v>
      </c>
      <c r="U133" s="686">
        <f t="shared" si="134"/>
        <v>0</v>
      </c>
      <c r="V133" s="686">
        <f t="shared" si="134"/>
        <v>0</v>
      </c>
      <c r="W133" s="686">
        <f t="shared" si="134"/>
        <v>0</v>
      </c>
      <c r="X133" s="686">
        <f t="shared" si="134"/>
        <v>0</v>
      </c>
      <c r="Y133" s="686">
        <f t="shared" si="134"/>
        <v>0</v>
      </c>
      <c r="Z133" s="686">
        <f t="shared" si="134"/>
        <v>0</v>
      </c>
      <c r="AA133" s="686">
        <f t="shared" si="134"/>
        <v>0</v>
      </c>
      <c r="AB133" s="686">
        <f t="shared" si="134"/>
        <v>0</v>
      </c>
      <c r="AE133" s="568">
        <f>SUM(AF133:AT133)</f>
        <v>0</v>
      </c>
      <c r="AF133" s="567">
        <f t="shared" ref="AF133:AT133" si="135">N130*N131*N132/1000</f>
        <v>0</v>
      </c>
      <c r="AG133" s="567">
        <f t="shared" si="135"/>
        <v>0</v>
      </c>
      <c r="AH133" s="567">
        <f t="shared" si="135"/>
        <v>0</v>
      </c>
      <c r="AI133" s="567">
        <f t="shared" si="135"/>
        <v>0</v>
      </c>
      <c r="AJ133" s="567">
        <f t="shared" si="135"/>
        <v>0</v>
      </c>
      <c r="AK133" s="567">
        <f t="shared" si="135"/>
        <v>0</v>
      </c>
      <c r="AL133" s="567">
        <f t="shared" si="135"/>
        <v>0</v>
      </c>
      <c r="AM133" s="567">
        <f t="shared" si="135"/>
        <v>0</v>
      </c>
      <c r="AN133" s="567">
        <f t="shared" si="135"/>
        <v>0</v>
      </c>
      <c r="AO133" s="567">
        <f t="shared" si="135"/>
        <v>0</v>
      </c>
      <c r="AP133" s="567">
        <f t="shared" si="135"/>
        <v>0</v>
      </c>
      <c r="AQ133" s="567">
        <f t="shared" si="135"/>
        <v>0</v>
      </c>
      <c r="AR133" s="567">
        <f t="shared" si="135"/>
        <v>0</v>
      </c>
      <c r="AS133" s="567">
        <f t="shared" si="135"/>
        <v>0</v>
      </c>
      <c r="AT133" s="567">
        <f t="shared" si="135"/>
        <v>0</v>
      </c>
      <c r="AV133" s="699" t="str">
        <f t="shared" si="101"/>
        <v/>
      </c>
    </row>
    <row r="134" spans="1:64" x14ac:dyDescent="0.3">
      <c r="A134" s="22"/>
      <c r="B134" s="186" t="str">
        <f t="shared" si="132"/>
        <v>TCARLPG900</v>
      </c>
      <c r="C134" s="186"/>
      <c r="D134" s="187"/>
      <c r="E134" s="186"/>
      <c r="F134" s="170"/>
      <c r="G134" s="189"/>
      <c r="H134" s="170"/>
      <c r="I134" s="190">
        <f>AF$16</f>
        <v>2020</v>
      </c>
      <c r="J134" s="191"/>
      <c r="K134" s="191"/>
      <c r="L134" s="211" t="s">
        <v>1064</v>
      </c>
      <c r="M134" s="186" t="s">
        <v>747</v>
      </c>
      <c r="N134" s="686">
        <f t="shared" ref="N134:AB134" si="136">N$132*LOOKUP($AD$127,$AG$14:$AP$14,$AG16:$AP16)</f>
        <v>0</v>
      </c>
      <c r="O134" s="686">
        <f t="shared" si="136"/>
        <v>0</v>
      </c>
      <c r="P134" s="686">
        <f t="shared" si="136"/>
        <v>0</v>
      </c>
      <c r="Q134" s="686">
        <f t="shared" si="136"/>
        <v>0</v>
      </c>
      <c r="R134" s="686">
        <f t="shared" si="136"/>
        <v>0</v>
      </c>
      <c r="S134" s="686">
        <f t="shared" si="136"/>
        <v>0</v>
      </c>
      <c r="T134" s="686">
        <f t="shared" si="136"/>
        <v>0</v>
      </c>
      <c r="U134" s="686">
        <f t="shared" si="136"/>
        <v>0</v>
      </c>
      <c r="V134" s="686">
        <f t="shared" si="136"/>
        <v>0</v>
      </c>
      <c r="W134" s="686">
        <f t="shared" si="136"/>
        <v>0</v>
      </c>
      <c r="X134" s="686">
        <f t="shared" si="136"/>
        <v>0</v>
      </c>
      <c r="Y134" s="686">
        <f t="shared" si="136"/>
        <v>0</v>
      </c>
      <c r="Z134" s="686">
        <f t="shared" si="136"/>
        <v>0</v>
      </c>
      <c r="AA134" s="686">
        <f t="shared" si="136"/>
        <v>0</v>
      </c>
      <c r="AB134" s="686">
        <f t="shared" si="136"/>
        <v>0</v>
      </c>
      <c r="AV134" s="699" t="str">
        <f t="shared" si="101"/>
        <v/>
      </c>
    </row>
    <row r="135" spans="1:64" x14ac:dyDescent="0.3">
      <c r="A135" s="22"/>
      <c r="B135" s="186" t="str">
        <f t="shared" si="132"/>
        <v>TCARLPG900</v>
      </c>
      <c r="C135" s="186"/>
      <c r="D135" s="187"/>
      <c r="E135" s="186"/>
      <c r="F135" s="170"/>
      <c r="G135" s="189"/>
      <c r="H135" s="170"/>
      <c r="I135" s="190">
        <v>2025</v>
      </c>
      <c r="J135" s="191"/>
      <c r="K135" s="191"/>
      <c r="L135" s="211" t="s">
        <v>1064</v>
      </c>
      <c r="M135" s="186" t="s">
        <v>747</v>
      </c>
      <c r="N135" s="686">
        <f t="shared" ref="N135:AB135" si="137">N$132*LOOKUP($AD$127,$AG$14:$AP$14,$AG17:$AP17)</f>
        <v>0</v>
      </c>
      <c r="O135" s="686">
        <f t="shared" si="137"/>
        <v>0</v>
      </c>
      <c r="P135" s="686">
        <f t="shared" si="137"/>
        <v>0</v>
      </c>
      <c r="Q135" s="686">
        <f t="shared" si="137"/>
        <v>0</v>
      </c>
      <c r="R135" s="686">
        <f t="shared" si="137"/>
        <v>0</v>
      </c>
      <c r="S135" s="686">
        <f t="shared" si="137"/>
        <v>0</v>
      </c>
      <c r="T135" s="686">
        <f t="shared" si="137"/>
        <v>0</v>
      </c>
      <c r="U135" s="686">
        <f t="shared" si="137"/>
        <v>0</v>
      </c>
      <c r="V135" s="686">
        <f t="shared" si="137"/>
        <v>0</v>
      </c>
      <c r="W135" s="686">
        <f t="shared" si="137"/>
        <v>0</v>
      </c>
      <c r="X135" s="686">
        <f t="shared" si="137"/>
        <v>0</v>
      </c>
      <c r="Y135" s="686">
        <f t="shared" si="137"/>
        <v>0</v>
      </c>
      <c r="Z135" s="686">
        <f t="shared" si="137"/>
        <v>0</v>
      </c>
      <c r="AA135" s="686">
        <f t="shared" si="137"/>
        <v>0</v>
      </c>
      <c r="AB135" s="686">
        <f t="shared" si="137"/>
        <v>0</v>
      </c>
      <c r="AV135" s="699" t="str">
        <f t="shared" si="101"/>
        <v/>
      </c>
    </row>
    <row r="136" spans="1:64" x14ac:dyDescent="0.3">
      <c r="A136" s="22"/>
      <c r="B136" s="186" t="str">
        <f t="shared" si="132"/>
        <v>TCARLPG900</v>
      </c>
      <c r="C136" s="186"/>
      <c r="D136" s="187"/>
      <c r="E136" s="186"/>
      <c r="F136" s="170"/>
      <c r="G136" s="189"/>
      <c r="H136" s="170"/>
      <c r="I136" s="190">
        <f>AF$18</f>
        <v>2030</v>
      </c>
      <c r="J136" s="191"/>
      <c r="K136" s="191"/>
      <c r="L136" s="211" t="s">
        <v>1064</v>
      </c>
      <c r="M136" s="186" t="s">
        <v>747</v>
      </c>
      <c r="N136" s="686">
        <f t="shared" ref="N136:AB136" si="138">N$132*LOOKUP($AD$127,$AG$14:$AP$14,$AG18:$AP18)</f>
        <v>0</v>
      </c>
      <c r="O136" s="686">
        <f t="shared" si="138"/>
        <v>0</v>
      </c>
      <c r="P136" s="686">
        <f t="shared" si="138"/>
        <v>0</v>
      </c>
      <c r="Q136" s="686">
        <f t="shared" si="138"/>
        <v>0</v>
      </c>
      <c r="R136" s="686">
        <f t="shared" si="138"/>
        <v>0</v>
      </c>
      <c r="S136" s="686">
        <f t="shared" si="138"/>
        <v>0</v>
      </c>
      <c r="T136" s="686">
        <f t="shared" si="138"/>
        <v>0</v>
      </c>
      <c r="U136" s="686">
        <f t="shared" si="138"/>
        <v>0</v>
      </c>
      <c r="V136" s="686">
        <f t="shared" si="138"/>
        <v>0</v>
      </c>
      <c r="W136" s="686">
        <f t="shared" si="138"/>
        <v>0</v>
      </c>
      <c r="X136" s="686">
        <f t="shared" si="138"/>
        <v>0</v>
      </c>
      <c r="Y136" s="686">
        <f t="shared" si="138"/>
        <v>0</v>
      </c>
      <c r="Z136" s="686">
        <f t="shared" si="138"/>
        <v>0</v>
      </c>
      <c r="AA136" s="686">
        <f t="shared" si="138"/>
        <v>0</v>
      </c>
      <c r="AB136" s="686">
        <f t="shared" si="138"/>
        <v>0</v>
      </c>
      <c r="AV136" s="699" t="str">
        <f t="shared" si="101"/>
        <v/>
      </c>
    </row>
    <row r="137" spans="1:64" x14ac:dyDescent="0.3">
      <c r="A137" s="22"/>
      <c r="B137" s="186" t="str">
        <f t="shared" si="132"/>
        <v>TCARLPG900</v>
      </c>
      <c r="C137" s="186"/>
      <c r="D137" s="187"/>
      <c r="E137" s="186"/>
      <c r="F137" s="170"/>
      <c r="G137" s="189"/>
      <c r="H137" s="170"/>
      <c r="I137" s="190">
        <f>AF$19</f>
        <v>2040</v>
      </c>
      <c r="J137" s="191"/>
      <c r="K137" s="191"/>
      <c r="L137" s="211" t="s">
        <v>1064</v>
      </c>
      <c r="M137" s="186" t="s">
        <v>747</v>
      </c>
      <c r="N137" s="686">
        <f t="shared" ref="N137:AB137" si="139">N$132*LOOKUP($AD$127,$AG$14:$AP$14,$AG19:$AP19)</f>
        <v>0</v>
      </c>
      <c r="O137" s="686">
        <f t="shared" si="139"/>
        <v>0</v>
      </c>
      <c r="P137" s="686">
        <f t="shared" si="139"/>
        <v>0</v>
      </c>
      <c r="Q137" s="686">
        <f t="shared" si="139"/>
        <v>0</v>
      </c>
      <c r="R137" s="686">
        <f t="shared" si="139"/>
        <v>0</v>
      </c>
      <c r="S137" s="686">
        <f t="shared" si="139"/>
        <v>0</v>
      </c>
      <c r="T137" s="686">
        <f t="shared" si="139"/>
        <v>0</v>
      </c>
      <c r="U137" s="686">
        <f t="shared" si="139"/>
        <v>0</v>
      </c>
      <c r="V137" s="686">
        <f t="shared" si="139"/>
        <v>0</v>
      </c>
      <c r="W137" s="686">
        <f t="shared" si="139"/>
        <v>0</v>
      </c>
      <c r="X137" s="686">
        <f t="shared" si="139"/>
        <v>0</v>
      </c>
      <c r="Y137" s="686">
        <f t="shared" si="139"/>
        <v>0</v>
      </c>
      <c r="Z137" s="686">
        <f t="shared" si="139"/>
        <v>0</v>
      </c>
      <c r="AA137" s="686">
        <f t="shared" si="139"/>
        <v>0</v>
      </c>
      <c r="AB137" s="686">
        <f t="shared" si="139"/>
        <v>0</v>
      </c>
      <c r="AV137" s="699" t="str">
        <f t="shared" si="101"/>
        <v/>
      </c>
    </row>
    <row r="138" spans="1:64" x14ac:dyDescent="0.3">
      <c r="A138" s="22"/>
      <c r="B138" s="193" t="str">
        <f t="shared" si="132"/>
        <v>TCARLPG900</v>
      </c>
      <c r="C138" s="193"/>
      <c r="D138" s="194"/>
      <c r="E138" s="193"/>
      <c r="F138" s="196"/>
      <c r="G138" s="195"/>
      <c r="H138" s="196"/>
      <c r="I138" s="197">
        <f>AF$20</f>
        <v>2050</v>
      </c>
      <c r="J138" s="198"/>
      <c r="K138" s="198"/>
      <c r="L138" s="212" t="s">
        <v>1064</v>
      </c>
      <c r="M138" s="193" t="s">
        <v>747</v>
      </c>
      <c r="N138" s="687">
        <f t="shared" ref="N138:AB138" si="140">N$132*LOOKUP($AD$127,$AG$14:$AP$14,$AG20:$AP20)</f>
        <v>0</v>
      </c>
      <c r="O138" s="687">
        <f t="shared" si="140"/>
        <v>0</v>
      </c>
      <c r="P138" s="687">
        <f t="shared" si="140"/>
        <v>0</v>
      </c>
      <c r="Q138" s="687">
        <f t="shared" si="140"/>
        <v>0</v>
      </c>
      <c r="R138" s="687">
        <f t="shared" si="140"/>
        <v>0</v>
      </c>
      <c r="S138" s="687">
        <f t="shared" si="140"/>
        <v>0</v>
      </c>
      <c r="T138" s="687">
        <f t="shared" si="140"/>
        <v>0</v>
      </c>
      <c r="U138" s="687">
        <f t="shared" si="140"/>
        <v>0</v>
      </c>
      <c r="V138" s="687">
        <f t="shared" si="140"/>
        <v>0</v>
      </c>
      <c r="W138" s="687">
        <f t="shared" si="140"/>
        <v>0</v>
      </c>
      <c r="X138" s="687">
        <f t="shared" si="140"/>
        <v>0</v>
      </c>
      <c r="Y138" s="687">
        <f t="shared" si="140"/>
        <v>0</v>
      </c>
      <c r="Z138" s="687">
        <f t="shared" si="140"/>
        <v>0</v>
      </c>
      <c r="AA138" s="687">
        <f t="shared" si="140"/>
        <v>0</v>
      </c>
      <c r="AB138" s="687">
        <f t="shared" si="140"/>
        <v>0</v>
      </c>
      <c r="AD138" s="400"/>
      <c r="AV138" s="699" t="str">
        <f t="shared" si="101"/>
        <v/>
      </c>
    </row>
    <row r="139" spans="1:64" s="83" customFormat="1" x14ac:dyDescent="0.3">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3" t="str">
        <f t="shared" si="101"/>
        <v>TRABDL</v>
      </c>
      <c r="AW139" s="569">
        <f t="shared" ref="AW139:AW141" si="142">SUM(AX139:BL139)</f>
        <v>0</v>
      </c>
      <c r="AX139" s="569">
        <f>N$145*N$146*(1-N140)/N$142/1000</f>
        <v>0</v>
      </c>
      <c r="AY139" s="569">
        <f t="shared" ref="AY139:BL139" si="143">O$145*O$146*(1-O140)/O$142/1000</f>
        <v>0</v>
      </c>
      <c r="AZ139" s="569">
        <f t="shared" si="143"/>
        <v>0</v>
      </c>
      <c r="BA139" s="569">
        <f t="shared" si="143"/>
        <v>0</v>
      </c>
      <c r="BB139" s="569">
        <f t="shared" si="143"/>
        <v>0</v>
      </c>
      <c r="BC139" s="569">
        <f t="shared" si="143"/>
        <v>0</v>
      </c>
      <c r="BD139" s="569">
        <f t="shared" si="143"/>
        <v>0</v>
      </c>
      <c r="BE139" s="569">
        <f t="shared" si="143"/>
        <v>0</v>
      </c>
      <c r="BF139" s="569">
        <f t="shared" si="143"/>
        <v>0</v>
      </c>
      <c r="BG139" s="569">
        <f t="shared" si="143"/>
        <v>0</v>
      </c>
      <c r="BH139" s="569">
        <f t="shared" si="143"/>
        <v>0</v>
      </c>
      <c r="BI139" s="569">
        <f t="shared" si="143"/>
        <v>0</v>
      </c>
      <c r="BJ139" s="569">
        <f t="shared" si="143"/>
        <v>0</v>
      </c>
      <c r="BK139" s="569">
        <f t="shared" si="143"/>
        <v>0</v>
      </c>
      <c r="BL139" s="569">
        <f t="shared" si="143"/>
        <v>0</v>
      </c>
    </row>
    <row r="140" spans="1:64" x14ac:dyDescent="0.3">
      <c r="A140" s="22"/>
      <c r="B140" s="186" t="str">
        <f>B139</f>
        <v>TCARPYD900</v>
      </c>
      <c r="C140" s="186"/>
      <c r="D140" s="187"/>
      <c r="E140" s="258" t="s">
        <v>185</v>
      </c>
      <c r="F140" s="170"/>
      <c r="G140" s="213"/>
      <c r="H140" s="170"/>
      <c r="I140" s="190"/>
      <c r="J140" s="191" t="s">
        <v>1156</v>
      </c>
      <c r="K140" s="191"/>
      <c r="L140" s="211" t="s">
        <v>101</v>
      </c>
      <c r="M140" s="186"/>
      <c r="N140" s="377">
        <f>1-N$17-N$18</f>
        <v>0.7669999999999999</v>
      </c>
      <c r="O140" s="377">
        <f t="shared" ref="O140:AB140" si="144">1-O$17-O$18</f>
        <v>0.7669999999999999</v>
      </c>
      <c r="P140" s="377">
        <f t="shared" si="144"/>
        <v>0.7669999999999999</v>
      </c>
      <c r="Q140" s="377">
        <f t="shared" si="144"/>
        <v>0.7669999999999999</v>
      </c>
      <c r="R140" s="377">
        <f t="shared" si="144"/>
        <v>0.7669999999999999</v>
      </c>
      <c r="S140" s="377">
        <f t="shared" si="144"/>
        <v>0.7669999999999999</v>
      </c>
      <c r="T140" s="377">
        <f t="shared" si="144"/>
        <v>0.7669999999999999</v>
      </c>
      <c r="U140" s="377">
        <f t="shared" si="144"/>
        <v>0.7669999999999999</v>
      </c>
      <c r="V140" s="377">
        <f t="shared" si="144"/>
        <v>0.7669999999999999</v>
      </c>
      <c r="W140" s="377">
        <f t="shared" si="144"/>
        <v>0.7669999999999999</v>
      </c>
      <c r="X140" s="377">
        <f t="shared" si="144"/>
        <v>0.7669999999999999</v>
      </c>
      <c r="Y140" s="377">
        <f t="shared" si="144"/>
        <v>0.7669999999999999</v>
      </c>
      <c r="Z140" s="377">
        <f t="shared" si="144"/>
        <v>0.7669999999999999</v>
      </c>
      <c r="AA140" s="377">
        <f t="shared" si="144"/>
        <v>0.7669999999999999</v>
      </c>
      <c r="AB140" s="377">
        <f t="shared" si="144"/>
        <v>0.7669999999999999</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699" t="str">
        <f t="shared" si="101"/>
        <v>TRADST</v>
      </c>
      <c r="AW140" s="567">
        <f t="shared" si="142"/>
        <v>0</v>
      </c>
      <c r="AX140" s="569">
        <f>N$145*N$146*N140/N$142/1000</f>
        <v>0</v>
      </c>
      <c r="AY140" s="569">
        <f t="shared" ref="AY140:BL141" si="145">O$145*O$146*O140/O$142/1000</f>
        <v>0</v>
      </c>
      <c r="AZ140" s="569">
        <f t="shared" si="145"/>
        <v>0</v>
      </c>
      <c r="BA140" s="569">
        <f t="shared" si="145"/>
        <v>0</v>
      </c>
      <c r="BB140" s="569">
        <f t="shared" si="145"/>
        <v>0</v>
      </c>
      <c r="BC140" s="569">
        <f t="shared" si="145"/>
        <v>0</v>
      </c>
      <c r="BD140" s="569">
        <f t="shared" si="145"/>
        <v>0</v>
      </c>
      <c r="BE140" s="569">
        <f t="shared" si="145"/>
        <v>0</v>
      </c>
      <c r="BF140" s="569">
        <f t="shared" si="145"/>
        <v>0</v>
      </c>
      <c r="BG140" s="569">
        <f t="shared" si="145"/>
        <v>0</v>
      </c>
      <c r="BH140" s="569">
        <f t="shared" si="145"/>
        <v>0</v>
      </c>
      <c r="BI140" s="569">
        <f t="shared" si="145"/>
        <v>0</v>
      </c>
      <c r="BJ140" s="569">
        <f t="shared" si="145"/>
        <v>0</v>
      </c>
      <c r="BK140" s="569">
        <f t="shared" si="145"/>
        <v>0</v>
      </c>
      <c r="BL140" s="569">
        <f t="shared" si="145"/>
        <v>0</v>
      </c>
    </row>
    <row r="141" spans="1:64" x14ac:dyDescent="0.3">
      <c r="A141" s="22"/>
      <c r="B141" s="186" t="str">
        <f t="shared" ref="B141" si="146">B140</f>
        <v>TCARPYD900</v>
      </c>
      <c r="C141" s="186"/>
      <c r="D141" s="187"/>
      <c r="E141" s="258" t="s">
        <v>989</v>
      </c>
      <c r="F141" s="170"/>
      <c r="G141" s="189"/>
      <c r="H141" s="170"/>
      <c r="I141" s="190"/>
      <c r="J141" s="191" t="s">
        <v>1156</v>
      </c>
      <c r="K141" s="191"/>
      <c r="L141" s="211" t="s">
        <v>101</v>
      </c>
      <c r="M141" s="191"/>
      <c r="N141" s="377">
        <f>N$17</f>
        <v>5.8000000000000003E-2</v>
      </c>
      <c r="O141" s="377">
        <f t="shared" ref="O141:AB141" si="147">O$17</f>
        <v>5.8000000000000003E-2</v>
      </c>
      <c r="P141" s="377">
        <f t="shared" si="147"/>
        <v>5.8000000000000003E-2</v>
      </c>
      <c r="Q141" s="377">
        <f t="shared" si="147"/>
        <v>5.8000000000000003E-2</v>
      </c>
      <c r="R141" s="377">
        <f t="shared" si="147"/>
        <v>5.8000000000000003E-2</v>
      </c>
      <c r="S141" s="377">
        <f t="shared" si="147"/>
        <v>5.8000000000000003E-2</v>
      </c>
      <c r="T141" s="377">
        <f t="shared" si="147"/>
        <v>5.8000000000000003E-2</v>
      </c>
      <c r="U141" s="377">
        <f t="shared" si="147"/>
        <v>5.8000000000000003E-2</v>
      </c>
      <c r="V141" s="377">
        <f t="shared" si="147"/>
        <v>5.8000000000000003E-2</v>
      </c>
      <c r="W141" s="377">
        <f t="shared" si="147"/>
        <v>5.8000000000000003E-2</v>
      </c>
      <c r="X141" s="377">
        <f t="shared" si="147"/>
        <v>5.8000000000000003E-2</v>
      </c>
      <c r="Y141" s="377">
        <f t="shared" si="147"/>
        <v>5.8000000000000003E-2</v>
      </c>
      <c r="Z141" s="377">
        <f t="shared" si="147"/>
        <v>5.8000000000000003E-2</v>
      </c>
      <c r="AA141" s="377">
        <f t="shared" si="147"/>
        <v>5.8000000000000003E-2</v>
      </c>
      <c r="AB141" s="377">
        <f t="shared" si="147"/>
        <v>5.8000000000000003E-2</v>
      </c>
      <c r="AD141" s="399"/>
      <c r="AE141" s="405"/>
      <c r="AV141" s="699" t="str">
        <f t="shared" si="101"/>
        <v>TRABDLM</v>
      </c>
      <c r="AW141" s="567">
        <f t="shared" si="142"/>
        <v>0</v>
      </c>
      <c r="AX141" s="569">
        <f>N$145*N$146*N141/N$142/1000</f>
        <v>0</v>
      </c>
      <c r="AY141" s="569">
        <f t="shared" si="145"/>
        <v>0</v>
      </c>
      <c r="AZ141" s="569">
        <f t="shared" si="145"/>
        <v>0</v>
      </c>
      <c r="BA141" s="569">
        <f t="shared" si="145"/>
        <v>0</v>
      </c>
      <c r="BB141" s="569">
        <f t="shared" si="145"/>
        <v>0</v>
      </c>
      <c r="BC141" s="569">
        <f t="shared" si="145"/>
        <v>0</v>
      </c>
      <c r="BD141" s="569">
        <f t="shared" si="145"/>
        <v>0</v>
      </c>
      <c r="BE141" s="569">
        <f t="shared" si="145"/>
        <v>0</v>
      </c>
      <c r="BF141" s="569">
        <f t="shared" si="145"/>
        <v>0</v>
      </c>
      <c r="BG141" s="569">
        <f t="shared" si="145"/>
        <v>0</v>
      </c>
      <c r="BH141" s="569">
        <f t="shared" si="145"/>
        <v>0</v>
      </c>
      <c r="BI141" s="569">
        <f t="shared" si="145"/>
        <v>0</v>
      </c>
      <c r="BJ141" s="569">
        <f t="shared" si="145"/>
        <v>0</v>
      </c>
      <c r="BK141" s="569">
        <f t="shared" si="145"/>
        <v>0</v>
      </c>
      <c r="BL141" s="569">
        <f t="shared" si="145"/>
        <v>0</v>
      </c>
    </row>
    <row r="142" spans="1:64" x14ac:dyDescent="0.3">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699" t="str">
        <f t="shared" si="101"/>
        <v/>
      </c>
    </row>
    <row r="143" spans="1:64" x14ac:dyDescent="0.3">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699" t="str">
        <f t="shared" si="101"/>
        <v/>
      </c>
    </row>
    <row r="144" spans="1:64" x14ac:dyDescent="0.3">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699" t="str">
        <f t="shared" si="101"/>
        <v/>
      </c>
    </row>
    <row r="145" spans="1:64" x14ac:dyDescent="0.3">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699" t="str">
        <f t="shared" si="101"/>
        <v/>
      </c>
    </row>
    <row r="146" spans="1:64" x14ac:dyDescent="0.3">
      <c r="A146" s="22"/>
      <c r="B146" s="186" t="str">
        <f t="shared" si="148"/>
        <v>TCARPYD900</v>
      </c>
      <c r="C146" s="186"/>
      <c r="D146" s="187"/>
      <c r="E146" s="186"/>
      <c r="F146" s="170"/>
      <c r="G146" s="213"/>
      <c r="H146" s="170"/>
      <c r="I146" s="190">
        <f>$M$3</f>
        <v>2019</v>
      </c>
      <c r="J146" s="191"/>
      <c r="K146" s="191"/>
      <c r="L146" s="211" t="s">
        <v>1064</v>
      </c>
      <c r="M146" s="186" t="s">
        <v>747</v>
      </c>
      <c r="N146" s="686">
        <f>LOOKUP($C$139, 'T_Stock_TOTAL_&amp;_City'!$C$10:$C$20, 'T_Stock_TOTAL_&amp;_City'!D$10:D$20)*(1+N27)</f>
        <v>0</v>
      </c>
      <c r="O146" s="686">
        <f>LOOKUP($C$139, 'T_Stock_TOTAL_&amp;_City'!$C$10:$C$20, 'T_Stock_TOTAL_&amp;_City'!E$10:E$20)*(1+O27)</f>
        <v>0</v>
      </c>
      <c r="P146" s="686">
        <f>LOOKUP($C$139, 'T_Stock_TOTAL_&amp;_City'!$C$10:$C$20, 'T_Stock_TOTAL_&amp;_City'!F$10:F$20)*(1+P27)</f>
        <v>0</v>
      </c>
      <c r="Q146" s="686">
        <f>LOOKUP($C$139, 'T_Stock_TOTAL_&amp;_City'!$C$10:$C$20, 'T_Stock_TOTAL_&amp;_City'!G$10:G$20)*(1+Q27)</f>
        <v>0</v>
      </c>
      <c r="R146" s="686">
        <f>LOOKUP($C$139, 'T_Stock_TOTAL_&amp;_City'!$C$10:$C$20, 'T_Stock_TOTAL_&amp;_City'!H$10:H$20)*(1+R27)</f>
        <v>0</v>
      </c>
      <c r="S146" s="686">
        <f>LOOKUP($C$139, 'T_Stock_TOTAL_&amp;_City'!$C$10:$C$20, 'T_Stock_TOTAL_&amp;_City'!I$10:I$20)*(1+S27)</f>
        <v>0</v>
      </c>
      <c r="T146" s="686">
        <f>LOOKUP($C$139, 'T_Stock_TOTAL_&amp;_City'!$C$10:$C$20, 'T_Stock_TOTAL_&amp;_City'!J$10:J$20)*(1+T27)</f>
        <v>0</v>
      </c>
      <c r="U146" s="686">
        <f>LOOKUP($C$139, 'T_Stock_TOTAL_&amp;_City'!$C$10:$C$20, 'T_Stock_TOTAL_&amp;_City'!K$10:K$20)*(1+U27)</f>
        <v>0</v>
      </c>
      <c r="V146" s="686">
        <f>LOOKUP($C$139, 'T_Stock_TOTAL_&amp;_City'!$C$10:$C$20, 'T_Stock_TOTAL_&amp;_City'!L$10:L$20)*(1+V27)</f>
        <v>0</v>
      </c>
      <c r="W146" s="686">
        <f>LOOKUP($C$139, 'T_Stock_TOTAL_&amp;_City'!$C$10:$C$20, 'T_Stock_TOTAL_&amp;_City'!M$10:M$20)*(1+W27)</f>
        <v>0</v>
      </c>
      <c r="X146" s="686">
        <f>LOOKUP($C$139, 'T_Stock_TOTAL_&amp;_City'!$C$10:$C$20, 'T_Stock_TOTAL_&amp;_City'!N$10:N$20)*(1+X27)</f>
        <v>0</v>
      </c>
      <c r="Y146" s="686">
        <f>LOOKUP($C$139, 'T_Stock_TOTAL_&amp;_City'!$C$10:$C$20, 'T_Stock_TOTAL_&amp;_City'!O$10:O$20)*(1+Y27)</f>
        <v>0</v>
      </c>
      <c r="Z146" s="686">
        <f>LOOKUP($C$139, 'T_Stock_TOTAL_&amp;_City'!$C$10:$C$20, 'T_Stock_TOTAL_&amp;_City'!P$10:P$20)*(1+Z27)</f>
        <v>0</v>
      </c>
      <c r="AA146" s="686">
        <f>LOOKUP($C$139, 'T_Stock_TOTAL_&amp;_City'!$C$10:$C$20, 'T_Stock_TOTAL_&amp;_City'!Q$10:Q$20)*(1+AA27)</f>
        <v>0</v>
      </c>
      <c r="AB146" s="686">
        <f>LOOKUP($C$139, 'T_Stock_TOTAL_&amp;_City'!$C$10:$C$20, 'T_Stock_TOTAL_&amp;_City'!R$10:R$20)*(1+AB27)</f>
        <v>0</v>
      </c>
      <c r="AV146" s="699" t="str">
        <f t="shared" si="101"/>
        <v/>
      </c>
    </row>
    <row r="147" spans="1:64" x14ac:dyDescent="0.3">
      <c r="A147" s="22"/>
      <c r="B147" s="186" t="str">
        <f t="shared" si="148"/>
        <v>TCARPYD900</v>
      </c>
      <c r="C147" s="186"/>
      <c r="D147" s="187"/>
      <c r="E147" s="186"/>
      <c r="F147" s="170"/>
      <c r="G147" s="213"/>
      <c r="H147" s="170"/>
      <c r="I147" s="190">
        <f>AF$15</f>
        <v>2016</v>
      </c>
      <c r="J147" s="191"/>
      <c r="K147" s="191"/>
      <c r="L147" s="211" t="s">
        <v>1064</v>
      </c>
      <c r="M147" s="186" t="s">
        <v>747</v>
      </c>
      <c r="N147" s="686">
        <f t="shared" ref="N147:AB147" si="150">N146*LOOKUP($AD139,$AG$14:$AP$14,$AG$15:$AP$15)</f>
        <v>0</v>
      </c>
      <c r="O147" s="686">
        <f t="shared" si="150"/>
        <v>0</v>
      </c>
      <c r="P147" s="686">
        <f t="shared" si="150"/>
        <v>0</v>
      </c>
      <c r="Q147" s="686">
        <f t="shared" si="150"/>
        <v>0</v>
      </c>
      <c r="R147" s="686">
        <f t="shared" si="150"/>
        <v>0</v>
      </c>
      <c r="S147" s="686">
        <f t="shared" si="150"/>
        <v>0</v>
      </c>
      <c r="T147" s="686">
        <f t="shared" si="150"/>
        <v>0</v>
      </c>
      <c r="U147" s="686">
        <f t="shared" si="150"/>
        <v>0</v>
      </c>
      <c r="V147" s="686">
        <f t="shared" si="150"/>
        <v>0</v>
      </c>
      <c r="W147" s="686">
        <f t="shared" si="150"/>
        <v>0</v>
      </c>
      <c r="X147" s="686">
        <f t="shared" si="150"/>
        <v>0</v>
      </c>
      <c r="Y147" s="686">
        <f t="shared" si="150"/>
        <v>0</v>
      </c>
      <c r="Z147" s="686">
        <f t="shared" si="150"/>
        <v>0</v>
      </c>
      <c r="AA147" s="686">
        <f t="shared" si="150"/>
        <v>0</v>
      </c>
      <c r="AB147" s="686">
        <f t="shared" si="150"/>
        <v>0</v>
      </c>
      <c r="AE147" s="568">
        <f>SUM(AF147:AT147)</f>
        <v>0</v>
      </c>
      <c r="AF147" s="567">
        <f t="shared" ref="AF147:AT147" si="151">N144*N145*N146/1000</f>
        <v>0</v>
      </c>
      <c r="AG147" s="567">
        <f t="shared" si="151"/>
        <v>0</v>
      </c>
      <c r="AH147" s="567">
        <f t="shared" si="151"/>
        <v>0</v>
      </c>
      <c r="AI147" s="567">
        <f t="shared" si="151"/>
        <v>0</v>
      </c>
      <c r="AJ147" s="567">
        <f t="shared" si="151"/>
        <v>0</v>
      </c>
      <c r="AK147" s="567">
        <f t="shared" si="151"/>
        <v>0</v>
      </c>
      <c r="AL147" s="567">
        <f t="shared" si="151"/>
        <v>0</v>
      </c>
      <c r="AM147" s="567">
        <f t="shared" si="151"/>
        <v>0</v>
      </c>
      <c r="AN147" s="567">
        <f t="shared" si="151"/>
        <v>0</v>
      </c>
      <c r="AO147" s="567">
        <f t="shared" si="151"/>
        <v>0</v>
      </c>
      <c r="AP147" s="567">
        <f t="shared" si="151"/>
        <v>0</v>
      </c>
      <c r="AQ147" s="567">
        <f t="shared" si="151"/>
        <v>0</v>
      </c>
      <c r="AR147" s="567">
        <f t="shared" si="151"/>
        <v>0</v>
      </c>
      <c r="AS147" s="567">
        <f t="shared" si="151"/>
        <v>0</v>
      </c>
      <c r="AT147" s="567">
        <f t="shared" si="151"/>
        <v>0</v>
      </c>
      <c r="AV147" s="699" t="str">
        <f t="shared" si="101"/>
        <v/>
      </c>
    </row>
    <row r="148" spans="1:64" x14ac:dyDescent="0.3">
      <c r="A148" s="22"/>
      <c r="B148" s="186" t="str">
        <f t="shared" si="148"/>
        <v>TCARPYD900</v>
      </c>
      <c r="C148" s="186"/>
      <c r="D148" s="187"/>
      <c r="E148" s="186"/>
      <c r="F148" s="170"/>
      <c r="G148" s="213"/>
      <c r="H148" s="170"/>
      <c r="I148" s="190">
        <f>AF$16</f>
        <v>2020</v>
      </c>
      <c r="J148" s="191"/>
      <c r="K148" s="191"/>
      <c r="L148" s="211" t="s">
        <v>1064</v>
      </c>
      <c r="M148" s="186" t="s">
        <v>747</v>
      </c>
      <c r="N148" s="686">
        <f t="shared" ref="N148:AB148" si="152">N146*LOOKUP($AD139,$AG$14:$AP$14,$AG$16:$AP$16)</f>
        <v>0</v>
      </c>
      <c r="O148" s="686">
        <f t="shared" si="152"/>
        <v>0</v>
      </c>
      <c r="P148" s="686">
        <f t="shared" si="152"/>
        <v>0</v>
      </c>
      <c r="Q148" s="686">
        <f t="shared" si="152"/>
        <v>0</v>
      </c>
      <c r="R148" s="686">
        <f t="shared" si="152"/>
        <v>0</v>
      </c>
      <c r="S148" s="686">
        <f t="shared" si="152"/>
        <v>0</v>
      </c>
      <c r="T148" s="686">
        <f t="shared" si="152"/>
        <v>0</v>
      </c>
      <c r="U148" s="686">
        <f t="shared" si="152"/>
        <v>0</v>
      </c>
      <c r="V148" s="686">
        <f t="shared" si="152"/>
        <v>0</v>
      </c>
      <c r="W148" s="686">
        <f t="shared" si="152"/>
        <v>0</v>
      </c>
      <c r="X148" s="686">
        <f t="shared" si="152"/>
        <v>0</v>
      </c>
      <c r="Y148" s="686">
        <f t="shared" si="152"/>
        <v>0</v>
      </c>
      <c r="Z148" s="686">
        <f t="shared" si="152"/>
        <v>0</v>
      </c>
      <c r="AA148" s="686">
        <f t="shared" si="152"/>
        <v>0</v>
      </c>
      <c r="AB148" s="686">
        <f t="shared" si="152"/>
        <v>0</v>
      </c>
      <c r="AV148" s="699" t="str">
        <f t="shared" si="101"/>
        <v/>
      </c>
    </row>
    <row r="149" spans="1:64" x14ac:dyDescent="0.3">
      <c r="A149" s="22"/>
      <c r="B149" s="186" t="str">
        <f t="shared" si="148"/>
        <v>TCARPYD900</v>
      </c>
      <c r="C149" s="186"/>
      <c r="D149" s="187"/>
      <c r="E149" s="186"/>
      <c r="F149" s="170"/>
      <c r="G149" s="213"/>
      <c r="H149" s="170"/>
      <c r="I149" s="190">
        <f>AF$17</f>
        <v>2025</v>
      </c>
      <c r="J149" s="191"/>
      <c r="K149" s="191"/>
      <c r="L149" s="211" t="s">
        <v>1064</v>
      </c>
      <c r="M149" s="186" t="s">
        <v>747</v>
      </c>
      <c r="N149" s="686">
        <f t="shared" ref="N149:AB149" si="153">N146*LOOKUP($AD139,$AG$14:$AP$14,$AG$17:$AP$17)</f>
        <v>0</v>
      </c>
      <c r="O149" s="686">
        <f t="shared" si="153"/>
        <v>0</v>
      </c>
      <c r="P149" s="686">
        <f t="shared" si="153"/>
        <v>0</v>
      </c>
      <c r="Q149" s="686">
        <f t="shared" si="153"/>
        <v>0</v>
      </c>
      <c r="R149" s="686">
        <f t="shared" si="153"/>
        <v>0</v>
      </c>
      <c r="S149" s="686">
        <f t="shared" si="153"/>
        <v>0</v>
      </c>
      <c r="T149" s="686">
        <f t="shared" si="153"/>
        <v>0</v>
      </c>
      <c r="U149" s="686">
        <f t="shared" si="153"/>
        <v>0</v>
      </c>
      <c r="V149" s="686">
        <f t="shared" si="153"/>
        <v>0</v>
      </c>
      <c r="W149" s="686">
        <f t="shared" si="153"/>
        <v>0</v>
      </c>
      <c r="X149" s="686">
        <f t="shared" si="153"/>
        <v>0</v>
      </c>
      <c r="Y149" s="686">
        <f t="shared" si="153"/>
        <v>0</v>
      </c>
      <c r="Z149" s="686">
        <f t="shared" si="153"/>
        <v>0</v>
      </c>
      <c r="AA149" s="686">
        <f t="shared" si="153"/>
        <v>0</v>
      </c>
      <c r="AB149" s="686">
        <f t="shared" si="153"/>
        <v>0</v>
      </c>
      <c r="AV149" s="699" t="str">
        <f t="shared" si="101"/>
        <v/>
      </c>
    </row>
    <row r="150" spans="1:64" x14ac:dyDescent="0.3">
      <c r="A150" s="22"/>
      <c r="B150" s="186" t="str">
        <f t="shared" si="148"/>
        <v>TCARPYD900</v>
      </c>
      <c r="C150" s="186"/>
      <c r="D150" s="187"/>
      <c r="E150" s="186"/>
      <c r="F150" s="170"/>
      <c r="G150" s="213"/>
      <c r="H150" s="170"/>
      <c r="I150" s="190">
        <f>AF$18</f>
        <v>2030</v>
      </c>
      <c r="J150" s="191"/>
      <c r="K150" s="191"/>
      <c r="L150" s="211" t="s">
        <v>1064</v>
      </c>
      <c r="M150" s="186" t="s">
        <v>747</v>
      </c>
      <c r="N150" s="686">
        <f t="shared" ref="N150:AB150" si="154">N146*LOOKUP($AD139,$AG$14:$AP$14,$AG$18:$AP$18)</f>
        <v>0</v>
      </c>
      <c r="O150" s="686">
        <f t="shared" si="154"/>
        <v>0</v>
      </c>
      <c r="P150" s="686">
        <f t="shared" si="154"/>
        <v>0</v>
      </c>
      <c r="Q150" s="686">
        <f t="shared" si="154"/>
        <v>0</v>
      </c>
      <c r="R150" s="686">
        <f t="shared" si="154"/>
        <v>0</v>
      </c>
      <c r="S150" s="686">
        <f t="shared" si="154"/>
        <v>0</v>
      </c>
      <c r="T150" s="686">
        <f t="shared" si="154"/>
        <v>0</v>
      </c>
      <c r="U150" s="686">
        <f t="shared" si="154"/>
        <v>0</v>
      </c>
      <c r="V150" s="686">
        <f t="shared" si="154"/>
        <v>0</v>
      </c>
      <c r="W150" s="686">
        <f t="shared" si="154"/>
        <v>0</v>
      </c>
      <c r="X150" s="686">
        <f t="shared" si="154"/>
        <v>0</v>
      </c>
      <c r="Y150" s="686">
        <f t="shared" si="154"/>
        <v>0</v>
      </c>
      <c r="Z150" s="686">
        <f t="shared" si="154"/>
        <v>0</v>
      </c>
      <c r="AA150" s="686">
        <f t="shared" si="154"/>
        <v>0</v>
      </c>
      <c r="AB150" s="686">
        <f t="shared" si="154"/>
        <v>0</v>
      </c>
      <c r="AV150" s="699" t="str">
        <f t="shared" si="101"/>
        <v/>
      </c>
    </row>
    <row r="151" spans="1:64" x14ac:dyDescent="0.3">
      <c r="A151" s="22"/>
      <c r="B151" s="186" t="str">
        <f t="shared" si="148"/>
        <v>TCARPYD900</v>
      </c>
      <c r="C151" s="186"/>
      <c r="D151" s="187"/>
      <c r="E151" s="186"/>
      <c r="F151" s="170"/>
      <c r="G151" s="213"/>
      <c r="H151" s="170"/>
      <c r="I151" s="190">
        <f>AF$19</f>
        <v>2040</v>
      </c>
      <c r="J151" s="191"/>
      <c r="K151" s="191"/>
      <c r="L151" s="211" t="s">
        <v>1064</v>
      </c>
      <c r="M151" s="186" t="s">
        <v>747</v>
      </c>
      <c r="N151" s="686">
        <f t="shared" ref="N151:AB151" si="155">N146*LOOKUP($AD139,$AG$14:$AP$14,$AG$19:$AP$19)</f>
        <v>0</v>
      </c>
      <c r="O151" s="686">
        <f t="shared" si="155"/>
        <v>0</v>
      </c>
      <c r="P151" s="686">
        <f t="shared" si="155"/>
        <v>0</v>
      </c>
      <c r="Q151" s="686">
        <f t="shared" si="155"/>
        <v>0</v>
      </c>
      <c r="R151" s="686">
        <f t="shared" si="155"/>
        <v>0</v>
      </c>
      <c r="S151" s="686">
        <f t="shared" si="155"/>
        <v>0</v>
      </c>
      <c r="T151" s="686">
        <f t="shared" si="155"/>
        <v>0</v>
      </c>
      <c r="U151" s="686">
        <f t="shared" si="155"/>
        <v>0</v>
      </c>
      <c r="V151" s="686">
        <f t="shared" si="155"/>
        <v>0</v>
      </c>
      <c r="W151" s="686">
        <f t="shared" si="155"/>
        <v>0</v>
      </c>
      <c r="X151" s="686">
        <f t="shared" si="155"/>
        <v>0</v>
      </c>
      <c r="Y151" s="686">
        <f t="shared" si="155"/>
        <v>0</v>
      </c>
      <c r="Z151" s="686">
        <f t="shared" si="155"/>
        <v>0</v>
      </c>
      <c r="AA151" s="686">
        <f t="shared" si="155"/>
        <v>0</v>
      </c>
      <c r="AB151" s="686">
        <f t="shared" si="155"/>
        <v>0</v>
      </c>
      <c r="AV151" s="699" t="str">
        <f t="shared" si="101"/>
        <v/>
      </c>
    </row>
    <row r="152" spans="1:64" x14ac:dyDescent="0.3">
      <c r="A152" s="22"/>
      <c r="B152" s="193" t="str">
        <f t="shared" si="148"/>
        <v>TCARPYD900</v>
      </c>
      <c r="C152" s="193"/>
      <c r="D152" s="194"/>
      <c r="E152" s="193"/>
      <c r="F152" s="196"/>
      <c r="G152" s="215"/>
      <c r="H152" s="196"/>
      <c r="I152" s="197">
        <f>AF$20</f>
        <v>2050</v>
      </c>
      <c r="J152" s="198"/>
      <c r="K152" s="198"/>
      <c r="L152" s="212" t="s">
        <v>1064</v>
      </c>
      <c r="M152" s="193" t="s">
        <v>747</v>
      </c>
      <c r="N152" s="687">
        <f t="shared" ref="N152:AB152" si="156">N146*LOOKUP($AD139,$AG$14:$AP$14,$AG$20:$AP$20)</f>
        <v>0</v>
      </c>
      <c r="O152" s="687">
        <f t="shared" si="156"/>
        <v>0</v>
      </c>
      <c r="P152" s="687">
        <f t="shared" si="156"/>
        <v>0</v>
      </c>
      <c r="Q152" s="687">
        <f t="shared" si="156"/>
        <v>0</v>
      </c>
      <c r="R152" s="687">
        <f t="shared" si="156"/>
        <v>0</v>
      </c>
      <c r="S152" s="687">
        <f t="shared" si="156"/>
        <v>0</v>
      </c>
      <c r="T152" s="687">
        <f t="shared" si="156"/>
        <v>0</v>
      </c>
      <c r="U152" s="687">
        <f t="shared" si="156"/>
        <v>0</v>
      </c>
      <c r="V152" s="687">
        <f t="shared" si="156"/>
        <v>0</v>
      </c>
      <c r="W152" s="687">
        <f t="shared" si="156"/>
        <v>0</v>
      </c>
      <c r="X152" s="687">
        <f t="shared" si="156"/>
        <v>0</v>
      </c>
      <c r="Y152" s="687">
        <f t="shared" si="156"/>
        <v>0</v>
      </c>
      <c r="Z152" s="687">
        <f t="shared" si="156"/>
        <v>0</v>
      </c>
      <c r="AA152" s="687">
        <f t="shared" si="156"/>
        <v>0</v>
      </c>
      <c r="AB152" s="687">
        <f t="shared" si="156"/>
        <v>0</v>
      </c>
      <c r="AD152" s="400"/>
      <c r="AV152" s="699" t="str">
        <f t="shared" si="101"/>
        <v/>
      </c>
    </row>
    <row r="153" spans="1:64" x14ac:dyDescent="0.3">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3" t="str">
        <f t="shared" si="101"/>
        <v>TRAGSL</v>
      </c>
      <c r="AW153" s="569">
        <f t="shared" ref="AW153:AW155" si="158">SUM(AX153:BL153)</f>
        <v>0</v>
      </c>
      <c r="AX153" s="569">
        <f>N$159*N$160*(1-N154)/N$156/1000</f>
        <v>0</v>
      </c>
      <c r="AY153" s="569">
        <f t="shared" ref="AY153:BL153" si="159">O$159*O$160*(1-O154)/O$156/1000</f>
        <v>0</v>
      </c>
      <c r="AZ153" s="569">
        <f t="shared" si="159"/>
        <v>0</v>
      </c>
      <c r="BA153" s="569">
        <f t="shared" si="159"/>
        <v>0</v>
      </c>
      <c r="BB153" s="569">
        <f t="shared" si="159"/>
        <v>0</v>
      </c>
      <c r="BC153" s="569">
        <f t="shared" si="159"/>
        <v>0</v>
      </c>
      <c r="BD153" s="569">
        <f t="shared" si="159"/>
        <v>0</v>
      </c>
      <c r="BE153" s="569">
        <f t="shared" si="159"/>
        <v>0</v>
      </c>
      <c r="BF153" s="569">
        <f t="shared" si="159"/>
        <v>0</v>
      </c>
      <c r="BG153" s="569">
        <f t="shared" si="159"/>
        <v>0</v>
      </c>
      <c r="BH153" s="569">
        <f t="shared" si="159"/>
        <v>0</v>
      </c>
      <c r="BI153" s="569">
        <f t="shared" si="159"/>
        <v>0</v>
      </c>
      <c r="BJ153" s="569">
        <f t="shared" si="159"/>
        <v>0</v>
      </c>
      <c r="BK153" s="569">
        <f t="shared" si="159"/>
        <v>0</v>
      </c>
      <c r="BL153" s="569">
        <f t="shared" si="159"/>
        <v>0</v>
      </c>
    </row>
    <row r="154" spans="1:64" x14ac:dyDescent="0.3">
      <c r="A154" s="22"/>
      <c r="B154" s="186" t="str">
        <f>B153</f>
        <v>TCARPYG900</v>
      </c>
      <c r="C154" s="186"/>
      <c r="D154" s="187"/>
      <c r="E154" s="258" t="s">
        <v>1011</v>
      </c>
      <c r="F154" s="170"/>
      <c r="G154" s="213"/>
      <c r="H154" s="170"/>
      <c r="I154" s="190"/>
      <c r="J154" s="191" t="s">
        <v>1156</v>
      </c>
      <c r="K154" s="191"/>
      <c r="L154" s="211" t="s">
        <v>101</v>
      </c>
      <c r="M154" s="186"/>
      <c r="N154" s="377">
        <f>N$19</f>
        <v>5.0999999999999997E-2</v>
      </c>
      <c r="O154" s="377">
        <f t="shared" ref="O154:AB154" si="160">O$19</f>
        <v>5.0999999999999997E-2</v>
      </c>
      <c r="P154" s="377">
        <f t="shared" si="160"/>
        <v>5.0999999999999997E-2</v>
      </c>
      <c r="Q154" s="377">
        <f t="shared" si="160"/>
        <v>5.0999999999999997E-2</v>
      </c>
      <c r="R154" s="377">
        <f t="shared" si="160"/>
        <v>5.0999999999999997E-2</v>
      </c>
      <c r="S154" s="377">
        <f t="shared" si="160"/>
        <v>5.0999999999999997E-2</v>
      </c>
      <c r="T154" s="377">
        <f t="shared" si="160"/>
        <v>5.0999999999999997E-2</v>
      </c>
      <c r="U154" s="377">
        <f t="shared" si="160"/>
        <v>5.0999999999999997E-2</v>
      </c>
      <c r="V154" s="377">
        <f t="shared" si="160"/>
        <v>5.0999999999999997E-2</v>
      </c>
      <c r="W154" s="377">
        <f t="shared" si="160"/>
        <v>5.0999999999999997E-2</v>
      </c>
      <c r="X154" s="377">
        <f t="shared" si="160"/>
        <v>5.0999999999999997E-2</v>
      </c>
      <c r="Y154" s="377">
        <f t="shared" si="160"/>
        <v>5.0999999999999997E-2</v>
      </c>
      <c r="Z154" s="377">
        <f t="shared" si="160"/>
        <v>5.0999999999999997E-2</v>
      </c>
      <c r="AA154" s="377">
        <f t="shared" si="160"/>
        <v>5.0999999999999997E-2</v>
      </c>
      <c r="AB154" s="377">
        <f t="shared" si="160"/>
        <v>5.0999999999999997E-2</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699" t="str">
        <f t="shared" si="101"/>
        <v>TRAETHM</v>
      </c>
      <c r="AW154" s="567">
        <f t="shared" si="158"/>
        <v>0</v>
      </c>
      <c r="AX154" s="567">
        <f>N$159*N$160*N154/N$156/1000</f>
        <v>0</v>
      </c>
      <c r="AY154" s="567">
        <f t="shared" ref="AY154:BL155" si="161">O$159*O$160*O154/O$156/1000</f>
        <v>0</v>
      </c>
      <c r="AZ154" s="567">
        <f t="shared" si="161"/>
        <v>0</v>
      </c>
      <c r="BA154" s="567">
        <f t="shared" si="161"/>
        <v>0</v>
      </c>
      <c r="BB154" s="567">
        <f t="shared" si="161"/>
        <v>0</v>
      </c>
      <c r="BC154" s="567">
        <f t="shared" si="161"/>
        <v>0</v>
      </c>
      <c r="BD154" s="567">
        <f t="shared" si="161"/>
        <v>0</v>
      </c>
      <c r="BE154" s="567">
        <f t="shared" si="161"/>
        <v>0</v>
      </c>
      <c r="BF154" s="567">
        <f t="shared" si="161"/>
        <v>0</v>
      </c>
      <c r="BG154" s="567">
        <f t="shared" si="161"/>
        <v>0</v>
      </c>
      <c r="BH154" s="567">
        <f t="shared" si="161"/>
        <v>0</v>
      </c>
      <c r="BI154" s="567">
        <f t="shared" si="161"/>
        <v>0</v>
      </c>
      <c r="BJ154" s="567">
        <f t="shared" si="161"/>
        <v>0</v>
      </c>
      <c r="BK154" s="567">
        <f t="shared" si="161"/>
        <v>0</v>
      </c>
      <c r="BL154" s="567">
        <f t="shared" si="161"/>
        <v>0</v>
      </c>
    </row>
    <row r="155" spans="1:64" x14ac:dyDescent="0.3">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7"/>
      <c r="AV155" s="699" t="str">
        <f>MID(E155,1,8)</f>
        <v>TRABGSLM</v>
      </c>
      <c r="AW155" s="567">
        <f t="shared" si="158"/>
        <v>0</v>
      </c>
      <c r="AX155" s="567">
        <f>N$159*N$160*N155/N$156/1000</f>
        <v>0</v>
      </c>
      <c r="AY155" s="567">
        <f t="shared" si="161"/>
        <v>0</v>
      </c>
      <c r="AZ155" s="567">
        <f t="shared" si="161"/>
        <v>0</v>
      </c>
      <c r="BA155" s="567">
        <f t="shared" si="161"/>
        <v>0</v>
      </c>
      <c r="BB155" s="567">
        <f t="shared" si="161"/>
        <v>0</v>
      </c>
      <c r="BC155" s="567">
        <f t="shared" si="161"/>
        <v>0</v>
      </c>
      <c r="BD155" s="567">
        <f t="shared" si="161"/>
        <v>0</v>
      </c>
      <c r="BE155" s="567">
        <f t="shared" si="161"/>
        <v>0</v>
      </c>
      <c r="BF155" s="567">
        <f t="shared" si="161"/>
        <v>0</v>
      </c>
      <c r="BG155" s="567">
        <f t="shared" si="161"/>
        <v>0</v>
      </c>
      <c r="BH155" s="567">
        <f t="shared" si="161"/>
        <v>0</v>
      </c>
      <c r="BI155" s="567">
        <f t="shared" si="161"/>
        <v>0</v>
      </c>
      <c r="BJ155" s="567">
        <f t="shared" si="161"/>
        <v>0</v>
      </c>
      <c r="BK155" s="567">
        <f t="shared" si="161"/>
        <v>0</v>
      </c>
      <c r="BL155" s="567">
        <f t="shared" si="161"/>
        <v>0</v>
      </c>
    </row>
    <row r="156" spans="1:64" x14ac:dyDescent="0.3">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3">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3">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3">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3">
      <c r="A160" s="22"/>
      <c r="B160" s="186" t="str">
        <f t="shared" si="164"/>
        <v>TCARPYG900</v>
      </c>
      <c r="C160" s="186"/>
      <c r="D160" s="187"/>
      <c r="E160" s="186"/>
      <c r="F160" s="170"/>
      <c r="G160" s="213"/>
      <c r="H160" s="170"/>
      <c r="I160" s="190">
        <f>$M$3</f>
        <v>2019</v>
      </c>
      <c r="J160" s="191"/>
      <c r="K160" s="191"/>
      <c r="L160" s="211" t="s">
        <v>1064</v>
      </c>
      <c r="M160" s="186" t="s">
        <v>747</v>
      </c>
      <c r="N160" s="686">
        <f>LOOKUP($C$153, 'T_Stock_TOTAL_&amp;_City'!$C$10:$C$20, 'T_Stock_TOTAL_&amp;_City'!D$10:D$20)*(1+N27)</f>
        <v>0</v>
      </c>
      <c r="O160" s="686">
        <f>LOOKUP($C$153, 'T_Stock_TOTAL_&amp;_City'!$C$10:$C$20, 'T_Stock_TOTAL_&amp;_City'!E$10:E$20)*(1+O27)</f>
        <v>0</v>
      </c>
      <c r="P160" s="686">
        <f>LOOKUP($C$153, 'T_Stock_TOTAL_&amp;_City'!$C$10:$C$20, 'T_Stock_TOTAL_&amp;_City'!F$10:F$20)*(1+P27)</f>
        <v>0</v>
      </c>
      <c r="Q160" s="686">
        <f>LOOKUP($C$153, 'T_Stock_TOTAL_&amp;_City'!$C$10:$C$20, 'T_Stock_TOTAL_&amp;_City'!G$10:G$20)*(1+Q27)</f>
        <v>0</v>
      </c>
      <c r="R160" s="686">
        <f>LOOKUP($C$153, 'T_Stock_TOTAL_&amp;_City'!$C$10:$C$20, 'T_Stock_TOTAL_&amp;_City'!H$10:H$20)*(1+R27)</f>
        <v>0</v>
      </c>
      <c r="S160" s="686">
        <f>LOOKUP($C$153, 'T_Stock_TOTAL_&amp;_City'!$C$10:$C$20, 'T_Stock_TOTAL_&amp;_City'!I$10:I$20)*(1+S27)</f>
        <v>0</v>
      </c>
      <c r="T160" s="686">
        <f>LOOKUP($C$153, 'T_Stock_TOTAL_&amp;_City'!$C$10:$C$20, 'T_Stock_TOTAL_&amp;_City'!J$10:J$20)*(1+T27)</f>
        <v>0</v>
      </c>
      <c r="U160" s="686">
        <f>LOOKUP($C$153, 'T_Stock_TOTAL_&amp;_City'!$C$10:$C$20, 'T_Stock_TOTAL_&amp;_City'!K$10:K$20)*(1+U27)</f>
        <v>0</v>
      </c>
      <c r="V160" s="686">
        <f>LOOKUP($C$153, 'T_Stock_TOTAL_&amp;_City'!$C$10:$C$20, 'T_Stock_TOTAL_&amp;_City'!L$10:L$20)*(1+V27)</f>
        <v>0</v>
      </c>
      <c r="W160" s="686">
        <f>LOOKUP($C$153, 'T_Stock_TOTAL_&amp;_City'!$C$10:$C$20, 'T_Stock_TOTAL_&amp;_City'!M$10:M$20)*(1+W27)</f>
        <v>0</v>
      </c>
      <c r="X160" s="686">
        <f>LOOKUP($C$153, 'T_Stock_TOTAL_&amp;_City'!$C$10:$C$20, 'T_Stock_TOTAL_&amp;_City'!N$10:N$20)*(1+X27)</f>
        <v>0</v>
      </c>
      <c r="Y160" s="686">
        <f>LOOKUP($C$153, 'T_Stock_TOTAL_&amp;_City'!$C$10:$C$20, 'T_Stock_TOTAL_&amp;_City'!O$10:O$20)*(1+Y27)</f>
        <v>0</v>
      </c>
      <c r="Z160" s="686">
        <f>LOOKUP($C$153, 'T_Stock_TOTAL_&amp;_City'!$C$10:$C$20, 'T_Stock_TOTAL_&amp;_City'!P$10:P$20)*(1+Z27)</f>
        <v>0</v>
      </c>
      <c r="AA160" s="686">
        <f>LOOKUP($C$153, 'T_Stock_TOTAL_&amp;_City'!$C$10:$C$20, 'T_Stock_TOTAL_&amp;_City'!Q$10:Q$20)*(1+AA27)</f>
        <v>0</v>
      </c>
      <c r="AB160" s="686">
        <f>LOOKUP($C$153, 'T_Stock_TOTAL_&amp;_City'!$C$10:$C$20, 'T_Stock_TOTAL_&amp;_City'!R$10:R$20)*(1+AB27)</f>
        <v>0</v>
      </c>
    </row>
    <row r="161" spans="1:46" x14ac:dyDescent="0.3">
      <c r="A161" s="22"/>
      <c r="B161" s="186" t="str">
        <f t="shared" si="164"/>
        <v>TCARPYG900</v>
      </c>
      <c r="C161" s="186"/>
      <c r="D161" s="187"/>
      <c r="E161" s="186"/>
      <c r="F161" s="170"/>
      <c r="G161" s="213"/>
      <c r="H161" s="170"/>
      <c r="I161" s="190">
        <f>AF$15</f>
        <v>2016</v>
      </c>
      <c r="J161" s="191"/>
      <c r="K161" s="191"/>
      <c r="L161" s="211" t="s">
        <v>1064</v>
      </c>
      <c r="M161" s="186" t="s">
        <v>747</v>
      </c>
      <c r="N161" s="686">
        <f t="shared" ref="N161:AB161" si="166">N$160*LOOKUP($AD$153,$AG$14:$AP$14,$AG15:$AP15)</f>
        <v>0</v>
      </c>
      <c r="O161" s="686">
        <f t="shared" si="166"/>
        <v>0</v>
      </c>
      <c r="P161" s="686">
        <f t="shared" si="166"/>
        <v>0</v>
      </c>
      <c r="Q161" s="686">
        <f t="shared" si="166"/>
        <v>0</v>
      </c>
      <c r="R161" s="686">
        <f t="shared" si="166"/>
        <v>0</v>
      </c>
      <c r="S161" s="686">
        <f t="shared" si="166"/>
        <v>0</v>
      </c>
      <c r="T161" s="686">
        <f t="shared" si="166"/>
        <v>0</v>
      </c>
      <c r="U161" s="686">
        <f t="shared" si="166"/>
        <v>0</v>
      </c>
      <c r="V161" s="686">
        <f t="shared" si="166"/>
        <v>0</v>
      </c>
      <c r="W161" s="686">
        <f t="shared" si="166"/>
        <v>0</v>
      </c>
      <c r="X161" s="686">
        <f t="shared" si="166"/>
        <v>0</v>
      </c>
      <c r="Y161" s="686">
        <f t="shared" si="166"/>
        <v>0</v>
      </c>
      <c r="Z161" s="686">
        <f t="shared" si="166"/>
        <v>0</v>
      </c>
      <c r="AA161" s="686">
        <f t="shared" si="166"/>
        <v>0</v>
      </c>
      <c r="AB161" s="686">
        <f t="shared" si="166"/>
        <v>0</v>
      </c>
      <c r="AE161" s="568">
        <f>SUM(AF161:AT161)</f>
        <v>0</v>
      </c>
      <c r="AF161" s="567">
        <f t="shared" ref="AF161:AT161" si="167">N158*N159*N160/1000</f>
        <v>0</v>
      </c>
      <c r="AG161" s="567">
        <f t="shared" si="167"/>
        <v>0</v>
      </c>
      <c r="AH161" s="567">
        <f t="shared" si="167"/>
        <v>0</v>
      </c>
      <c r="AI161" s="567">
        <f t="shared" si="167"/>
        <v>0</v>
      </c>
      <c r="AJ161" s="567">
        <f t="shared" si="167"/>
        <v>0</v>
      </c>
      <c r="AK161" s="567">
        <f t="shared" si="167"/>
        <v>0</v>
      </c>
      <c r="AL161" s="567">
        <f t="shared" si="167"/>
        <v>0</v>
      </c>
      <c r="AM161" s="567">
        <f t="shared" si="167"/>
        <v>0</v>
      </c>
      <c r="AN161" s="567">
        <f t="shared" si="167"/>
        <v>0</v>
      </c>
      <c r="AO161" s="567">
        <f t="shared" si="167"/>
        <v>0</v>
      </c>
      <c r="AP161" s="567">
        <f t="shared" si="167"/>
        <v>0</v>
      </c>
      <c r="AQ161" s="567">
        <f t="shared" si="167"/>
        <v>0</v>
      </c>
      <c r="AR161" s="567">
        <f t="shared" si="167"/>
        <v>0</v>
      </c>
      <c r="AS161" s="567">
        <f t="shared" si="167"/>
        <v>0</v>
      </c>
      <c r="AT161" s="567">
        <f t="shared" si="167"/>
        <v>0</v>
      </c>
    </row>
    <row r="162" spans="1:46" x14ac:dyDescent="0.3">
      <c r="A162" s="22"/>
      <c r="B162" s="186" t="str">
        <f t="shared" si="164"/>
        <v>TCARPYG900</v>
      </c>
      <c r="C162" s="186"/>
      <c r="D162" s="187"/>
      <c r="E162" s="186"/>
      <c r="F162" s="170"/>
      <c r="G162" s="213"/>
      <c r="H162" s="170"/>
      <c r="I162" s="190">
        <f>AF$16</f>
        <v>2020</v>
      </c>
      <c r="J162" s="191"/>
      <c r="K162" s="191"/>
      <c r="L162" s="211" t="s">
        <v>1064</v>
      </c>
      <c r="M162" s="186" t="s">
        <v>747</v>
      </c>
      <c r="N162" s="686">
        <f t="shared" ref="N162:AB162" si="168">N$160*LOOKUP($AD$153,$AG$14:$AP$14,$AG16:$AP16)</f>
        <v>0</v>
      </c>
      <c r="O162" s="686">
        <f t="shared" si="168"/>
        <v>0</v>
      </c>
      <c r="P162" s="686">
        <f t="shared" si="168"/>
        <v>0</v>
      </c>
      <c r="Q162" s="686">
        <f t="shared" si="168"/>
        <v>0</v>
      </c>
      <c r="R162" s="686">
        <f t="shared" si="168"/>
        <v>0</v>
      </c>
      <c r="S162" s="686">
        <f t="shared" si="168"/>
        <v>0</v>
      </c>
      <c r="T162" s="686">
        <f t="shared" si="168"/>
        <v>0</v>
      </c>
      <c r="U162" s="686">
        <f t="shared" si="168"/>
        <v>0</v>
      </c>
      <c r="V162" s="686">
        <f t="shared" si="168"/>
        <v>0</v>
      </c>
      <c r="W162" s="686">
        <f t="shared" si="168"/>
        <v>0</v>
      </c>
      <c r="X162" s="686">
        <f t="shared" si="168"/>
        <v>0</v>
      </c>
      <c r="Y162" s="686">
        <f t="shared" si="168"/>
        <v>0</v>
      </c>
      <c r="Z162" s="686">
        <f t="shared" si="168"/>
        <v>0</v>
      </c>
      <c r="AA162" s="686">
        <f t="shared" si="168"/>
        <v>0</v>
      </c>
      <c r="AB162" s="686">
        <f t="shared" si="168"/>
        <v>0</v>
      </c>
    </row>
    <row r="163" spans="1:46" x14ac:dyDescent="0.3">
      <c r="A163" s="22"/>
      <c r="B163" s="186" t="str">
        <f t="shared" si="164"/>
        <v>TCARPYG900</v>
      </c>
      <c r="C163" s="186"/>
      <c r="D163" s="187"/>
      <c r="E163" s="186"/>
      <c r="F163" s="170"/>
      <c r="G163" s="213"/>
      <c r="H163" s="170"/>
      <c r="I163" s="190">
        <f>AF$17</f>
        <v>2025</v>
      </c>
      <c r="J163" s="191"/>
      <c r="K163" s="191"/>
      <c r="L163" s="211" t="s">
        <v>1064</v>
      </c>
      <c r="M163" s="186" t="s">
        <v>747</v>
      </c>
      <c r="N163" s="686">
        <f t="shared" ref="N163:AB163" si="169">N$160*LOOKUP($AD$153,$AG$14:$AP$14,$AG17:$AP17)</f>
        <v>0</v>
      </c>
      <c r="O163" s="686">
        <f t="shared" si="169"/>
        <v>0</v>
      </c>
      <c r="P163" s="686">
        <f t="shared" si="169"/>
        <v>0</v>
      </c>
      <c r="Q163" s="686">
        <f t="shared" si="169"/>
        <v>0</v>
      </c>
      <c r="R163" s="686">
        <f t="shared" si="169"/>
        <v>0</v>
      </c>
      <c r="S163" s="686">
        <f t="shared" si="169"/>
        <v>0</v>
      </c>
      <c r="T163" s="686">
        <f t="shared" si="169"/>
        <v>0</v>
      </c>
      <c r="U163" s="686">
        <f t="shared" si="169"/>
        <v>0</v>
      </c>
      <c r="V163" s="686">
        <f t="shared" si="169"/>
        <v>0</v>
      </c>
      <c r="W163" s="686">
        <f t="shared" si="169"/>
        <v>0</v>
      </c>
      <c r="X163" s="686">
        <f t="shared" si="169"/>
        <v>0</v>
      </c>
      <c r="Y163" s="686">
        <f t="shared" si="169"/>
        <v>0</v>
      </c>
      <c r="Z163" s="686">
        <f t="shared" si="169"/>
        <v>0</v>
      </c>
      <c r="AA163" s="686">
        <f t="shared" si="169"/>
        <v>0</v>
      </c>
      <c r="AB163" s="686">
        <f t="shared" si="169"/>
        <v>0</v>
      </c>
    </row>
    <row r="164" spans="1:46" x14ac:dyDescent="0.3">
      <c r="A164" s="22"/>
      <c r="B164" s="186" t="str">
        <f t="shared" si="164"/>
        <v>TCARPYG900</v>
      </c>
      <c r="C164" s="186"/>
      <c r="D164" s="187"/>
      <c r="E164" s="186"/>
      <c r="F164" s="170"/>
      <c r="G164" s="213"/>
      <c r="H164" s="170"/>
      <c r="I164" s="190">
        <f>AF$18</f>
        <v>2030</v>
      </c>
      <c r="J164" s="191"/>
      <c r="K164" s="191"/>
      <c r="L164" s="211" t="s">
        <v>1064</v>
      </c>
      <c r="M164" s="186" t="s">
        <v>747</v>
      </c>
      <c r="N164" s="686">
        <f t="shared" ref="N164:AB164" si="170">N$160*LOOKUP($AD$153,$AG$14:$AP$14,$AG18:$AP18)</f>
        <v>0</v>
      </c>
      <c r="O164" s="686">
        <f t="shared" si="170"/>
        <v>0</v>
      </c>
      <c r="P164" s="686">
        <f t="shared" si="170"/>
        <v>0</v>
      </c>
      <c r="Q164" s="686">
        <f t="shared" si="170"/>
        <v>0</v>
      </c>
      <c r="R164" s="686">
        <f t="shared" si="170"/>
        <v>0</v>
      </c>
      <c r="S164" s="686">
        <f t="shared" si="170"/>
        <v>0</v>
      </c>
      <c r="T164" s="686">
        <f t="shared" si="170"/>
        <v>0</v>
      </c>
      <c r="U164" s="686">
        <f t="shared" si="170"/>
        <v>0</v>
      </c>
      <c r="V164" s="686">
        <f t="shared" si="170"/>
        <v>0</v>
      </c>
      <c r="W164" s="686">
        <f t="shared" si="170"/>
        <v>0</v>
      </c>
      <c r="X164" s="686">
        <f t="shared" si="170"/>
        <v>0</v>
      </c>
      <c r="Y164" s="686">
        <f t="shared" si="170"/>
        <v>0</v>
      </c>
      <c r="Z164" s="686">
        <f t="shared" si="170"/>
        <v>0</v>
      </c>
      <c r="AA164" s="686">
        <f t="shared" si="170"/>
        <v>0</v>
      </c>
      <c r="AB164" s="686">
        <f t="shared" si="170"/>
        <v>0</v>
      </c>
    </row>
    <row r="165" spans="1:46" x14ac:dyDescent="0.3">
      <c r="A165" s="22"/>
      <c r="B165" s="186" t="str">
        <f t="shared" si="164"/>
        <v>TCARPYG900</v>
      </c>
      <c r="C165" s="186"/>
      <c r="D165" s="187"/>
      <c r="E165" s="186"/>
      <c r="F165" s="170"/>
      <c r="G165" s="213"/>
      <c r="H165" s="170"/>
      <c r="I165" s="190">
        <f>AF$19</f>
        <v>2040</v>
      </c>
      <c r="J165" s="191"/>
      <c r="K165" s="191"/>
      <c r="L165" s="211" t="s">
        <v>1064</v>
      </c>
      <c r="M165" s="186" t="s">
        <v>747</v>
      </c>
      <c r="N165" s="686">
        <f t="shared" ref="N165:AB165" si="171">N$160*LOOKUP($AD$153,$AG$14:$AP$14,$AG19:$AP19)</f>
        <v>0</v>
      </c>
      <c r="O165" s="686">
        <f t="shared" si="171"/>
        <v>0</v>
      </c>
      <c r="P165" s="686">
        <f t="shared" si="171"/>
        <v>0</v>
      </c>
      <c r="Q165" s="686">
        <f t="shared" si="171"/>
        <v>0</v>
      </c>
      <c r="R165" s="686">
        <f t="shared" si="171"/>
        <v>0</v>
      </c>
      <c r="S165" s="686">
        <f t="shared" si="171"/>
        <v>0</v>
      </c>
      <c r="T165" s="686">
        <f t="shared" si="171"/>
        <v>0</v>
      </c>
      <c r="U165" s="686">
        <f t="shared" si="171"/>
        <v>0</v>
      </c>
      <c r="V165" s="686">
        <f t="shared" si="171"/>
        <v>0</v>
      </c>
      <c r="W165" s="686">
        <f t="shared" si="171"/>
        <v>0</v>
      </c>
      <c r="X165" s="686">
        <f t="shared" si="171"/>
        <v>0</v>
      </c>
      <c r="Y165" s="686">
        <f t="shared" si="171"/>
        <v>0</v>
      </c>
      <c r="Z165" s="686">
        <f t="shared" si="171"/>
        <v>0</v>
      </c>
      <c r="AA165" s="686">
        <f t="shared" si="171"/>
        <v>0</v>
      </c>
      <c r="AB165" s="686">
        <f t="shared" si="171"/>
        <v>0</v>
      </c>
    </row>
    <row r="166" spans="1:46" x14ac:dyDescent="0.3">
      <c r="A166" s="22"/>
      <c r="B166" s="193" t="str">
        <f t="shared" si="164"/>
        <v>TCARPYG900</v>
      </c>
      <c r="C166" s="193"/>
      <c r="D166" s="194"/>
      <c r="E166" s="193"/>
      <c r="F166" s="196"/>
      <c r="G166" s="215"/>
      <c r="H166" s="196"/>
      <c r="I166" s="197">
        <f>AF$20</f>
        <v>2050</v>
      </c>
      <c r="J166" s="198"/>
      <c r="K166" s="198"/>
      <c r="L166" s="212" t="s">
        <v>1064</v>
      </c>
      <c r="M166" s="193" t="s">
        <v>747</v>
      </c>
      <c r="N166" s="687">
        <f t="shared" ref="N166:AB166" si="172">N$160*LOOKUP($AD$153,$AG$14:$AP$14,$AG20:$AP20)</f>
        <v>0</v>
      </c>
      <c r="O166" s="687">
        <f t="shared" si="172"/>
        <v>0</v>
      </c>
      <c r="P166" s="687">
        <f t="shared" si="172"/>
        <v>0</v>
      </c>
      <c r="Q166" s="687">
        <f t="shared" si="172"/>
        <v>0</v>
      </c>
      <c r="R166" s="687">
        <f t="shared" si="172"/>
        <v>0</v>
      </c>
      <c r="S166" s="687">
        <f t="shared" si="172"/>
        <v>0</v>
      </c>
      <c r="T166" s="687">
        <f t="shared" si="172"/>
        <v>0</v>
      </c>
      <c r="U166" s="687">
        <f t="shared" si="172"/>
        <v>0</v>
      </c>
      <c r="V166" s="687">
        <f t="shared" si="172"/>
        <v>0</v>
      </c>
      <c r="W166" s="687">
        <f t="shared" si="172"/>
        <v>0</v>
      </c>
      <c r="X166" s="687">
        <f t="shared" si="172"/>
        <v>0</v>
      </c>
      <c r="Y166" s="687">
        <f t="shared" si="172"/>
        <v>0</v>
      </c>
      <c r="Z166" s="687">
        <f t="shared" si="172"/>
        <v>0</v>
      </c>
      <c r="AA166" s="687">
        <f t="shared" si="172"/>
        <v>0</v>
      </c>
      <c r="AB166" s="687">
        <f t="shared" si="172"/>
        <v>0</v>
      </c>
    </row>
    <row r="167" spans="1:46" x14ac:dyDescent="0.3">
      <c r="L167" s="70"/>
    </row>
    <row r="168" spans="1:46" x14ac:dyDescent="0.3">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4.4" x14ac:dyDescent="0.3"/>
  <cols>
    <col min="2" max="2" width="18.5546875" customWidth="1"/>
    <col min="3" max="3" width="14.5546875" customWidth="1"/>
    <col min="4" max="4" width="36.6640625" customWidth="1"/>
    <col min="5" max="5" width="10.33203125" customWidth="1"/>
    <col min="6" max="6" width="11.44140625" bestFit="1" customWidth="1"/>
    <col min="7" max="7" width="11.33203125" bestFit="1" customWidth="1"/>
    <col min="8" max="8" width="9.6640625" bestFit="1" customWidth="1"/>
    <col min="9" max="9" width="15.5546875" bestFit="1" customWidth="1"/>
    <col min="10" max="10" width="20.33203125" bestFit="1" customWidth="1"/>
    <col min="11" max="11" width="14.33203125" bestFit="1" customWidth="1"/>
    <col min="12" max="12" width="12.33203125" bestFit="1" customWidth="1"/>
    <col min="13" max="13" width="20.6640625" customWidth="1"/>
    <col min="14" max="14" width="9.6640625" bestFit="1" customWidth="1"/>
    <col min="30" max="30" width="14.5546875" bestFit="1" customWidth="1"/>
    <col min="32" max="32" width="12.33203125" customWidth="1"/>
  </cols>
  <sheetData>
    <row r="1" spans="1:42" x14ac:dyDescent="0.3">
      <c r="M1" s="120" t="s">
        <v>1110</v>
      </c>
      <c r="N1" s="35"/>
      <c r="O1" s="35"/>
      <c r="P1" s="35"/>
      <c r="Q1" s="35"/>
      <c r="R1" s="35"/>
      <c r="S1" s="35"/>
      <c r="T1" s="35"/>
      <c r="U1" s="35"/>
      <c r="V1" s="35"/>
      <c r="W1" s="35"/>
      <c r="X1" s="35"/>
      <c r="Y1" s="35"/>
      <c r="Z1" s="35"/>
      <c r="AA1" s="35"/>
      <c r="AB1" s="35"/>
    </row>
    <row r="2" spans="1:42" s="35" customFormat="1" ht="18.600000000000001" customHeight="1" x14ac:dyDescent="0.3">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3">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3">
      <c r="I6" s="36"/>
      <c r="AF6" s="38">
        <v>2020</v>
      </c>
      <c r="AG6" s="67">
        <v>0.7</v>
      </c>
      <c r="AH6" s="67">
        <v>0.75</v>
      </c>
      <c r="AI6" s="67">
        <v>0.7</v>
      </c>
      <c r="AJ6" s="67">
        <v>0.7</v>
      </c>
      <c r="AK6" s="67">
        <v>0.7</v>
      </c>
      <c r="AL6" s="67">
        <v>0.75</v>
      </c>
      <c r="AM6" s="67">
        <v>0.75</v>
      </c>
      <c r="AN6" s="67">
        <v>0.7</v>
      </c>
      <c r="AO6" s="67">
        <v>0.75</v>
      </c>
      <c r="AP6" s="67">
        <v>0.75</v>
      </c>
    </row>
    <row r="7" spans="1:42" s="33" customFormat="1" x14ac:dyDescent="0.3">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3">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4"/>
      <c r="AF8" s="38">
        <f>AF7+5</f>
        <v>2030</v>
      </c>
      <c r="AG8" s="554">
        <v>0.15</v>
      </c>
      <c r="AH8" s="554">
        <v>0.15</v>
      </c>
      <c r="AI8" s="554">
        <v>0.15</v>
      </c>
      <c r="AJ8" s="554">
        <v>0.15</v>
      </c>
      <c r="AK8" s="554">
        <v>0.15</v>
      </c>
      <c r="AL8" s="554">
        <v>0.15</v>
      </c>
      <c r="AM8" s="554">
        <v>0.15</v>
      </c>
      <c r="AN8" s="554">
        <v>0.15</v>
      </c>
      <c r="AO8" s="554">
        <v>0.15</v>
      </c>
      <c r="AP8" s="554">
        <v>0.15</v>
      </c>
    </row>
    <row r="9" spans="1:42"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3">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5">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3">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5">
        <f>SUM(N11:AB11)</f>
        <v>0</v>
      </c>
      <c r="AE11" s="77"/>
      <c r="AG11" s="35"/>
      <c r="AH11" s="35"/>
      <c r="AI11" s="35"/>
      <c r="AJ11" s="35"/>
      <c r="AK11" s="35"/>
      <c r="AL11" s="35"/>
      <c r="AM11" s="35"/>
      <c r="AN11" s="35"/>
      <c r="AO11" s="35"/>
      <c r="AP11" s="35"/>
    </row>
    <row r="12" spans="1:42" s="33" customFormat="1" x14ac:dyDescent="0.3">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28.8" x14ac:dyDescent="0.3">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3">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3">
      <c r="A16" s="44"/>
      <c r="B16" s="44"/>
      <c r="C16" s="44"/>
      <c r="D16" s="44"/>
      <c r="E16" s="44"/>
      <c r="F16" s="44"/>
      <c r="G16" s="44"/>
      <c r="K16" s="172"/>
      <c r="L16" s="172"/>
      <c r="M16" s="174" t="str">
        <f>STAT_TRA_Shares!B7</f>
        <v>% of biogas in CNG</v>
      </c>
      <c r="N16" s="513">
        <f>STAT_TRA_Shares!C7</f>
        <v>0.95</v>
      </c>
      <c r="O16" s="513">
        <f t="shared" ref="O16:AB22" si="3">$N16</f>
        <v>0.95</v>
      </c>
      <c r="P16" s="513">
        <f t="shared" si="3"/>
        <v>0.95</v>
      </c>
      <c r="Q16" s="513">
        <f t="shared" si="3"/>
        <v>0.95</v>
      </c>
      <c r="R16" s="513">
        <f t="shared" si="3"/>
        <v>0.95</v>
      </c>
      <c r="S16" s="513">
        <f t="shared" si="3"/>
        <v>0.95</v>
      </c>
      <c r="T16" s="513">
        <f t="shared" si="3"/>
        <v>0.95</v>
      </c>
      <c r="U16" s="513">
        <f t="shared" si="3"/>
        <v>0.95</v>
      </c>
      <c r="V16" s="513">
        <f t="shared" si="3"/>
        <v>0.95</v>
      </c>
      <c r="W16" s="513">
        <f t="shared" si="3"/>
        <v>0.95</v>
      </c>
      <c r="X16" s="513">
        <f t="shared" si="3"/>
        <v>0.95</v>
      </c>
      <c r="Y16" s="513">
        <f t="shared" si="3"/>
        <v>0.95</v>
      </c>
      <c r="Z16" s="513">
        <f t="shared" si="3"/>
        <v>0.95</v>
      </c>
      <c r="AA16" s="513">
        <f t="shared" si="3"/>
        <v>0.95</v>
      </c>
      <c r="AB16" s="513">
        <f t="shared" si="3"/>
        <v>0.95</v>
      </c>
      <c r="AC16" s="44"/>
    </row>
    <row r="17" spans="1:46" s="33" customFormat="1" x14ac:dyDescent="0.3">
      <c r="A17" s="44"/>
      <c r="B17" s="44"/>
      <c r="C17" s="44"/>
      <c r="D17" s="44"/>
      <c r="E17" s="44"/>
      <c r="F17" s="44"/>
      <c r="G17" s="44"/>
      <c r="K17" s="172"/>
      <c r="L17" s="172"/>
      <c r="M17" s="174" t="str">
        <f>STAT_TRA_Shares!B9</f>
        <v>% of HVO in diesel</v>
      </c>
      <c r="N17" s="513">
        <f>STAT_TRA_Shares!C9</f>
        <v>0.17499999999999999</v>
      </c>
      <c r="O17" s="513">
        <f t="shared" si="3"/>
        <v>0.17499999999999999</v>
      </c>
      <c r="P17" s="513">
        <f t="shared" si="3"/>
        <v>0.17499999999999999</v>
      </c>
      <c r="Q17" s="513">
        <f t="shared" si="3"/>
        <v>0.17499999999999999</v>
      </c>
      <c r="R17" s="513">
        <f t="shared" si="3"/>
        <v>0.17499999999999999</v>
      </c>
      <c r="S17" s="513">
        <f t="shared" si="3"/>
        <v>0.17499999999999999</v>
      </c>
      <c r="T17" s="513">
        <f t="shared" si="3"/>
        <v>0.17499999999999999</v>
      </c>
      <c r="U17" s="513">
        <f t="shared" si="3"/>
        <v>0.17499999999999999</v>
      </c>
      <c r="V17" s="513">
        <f t="shared" si="3"/>
        <v>0.17499999999999999</v>
      </c>
      <c r="W17" s="513">
        <f t="shared" si="3"/>
        <v>0.17499999999999999</v>
      </c>
      <c r="X17" s="513">
        <f t="shared" si="3"/>
        <v>0.17499999999999999</v>
      </c>
      <c r="Y17" s="513">
        <f t="shared" si="3"/>
        <v>0.17499999999999999</v>
      </c>
      <c r="Z17" s="513">
        <f t="shared" si="3"/>
        <v>0.17499999999999999</v>
      </c>
      <c r="AA17" s="513">
        <f t="shared" si="3"/>
        <v>0.17499999999999999</v>
      </c>
      <c r="AB17" s="513">
        <f t="shared" si="3"/>
        <v>0.17499999999999999</v>
      </c>
      <c r="AC17" s="373"/>
    </row>
    <row r="18" spans="1:46" s="33" customFormat="1" x14ac:dyDescent="0.3">
      <c r="A18" s="44"/>
      <c r="B18" s="44"/>
      <c r="C18" s="44"/>
      <c r="D18" s="44"/>
      <c r="E18" s="44"/>
      <c r="F18" s="44"/>
      <c r="G18" s="44"/>
      <c r="K18" s="172"/>
      <c r="L18" s="172"/>
      <c r="M18" s="174" t="str">
        <f>STAT_TRA_Shares!B10</f>
        <v>% of low-blend bioethanol in gasoline</v>
      </c>
      <c r="N18" s="513">
        <f>STAT_TRA_Shares!C10</f>
        <v>5.0999999999999997E-2</v>
      </c>
      <c r="O18" s="513">
        <f t="shared" si="3"/>
        <v>5.0999999999999997E-2</v>
      </c>
      <c r="P18" s="513">
        <f t="shared" si="3"/>
        <v>5.0999999999999997E-2</v>
      </c>
      <c r="Q18" s="513">
        <f t="shared" si="3"/>
        <v>5.0999999999999997E-2</v>
      </c>
      <c r="R18" s="513">
        <f t="shared" si="3"/>
        <v>5.0999999999999997E-2</v>
      </c>
      <c r="S18" s="513">
        <f t="shared" si="3"/>
        <v>5.0999999999999997E-2</v>
      </c>
      <c r="T18" s="513">
        <f t="shared" si="3"/>
        <v>5.0999999999999997E-2</v>
      </c>
      <c r="U18" s="513">
        <f t="shared" si="3"/>
        <v>5.0999999999999997E-2</v>
      </c>
      <c r="V18" s="513">
        <f t="shared" si="3"/>
        <v>5.0999999999999997E-2</v>
      </c>
      <c r="W18" s="513">
        <f t="shared" si="3"/>
        <v>5.0999999999999997E-2</v>
      </c>
      <c r="X18" s="513">
        <f t="shared" si="3"/>
        <v>5.0999999999999997E-2</v>
      </c>
      <c r="Y18" s="513">
        <f t="shared" si="3"/>
        <v>5.0999999999999997E-2</v>
      </c>
      <c r="Z18" s="513">
        <f t="shared" si="3"/>
        <v>5.0999999999999997E-2</v>
      </c>
      <c r="AA18" s="513">
        <f t="shared" si="3"/>
        <v>5.0999999999999997E-2</v>
      </c>
      <c r="AB18" s="513">
        <f t="shared" si="3"/>
        <v>5.0999999999999997E-2</v>
      </c>
      <c r="AC18" s="374"/>
    </row>
    <row r="19" spans="1:46" s="33" customFormat="1" x14ac:dyDescent="0.3">
      <c r="A19" s="44"/>
      <c r="B19" s="44"/>
      <c r="C19" s="44"/>
      <c r="D19" s="44"/>
      <c r="E19" s="44"/>
      <c r="F19" s="44"/>
      <c r="G19" s="44"/>
      <c r="K19" s="172"/>
      <c r="L19" s="172"/>
      <c r="M19" s="174" t="str">
        <f>STAT_TRA_Shares!B12</f>
        <v>% of bioethanol in E85 (TRAETH)</v>
      </c>
      <c r="N19" s="513">
        <f>STAT_TRA_Shares!C12</f>
        <v>0.82</v>
      </c>
      <c r="O19" s="513">
        <f t="shared" si="3"/>
        <v>0.82</v>
      </c>
      <c r="P19" s="513">
        <f t="shared" si="3"/>
        <v>0.82</v>
      </c>
      <c r="Q19" s="513">
        <f t="shared" si="3"/>
        <v>0.82</v>
      </c>
      <c r="R19" s="513">
        <f t="shared" si="3"/>
        <v>0.82</v>
      </c>
      <c r="S19" s="513">
        <f t="shared" si="3"/>
        <v>0.82</v>
      </c>
      <c r="T19" s="513">
        <f t="shared" si="3"/>
        <v>0.82</v>
      </c>
      <c r="U19" s="513">
        <f t="shared" si="3"/>
        <v>0.82</v>
      </c>
      <c r="V19" s="513">
        <f t="shared" si="3"/>
        <v>0.82</v>
      </c>
      <c r="W19" s="513">
        <f t="shared" si="3"/>
        <v>0.82</v>
      </c>
      <c r="X19" s="513">
        <f t="shared" si="3"/>
        <v>0.82</v>
      </c>
      <c r="Y19" s="513">
        <f t="shared" si="3"/>
        <v>0.82</v>
      </c>
      <c r="Z19" s="513">
        <f t="shared" si="3"/>
        <v>0.82</v>
      </c>
      <c r="AA19" s="513">
        <f t="shared" si="3"/>
        <v>0.82</v>
      </c>
      <c r="AB19" s="513">
        <f t="shared" si="3"/>
        <v>0.82</v>
      </c>
      <c r="AC19" s="374"/>
    </row>
    <row r="20" spans="1:46" s="33" customFormat="1" x14ac:dyDescent="0.3">
      <c r="A20" s="44"/>
      <c r="B20" s="44"/>
      <c r="C20" s="44"/>
      <c r="D20" s="44"/>
      <c r="E20" s="44"/>
      <c r="F20" s="44"/>
      <c r="G20" s="44"/>
      <c r="K20" s="172"/>
      <c r="L20" s="172"/>
      <c r="M20" s="174" t="str">
        <f>STAT_TRA_Shares!B18</f>
        <v>% of CNG fuelled in flexfuel GAS vehicles (rest is GSL)</v>
      </c>
      <c r="N20" s="513">
        <f>STAT_TRA_Shares!C18</f>
        <v>0.8</v>
      </c>
      <c r="O20" s="513">
        <f t="shared" si="3"/>
        <v>0.8</v>
      </c>
      <c r="P20" s="513">
        <f t="shared" si="3"/>
        <v>0.8</v>
      </c>
      <c r="Q20" s="513">
        <f t="shared" si="3"/>
        <v>0.8</v>
      </c>
      <c r="R20" s="513">
        <f t="shared" si="3"/>
        <v>0.8</v>
      </c>
      <c r="S20" s="513">
        <f t="shared" si="3"/>
        <v>0.8</v>
      </c>
      <c r="T20" s="513">
        <f t="shared" si="3"/>
        <v>0.8</v>
      </c>
      <c r="U20" s="513">
        <f t="shared" si="3"/>
        <v>0.8</v>
      </c>
      <c r="V20" s="513">
        <f t="shared" si="3"/>
        <v>0.8</v>
      </c>
      <c r="W20" s="513">
        <f t="shared" si="3"/>
        <v>0.8</v>
      </c>
      <c r="X20" s="513">
        <f t="shared" si="3"/>
        <v>0.8</v>
      </c>
      <c r="Y20" s="513">
        <f t="shared" si="3"/>
        <v>0.8</v>
      </c>
      <c r="Z20" s="513">
        <f t="shared" si="3"/>
        <v>0.8</v>
      </c>
      <c r="AA20" s="513">
        <f t="shared" si="3"/>
        <v>0.8</v>
      </c>
      <c r="AB20" s="513">
        <f t="shared" si="3"/>
        <v>0.8</v>
      </c>
      <c r="AC20" s="44"/>
    </row>
    <row r="21" spans="1:46" s="33" customFormat="1" x14ac:dyDescent="0.3">
      <c r="A21" s="44"/>
      <c r="B21" s="44"/>
      <c r="C21" s="44"/>
      <c r="D21" s="44"/>
      <c r="E21" s="44"/>
      <c r="F21" s="44"/>
      <c r="G21" s="44"/>
      <c r="K21" s="172"/>
      <c r="L21" s="172"/>
      <c r="M21" s="174" t="str">
        <f>STAT_TRA_Shares!B19</f>
        <v>% of ethanol fuelled in E85 flexfuel vehicles (rest is GSL)</v>
      </c>
      <c r="N21" s="513">
        <f>STAT_TRA_Shares!C19</f>
        <v>0.75</v>
      </c>
      <c r="O21" s="513">
        <f t="shared" si="3"/>
        <v>0.75</v>
      </c>
      <c r="P21" s="513">
        <f t="shared" si="3"/>
        <v>0.75</v>
      </c>
      <c r="Q21" s="513">
        <f t="shared" si="3"/>
        <v>0.75</v>
      </c>
      <c r="R21" s="513">
        <f t="shared" si="3"/>
        <v>0.75</v>
      </c>
      <c r="S21" s="513">
        <f t="shared" si="3"/>
        <v>0.75</v>
      </c>
      <c r="T21" s="513">
        <f t="shared" si="3"/>
        <v>0.75</v>
      </c>
      <c r="U21" s="513">
        <f t="shared" si="3"/>
        <v>0.75</v>
      </c>
      <c r="V21" s="513">
        <f t="shared" si="3"/>
        <v>0.75</v>
      </c>
      <c r="W21" s="513">
        <f t="shared" si="3"/>
        <v>0.75</v>
      </c>
      <c r="X21" s="513">
        <f t="shared" si="3"/>
        <v>0.75</v>
      </c>
      <c r="Y21" s="513">
        <f t="shared" si="3"/>
        <v>0.75</v>
      </c>
      <c r="Z21" s="513">
        <f t="shared" si="3"/>
        <v>0.75</v>
      </c>
      <c r="AA21" s="513">
        <f t="shared" si="3"/>
        <v>0.75</v>
      </c>
      <c r="AB21" s="513">
        <f t="shared" si="3"/>
        <v>0.75</v>
      </c>
      <c r="AC21" s="373"/>
    </row>
    <row r="22" spans="1:46" s="33" customFormat="1" x14ac:dyDescent="0.3">
      <c r="A22" s="44"/>
      <c r="B22" s="44"/>
      <c r="C22" s="44"/>
      <c r="D22" s="44"/>
      <c r="E22" s="44"/>
      <c r="F22" s="44"/>
      <c r="G22" s="44"/>
      <c r="K22" s="172"/>
      <c r="L22" s="172"/>
      <c r="M22" s="174" t="str">
        <f>STAT_TRA_Shares!B20</f>
        <v>% of LPG fuelled in flexfuel LPG vehicles (rest is GSL)</v>
      </c>
      <c r="N22" s="513">
        <f>STAT_TRA_Shares!C20</f>
        <v>0.8</v>
      </c>
      <c r="O22" s="513">
        <f t="shared" si="3"/>
        <v>0.8</v>
      </c>
      <c r="P22" s="513">
        <f t="shared" si="3"/>
        <v>0.8</v>
      </c>
      <c r="Q22" s="513">
        <f t="shared" si="3"/>
        <v>0.8</v>
      </c>
      <c r="R22" s="513">
        <f t="shared" si="3"/>
        <v>0.8</v>
      </c>
      <c r="S22" s="513">
        <f t="shared" si="3"/>
        <v>0.8</v>
      </c>
      <c r="T22" s="513">
        <f t="shared" si="3"/>
        <v>0.8</v>
      </c>
      <c r="U22" s="513">
        <f t="shared" si="3"/>
        <v>0.8</v>
      </c>
      <c r="V22" s="513">
        <f t="shared" si="3"/>
        <v>0.8</v>
      </c>
      <c r="W22" s="513">
        <f t="shared" si="3"/>
        <v>0.8</v>
      </c>
      <c r="X22" s="513">
        <f t="shared" si="3"/>
        <v>0.8</v>
      </c>
      <c r="Y22" s="513">
        <f t="shared" si="3"/>
        <v>0.8</v>
      </c>
      <c r="Z22" s="513">
        <f t="shared" si="3"/>
        <v>0.8</v>
      </c>
      <c r="AA22" s="513">
        <f t="shared" si="3"/>
        <v>0.8</v>
      </c>
      <c r="AB22" s="513">
        <f t="shared" si="3"/>
        <v>0.8</v>
      </c>
      <c r="AC22" s="373"/>
    </row>
    <row r="23" spans="1:46" s="33" customFormat="1" x14ac:dyDescent="0.3">
      <c r="A23" s="44"/>
      <c r="B23" s="555"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3">
      <c r="I24" s="36"/>
      <c r="M24" s="473" t="s">
        <v>1151</v>
      </c>
      <c r="N24" s="481">
        <v>0</v>
      </c>
      <c r="O24" s="481">
        <v>0</v>
      </c>
      <c r="P24" s="481">
        <v>0</v>
      </c>
      <c r="Q24" s="481">
        <v>0</v>
      </c>
      <c r="R24" s="481">
        <v>0</v>
      </c>
      <c r="S24" s="481">
        <v>0</v>
      </c>
      <c r="T24" s="481">
        <v>0</v>
      </c>
      <c r="U24" s="481">
        <v>0</v>
      </c>
      <c r="V24" s="481">
        <v>0</v>
      </c>
      <c r="W24" s="481">
        <v>0</v>
      </c>
      <c r="X24" s="481">
        <v>0</v>
      </c>
      <c r="Y24" s="481">
        <v>0</v>
      </c>
      <c r="Z24" s="481">
        <v>0</v>
      </c>
      <c r="AA24" s="481">
        <v>0</v>
      </c>
      <c r="AB24" s="481">
        <v>0</v>
      </c>
    </row>
    <row r="25" spans="1:46" s="33" customFormat="1" x14ac:dyDescent="0.3">
      <c r="A25" s="44"/>
      <c r="B25" s="26" t="s">
        <v>1152</v>
      </c>
      <c r="C25" s="26"/>
      <c r="D25" s="44"/>
      <c r="E25" s="44"/>
      <c r="F25" s="44"/>
      <c r="G25" s="44"/>
      <c r="M25" s="473" t="s">
        <v>1153</v>
      </c>
      <c r="N25" s="481">
        <v>0</v>
      </c>
      <c r="O25" s="481">
        <v>0</v>
      </c>
      <c r="P25" s="481">
        <v>0</v>
      </c>
      <c r="Q25" s="481">
        <v>0</v>
      </c>
      <c r="R25" s="481">
        <v>0</v>
      </c>
      <c r="S25" s="481">
        <v>0</v>
      </c>
      <c r="T25" s="481">
        <v>0</v>
      </c>
      <c r="U25" s="481">
        <v>0</v>
      </c>
      <c r="V25" s="481">
        <v>0</v>
      </c>
      <c r="W25" s="481">
        <v>0</v>
      </c>
      <c r="X25" s="481">
        <v>0</v>
      </c>
      <c r="Y25" s="481">
        <v>0</v>
      </c>
      <c r="Z25" s="481">
        <v>0</v>
      </c>
      <c r="AA25" s="481">
        <v>0</v>
      </c>
      <c r="AB25" s="481">
        <v>0</v>
      </c>
      <c r="AC25" s="373"/>
      <c r="AF25" s="35"/>
      <c r="AG25" s="35"/>
      <c r="AH25" s="35"/>
      <c r="AI25" s="35"/>
      <c r="AJ25" s="35"/>
      <c r="AK25" s="35"/>
      <c r="AL25" s="35"/>
      <c r="AM25" s="35"/>
      <c r="AN25" s="35"/>
      <c r="AO25" s="35"/>
      <c r="AP25" s="35"/>
      <c r="AQ25" s="35"/>
      <c r="AR25" s="35"/>
      <c r="AS25" s="35"/>
      <c r="AT25" s="35"/>
    </row>
    <row r="26" spans="1:46" s="33" customFormat="1" x14ac:dyDescent="0.3">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3">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3">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1"/>
      <c r="AE28" s="551" t="s">
        <v>421</v>
      </c>
      <c r="AF28" s="552" t="str">
        <f t="shared" ref="AF28:AT28" si="5">N8</f>
        <v>Z01</v>
      </c>
      <c r="AG28" s="552" t="str">
        <f t="shared" si="5"/>
        <v>Z02</v>
      </c>
      <c r="AH28" s="552" t="str">
        <f t="shared" si="5"/>
        <v>Z03</v>
      </c>
      <c r="AI28" s="552" t="str">
        <f t="shared" si="5"/>
        <v>Z04</v>
      </c>
      <c r="AJ28" s="552" t="str">
        <f t="shared" si="5"/>
        <v>Z05</v>
      </c>
      <c r="AK28" s="552" t="str">
        <f t="shared" si="5"/>
        <v>Z06</v>
      </c>
      <c r="AL28" s="552" t="str">
        <f t="shared" si="5"/>
        <v>Z07</v>
      </c>
      <c r="AM28" s="552" t="str">
        <f t="shared" si="5"/>
        <v>Z08</v>
      </c>
      <c r="AN28" s="552" t="str">
        <f t="shared" si="5"/>
        <v>Z09</v>
      </c>
      <c r="AO28" s="552" t="str">
        <f t="shared" si="5"/>
        <v>Z10</v>
      </c>
      <c r="AP28" s="552" t="str">
        <f t="shared" si="5"/>
        <v>Z11</v>
      </c>
      <c r="AQ28" s="552" t="str">
        <f t="shared" si="5"/>
        <v>Z12</v>
      </c>
      <c r="AR28" s="552" t="str">
        <f t="shared" si="5"/>
        <v>Z13</v>
      </c>
      <c r="AS28" s="552" t="str">
        <f t="shared" si="5"/>
        <v>Z14</v>
      </c>
      <c r="AT28" s="552" t="str">
        <f t="shared" si="5"/>
        <v>Z15</v>
      </c>
    </row>
    <row r="29" spans="1:46" s="22" customFormat="1" x14ac:dyDescent="0.3">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4" t="str">
        <f>IF(AE30-(AD10+AD11)&lt;0,"too small",IF(AE30-(AD10+AD11)&gt;0.001,"Too big","ok"))</f>
        <v>ok</v>
      </c>
      <c r="AF29" s="622" t="str">
        <f t="shared" ref="AF29:AT29" si="6">IF(AF30-SUM(N12:N12)&lt;0,"too small",IF(AF30-SUM(N12:N12)&gt;0.05,"Too big","ok"))</f>
        <v>ok</v>
      </c>
      <c r="AG29" s="622" t="str">
        <f t="shared" si="6"/>
        <v>ok</v>
      </c>
      <c r="AH29" s="622" t="str">
        <f t="shared" si="6"/>
        <v>ok</v>
      </c>
      <c r="AI29" s="622" t="str">
        <f t="shared" si="6"/>
        <v>ok</v>
      </c>
      <c r="AJ29" s="622" t="str">
        <f t="shared" si="6"/>
        <v>ok</v>
      </c>
      <c r="AK29" s="622" t="str">
        <f t="shared" si="6"/>
        <v>ok</v>
      </c>
      <c r="AL29" s="622" t="str">
        <f t="shared" si="6"/>
        <v>ok</v>
      </c>
      <c r="AM29" s="622" t="str">
        <f t="shared" si="6"/>
        <v>ok</v>
      </c>
      <c r="AN29" s="622" t="str">
        <f t="shared" si="6"/>
        <v>ok</v>
      </c>
      <c r="AO29" s="622" t="str">
        <f t="shared" si="6"/>
        <v>ok</v>
      </c>
      <c r="AP29" s="622" t="str">
        <f t="shared" si="6"/>
        <v>ok</v>
      </c>
      <c r="AQ29" s="622" t="str">
        <f t="shared" si="6"/>
        <v>ok</v>
      </c>
      <c r="AR29" s="622" t="str">
        <f t="shared" si="6"/>
        <v>ok</v>
      </c>
      <c r="AS29" s="622" t="str">
        <f t="shared" si="6"/>
        <v>ok</v>
      </c>
      <c r="AT29" s="622" t="str">
        <f t="shared" si="6"/>
        <v>ok</v>
      </c>
    </row>
    <row r="30" spans="1:46" s="35" customFormat="1" x14ac:dyDescent="0.3">
      <c r="A30" s="22"/>
      <c r="B30" s="186" t="str">
        <f>C30</f>
        <v>TCARDST100P</v>
      </c>
      <c r="C30" s="216" t="s">
        <v>313</v>
      </c>
      <c r="D30" s="187" t="s">
        <v>774</v>
      </c>
      <c r="E30" s="258" t="s">
        <v>987</v>
      </c>
      <c r="F30" s="170"/>
      <c r="G30" s="189"/>
      <c r="H30" s="170"/>
      <c r="I30" s="190"/>
      <c r="J30" s="191"/>
      <c r="K30" s="191"/>
      <c r="L30" s="211" t="s">
        <v>1106</v>
      </c>
      <c r="M30" s="191" t="s">
        <v>1155</v>
      </c>
      <c r="N30" s="566">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3">
      <c r="A31" s="22"/>
      <c r="B31" s="186" t="str">
        <f>B30</f>
        <v>TCARDST100P</v>
      </c>
      <c r="C31" s="186"/>
      <c r="D31" s="187"/>
      <c r="E31" s="258" t="s">
        <v>185</v>
      </c>
      <c r="F31" s="170"/>
      <c r="G31" s="189"/>
      <c r="H31" s="170"/>
      <c r="I31" s="190"/>
      <c r="J31" s="191" t="s">
        <v>1156</v>
      </c>
      <c r="K31" s="191"/>
      <c r="L31" s="211" t="s">
        <v>101</v>
      </c>
      <c r="M31" s="191"/>
      <c r="N31" s="377">
        <f>1-N17</f>
        <v>0.82499999999999996</v>
      </c>
      <c r="O31" s="377">
        <f t="shared" ref="O31:AB31" si="9">1-O17</f>
        <v>0.82499999999999996</v>
      </c>
      <c r="P31" s="377">
        <f t="shared" si="9"/>
        <v>0.82499999999999996</v>
      </c>
      <c r="Q31" s="377">
        <f t="shared" si="9"/>
        <v>0.82499999999999996</v>
      </c>
      <c r="R31" s="377">
        <f t="shared" si="9"/>
        <v>0.82499999999999996</v>
      </c>
      <c r="S31" s="377">
        <f t="shared" si="9"/>
        <v>0.82499999999999996</v>
      </c>
      <c r="T31" s="377">
        <f t="shared" si="9"/>
        <v>0.82499999999999996</v>
      </c>
      <c r="U31" s="377">
        <f t="shared" si="9"/>
        <v>0.82499999999999996</v>
      </c>
      <c r="V31" s="377">
        <f t="shared" si="9"/>
        <v>0.82499999999999996</v>
      </c>
      <c r="W31" s="377">
        <f t="shared" si="9"/>
        <v>0.82499999999999996</v>
      </c>
      <c r="X31" s="377">
        <f t="shared" si="9"/>
        <v>0.82499999999999996</v>
      </c>
      <c r="Y31" s="377">
        <f t="shared" si="9"/>
        <v>0.82499999999999996</v>
      </c>
      <c r="Z31" s="377">
        <f t="shared" si="9"/>
        <v>0.82499999999999996</v>
      </c>
      <c r="AA31" s="377">
        <f t="shared" si="9"/>
        <v>0.82499999999999996</v>
      </c>
      <c r="AB31" s="377">
        <f t="shared" si="9"/>
        <v>0.82499999999999996</v>
      </c>
      <c r="AD31" s="66" t="str">
        <f>IF(COUNTIF($AG$4:$AP$4,AD30)=1,"ok","MISSING")</f>
        <v>ok</v>
      </c>
      <c r="AE31" s="327"/>
    </row>
    <row r="32" spans="1:46" s="35" customFormat="1" x14ac:dyDescent="0.3">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3">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3">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3">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3">
      <c r="B36" s="186" t="str">
        <f>B35</f>
        <v>TCARDST100P</v>
      </c>
      <c r="C36" s="186"/>
      <c r="D36" s="187"/>
      <c r="E36" s="186"/>
      <c r="F36" s="170"/>
      <c r="G36" s="213"/>
      <c r="H36" s="170"/>
      <c r="I36" s="190">
        <f>$M$3</f>
        <v>2019</v>
      </c>
      <c r="J36" s="191"/>
      <c r="K36" s="191"/>
      <c r="L36" s="211" t="s">
        <v>1064</v>
      </c>
      <c r="M36" s="217" t="s">
        <v>747</v>
      </c>
      <c r="N36" s="686">
        <f>LOOKUP($C$30, T_Stock_Private!$C$26:$C$36, T_Stock_Private!D$26:D$36)*(1+N$25)</f>
        <v>0</v>
      </c>
      <c r="O36" s="686">
        <f>LOOKUP($C$30, T_Stock_Private!$C$26:$C$36, T_Stock_Private!E$26:E$36)*(1+O$25)</f>
        <v>0</v>
      </c>
      <c r="P36" s="686">
        <f>LOOKUP($C$30, T_Stock_Private!$C$26:$C$36, T_Stock_Private!F$26:F$36)*(1+P$25)</f>
        <v>0</v>
      </c>
      <c r="Q36" s="686">
        <f>LOOKUP($C$30, T_Stock_Private!$C$26:$C$36, T_Stock_Private!G$26:G$36)*(1+Q$25)</f>
        <v>0</v>
      </c>
      <c r="R36" s="686">
        <f>LOOKUP($C$30, T_Stock_Private!$C$26:$C$36, T_Stock_Private!H$26:H$36)*(1+R$25)</f>
        <v>0</v>
      </c>
      <c r="S36" s="686">
        <f>LOOKUP($C$30, T_Stock_Private!$C$26:$C$36, T_Stock_Private!I$26:I$36)*(1+S$25)</f>
        <v>0</v>
      </c>
      <c r="T36" s="686">
        <f>LOOKUP($C$30, T_Stock_Private!$C$26:$C$36, T_Stock_Private!J$26:J$36)*(1+T$25)</f>
        <v>0</v>
      </c>
      <c r="U36" s="686">
        <f>LOOKUP($C$30, T_Stock_Private!$C$26:$C$36, T_Stock_Private!K$26:K$36)*(1+U$25)</f>
        <v>0</v>
      </c>
      <c r="V36" s="686">
        <f>LOOKUP($C$30, T_Stock_Private!$C$26:$C$36, T_Stock_Private!L$26:L$36)*(1+V$25)</f>
        <v>0</v>
      </c>
      <c r="W36" s="686">
        <f>LOOKUP($C$30, T_Stock_Private!$C$26:$C$36, T_Stock_Private!M$26:M$36)*(1+W$25)</f>
        <v>0</v>
      </c>
      <c r="X36" s="686">
        <f>LOOKUP($C$30, T_Stock_Private!$C$26:$C$36, T_Stock_Private!N$26:N$36)*(1+X$25)</f>
        <v>0</v>
      </c>
      <c r="Y36" s="686">
        <f>LOOKUP($C$30, T_Stock_Private!$C$26:$C$36, T_Stock_Private!O$26:O$36)*(1+Y$25)</f>
        <v>0</v>
      </c>
      <c r="Z36" s="686">
        <f>LOOKUP($C$30, T_Stock_Private!$C$26:$C$36, T_Stock_Private!P$26:P$36)*(1+Z$25)</f>
        <v>0</v>
      </c>
      <c r="AA36" s="686">
        <f>LOOKUP($C$30, T_Stock_Private!$C$26:$C$36, T_Stock_Private!Q$26:Q$36)*(1+AA$25)</f>
        <v>0</v>
      </c>
      <c r="AB36" s="686">
        <f>LOOKUP($C$30, T_Stock_Private!$C$26:$C$36, T_Stock_Private!R$26:R$36)*(1+AB$25)</f>
        <v>0</v>
      </c>
    </row>
    <row r="37" spans="1:46" s="35" customFormat="1" x14ac:dyDescent="0.3">
      <c r="B37" s="186" t="str">
        <f t="shared" si="10"/>
        <v>TCARDST100P</v>
      </c>
      <c r="C37" s="186"/>
      <c r="D37" s="187"/>
      <c r="E37" s="186"/>
      <c r="F37" s="170"/>
      <c r="G37" s="213"/>
      <c r="H37" s="170"/>
      <c r="I37" s="190">
        <f>AF$5</f>
        <v>2016</v>
      </c>
      <c r="J37" s="191"/>
      <c r="K37" s="191"/>
      <c r="L37" s="211" t="s">
        <v>1064</v>
      </c>
      <c r="M37" s="186" t="s">
        <v>747</v>
      </c>
      <c r="N37" s="686">
        <f t="shared" ref="N37:AB37" si="12">N$36*LOOKUP($AD$30,$AG$4:$AP$4,$AG5:$AP5)</f>
        <v>0</v>
      </c>
      <c r="O37" s="686">
        <f t="shared" si="12"/>
        <v>0</v>
      </c>
      <c r="P37" s="686">
        <f t="shared" si="12"/>
        <v>0</v>
      </c>
      <c r="Q37" s="686">
        <f t="shared" si="12"/>
        <v>0</v>
      </c>
      <c r="R37" s="686">
        <f t="shared" si="12"/>
        <v>0</v>
      </c>
      <c r="S37" s="686">
        <f t="shared" si="12"/>
        <v>0</v>
      </c>
      <c r="T37" s="686">
        <f t="shared" si="12"/>
        <v>0</v>
      </c>
      <c r="U37" s="686">
        <f t="shared" si="12"/>
        <v>0</v>
      </c>
      <c r="V37" s="686">
        <f t="shared" si="12"/>
        <v>0</v>
      </c>
      <c r="W37" s="686">
        <f t="shared" si="12"/>
        <v>0</v>
      </c>
      <c r="X37" s="686">
        <f t="shared" si="12"/>
        <v>0</v>
      </c>
      <c r="Y37" s="686">
        <f t="shared" si="12"/>
        <v>0</v>
      </c>
      <c r="Z37" s="686">
        <f t="shared" si="12"/>
        <v>0</v>
      </c>
      <c r="AA37" s="686">
        <f t="shared" si="12"/>
        <v>0</v>
      </c>
      <c r="AB37" s="686">
        <f t="shared" si="12"/>
        <v>0</v>
      </c>
      <c r="AE37" s="568">
        <f>SUM(AF37:AT37)</f>
        <v>0</v>
      </c>
      <c r="AF37" s="567">
        <f>N34*N35*N36/1000</f>
        <v>0</v>
      </c>
      <c r="AG37" s="567">
        <f t="shared" ref="AG37:AT37" si="13">O34*O35*O36</f>
        <v>0</v>
      </c>
      <c r="AH37" s="567">
        <f t="shared" si="13"/>
        <v>0</v>
      </c>
      <c r="AI37" s="567">
        <f t="shared" si="13"/>
        <v>0</v>
      </c>
      <c r="AJ37" s="567">
        <f t="shared" si="13"/>
        <v>0</v>
      </c>
      <c r="AK37" s="567">
        <f t="shared" si="13"/>
        <v>0</v>
      </c>
      <c r="AL37" s="567">
        <f t="shared" si="13"/>
        <v>0</v>
      </c>
      <c r="AM37" s="567">
        <f t="shared" si="13"/>
        <v>0</v>
      </c>
      <c r="AN37" s="567">
        <f t="shared" si="13"/>
        <v>0</v>
      </c>
      <c r="AO37" s="567">
        <f t="shared" si="13"/>
        <v>0</v>
      </c>
      <c r="AP37" s="567">
        <f t="shared" si="13"/>
        <v>0</v>
      </c>
      <c r="AQ37" s="567">
        <f t="shared" si="13"/>
        <v>0</v>
      </c>
      <c r="AR37" s="567">
        <f t="shared" si="13"/>
        <v>0</v>
      </c>
      <c r="AS37" s="567">
        <f t="shared" si="13"/>
        <v>0</v>
      </c>
      <c r="AT37" s="567">
        <f t="shared" si="13"/>
        <v>0</v>
      </c>
    </row>
    <row r="38" spans="1:46" s="35" customFormat="1" x14ac:dyDescent="0.3">
      <c r="B38" s="186" t="str">
        <f t="shared" si="10"/>
        <v>TCARDST100P</v>
      </c>
      <c r="C38" s="186"/>
      <c r="D38" s="187"/>
      <c r="E38" s="186"/>
      <c r="F38" s="170"/>
      <c r="G38" s="213"/>
      <c r="H38" s="170"/>
      <c r="I38" s="190">
        <f>AF$6</f>
        <v>2020</v>
      </c>
      <c r="J38" s="191"/>
      <c r="K38" s="191"/>
      <c r="L38" s="211" t="s">
        <v>1064</v>
      </c>
      <c r="M38" s="186" t="s">
        <v>747</v>
      </c>
      <c r="N38" s="686">
        <f t="shared" ref="N38:AB38" si="14">N$36*LOOKUP($AD$30,$AG$4:$AP$4,$AG6:$AP6)</f>
        <v>0</v>
      </c>
      <c r="O38" s="686">
        <f t="shared" si="14"/>
        <v>0</v>
      </c>
      <c r="P38" s="686">
        <f t="shared" si="14"/>
        <v>0</v>
      </c>
      <c r="Q38" s="686">
        <f t="shared" si="14"/>
        <v>0</v>
      </c>
      <c r="R38" s="686">
        <f t="shared" si="14"/>
        <v>0</v>
      </c>
      <c r="S38" s="686">
        <f t="shared" si="14"/>
        <v>0</v>
      </c>
      <c r="T38" s="686">
        <f t="shared" si="14"/>
        <v>0</v>
      </c>
      <c r="U38" s="686">
        <f t="shared" si="14"/>
        <v>0</v>
      </c>
      <c r="V38" s="686">
        <f t="shared" si="14"/>
        <v>0</v>
      </c>
      <c r="W38" s="686">
        <f t="shared" si="14"/>
        <v>0</v>
      </c>
      <c r="X38" s="686">
        <f t="shared" si="14"/>
        <v>0</v>
      </c>
      <c r="Y38" s="686">
        <f t="shared" si="14"/>
        <v>0</v>
      </c>
      <c r="Z38" s="686">
        <f t="shared" si="14"/>
        <v>0</v>
      </c>
      <c r="AA38" s="686">
        <f t="shared" si="14"/>
        <v>0</v>
      </c>
      <c r="AB38" s="686">
        <f t="shared" si="14"/>
        <v>0</v>
      </c>
    </row>
    <row r="39" spans="1:46" s="35" customFormat="1" x14ac:dyDescent="0.3">
      <c r="B39" s="186" t="str">
        <f t="shared" si="10"/>
        <v>TCARDST100P</v>
      </c>
      <c r="C39" s="186"/>
      <c r="D39" s="187"/>
      <c r="E39" s="186"/>
      <c r="F39" s="170"/>
      <c r="G39" s="213"/>
      <c r="H39" s="170"/>
      <c r="I39" s="190">
        <f>AF$7</f>
        <v>2025</v>
      </c>
      <c r="J39" s="191"/>
      <c r="K39" s="191"/>
      <c r="L39" s="211" t="s">
        <v>1064</v>
      </c>
      <c r="M39" s="186" t="s">
        <v>747</v>
      </c>
      <c r="N39" s="686">
        <f t="shared" ref="N39:AB39" si="15">N$36*LOOKUP($AD$30,$AG$4:$AP$4,$AG7:$AP7)</f>
        <v>0</v>
      </c>
      <c r="O39" s="686">
        <f t="shared" si="15"/>
        <v>0</v>
      </c>
      <c r="P39" s="686">
        <f t="shared" si="15"/>
        <v>0</v>
      </c>
      <c r="Q39" s="686">
        <f t="shared" si="15"/>
        <v>0</v>
      </c>
      <c r="R39" s="686">
        <f t="shared" si="15"/>
        <v>0</v>
      </c>
      <c r="S39" s="686">
        <f t="shared" si="15"/>
        <v>0</v>
      </c>
      <c r="T39" s="686">
        <f t="shared" si="15"/>
        <v>0</v>
      </c>
      <c r="U39" s="686">
        <f t="shared" si="15"/>
        <v>0</v>
      </c>
      <c r="V39" s="686">
        <f t="shared" si="15"/>
        <v>0</v>
      </c>
      <c r="W39" s="686">
        <f t="shared" si="15"/>
        <v>0</v>
      </c>
      <c r="X39" s="686">
        <f t="shared" si="15"/>
        <v>0</v>
      </c>
      <c r="Y39" s="686">
        <f t="shared" si="15"/>
        <v>0</v>
      </c>
      <c r="Z39" s="686">
        <f t="shared" si="15"/>
        <v>0</v>
      </c>
      <c r="AA39" s="686">
        <f t="shared" si="15"/>
        <v>0</v>
      </c>
      <c r="AB39" s="686">
        <f t="shared" si="15"/>
        <v>0</v>
      </c>
    </row>
    <row r="40" spans="1:46" s="35" customFormat="1" x14ac:dyDescent="0.3">
      <c r="B40" s="186" t="str">
        <f t="shared" si="10"/>
        <v>TCARDST100P</v>
      </c>
      <c r="C40" s="186"/>
      <c r="D40" s="187"/>
      <c r="E40" s="186"/>
      <c r="F40" s="170"/>
      <c r="G40" s="213"/>
      <c r="H40" s="170"/>
      <c r="I40" s="190">
        <f>AF$8</f>
        <v>2030</v>
      </c>
      <c r="J40" s="191"/>
      <c r="K40" s="191"/>
      <c r="L40" s="211" t="s">
        <v>1064</v>
      </c>
      <c r="M40" s="186" t="s">
        <v>747</v>
      </c>
      <c r="N40" s="686">
        <f t="shared" ref="N40:AB40" si="16">N$36*LOOKUP($AD$30,$AG$4:$AP$4,$AG8:$AP8)</f>
        <v>0</v>
      </c>
      <c r="O40" s="686">
        <f t="shared" si="16"/>
        <v>0</v>
      </c>
      <c r="P40" s="686">
        <f t="shared" si="16"/>
        <v>0</v>
      </c>
      <c r="Q40" s="686">
        <f t="shared" si="16"/>
        <v>0</v>
      </c>
      <c r="R40" s="686">
        <f t="shared" si="16"/>
        <v>0</v>
      </c>
      <c r="S40" s="686">
        <f t="shared" si="16"/>
        <v>0</v>
      </c>
      <c r="T40" s="686">
        <f t="shared" si="16"/>
        <v>0</v>
      </c>
      <c r="U40" s="686">
        <f t="shared" si="16"/>
        <v>0</v>
      </c>
      <c r="V40" s="686">
        <f t="shared" si="16"/>
        <v>0</v>
      </c>
      <c r="W40" s="686">
        <f t="shared" si="16"/>
        <v>0</v>
      </c>
      <c r="X40" s="686">
        <f t="shared" si="16"/>
        <v>0</v>
      </c>
      <c r="Y40" s="686">
        <f t="shared" si="16"/>
        <v>0</v>
      </c>
      <c r="Z40" s="686">
        <f t="shared" si="16"/>
        <v>0</v>
      </c>
      <c r="AA40" s="686">
        <f t="shared" si="16"/>
        <v>0</v>
      </c>
      <c r="AB40" s="686">
        <f t="shared" si="16"/>
        <v>0</v>
      </c>
    </row>
    <row r="41" spans="1:46" s="35" customFormat="1" x14ac:dyDescent="0.3">
      <c r="B41" s="186" t="str">
        <f t="shared" si="10"/>
        <v>TCARDST100P</v>
      </c>
      <c r="C41" s="186"/>
      <c r="D41" s="187"/>
      <c r="E41" s="186"/>
      <c r="F41" s="170"/>
      <c r="G41" s="213"/>
      <c r="H41" s="170"/>
      <c r="I41" s="190">
        <f>AF$9</f>
        <v>2040</v>
      </c>
      <c r="J41" s="191"/>
      <c r="K41" s="191"/>
      <c r="L41" s="211" t="s">
        <v>1064</v>
      </c>
      <c r="M41" s="186" t="s">
        <v>747</v>
      </c>
      <c r="N41" s="686">
        <f t="shared" ref="N41:AB41" si="17">N$36*LOOKUP($AD$30,$AG$4:$AP$4,$AG9:$AP9)</f>
        <v>0</v>
      </c>
      <c r="O41" s="686">
        <f t="shared" si="17"/>
        <v>0</v>
      </c>
      <c r="P41" s="686">
        <f t="shared" si="17"/>
        <v>0</v>
      </c>
      <c r="Q41" s="686">
        <f t="shared" si="17"/>
        <v>0</v>
      </c>
      <c r="R41" s="686">
        <f t="shared" si="17"/>
        <v>0</v>
      </c>
      <c r="S41" s="686">
        <f t="shared" si="17"/>
        <v>0</v>
      </c>
      <c r="T41" s="686">
        <f t="shared" si="17"/>
        <v>0</v>
      </c>
      <c r="U41" s="686">
        <f t="shared" si="17"/>
        <v>0</v>
      </c>
      <c r="V41" s="686">
        <f t="shared" si="17"/>
        <v>0</v>
      </c>
      <c r="W41" s="686">
        <f t="shared" si="17"/>
        <v>0</v>
      </c>
      <c r="X41" s="686">
        <f t="shared" si="17"/>
        <v>0</v>
      </c>
      <c r="Y41" s="686">
        <f t="shared" si="17"/>
        <v>0</v>
      </c>
      <c r="Z41" s="686">
        <f t="shared" si="17"/>
        <v>0</v>
      </c>
      <c r="AA41" s="686">
        <f t="shared" si="17"/>
        <v>0</v>
      </c>
      <c r="AB41" s="686">
        <f t="shared" si="17"/>
        <v>0</v>
      </c>
    </row>
    <row r="42" spans="1:46" s="35" customFormat="1" x14ac:dyDescent="0.3">
      <c r="B42" s="193" t="str">
        <f t="shared" si="10"/>
        <v>TCARDST100P</v>
      </c>
      <c r="C42" s="193"/>
      <c r="D42" s="194"/>
      <c r="E42" s="193"/>
      <c r="F42" s="196"/>
      <c r="G42" s="215"/>
      <c r="H42" s="196"/>
      <c r="I42" s="197">
        <f>AF$10</f>
        <v>2050</v>
      </c>
      <c r="J42" s="198"/>
      <c r="K42" s="198"/>
      <c r="L42" s="212" t="s">
        <v>1064</v>
      </c>
      <c r="M42" s="193" t="s">
        <v>747</v>
      </c>
      <c r="N42" s="687">
        <f t="shared" ref="N42:AB42" si="18">N$36*LOOKUP($AD$30,$AG$4:$AP$4,$AG10:$AP10)</f>
        <v>0</v>
      </c>
      <c r="O42" s="687">
        <f t="shared" si="18"/>
        <v>0</v>
      </c>
      <c r="P42" s="687">
        <f t="shared" si="18"/>
        <v>0</v>
      </c>
      <c r="Q42" s="687">
        <f t="shared" si="18"/>
        <v>0</v>
      </c>
      <c r="R42" s="687">
        <f t="shared" si="18"/>
        <v>0</v>
      </c>
      <c r="S42" s="687">
        <f t="shared" si="18"/>
        <v>0</v>
      </c>
      <c r="T42" s="687">
        <f t="shared" si="18"/>
        <v>0</v>
      </c>
      <c r="U42" s="687">
        <f t="shared" si="18"/>
        <v>0</v>
      </c>
      <c r="V42" s="687">
        <f t="shared" si="18"/>
        <v>0</v>
      </c>
      <c r="W42" s="687">
        <f t="shared" si="18"/>
        <v>0</v>
      </c>
      <c r="X42" s="687">
        <f t="shared" si="18"/>
        <v>0</v>
      </c>
      <c r="Y42" s="687">
        <f t="shared" si="18"/>
        <v>0</v>
      </c>
      <c r="Z42" s="687">
        <f t="shared" si="18"/>
        <v>0</v>
      </c>
      <c r="AA42" s="687">
        <f t="shared" si="18"/>
        <v>0</v>
      </c>
      <c r="AB42" s="687">
        <f t="shared" si="18"/>
        <v>0</v>
      </c>
      <c r="AD42" s="400"/>
    </row>
    <row r="43" spans="1:46" s="35" customFormat="1" x14ac:dyDescent="0.3">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3">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3">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3">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3">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3">
      <c r="A48" s="22"/>
      <c r="B48" s="186" t="str">
        <f>B47</f>
        <v>TCARELC100P</v>
      </c>
      <c r="C48" s="186"/>
      <c r="D48" s="187"/>
      <c r="E48" s="186"/>
      <c r="F48" s="170"/>
      <c r="G48" s="213"/>
      <c r="H48" s="170"/>
      <c r="I48" s="190">
        <f>$M$3</f>
        <v>2019</v>
      </c>
      <c r="J48" s="191"/>
      <c r="K48" s="191"/>
      <c r="L48" s="211" t="s">
        <v>1064</v>
      </c>
      <c r="M48" s="186" t="s">
        <v>747</v>
      </c>
      <c r="N48" s="686">
        <f>LOOKUP($C$43, T_Stock_Private!$C$26:$C$36, T_Stock_Private!D$26:D$36)*(1+N$25)</f>
        <v>0</v>
      </c>
      <c r="O48" s="686">
        <f>LOOKUP($C$43, T_Stock_Private!$C$26:$C$36, T_Stock_Private!E$26:E$36)*(1+O$25)</f>
        <v>0</v>
      </c>
      <c r="P48" s="686">
        <f>LOOKUP($C$43, T_Stock_Private!$C$26:$C$36, T_Stock_Private!F$26:F$36)*(1+P$25)</f>
        <v>0</v>
      </c>
      <c r="Q48" s="686">
        <f>LOOKUP($C$43, T_Stock_Private!$C$26:$C$36, T_Stock_Private!G$26:G$36)*(1+Q$25)</f>
        <v>0</v>
      </c>
      <c r="R48" s="686">
        <f>LOOKUP($C$43, T_Stock_Private!$C$26:$C$36, T_Stock_Private!H$26:H$36)*(1+R$25)</f>
        <v>0</v>
      </c>
      <c r="S48" s="686">
        <f>LOOKUP($C$43, T_Stock_Private!$C$26:$C$36, T_Stock_Private!I$26:I$36)*(1+S$25)</f>
        <v>0</v>
      </c>
      <c r="T48" s="686">
        <f>LOOKUP($C$43, T_Stock_Private!$C$26:$C$36, T_Stock_Private!J$26:J$36)*(1+T$25)</f>
        <v>0</v>
      </c>
      <c r="U48" s="686">
        <f>LOOKUP($C$43, T_Stock_Private!$C$26:$C$36, T_Stock_Private!K$26:K$36)*(1+U$25)</f>
        <v>0</v>
      </c>
      <c r="V48" s="686">
        <f>LOOKUP($C$43, T_Stock_Private!$C$26:$C$36, T_Stock_Private!L$26:L$36)*(1+V$25)</f>
        <v>0</v>
      </c>
      <c r="W48" s="686">
        <f>LOOKUP($C$43, T_Stock_Private!$C$26:$C$36, T_Stock_Private!M$26:M$36)*(1+W$25)</f>
        <v>0</v>
      </c>
      <c r="X48" s="686">
        <f>LOOKUP($C$43, T_Stock_Private!$C$26:$C$36, T_Stock_Private!N$26:N$36)*(1+X$25)</f>
        <v>0</v>
      </c>
      <c r="Y48" s="686">
        <f>LOOKUP($C$43, T_Stock_Private!$C$26:$C$36, T_Stock_Private!O$26:O$36)*(1+Y$25)</f>
        <v>0</v>
      </c>
      <c r="Z48" s="686">
        <f>LOOKUP($C$43, T_Stock_Private!$C$26:$C$36, T_Stock_Private!P$26:P$36)*(1+Z$25)</f>
        <v>0</v>
      </c>
      <c r="AA48" s="686">
        <f>LOOKUP($C$43, T_Stock_Private!$C$26:$C$36, T_Stock_Private!Q$26:Q$36)*(1+AA$25)</f>
        <v>0</v>
      </c>
      <c r="AB48" s="686">
        <f>LOOKUP($C$43, T_Stock_Private!$C$26:$C$36, T_Stock_Private!R$26:R$36)*(1+AB$25)</f>
        <v>0</v>
      </c>
    </row>
    <row r="49" spans="1:46" s="35" customFormat="1" x14ac:dyDescent="0.3">
      <c r="A49" s="22"/>
      <c r="B49" s="186" t="str">
        <f t="shared" si="20"/>
        <v>TCARELC100P</v>
      </c>
      <c r="C49" s="186"/>
      <c r="D49" s="187"/>
      <c r="E49" s="186"/>
      <c r="F49" s="170"/>
      <c r="G49" s="213"/>
      <c r="H49" s="170"/>
      <c r="I49" s="190">
        <f>AF$5</f>
        <v>2016</v>
      </c>
      <c r="J49" s="191"/>
      <c r="K49" s="191"/>
      <c r="L49" s="211" t="s">
        <v>1064</v>
      </c>
      <c r="M49" s="186" t="s">
        <v>747</v>
      </c>
      <c r="N49" s="686">
        <f t="shared" ref="N49:AB49" si="22">N$48*LOOKUP($AD$43,$AG$4:$AP$4,$AG5:$AP5)</f>
        <v>0</v>
      </c>
      <c r="O49" s="686">
        <f t="shared" si="22"/>
        <v>0</v>
      </c>
      <c r="P49" s="686">
        <f t="shared" si="22"/>
        <v>0</v>
      </c>
      <c r="Q49" s="686">
        <f t="shared" si="22"/>
        <v>0</v>
      </c>
      <c r="R49" s="686">
        <f t="shared" si="22"/>
        <v>0</v>
      </c>
      <c r="S49" s="686">
        <f t="shared" si="22"/>
        <v>0</v>
      </c>
      <c r="T49" s="686">
        <f t="shared" si="22"/>
        <v>0</v>
      </c>
      <c r="U49" s="686">
        <f t="shared" si="22"/>
        <v>0</v>
      </c>
      <c r="V49" s="686">
        <f t="shared" si="22"/>
        <v>0</v>
      </c>
      <c r="W49" s="686">
        <f t="shared" si="22"/>
        <v>0</v>
      </c>
      <c r="X49" s="686">
        <f t="shared" si="22"/>
        <v>0</v>
      </c>
      <c r="Y49" s="686">
        <f t="shared" si="22"/>
        <v>0</v>
      </c>
      <c r="Z49" s="686">
        <f t="shared" si="22"/>
        <v>0</v>
      </c>
      <c r="AA49" s="686">
        <f t="shared" si="22"/>
        <v>0</v>
      </c>
      <c r="AB49" s="686">
        <f t="shared" si="22"/>
        <v>0</v>
      </c>
      <c r="AE49" s="568">
        <f>SUM(AF49:AT49)</f>
        <v>0</v>
      </c>
      <c r="AF49" s="567">
        <f>N46*N47*N48/1000</f>
        <v>0</v>
      </c>
      <c r="AG49" s="567">
        <f t="shared" ref="AG49:AT49" si="23">O46*O47*O48</f>
        <v>0</v>
      </c>
      <c r="AH49" s="567">
        <f t="shared" si="23"/>
        <v>0</v>
      </c>
      <c r="AI49" s="567">
        <f t="shared" si="23"/>
        <v>0</v>
      </c>
      <c r="AJ49" s="567">
        <f t="shared" si="23"/>
        <v>0</v>
      </c>
      <c r="AK49" s="567">
        <f t="shared" si="23"/>
        <v>0</v>
      </c>
      <c r="AL49" s="567">
        <f t="shared" si="23"/>
        <v>0</v>
      </c>
      <c r="AM49" s="567">
        <f t="shared" si="23"/>
        <v>0</v>
      </c>
      <c r="AN49" s="567">
        <f t="shared" si="23"/>
        <v>0</v>
      </c>
      <c r="AO49" s="567">
        <f t="shared" si="23"/>
        <v>0</v>
      </c>
      <c r="AP49" s="567">
        <f t="shared" si="23"/>
        <v>0</v>
      </c>
      <c r="AQ49" s="567">
        <f t="shared" si="23"/>
        <v>0</v>
      </c>
      <c r="AR49" s="567">
        <f t="shared" si="23"/>
        <v>0</v>
      </c>
      <c r="AS49" s="567">
        <f t="shared" si="23"/>
        <v>0</v>
      </c>
      <c r="AT49" s="567">
        <f t="shared" si="23"/>
        <v>0</v>
      </c>
    </row>
    <row r="50" spans="1:46" s="35" customFormat="1" x14ac:dyDescent="0.3">
      <c r="A50" s="22"/>
      <c r="B50" s="186" t="str">
        <f t="shared" si="20"/>
        <v>TCARELC100P</v>
      </c>
      <c r="C50" s="186"/>
      <c r="D50" s="187"/>
      <c r="E50" s="186"/>
      <c r="F50" s="170"/>
      <c r="G50" s="213"/>
      <c r="H50" s="170"/>
      <c r="I50" s="190">
        <f>AF$6</f>
        <v>2020</v>
      </c>
      <c r="J50" s="191"/>
      <c r="K50" s="191"/>
      <c r="L50" s="211" t="s">
        <v>1064</v>
      </c>
      <c r="M50" s="186" t="s">
        <v>747</v>
      </c>
      <c r="N50" s="686">
        <f t="shared" ref="N50:AB50" si="24">N$48*LOOKUP($AD$43,$AG$4:$AP$4,$AG6:$AP6)</f>
        <v>0</v>
      </c>
      <c r="O50" s="686">
        <f t="shared" si="24"/>
        <v>0</v>
      </c>
      <c r="P50" s="686">
        <f t="shared" si="24"/>
        <v>0</v>
      </c>
      <c r="Q50" s="686">
        <f t="shared" si="24"/>
        <v>0</v>
      </c>
      <c r="R50" s="686">
        <f t="shared" si="24"/>
        <v>0</v>
      </c>
      <c r="S50" s="686">
        <f t="shared" si="24"/>
        <v>0</v>
      </c>
      <c r="T50" s="686">
        <f t="shared" si="24"/>
        <v>0</v>
      </c>
      <c r="U50" s="686">
        <f t="shared" si="24"/>
        <v>0</v>
      </c>
      <c r="V50" s="686">
        <f t="shared" si="24"/>
        <v>0</v>
      </c>
      <c r="W50" s="686">
        <f t="shared" si="24"/>
        <v>0</v>
      </c>
      <c r="X50" s="686">
        <f t="shared" si="24"/>
        <v>0</v>
      </c>
      <c r="Y50" s="686">
        <f t="shared" si="24"/>
        <v>0</v>
      </c>
      <c r="Z50" s="686">
        <f t="shared" si="24"/>
        <v>0</v>
      </c>
      <c r="AA50" s="686">
        <f t="shared" si="24"/>
        <v>0</v>
      </c>
      <c r="AB50" s="686">
        <f t="shared" si="24"/>
        <v>0</v>
      </c>
    </row>
    <row r="51" spans="1:46" s="35" customFormat="1" x14ac:dyDescent="0.3">
      <c r="A51" s="22"/>
      <c r="B51" s="186" t="str">
        <f t="shared" si="20"/>
        <v>TCARELC100P</v>
      </c>
      <c r="C51" s="186"/>
      <c r="D51" s="187"/>
      <c r="E51" s="186"/>
      <c r="F51" s="170"/>
      <c r="G51" s="213"/>
      <c r="H51" s="170"/>
      <c r="I51" s="190">
        <f>AF$7</f>
        <v>2025</v>
      </c>
      <c r="J51" s="191"/>
      <c r="K51" s="191"/>
      <c r="L51" s="211" t="s">
        <v>1064</v>
      </c>
      <c r="M51" s="186" t="s">
        <v>747</v>
      </c>
      <c r="N51" s="686">
        <f t="shared" ref="N51:AB51" si="25">N$48*LOOKUP($AD$43,$AG$4:$AP$4,$AG7:$AP7)</f>
        <v>0</v>
      </c>
      <c r="O51" s="686">
        <f t="shared" si="25"/>
        <v>0</v>
      </c>
      <c r="P51" s="686">
        <f t="shared" si="25"/>
        <v>0</v>
      </c>
      <c r="Q51" s="686">
        <f t="shared" si="25"/>
        <v>0</v>
      </c>
      <c r="R51" s="686">
        <f t="shared" si="25"/>
        <v>0</v>
      </c>
      <c r="S51" s="686">
        <f t="shared" si="25"/>
        <v>0</v>
      </c>
      <c r="T51" s="686">
        <f t="shared" si="25"/>
        <v>0</v>
      </c>
      <c r="U51" s="686">
        <f t="shared" si="25"/>
        <v>0</v>
      </c>
      <c r="V51" s="686">
        <f t="shared" si="25"/>
        <v>0</v>
      </c>
      <c r="W51" s="686">
        <f t="shared" si="25"/>
        <v>0</v>
      </c>
      <c r="X51" s="686">
        <f t="shared" si="25"/>
        <v>0</v>
      </c>
      <c r="Y51" s="686">
        <f t="shared" si="25"/>
        <v>0</v>
      </c>
      <c r="Z51" s="686">
        <f t="shared" si="25"/>
        <v>0</v>
      </c>
      <c r="AA51" s="686">
        <f t="shared" si="25"/>
        <v>0</v>
      </c>
      <c r="AB51" s="686">
        <f t="shared" si="25"/>
        <v>0</v>
      </c>
    </row>
    <row r="52" spans="1:46" s="35" customFormat="1" x14ac:dyDescent="0.3">
      <c r="A52" s="22"/>
      <c r="B52" s="186" t="str">
        <f t="shared" si="20"/>
        <v>TCARELC100P</v>
      </c>
      <c r="C52" s="186"/>
      <c r="D52" s="187"/>
      <c r="E52" s="186"/>
      <c r="F52" s="170"/>
      <c r="G52" s="213"/>
      <c r="H52" s="170"/>
      <c r="I52" s="190">
        <f>AF$8</f>
        <v>2030</v>
      </c>
      <c r="J52" s="191"/>
      <c r="K52" s="191"/>
      <c r="L52" s="211" t="s">
        <v>1064</v>
      </c>
      <c r="M52" s="186" t="s">
        <v>747</v>
      </c>
      <c r="N52" s="686">
        <f t="shared" ref="N52:AB52" si="26">N$48*LOOKUP($AD$43,$AG$4:$AP$4,$AG8:$AP8)</f>
        <v>0</v>
      </c>
      <c r="O52" s="686">
        <f t="shared" si="26"/>
        <v>0</v>
      </c>
      <c r="P52" s="686">
        <f t="shared" si="26"/>
        <v>0</v>
      </c>
      <c r="Q52" s="686">
        <f t="shared" si="26"/>
        <v>0</v>
      </c>
      <c r="R52" s="686">
        <f t="shared" si="26"/>
        <v>0</v>
      </c>
      <c r="S52" s="686">
        <f t="shared" si="26"/>
        <v>0</v>
      </c>
      <c r="T52" s="686">
        <f t="shared" si="26"/>
        <v>0</v>
      </c>
      <c r="U52" s="686">
        <f t="shared" si="26"/>
        <v>0</v>
      </c>
      <c r="V52" s="686">
        <f t="shared" si="26"/>
        <v>0</v>
      </c>
      <c r="W52" s="686">
        <f t="shared" si="26"/>
        <v>0</v>
      </c>
      <c r="X52" s="686">
        <f t="shared" si="26"/>
        <v>0</v>
      </c>
      <c r="Y52" s="686">
        <f t="shared" si="26"/>
        <v>0</v>
      </c>
      <c r="Z52" s="686">
        <f t="shared" si="26"/>
        <v>0</v>
      </c>
      <c r="AA52" s="686">
        <f t="shared" si="26"/>
        <v>0</v>
      </c>
      <c r="AB52" s="686">
        <f t="shared" si="26"/>
        <v>0</v>
      </c>
    </row>
    <row r="53" spans="1:46" s="35" customFormat="1" x14ac:dyDescent="0.3">
      <c r="A53" s="22"/>
      <c r="B53" s="186" t="str">
        <f t="shared" si="20"/>
        <v>TCARELC100P</v>
      </c>
      <c r="C53" s="186"/>
      <c r="D53" s="187"/>
      <c r="E53" s="186"/>
      <c r="F53" s="170"/>
      <c r="G53" s="213"/>
      <c r="H53" s="170"/>
      <c r="I53" s="190">
        <f>AF$9</f>
        <v>2040</v>
      </c>
      <c r="J53" s="191"/>
      <c r="K53" s="191"/>
      <c r="L53" s="211" t="s">
        <v>1064</v>
      </c>
      <c r="M53" s="186" t="s">
        <v>747</v>
      </c>
      <c r="N53" s="686">
        <f t="shared" ref="N53:AB53" si="27">N$48*LOOKUP($AD$43,$AG$4:$AP$4,$AG9:$AP9)</f>
        <v>0</v>
      </c>
      <c r="O53" s="686">
        <f t="shared" si="27"/>
        <v>0</v>
      </c>
      <c r="P53" s="686">
        <f t="shared" si="27"/>
        <v>0</v>
      </c>
      <c r="Q53" s="686">
        <f t="shared" si="27"/>
        <v>0</v>
      </c>
      <c r="R53" s="686">
        <f t="shared" si="27"/>
        <v>0</v>
      </c>
      <c r="S53" s="686">
        <f t="shared" si="27"/>
        <v>0</v>
      </c>
      <c r="T53" s="686">
        <f t="shared" si="27"/>
        <v>0</v>
      </c>
      <c r="U53" s="686">
        <f t="shared" si="27"/>
        <v>0</v>
      </c>
      <c r="V53" s="686">
        <f t="shared" si="27"/>
        <v>0</v>
      </c>
      <c r="W53" s="686">
        <f t="shared" si="27"/>
        <v>0</v>
      </c>
      <c r="X53" s="686">
        <f t="shared" si="27"/>
        <v>0</v>
      </c>
      <c r="Y53" s="686">
        <f t="shared" si="27"/>
        <v>0</v>
      </c>
      <c r="Z53" s="686">
        <f t="shared" si="27"/>
        <v>0</v>
      </c>
      <c r="AA53" s="686">
        <f t="shared" si="27"/>
        <v>0</v>
      </c>
      <c r="AB53" s="686">
        <f t="shared" si="27"/>
        <v>0</v>
      </c>
    </row>
    <row r="54" spans="1:46" s="35" customFormat="1" x14ac:dyDescent="0.3">
      <c r="A54" s="22"/>
      <c r="B54" s="193" t="str">
        <f t="shared" si="20"/>
        <v>TCARELC100P</v>
      </c>
      <c r="C54" s="193"/>
      <c r="D54" s="194"/>
      <c r="E54" s="193"/>
      <c r="F54" s="196"/>
      <c r="G54" s="215"/>
      <c r="H54" s="196"/>
      <c r="I54" s="197">
        <f>AF$10</f>
        <v>2050</v>
      </c>
      <c r="J54" s="198"/>
      <c r="K54" s="198"/>
      <c r="L54" s="212" t="s">
        <v>1064</v>
      </c>
      <c r="M54" s="193" t="s">
        <v>747</v>
      </c>
      <c r="N54" s="687">
        <f t="shared" ref="N54:AB54" si="28">N$48*LOOKUP($AD$43,$AG$4:$AP$4,$AG10:$AP10)</f>
        <v>0</v>
      </c>
      <c r="O54" s="687">
        <f t="shared" si="28"/>
        <v>0</v>
      </c>
      <c r="P54" s="687">
        <f t="shared" si="28"/>
        <v>0</v>
      </c>
      <c r="Q54" s="687">
        <f t="shared" si="28"/>
        <v>0</v>
      </c>
      <c r="R54" s="687">
        <f t="shared" si="28"/>
        <v>0</v>
      </c>
      <c r="S54" s="687">
        <f t="shared" si="28"/>
        <v>0</v>
      </c>
      <c r="T54" s="687">
        <f t="shared" si="28"/>
        <v>0</v>
      </c>
      <c r="U54" s="687">
        <f t="shared" si="28"/>
        <v>0</v>
      </c>
      <c r="V54" s="687">
        <f t="shared" si="28"/>
        <v>0</v>
      </c>
      <c r="W54" s="687">
        <f t="shared" si="28"/>
        <v>0</v>
      </c>
      <c r="X54" s="687">
        <f t="shared" si="28"/>
        <v>0</v>
      </c>
      <c r="Y54" s="687">
        <f t="shared" si="28"/>
        <v>0</v>
      </c>
      <c r="Z54" s="687">
        <f t="shared" si="28"/>
        <v>0</v>
      </c>
      <c r="AA54" s="687">
        <f t="shared" si="28"/>
        <v>0</v>
      </c>
      <c r="AB54" s="687">
        <f t="shared" si="28"/>
        <v>0</v>
      </c>
    </row>
    <row r="55" spans="1:46" s="35" customFormat="1" x14ac:dyDescent="0.3">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3">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3">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3">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3">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3">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3">
      <c r="A61" s="22"/>
      <c r="B61" s="186" t="str">
        <f>B60</f>
        <v>TCARETH100P</v>
      </c>
      <c r="C61" s="186"/>
      <c r="D61" s="187"/>
      <c r="E61" s="186"/>
      <c r="F61" s="170"/>
      <c r="G61" s="213"/>
      <c r="H61" s="170"/>
      <c r="I61" s="190">
        <f>$M$3</f>
        <v>2019</v>
      </c>
      <c r="J61" s="191"/>
      <c r="K61" s="191"/>
      <c r="L61" s="211" t="s">
        <v>1064</v>
      </c>
      <c r="M61" s="186" t="s">
        <v>747</v>
      </c>
      <c r="N61" s="686">
        <f>LOOKUP($C$55, T_Stock_Private!$C$26:$C$36, T_Stock_Private!D$26:D$36)*(1+N$25)</f>
        <v>0</v>
      </c>
      <c r="O61" s="686">
        <f>LOOKUP($C$55, T_Stock_Private!$C$26:$C$36, T_Stock_Private!E$26:E$36)*(1+O$25)</f>
        <v>0</v>
      </c>
      <c r="P61" s="686">
        <f>LOOKUP($C$55, T_Stock_Private!$C$26:$C$36, T_Stock_Private!F$26:F$36)*(1+P$25)</f>
        <v>0</v>
      </c>
      <c r="Q61" s="686">
        <f>LOOKUP($C$55, T_Stock_Private!$C$26:$C$36, T_Stock_Private!G$26:G$36)*(1+Q$25)</f>
        <v>0</v>
      </c>
      <c r="R61" s="686">
        <f>LOOKUP($C$55, T_Stock_Private!$C$26:$C$36, T_Stock_Private!H$26:H$36)*(1+R$25)</f>
        <v>0</v>
      </c>
      <c r="S61" s="686">
        <f>LOOKUP($C$55, T_Stock_Private!$C$26:$C$36, T_Stock_Private!I$26:I$36)*(1+S$25)</f>
        <v>0</v>
      </c>
      <c r="T61" s="686">
        <f>LOOKUP($C$55, T_Stock_Private!$C$26:$C$36, T_Stock_Private!J$26:J$36)*(1+T$25)</f>
        <v>0</v>
      </c>
      <c r="U61" s="686">
        <f>LOOKUP($C$55, T_Stock_Private!$C$26:$C$36, T_Stock_Private!K$26:K$36)*(1+U$25)</f>
        <v>0</v>
      </c>
      <c r="V61" s="686">
        <f>LOOKUP($C$55, T_Stock_Private!$C$26:$C$36, T_Stock_Private!L$26:L$36)*(1+V$25)</f>
        <v>0</v>
      </c>
      <c r="W61" s="686">
        <f>LOOKUP($C$55, T_Stock_Private!$C$26:$C$36, T_Stock_Private!M$26:M$36)*(1+W$25)</f>
        <v>0</v>
      </c>
      <c r="X61" s="686">
        <f>LOOKUP($C$55, T_Stock_Private!$C$26:$C$36, T_Stock_Private!N$26:N$36)*(1+X$25)</f>
        <v>0</v>
      </c>
      <c r="Y61" s="686">
        <f>LOOKUP($C$55, T_Stock_Private!$C$26:$C$36, T_Stock_Private!O$26:O$36)*(1+Y$25)</f>
        <v>0</v>
      </c>
      <c r="Z61" s="686">
        <f>LOOKUP($C$55, T_Stock_Private!$C$26:$C$36, T_Stock_Private!P$26:P$36)*(1+Z$25)</f>
        <v>0</v>
      </c>
      <c r="AA61" s="686">
        <f>LOOKUP($C$55, T_Stock_Private!$C$26:$C$36, T_Stock_Private!Q$26:Q$36)*(1+AA$25)</f>
        <v>0</v>
      </c>
      <c r="AB61" s="686">
        <f>LOOKUP($C$55, T_Stock_Private!$C$26:$C$36, T_Stock_Private!R$26:R$36)*(1+AB$25)</f>
        <v>0</v>
      </c>
    </row>
    <row r="62" spans="1:46" s="35" customFormat="1" x14ac:dyDescent="0.3">
      <c r="A62" s="22"/>
      <c r="B62" s="186" t="str">
        <f t="shared" si="31"/>
        <v>TCARETH100P</v>
      </c>
      <c r="C62" s="186"/>
      <c r="D62" s="187"/>
      <c r="E62" s="186"/>
      <c r="F62" s="170"/>
      <c r="G62" s="213"/>
      <c r="H62" s="170"/>
      <c r="I62" s="190">
        <f>AF$5</f>
        <v>2016</v>
      </c>
      <c r="J62" s="191"/>
      <c r="K62" s="191"/>
      <c r="L62" s="211" t="s">
        <v>1064</v>
      </c>
      <c r="M62" s="186" t="s">
        <v>747</v>
      </c>
      <c r="N62" s="686">
        <f t="shared" ref="N62:AB62" si="33">N$61*LOOKUP($AD$55,$AG$4:$AP$4,$AG5:$AP5)</f>
        <v>0</v>
      </c>
      <c r="O62" s="686">
        <f t="shared" si="33"/>
        <v>0</v>
      </c>
      <c r="P62" s="686">
        <f t="shared" si="33"/>
        <v>0</v>
      </c>
      <c r="Q62" s="686">
        <f t="shared" si="33"/>
        <v>0</v>
      </c>
      <c r="R62" s="686">
        <f t="shared" si="33"/>
        <v>0</v>
      </c>
      <c r="S62" s="686">
        <f t="shared" si="33"/>
        <v>0</v>
      </c>
      <c r="T62" s="686">
        <f t="shared" si="33"/>
        <v>0</v>
      </c>
      <c r="U62" s="686">
        <f t="shared" si="33"/>
        <v>0</v>
      </c>
      <c r="V62" s="686">
        <f t="shared" si="33"/>
        <v>0</v>
      </c>
      <c r="W62" s="686">
        <f t="shared" si="33"/>
        <v>0</v>
      </c>
      <c r="X62" s="686">
        <f t="shared" si="33"/>
        <v>0</v>
      </c>
      <c r="Y62" s="686">
        <f t="shared" si="33"/>
        <v>0</v>
      </c>
      <c r="Z62" s="686">
        <f t="shared" si="33"/>
        <v>0</v>
      </c>
      <c r="AA62" s="686">
        <f t="shared" si="33"/>
        <v>0</v>
      </c>
      <c r="AB62" s="686">
        <f t="shared" si="33"/>
        <v>0</v>
      </c>
      <c r="AE62" s="568">
        <f>SUM(AF62:AT62)</f>
        <v>0</v>
      </c>
      <c r="AF62" s="567">
        <f>N59*N60*N61/1000</f>
        <v>0</v>
      </c>
      <c r="AG62" s="567">
        <f t="shared" ref="AG62:AT62" si="34">O59*O60*O61</f>
        <v>0</v>
      </c>
      <c r="AH62" s="567">
        <f t="shared" si="34"/>
        <v>0</v>
      </c>
      <c r="AI62" s="567">
        <f t="shared" si="34"/>
        <v>0</v>
      </c>
      <c r="AJ62" s="567">
        <f t="shared" si="34"/>
        <v>0</v>
      </c>
      <c r="AK62" s="567">
        <f t="shared" si="34"/>
        <v>0</v>
      </c>
      <c r="AL62" s="567">
        <f t="shared" si="34"/>
        <v>0</v>
      </c>
      <c r="AM62" s="567">
        <f t="shared" si="34"/>
        <v>0</v>
      </c>
      <c r="AN62" s="567">
        <f t="shared" si="34"/>
        <v>0</v>
      </c>
      <c r="AO62" s="567">
        <f t="shared" si="34"/>
        <v>0</v>
      </c>
      <c r="AP62" s="567">
        <f t="shared" si="34"/>
        <v>0</v>
      </c>
      <c r="AQ62" s="567">
        <f t="shared" si="34"/>
        <v>0</v>
      </c>
      <c r="AR62" s="567">
        <f t="shared" si="34"/>
        <v>0</v>
      </c>
      <c r="AS62" s="567">
        <f t="shared" si="34"/>
        <v>0</v>
      </c>
      <c r="AT62" s="567">
        <f t="shared" si="34"/>
        <v>0</v>
      </c>
    </row>
    <row r="63" spans="1:46" s="35" customFormat="1" x14ac:dyDescent="0.3">
      <c r="A63" s="22"/>
      <c r="B63" s="186" t="str">
        <f t="shared" si="31"/>
        <v>TCARETH100P</v>
      </c>
      <c r="C63" s="186"/>
      <c r="D63" s="187"/>
      <c r="E63" s="186"/>
      <c r="F63" s="170"/>
      <c r="G63" s="213"/>
      <c r="H63" s="170"/>
      <c r="I63" s="190">
        <f>AF$6</f>
        <v>2020</v>
      </c>
      <c r="J63" s="191"/>
      <c r="K63" s="191"/>
      <c r="L63" s="211" t="s">
        <v>1064</v>
      </c>
      <c r="M63" s="186" t="s">
        <v>747</v>
      </c>
      <c r="N63" s="686">
        <f t="shared" ref="N63:AB63" si="35">N$61*LOOKUP($AD$55,$AG$4:$AP$4,$AG6:$AP6)</f>
        <v>0</v>
      </c>
      <c r="O63" s="686">
        <f t="shared" si="35"/>
        <v>0</v>
      </c>
      <c r="P63" s="686">
        <f t="shared" si="35"/>
        <v>0</v>
      </c>
      <c r="Q63" s="686">
        <f t="shared" si="35"/>
        <v>0</v>
      </c>
      <c r="R63" s="686">
        <f t="shared" si="35"/>
        <v>0</v>
      </c>
      <c r="S63" s="686">
        <f t="shared" si="35"/>
        <v>0</v>
      </c>
      <c r="T63" s="686">
        <f t="shared" si="35"/>
        <v>0</v>
      </c>
      <c r="U63" s="686">
        <f t="shared" si="35"/>
        <v>0</v>
      </c>
      <c r="V63" s="686">
        <f t="shared" si="35"/>
        <v>0</v>
      </c>
      <c r="W63" s="686">
        <f t="shared" si="35"/>
        <v>0</v>
      </c>
      <c r="X63" s="686">
        <f t="shared" si="35"/>
        <v>0</v>
      </c>
      <c r="Y63" s="686">
        <f t="shared" si="35"/>
        <v>0</v>
      </c>
      <c r="Z63" s="686">
        <f t="shared" si="35"/>
        <v>0</v>
      </c>
      <c r="AA63" s="686">
        <f t="shared" si="35"/>
        <v>0</v>
      </c>
      <c r="AB63" s="686">
        <f t="shared" si="35"/>
        <v>0</v>
      </c>
    </row>
    <row r="64" spans="1:46" s="35" customFormat="1" x14ac:dyDescent="0.3">
      <c r="A64" s="22"/>
      <c r="B64" s="186" t="str">
        <f t="shared" si="31"/>
        <v>TCARETH100P</v>
      </c>
      <c r="C64" s="186"/>
      <c r="D64" s="187"/>
      <c r="E64" s="186"/>
      <c r="F64" s="170"/>
      <c r="G64" s="213"/>
      <c r="H64" s="170"/>
      <c r="I64" s="190">
        <f>AF$7</f>
        <v>2025</v>
      </c>
      <c r="J64" s="191"/>
      <c r="K64" s="191"/>
      <c r="L64" s="211" t="s">
        <v>1064</v>
      </c>
      <c r="M64" s="186" t="s">
        <v>747</v>
      </c>
      <c r="N64" s="686">
        <f t="shared" ref="N64:AB64" si="36">N$61*LOOKUP($AD$55,$AG$4:$AP$4,$AG7:$AP7)</f>
        <v>0</v>
      </c>
      <c r="O64" s="686">
        <f t="shared" si="36"/>
        <v>0</v>
      </c>
      <c r="P64" s="686">
        <f t="shared" si="36"/>
        <v>0</v>
      </c>
      <c r="Q64" s="686">
        <f t="shared" si="36"/>
        <v>0</v>
      </c>
      <c r="R64" s="686">
        <f t="shared" si="36"/>
        <v>0</v>
      </c>
      <c r="S64" s="686">
        <f t="shared" si="36"/>
        <v>0</v>
      </c>
      <c r="T64" s="686">
        <f t="shared" si="36"/>
        <v>0</v>
      </c>
      <c r="U64" s="686">
        <f t="shared" si="36"/>
        <v>0</v>
      </c>
      <c r="V64" s="686">
        <f t="shared" si="36"/>
        <v>0</v>
      </c>
      <c r="W64" s="686">
        <f t="shared" si="36"/>
        <v>0</v>
      </c>
      <c r="X64" s="686">
        <f t="shared" si="36"/>
        <v>0</v>
      </c>
      <c r="Y64" s="686">
        <f t="shared" si="36"/>
        <v>0</v>
      </c>
      <c r="Z64" s="686">
        <f t="shared" si="36"/>
        <v>0</v>
      </c>
      <c r="AA64" s="686">
        <f t="shared" si="36"/>
        <v>0</v>
      </c>
      <c r="AB64" s="686">
        <f t="shared" si="36"/>
        <v>0</v>
      </c>
    </row>
    <row r="65" spans="1:48" s="35" customFormat="1" x14ac:dyDescent="0.3">
      <c r="A65" s="22"/>
      <c r="B65" s="186" t="str">
        <f t="shared" si="31"/>
        <v>TCARETH100P</v>
      </c>
      <c r="C65" s="186"/>
      <c r="D65" s="187"/>
      <c r="E65" s="186"/>
      <c r="F65" s="170"/>
      <c r="G65" s="213"/>
      <c r="H65" s="170"/>
      <c r="I65" s="190">
        <f>AF$8</f>
        <v>2030</v>
      </c>
      <c r="J65" s="191"/>
      <c r="K65" s="191"/>
      <c r="L65" s="211" t="s">
        <v>1064</v>
      </c>
      <c r="M65" s="186" t="s">
        <v>747</v>
      </c>
      <c r="N65" s="686">
        <f t="shared" ref="N65:AB65" si="37">N$61*LOOKUP($AD$55,$AG$4:$AP$4,$AG8:$AP8)</f>
        <v>0</v>
      </c>
      <c r="O65" s="686">
        <f t="shared" si="37"/>
        <v>0</v>
      </c>
      <c r="P65" s="686">
        <f t="shared" si="37"/>
        <v>0</v>
      </c>
      <c r="Q65" s="686">
        <f t="shared" si="37"/>
        <v>0</v>
      </c>
      <c r="R65" s="686">
        <f t="shared" si="37"/>
        <v>0</v>
      </c>
      <c r="S65" s="686">
        <f t="shared" si="37"/>
        <v>0</v>
      </c>
      <c r="T65" s="686">
        <f t="shared" si="37"/>
        <v>0</v>
      </c>
      <c r="U65" s="686">
        <f t="shared" si="37"/>
        <v>0</v>
      </c>
      <c r="V65" s="686">
        <f t="shared" si="37"/>
        <v>0</v>
      </c>
      <c r="W65" s="686">
        <f t="shared" si="37"/>
        <v>0</v>
      </c>
      <c r="X65" s="686">
        <f t="shared" si="37"/>
        <v>0</v>
      </c>
      <c r="Y65" s="686">
        <f t="shared" si="37"/>
        <v>0</v>
      </c>
      <c r="Z65" s="686">
        <f t="shared" si="37"/>
        <v>0</v>
      </c>
      <c r="AA65" s="686">
        <f t="shared" si="37"/>
        <v>0</v>
      </c>
      <c r="AB65" s="686">
        <f t="shared" si="37"/>
        <v>0</v>
      </c>
    </row>
    <row r="66" spans="1:48" s="35" customFormat="1" x14ac:dyDescent="0.3">
      <c r="A66" s="22"/>
      <c r="B66" s="186" t="str">
        <f t="shared" si="31"/>
        <v>TCARETH100P</v>
      </c>
      <c r="C66" s="186"/>
      <c r="D66" s="187"/>
      <c r="E66" s="186"/>
      <c r="F66" s="170"/>
      <c r="G66" s="213"/>
      <c r="H66" s="170"/>
      <c r="I66" s="190">
        <f>AF$9</f>
        <v>2040</v>
      </c>
      <c r="J66" s="191"/>
      <c r="K66" s="191"/>
      <c r="L66" s="211" t="s">
        <v>1064</v>
      </c>
      <c r="M66" s="186" t="s">
        <v>747</v>
      </c>
      <c r="N66" s="686">
        <f t="shared" ref="N66:AB66" si="38">N$61*LOOKUP($AD$55,$AG$4:$AP$4,$AG9:$AP9)</f>
        <v>0</v>
      </c>
      <c r="O66" s="686">
        <f t="shared" si="38"/>
        <v>0</v>
      </c>
      <c r="P66" s="686">
        <f t="shared" si="38"/>
        <v>0</v>
      </c>
      <c r="Q66" s="686">
        <f t="shared" si="38"/>
        <v>0</v>
      </c>
      <c r="R66" s="686">
        <f t="shared" si="38"/>
        <v>0</v>
      </c>
      <c r="S66" s="686">
        <f t="shared" si="38"/>
        <v>0</v>
      </c>
      <c r="T66" s="686">
        <f t="shared" si="38"/>
        <v>0</v>
      </c>
      <c r="U66" s="686">
        <f t="shared" si="38"/>
        <v>0</v>
      </c>
      <c r="V66" s="686">
        <f t="shared" si="38"/>
        <v>0</v>
      </c>
      <c r="W66" s="686">
        <f t="shared" si="38"/>
        <v>0</v>
      </c>
      <c r="X66" s="686">
        <f t="shared" si="38"/>
        <v>0</v>
      </c>
      <c r="Y66" s="686">
        <f t="shared" si="38"/>
        <v>0</v>
      </c>
      <c r="Z66" s="686">
        <f t="shared" si="38"/>
        <v>0</v>
      </c>
      <c r="AA66" s="686">
        <f t="shared" si="38"/>
        <v>0</v>
      </c>
      <c r="AB66" s="686">
        <f t="shared" si="38"/>
        <v>0</v>
      </c>
    </row>
    <row r="67" spans="1:48" s="35" customFormat="1" x14ac:dyDescent="0.3">
      <c r="A67" s="22"/>
      <c r="B67" s="193" t="str">
        <f t="shared" si="31"/>
        <v>TCARETH100P</v>
      </c>
      <c r="C67" s="193"/>
      <c r="D67" s="194"/>
      <c r="E67" s="193"/>
      <c r="F67" s="196"/>
      <c r="G67" s="215"/>
      <c r="H67" s="196"/>
      <c r="I67" s="197">
        <f>AF$10</f>
        <v>2050</v>
      </c>
      <c r="J67" s="198"/>
      <c r="K67" s="198"/>
      <c r="L67" s="212" t="s">
        <v>1064</v>
      </c>
      <c r="M67" s="193" t="s">
        <v>747</v>
      </c>
      <c r="N67" s="687">
        <f t="shared" ref="N67:AB67" si="39">N$61*LOOKUP($AD$55,$AG$4:$AP$4,$AG10:$AP10)</f>
        <v>0</v>
      </c>
      <c r="O67" s="687">
        <f t="shared" si="39"/>
        <v>0</v>
      </c>
      <c r="P67" s="687">
        <f t="shared" si="39"/>
        <v>0</v>
      </c>
      <c r="Q67" s="687">
        <f t="shared" si="39"/>
        <v>0</v>
      </c>
      <c r="R67" s="687">
        <f t="shared" si="39"/>
        <v>0</v>
      </c>
      <c r="S67" s="687">
        <f t="shared" si="39"/>
        <v>0</v>
      </c>
      <c r="T67" s="687">
        <f t="shared" si="39"/>
        <v>0</v>
      </c>
      <c r="U67" s="687">
        <f t="shared" si="39"/>
        <v>0</v>
      </c>
      <c r="V67" s="687">
        <f t="shared" si="39"/>
        <v>0</v>
      </c>
      <c r="W67" s="687">
        <f t="shared" si="39"/>
        <v>0</v>
      </c>
      <c r="X67" s="687">
        <f t="shared" si="39"/>
        <v>0</v>
      </c>
      <c r="Y67" s="687">
        <f t="shared" si="39"/>
        <v>0</v>
      </c>
      <c r="Z67" s="687">
        <f t="shared" si="39"/>
        <v>0</v>
      </c>
      <c r="AA67" s="687">
        <f t="shared" si="39"/>
        <v>0</v>
      </c>
      <c r="AB67" s="687">
        <f t="shared" si="39"/>
        <v>0</v>
      </c>
    </row>
    <row r="68" spans="1:48" s="35" customFormat="1" x14ac:dyDescent="0.3">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3">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3">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3">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3">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3">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3">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3">
      <c r="A75" s="22"/>
      <c r="B75" s="186" t="str">
        <f t="shared" si="43"/>
        <v>TCARGAS100P</v>
      </c>
      <c r="C75" s="186"/>
      <c r="D75" s="187"/>
      <c r="E75" s="186"/>
      <c r="F75" s="170"/>
      <c r="G75" s="213"/>
      <c r="H75" s="170"/>
      <c r="I75" s="190">
        <f>$M$3</f>
        <v>2019</v>
      </c>
      <c r="J75" s="191"/>
      <c r="K75" s="191"/>
      <c r="L75" s="211" t="s">
        <v>1064</v>
      </c>
      <c r="M75" s="186" t="s">
        <v>747</v>
      </c>
      <c r="N75" s="686">
        <f>LOOKUP($C$68, T_Stock_Private!$C$26:$C$36, T_Stock_Private!D$26:D$36)*(1+N$25)</f>
        <v>0</v>
      </c>
      <c r="O75" s="686">
        <f>LOOKUP($C$68, T_Stock_Private!$C$26:$C$36, T_Stock_Private!E$26:E$36)*(1+O$25)</f>
        <v>0</v>
      </c>
      <c r="P75" s="686">
        <f>LOOKUP($C$68, T_Stock_Private!$C$26:$C$36, T_Stock_Private!F$26:F$36)*(1+P$25)</f>
        <v>0</v>
      </c>
      <c r="Q75" s="686">
        <f>LOOKUP($C$68, T_Stock_Private!$C$26:$C$36, T_Stock_Private!G$26:G$36)*(1+Q$25)</f>
        <v>0</v>
      </c>
      <c r="R75" s="686">
        <f>LOOKUP($C$68, T_Stock_Private!$C$26:$C$36, T_Stock_Private!H$26:H$36)*(1+R$25)</f>
        <v>0</v>
      </c>
      <c r="S75" s="686">
        <f>LOOKUP($C$68, T_Stock_Private!$C$26:$C$36, T_Stock_Private!I$26:I$36)*(1+S$25)</f>
        <v>0</v>
      </c>
      <c r="T75" s="686">
        <f>LOOKUP($C$68, T_Stock_Private!$C$26:$C$36, T_Stock_Private!J$26:J$36)*(1+T$25)</f>
        <v>0</v>
      </c>
      <c r="U75" s="686">
        <f>LOOKUP($C$68, T_Stock_Private!$C$26:$C$36, T_Stock_Private!K$26:K$36)*(1+U$25)</f>
        <v>0</v>
      </c>
      <c r="V75" s="686">
        <f>LOOKUP($C$68, T_Stock_Private!$C$26:$C$36, T_Stock_Private!L$26:L$36)*(1+V$25)</f>
        <v>0</v>
      </c>
      <c r="W75" s="686">
        <f>LOOKUP($C$68, T_Stock_Private!$C$26:$C$36, T_Stock_Private!M$26:M$36)*(1+W$25)</f>
        <v>0</v>
      </c>
      <c r="X75" s="686">
        <f>LOOKUP($C$68, T_Stock_Private!$C$26:$C$36, T_Stock_Private!N$26:N$36)*(1+X$25)</f>
        <v>0</v>
      </c>
      <c r="Y75" s="686">
        <f>LOOKUP($C$68, T_Stock_Private!$C$26:$C$36, T_Stock_Private!O$26:O$36)*(1+Y$25)</f>
        <v>0</v>
      </c>
      <c r="Z75" s="686">
        <f>LOOKUP($C$68, T_Stock_Private!$C$26:$C$36, T_Stock_Private!P$26:P$36)*(1+Z$25)</f>
        <v>0</v>
      </c>
      <c r="AA75" s="686">
        <f>LOOKUP($C$68, T_Stock_Private!$C$26:$C$36, T_Stock_Private!Q$26:Q$36)*(1+AA$25)</f>
        <v>0</v>
      </c>
      <c r="AB75" s="686">
        <f>LOOKUP($C$68, T_Stock_Private!$C$26:$C$36, T_Stock_Private!R$26:R$36)*(1+AB$25)</f>
        <v>0</v>
      </c>
    </row>
    <row r="76" spans="1:48" s="35" customFormat="1" x14ac:dyDescent="0.3">
      <c r="A76" s="22"/>
      <c r="B76" s="186" t="str">
        <f t="shared" si="43"/>
        <v>TCARGAS100P</v>
      </c>
      <c r="C76" s="186"/>
      <c r="D76" s="187"/>
      <c r="E76" s="186"/>
      <c r="F76" s="170"/>
      <c r="G76" s="213"/>
      <c r="H76" s="170"/>
      <c r="I76" s="190">
        <f>AF$5</f>
        <v>2016</v>
      </c>
      <c r="J76" s="191"/>
      <c r="K76" s="191"/>
      <c r="L76" s="211" t="s">
        <v>1064</v>
      </c>
      <c r="M76" s="186" t="s">
        <v>747</v>
      </c>
      <c r="N76" s="686">
        <f t="shared" ref="N76:AB76" si="45">N$75*LOOKUP($AD$68,$AG$4:$AP$4,$AG5:$AP5)</f>
        <v>0</v>
      </c>
      <c r="O76" s="686">
        <f t="shared" si="45"/>
        <v>0</v>
      </c>
      <c r="P76" s="686">
        <f t="shared" si="45"/>
        <v>0</v>
      </c>
      <c r="Q76" s="686">
        <f t="shared" si="45"/>
        <v>0</v>
      </c>
      <c r="R76" s="686">
        <f t="shared" si="45"/>
        <v>0</v>
      </c>
      <c r="S76" s="686">
        <f t="shared" si="45"/>
        <v>0</v>
      </c>
      <c r="T76" s="686">
        <f t="shared" si="45"/>
        <v>0</v>
      </c>
      <c r="U76" s="686">
        <f t="shared" si="45"/>
        <v>0</v>
      </c>
      <c r="V76" s="686">
        <f t="shared" si="45"/>
        <v>0</v>
      </c>
      <c r="W76" s="686">
        <f t="shared" si="45"/>
        <v>0</v>
      </c>
      <c r="X76" s="686">
        <f t="shared" si="45"/>
        <v>0</v>
      </c>
      <c r="Y76" s="686">
        <f t="shared" si="45"/>
        <v>0</v>
      </c>
      <c r="Z76" s="686">
        <f t="shared" si="45"/>
        <v>0</v>
      </c>
      <c r="AA76" s="686">
        <f t="shared" si="45"/>
        <v>0</v>
      </c>
      <c r="AB76" s="686">
        <f t="shared" si="45"/>
        <v>0</v>
      </c>
      <c r="AE76" s="568">
        <f>SUM(AF76:AT76)</f>
        <v>0</v>
      </c>
      <c r="AF76" s="567">
        <f>N73*N74*N75/1000</f>
        <v>0</v>
      </c>
      <c r="AG76" s="567">
        <f t="shared" ref="AG76:AT76" si="46">O73*O74*O75</f>
        <v>0</v>
      </c>
      <c r="AH76" s="567">
        <f t="shared" si="46"/>
        <v>0</v>
      </c>
      <c r="AI76" s="567">
        <f t="shared" si="46"/>
        <v>0</v>
      </c>
      <c r="AJ76" s="567">
        <f t="shared" si="46"/>
        <v>0</v>
      </c>
      <c r="AK76" s="567">
        <f t="shared" si="46"/>
        <v>0</v>
      </c>
      <c r="AL76" s="567">
        <f t="shared" si="46"/>
        <v>0</v>
      </c>
      <c r="AM76" s="567">
        <f t="shared" si="46"/>
        <v>0</v>
      </c>
      <c r="AN76" s="567">
        <f t="shared" si="46"/>
        <v>0</v>
      </c>
      <c r="AO76" s="567">
        <f t="shared" si="46"/>
        <v>0</v>
      </c>
      <c r="AP76" s="567">
        <f t="shared" si="46"/>
        <v>0</v>
      </c>
      <c r="AQ76" s="567">
        <f t="shared" si="46"/>
        <v>0</v>
      </c>
      <c r="AR76" s="567">
        <f t="shared" si="46"/>
        <v>0</v>
      </c>
      <c r="AS76" s="567">
        <f t="shared" si="46"/>
        <v>0</v>
      </c>
      <c r="AT76" s="567">
        <f t="shared" si="46"/>
        <v>0</v>
      </c>
    </row>
    <row r="77" spans="1:48" s="35" customFormat="1" x14ac:dyDescent="0.3">
      <c r="A77" s="22"/>
      <c r="B77" s="186" t="str">
        <f t="shared" si="43"/>
        <v>TCARGAS100P</v>
      </c>
      <c r="C77" s="186"/>
      <c r="D77" s="187"/>
      <c r="E77" s="186"/>
      <c r="F77" s="170"/>
      <c r="G77" s="213"/>
      <c r="H77" s="170"/>
      <c r="I77" s="190">
        <f>AF$6</f>
        <v>2020</v>
      </c>
      <c r="J77" s="191"/>
      <c r="K77" s="191"/>
      <c r="L77" s="211" t="s">
        <v>1064</v>
      </c>
      <c r="M77" s="186" t="s">
        <v>747</v>
      </c>
      <c r="N77" s="686">
        <f t="shared" ref="N77:AB77" si="47">N$75*LOOKUP($AD$68,$AG$4:$AP$4,$AG6:$AP6)</f>
        <v>0</v>
      </c>
      <c r="O77" s="686">
        <f t="shared" si="47"/>
        <v>0</v>
      </c>
      <c r="P77" s="686">
        <f t="shared" si="47"/>
        <v>0</v>
      </c>
      <c r="Q77" s="686">
        <f t="shared" si="47"/>
        <v>0</v>
      </c>
      <c r="R77" s="686">
        <f t="shared" si="47"/>
        <v>0</v>
      </c>
      <c r="S77" s="686">
        <f t="shared" si="47"/>
        <v>0</v>
      </c>
      <c r="T77" s="686">
        <f t="shared" si="47"/>
        <v>0</v>
      </c>
      <c r="U77" s="686">
        <f t="shared" si="47"/>
        <v>0</v>
      </c>
      <c r="V77" s="686">
        <f t="shared" si="47"/>
        <v>0</v>
      </c>
      <c r="W77" s="686">
        <f t="shared" si="47"/>
        <v>0</v>
      </c>
      <c r="X77" s="686">
        <f t="shared" si="47"/>
        <v>0</v>
      </c>
      <c r="Y77" s="686">
        <f t="shared" si="47"/>
        <v>0</v>
      </c>
      <c r="Z77" s="686">
        <f t="shared" si="47"/>
        <v>0</v>
      </c>
      <c r="AA77" s="686">
        <f t="shared" si="47"/>
        <v>0</v>
      </c>
      <c r="AB77" s="686">
        <f t="shared" si="47"/>
        <v>0</v>
      </c>
    </row>
    <row r="78" spans="1:48" s="35" customFormat="1" x14ac:dyDescent="0.3">
      <c r="A78" s="22"/>
      <c r="B78" s="186" t="str">
        <f t="shared" si="43"/>
        <v>TCARGAS100P</v>
      </c>
      <c r="C78" s="186"/>
      <c r="D78" s="187"/>
      <c r="E78" s="186"/>
      <c r="F78" s="170"/>
      <c r="G78" s="213"/>
      <c r="H78" s="170"/>
      <c r="I78" s="190">
        <f>AF$7</f>
        <v>2025</v>
      </c>
      <c r="J78" s="191"/>
      <c r="K78" s="191"/>
      <c r="L78" s="211" t="s">
        <v>1064</v>
      </c>
      <c r="M78" s="186" t="s">
        <v>747</v>
      </c>
      <c r="N78" s="686">
        <f t="shared" ref="N78:AB78" si="48">N$75*LOOKUP($AD$68,$AG$4:$AP$4,$AG7:$AP7)</f>
        <v>0</v>
      </c>
      <c r="O78" s="686">
        <f t="shared" si="48"/>
        <v>0</v>
      </c>
      <c r="P78" s="686">
        <f t="shared" si="48"/>
        <v>0</v>
      </c>
      <c r="Q78" s="686">
        <f t="shared" si="48"/>
        <v>0</v>
      </c>
      <c r="R78" s="686">
        <f t="shared" si="48"/>
        <v>0</v>
      </c>
      <c r="S78" s="686">
        <f t="shared" si="48"/>
        <v>0</v>
      </c>
      <c r="T78" s="686">
        <f t="shared" si="48"/>
        <v>0</v>
      </c>
      <c r="U78" s="686">
        <f t="shared" si="48"/>
        <v>0</v>
      </c>
      <c r="V78" s="686">
        <f t="shared" si="48"/>
        <v>0</v>
      </c>
      <c r="W78" s="686">
        <f t="shared" si="48"/>
        <v>0</v>
      </c>
      <c r="X78" s="686">
        <f t="shared" si="48"/>
        <v>0</v>
      </c>
      <c r="Y78" s="686">
        <f t="shared" si="48"/>
        <v>0</v>
      </c>
      <c r="Z78" s="686">
        <f t="shared" si="48"/>
        <v>0</v>
      </c>
      <c r="AA78" s="686">
        <f t="shared" si="48"/>
        <v>0</v>
      </c>
      <c r="AB78" s="686">
        <f t="shared" si="48"/>
        <v>0</v>
      </c>
    </row>
    <row r="79" spans="1:48" s="35" customFormat="1" x14ac:dyDescent="0.3">
      <c r="A79" s="22"/>
      <c r="B79" s="186" t="str">
        <f t="shared" si="43"/>
        <v>TCARGAS100P</v>
      </c>
      <c r="C79" s="186"/>
      <c r="D79" s="187"/>
      <c r="E79" s="186"/>
      <c r="F79" s="170"/>
      <c r="G79" s="213"/>
      <c r="H79" s="170"/>
      <c r="I79" s="190">
        <f>AF$8</f>
        <v>2030</v>
      </c>
      <c r="J79" s="191"/>
      <c r="K79" s="191"/>
      <c r="L79" s="211" t="s">
        <v>1064</v>
      </c>
      <c r="M79" s="186" t="s">
        <v>747</v>
      </c>
      <c r="N79" s="686">
        <f t="shared" ref="N79:AB79" si="49">N$75*LOOKUP($AD$68,$AG$4:$AP$4,$AG8:$AP8)</f>
        <v>0</v>
      </c>
      <c r="O79" s="686">
        <f t="shared" si="49"/>
        <v>0</v>
      </c>
      <c r="P79" s="686">
        <f t="shared" si="49"/>
        <v>0</v>
      </c>
      <c r="Q79" s="686">
        <f t="shared" si="49"/>
        <v>0</v>
      </c>
      <c r="R79" s="686">
        <f t="shared" si="49"/>
        <v>0</v>
      </c>
      <c r="S79" s="686">
        <f t="shared" si="49"/>
        <v>0</v>
      </c>
      <c r="T79" s="686">
        <f t="shared" si="49"/>
        <v>0</v>
      </c>
      <c r="U79" s="686">
        <f t="shared" si="49"/>
        <v>0</v>
      </c>
      <c r="V79" s="686">
        <f t="shared" si="49"/>
        <v>0</v>
      </c>
      <c r="W79" s="686">
        <f t="shared" si="49"/>
        <v>0</v>
      </c>
      <c r="X79" s="686">
        <f t="shared" si="49"/>
        <v>0</v>
      </c>
      <c r="Y79" s="686">
        <f t="shared" si="49"/>
        <v>0</v>
      </c>
      <c r="Z79" s="686">
        <f t="shared" si="49"/>
        <v>0</v>
      </c>
      <c r="AA79" s="686">
        <f t="shared" si="49"/>
        <v>0</v>
      </c>
      <c r="AB79" s="686">
        <f t="shared" si="49"/>
        <v>0</v>
      </c>
    </row>
    <row r="80" spans="1:48" s="35" customFormat="1" x14ac:dyDescent="0.3">
      <c r="A80" s="22"/>
      <c r="B80" s="186" t="str">
        <f t="shared" si="43"/>
        <v>TCARGAS100P</v>
      </c>
      <c r="C80" s="186"/>
      <c r="D80" s="187"/>
      <c r="E80" s="186"/>
      <c r="F80" s="170"/>
      <c r="G80" s="213"/>
      <c r="H80" s="170"/>
      <c r="I80" s="190">
        <f>AF$9</f>
        <v>2040</v>
      </c>
      <c r="J80" s="191"/>
      <c r="K80" s="191"/>
      <c r="L80" s="211" t="s">
        <v>1064</v>
      </c>
      <c r="M80" s="186" t="s">
        <v>747</v>
      </c>
      <c r="N80" s="686">
        <f t="shared" ref="N80:AB80" si="50">N$75*LOOKUP($AD$68,$AG$4:$AP$4,$AG9:$AP9)</f>
        <v>0</v>
      </c>
      <c r="O80" s="686">
        <f t="shared" si="50"/>
        <v>0</v>
      </c>
      <c r="P80" s="686">
        <f t="shared" si="50"/>
        <v>0</v>
      </c>
      <c r="Q80" s="686">
        <f t="shared" si="50"/>
        <v>0</v>
      </c>
      <c r="R80" s="686">
        <f t="shared" si="50"/>
        <v>0</v>
      </c>
      <c r="S80" s="686">
        <f t="shared" si="50"/>
        <v>0</v>
      </c>
      <c r="T80" s="686">
        <f t="shared" si="50"/>
        <v>0</v>
      </c>
      <c r="U80" s="686">
        <f t="shared" si="50"/>
        <v>0</v>
      </c>
      <c r="V80" s="686">
        <f t="shared" si="50"/>
        <v>0</v>
      </c>
      <c r="W80" s="686">
        <f t="shared" si="50"/>
        <v>0</v>
      </c>
      <c r="X80" s="686">
        <f t="shared" si="50"/>
        <v>0</v>
      </c>
      <c r="Y80" s="686">
        <f t="shared" si="50"/>
        <v>0</v>
      </c>
      <c r="Z80" s="686">
        <f t="shared" si="50"/>
        <v>0</v>
      </c>
      <c r="AA80" s="686">
        <f t="shared" si="50"/>
        <v>0</v>
      </c>
      <c r="AB80" s="686">
        <f t="shared" si="50"/>
        <v>0</v>
      </c>
    </row>
    <row r="81" spans="1:46" s="35" customFormat="1" x14ac:dyDescent="0.3">
      <c r="A81" s="22"/>
      <c r="B81" s="193" t="str">
        <f t="shared" si="43"/>
        <v>TCARGAS100P</v>
      </c>
      <c r="C81" s="193"/>
      <c r="D81" s="194"/>
      <c r="E81" s="193"/>
      <c r="F81" s="196"/>
      <c r="G81" s="215"/>
      <c r="H81" s="196"/>
      <c r="I81" s="197">
        <f>AF$10</f>
        <v>2050</v>
      </c>
      <c r="J81" s="198"/>
      <c r="K81" s="198"/>
      <c r="L81" s="212" t="s">
        <v>1064</v>
      </c>
      <c r="M81" s="193" t="s">
        <v>747</v>
      </c>
      <c r="N81" s="687">
        <f t="shared" ref="N81:AB81" si="51">N$75*LOOKUP($AD$68,$AG$4:$AP$4,$AG10:$AP10)</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46" s="35" customFormat="1" x14ac:dyDescent="0.3">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3">
      <c r="A83" s="22"/>
      <c r="B83" s="186" t="str">
        <f>B82</f>
        <v>TCARGSL100P</v>
      </c>
      <c r="C83" s="186"/>
      <c r="D83" s="187"/>
      <c r="E83" s="258" t="s">
        <v>1011</v>
      </c>
      <c r="F83" s="170"/>
      <c r="G83" s="213"/>
      <c r="H83" s="170"/>
      <c r="I83" s="190"/>
      <c r="J83" s="191" t="s">
        <v>1156</v>
      </c>
      <c r="K83" s="191"/>
      <c r="L83" s="211" t="s">
        <v>101</v>
      </c>
      <c r="M83" s="186"/>
      <c r="N83" s="377">
        <f>N$18</f>
        <v>5.0999999999999997E-2</v>
      </c>
      <c r="O83" s="377">
        <f t="shared" ref="O83:AB83" si="53">O$18</f>
        <v>5.0999999999999997E-2</v>
      </c>
      <c r="P83" s="377">
        <f t="shared" si="53"/>
        <v>5.0999999999999997E-2</v>
      </c>
      <c r="Q83" s="377">
        <f t="shared" si="53"/>
        <v>5.0999999999999997E-2</v>
      </c>
      <c r="R83" s="377">
        <f t="shared" si="53"/>
        <v>5.0999999999999997E-2</v>
      </c>
      <c r="S83" s="377">
        <f t="shared" si="53"/>
        <v>5.0999999999999997E-2</v>
      </c>
      <c r="T83" s="377">
        <f t="shared" si="53"/>
        <v>5.0999999999999997E-2</v>
      </c>
      <c r="U83" s="377">
        <f t="shared" si="53"/>
        <v>5.0999999999999997E-2</v>
      </c>
      <c r="V83" s="377">
        <f t="shared" si="53"/>
        <v>5.0999999999999997E-2</v>
      </c>
      <c r="W83" s="377">
        <f t="shared" si="53"/>
        <v>5.0999999999999997E-2</v>
      </c>
      <c r="X83" s="377">
        <f t="shared" si="53"/>
        <v>5.0999999999999997E-2</v>
      </c>
      <c r="Y83" s="377">
        <f t="shared" si="53"/>
        <v>5.0999999999999997E-2</v>
      </c>
      <c r="Z83" s="377">
        <f t="shared" si="53"/>
        <v>5.0999999999999997E-2</v>
      </c>
      <c r="AA83" s="377">
        <f t="shared" si="53"/>
        <v>5.0999999999999997E-2</v>
      </c>
      <c r="AB83" s="377">
        <f t="shared" si="53"/>
        <v>5.0999999999999997E-2</v>
      </c>
      <c r="AD83" s="66" t="str">
        <f>IF(COUNTIF($AG$4:$AP$4,AD82)=1,"ok","MISSING")</f>
        <v>ok</v>
      </c>
    </row>
    <row r="84" spans="1:46" s="35" customFormat="1" x14ac:dyDescent="0.3">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3">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3">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3">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3">
      <c r="A88" s="22"/>
      <c r="B88" s="186" t="str">
        <f t="shared" si="54"/>
        <v>TCARGSL100P</v>
      </c>
      <c r="C88" s="186"/>
      <c r="D88" s="187"/>
      <c r="E88" s="186"/>
      <c r="F88" s="170"/>
      <c r="G88" s="213"/>
      <c r="H88" s="170"/>
      <c r="I88" s="190">
        <f>$M$3</f>
        <v>2019</v>
      </c>
      <c r="J88" s="191"/>
      <c r="K88" s="191"/>
      <c r="L88" s="211" t="s">
        <v>1064</v>
      </c>
      <c r="M88" s="186" t="s">
        <v>747</v>
      </c>
      <c r="N88" s="686">
        <f>LOOKUP($C$82, T_Stock_Private!$C$26:$C$36, T_Stock_Private!D$26:D$36)*(1+N$25)</f>
        <v>0</v>
      </c>
      <c r="O88" s="686">
        <f>LOOKUP($C$82, T_Stock_Private!$C$26:$C$36, T_Stock_Private!E$26:E$36)*(1+O$25)</f>
        <v>0</v>
      </c>
      <c r="P88" s="686">
        <f>LOOKUP($C$82, T_Stock_Private!$C$26:$C$36, T_Stock_Private!F$26:F$36)*(1+P$25)</f>
        <v>0</v>
      </c>
      <c r="Q88" s="686">
        <f>LOOKUP($C$82, T_Stock_Private!$C$26:$C$36, T_Stock_Private!G$26:G$36)*(1+Q$25)</f>
        <v>0</v>
      </c>
      <c r="R88" s="686">
        <f>LOOKUP($C$82, T_Stock_Private!$C$26:$C$36, T_Stock_Private!H$26:H$36)*(1+R$25)</f>
        <v>0</v>
      </c>
      <c r="S88" s="686">
        <f>LOOKUP($C$82, T_Stock_Private!$C$26:$C$36, T_Stock_Private!I$26:I$36)*(1+S$25)</f>
        <v>0</v>
      </c>
      <c r="T88" s="686">
        <f>LOOKUP($C$82, T_Stock_Private!$C$26:$C$36, T_Stock_Private!J$26:J$36)*(1+T$25)</f>
        <v>0</v>
      </c>
      <c r="U88" s="686">
        <f>LOOKUP($C$82, T_Stock_Private!$C$26:$C$36, T_Stock_Private!K$26:K$36)*(1+U$25)</f>
        <v>0</v>
      </c>
      <c r="V88" s="686">
        <f>LOOKUP($C$82, T_Stock_Private!$C$26:$C$36, T_Stock_Private!L$26:L$36)*(1+V$25)</f>
        <v>0</v>
      </c>
      <c r="W88" s="686">
        <f>LOOKUP($C$82, T_Stock_Private!$C$26:$C$36, T_Stock_Private!M$26:M$36)*(1+W$25)</f>
        <v>0</v>
      </c>
      <c r="X88" s="686">
        <f>LOOKUP($C$82, T_Stock_Private!$C$26:$C$36, T_Stock_Private!N$26:N$36)*(1+X$25)</f>
        <v>0</v>
      </c>
      <c r="Y88" s="686">
        <f>LOOKUP($C$82, T_Stock_Private!$C$26:$C$36, T_Stock_Private!O$26:O$36)*(1+Y$25)</f>
        <v>0</v>
      </c>
      <c r="Z88" s="686">
        <f>LOOKUP($C$82, T_Stock_Private!$C$26:$C$36, T_Stock_Private!P$26:P$36)*(1+Z$25)</f>
        <v>0</v>
      </c>
      <c r="AA88" s="686">
        <f>LOOKUP($C$82, T_Stock_Private!$C$26:$C$36, T_Stock_Private!Q$26:Q$36)*(1+AA$25)</f>
        <v>0</v>
      </c>
      <c r="AB88" s="686">
        <f>LOOKUP($C$82, T_Stock_Private!$C$26:$C$36, T_Stock_Private!R$26:R$36)*(1+AB$25)</f>
        <v>0</v>
      </c>
    </row>
    <row r="89" spans="1:46" s="35" customFormat="1" x14ac:dyDescent="0.3">
      <c r="A89" s="22"/>
      <c r="B89" s="186" t="str">
        <f t="shared" si="54"/>
        <v>TCARGSL100P</v>
      </c>
      <c r="C89" s="186"/>
      <c r="D89" s="187"/>
      <c r="E89" s="186"/>
      <c r="F89" s="170"/>
      <c r="G89" s="213"/>
      <c r="H89" s="170"/>
      <c r="I89" s="190">
        <f>AF$5</f>
        <v>2016</v>
      </c>
      <c r="J89" s="191"/>
      <c r="K89" s="191"/>
      <c r="L89" s="211" t="s">
        <v>1064</v>
      </c>
      <c r="M89" s="186" t="s">
        <v>747</v>
      </c>
      <c r="N89" s="686">
        <f t="shared" ref="N89:AB89" si="56">N$88*LOOKUP($AD$82,$AG$4:$AP$4,$AG5:$AP5)</f>
        <v>0</v>
      </c>
      <c r="O89" s="686">
        <f t="shared" si="56"/>
        <v>0</v>
      </c>
      <c r="P89" s="686">
        <f t="shared" si="56"/>
        <v>0</v>
      </c>
      <c r="Q89" s="686">
        <f t="shared" si="56"/>
        <v>0</v>
      </c>
      <c r="R89" s="686">
        <f t="shared" si="56"/>
        <v>0</v>
      </c>
      <c r="S89" s="686">
        <f t="shared" si="56"/>
        <v>0</v>
      </c>
      <c r="T89" s="686">
        <f t="shared" si="56"/>
        <v>0</v>
      </c>
      <c r="U89" s="686">
        <f t="shared" si="56"/>
        <v>0</v>
      </c>
      <c r="V89" s="686">
        <f t="shared" si="56"/>
        <v>0</v>
      </c>
      <c r="W89" s="686">
        <f t="shared" si="56"/>
        <v>0</v>
      </c>
      <c r="X89" s="686">
        <f t="shared" si="56"/>
        <v>0</v>
      </c>
      <c r="Y89" s="686">
        <f t="shared" si="56"/>
        <v>0</v>
      </c>
      <c r="Z89" s="686">
        <f t="shared" si="56"/>
        <v>0</v>
      </c>
      <c r="AA89" s="686">
        <f t="shared" si="56"/>
        <v>0</v>
      </c>
      <c r="AB89" s="686">
        <f t="shared" si="56"/>
        <v>0</v>
      </c>
      <c r="AE89" s="568">
        <f>SUM(AF89:AT89)</f>
        <v>0</v>
      </c>
      <c r="AF89" s="567">
        <f>N86*N87*N88/1000</f>
        <v>0</v>
      </c>
      <c r="AG89" s="567">
        <f t="shared" ref="AG89:AT89" si="57">O86*O87*O88</f>
        <v>0</v>
      </c>
      <c r="AH89" s="567">
        <f t="shared" si="57"/>
        <v>0</v>
      </c>
      <c r="AI89" s="567">
        <f t="shared" si="57"/>
        <v>0</v>
      </c>
      <c r="AJ89" s="567">
        <f t="shared" si="57"/>
        <v>0</v>
      </c>
      <c r="AK89" s="567">
        <f t="shared" si="57"/>
        <v>0</v>
      </c>
      <c r="AL89" s="567">
        <f t="shared" si="57"/>
        <v>0</v>
      </c>
      <c r="AM89" s="567">
        <f t="shared" si="57"/>
        <v>0</v>
      </c>
      <c r="AN89" s="567">
        <f t="shared" si="57"/>
        <v>0</v>
      </c>
      <c r="AO89" s="567">
        <f t="shared" si="57"/>
        <v>0</v>
      </c>
      <c r="AP89" s="567">
        <f t="shared" si="57"/>
        <v>0</v>
      </c>
      <c r="AQ89" s="567">
        <f t="shared" si="57"/>
        <v>0</v>
      </c>
      <c r="AR89" s="567">
        <f t="shared" si="57"/>
        <v>0</v>
      </c>
      <c r="AS89" s="567">
        <f t="shared" si="57"/>
        <v>0</v>
      </c>
      <c r="AT89" s="567">
        <f t="shared" si="57"/>
        <v>0</v>
      </c>
    </row>
    <row r="90" spans="1:46" s="35" customFormat="1" x14ac:dyDescent="0.3">
      <c r="A90" s="22"/>
      <c r="B90" s="186" t="str">
        <f t="shared" si="54"/>
        <v>TCARGSL100P</v>
      </c>
      <c r="C90" s="186"/>
      <c r="D90" s="187"/>
      <c r="E90" s="186"/>
      <c r="F90" s="170"/>
      <c r="G90" s="213"/>
      <c r="H90" s="170"/>
      <c r="I90" s="190">
        <f>AF$6</f>
        <v>2020</v>
      </c>
      <c r="J90" s="191"/>
      <c r="K90" s="191"/>
      <c r="L90" s="211" t="s">
        <v>1064</v>
      </c>
      <c r="M90" s="186" t="s">
        <v>747</v>
      </c>
      <c r="N90" s="686">
        <f t="shared" ref="N90:AB90" si="58">N$88*LOOKUP($AD$82,$AG$4:$AP$4,$AG6:$AP6)</f>
        <v>0</v>
      </c>
      <c r="O90" s="686">
        <f t="shared" si="58"/>
        <v>0</v>
      </c>
      <c r="P90" s="686">
        <f t="shared" si="58"/>
        <v>0</v>
      </c>
      <c r="Q90" s="686">
        <f t="shared" si="58"/>
        <v>0</v>
      </c>
      <c r="R90" s="686">
        <f t="shared" si="58"/>
        <v>0</v>
      </c>
      <c r="S90" s="686">
        <f t="shared" si="58"/>
        <v>0</v>
      </c>
      <c r="T90" s="686">
        <f t="shared" si="58"/>
        <v>0</v>
      </c>
      <c r="U90" s="686">
        <f t="shared" si="58"/>
        <v>0</v>
      </c>
      <c r="V90" s="686">
        <f t="shared" si="58"/>
        <v>0</v>
      </c>
      <c r="W90" s="686">
        <f t="shared" si="58"/>
        <v>0</v>
      </c>
      <c r="X90" s="686">
        <f t="shared" si="58"/>
        <v>0</v>
      </c>
      <c r="Y90" s="686">
        <f t="shared" si="58"/>
        <v>0</v>
      </c>
      <c r="Z90" s="686">
        <f t="shared" si="58"/>
        <v>0</v>
      </c>
      <c r="AA90" s="686">
        <f t="shared" si="58"/>
        <v>0</v>
      </c>
      <c r="AB90" s="686">
        <f t="shared" si="58"/>
        <v>0</v>
      </c>
    </row>
    <row r="91" spans="1:46" s="35" customFormat="1" x14ac:dyDescent="0.3">
      <c r="A91" s="22"/>
      <c r="B91" s="186" t="str">
        <f t="shared" si="54"/>
        <v>TCARGSL100P</v>
      </c>
      <c r="C91" s="186"/>
      <c r="D91" s="187"/>
      <c r="E91" s="186"/>
      <c r="F91" s="170"/>
      <c r="G91" s="213"/>
      <c r="H91" s="170"/>
      <c r="I91" s="190">
        <f>AF$7</f>
        <v>2025</v>
      </c>
      <c r="J91" s="191"/>
      <c r="K91" s="191"/>
      <c r="L91" s="211" t="s">
        <v>1064</v>
      </c>
      <c r="M91" s="186" t="s">
        <v>747</v>
      </c>
      <c r="N91" s="686">
        <f t="shared" ref="N91:AB91" si="59">N$88*LOOKUP($AD$82,$AG$4:$AP$4,$AG7:$AP7)</f>
        <v>0</v>
      </c>
      <c r="O91" s="686">
        <f t="shared" si="59"/>
        <v>0</v>
      </c>
      <c r="P91" s="686">
        <f t="shared" si="59"/>
        <v>0</v>
      </c>
      <c r="Q91" s="686">
        <f t="shared" si="59"/>
        <v>0</v>
      </c>
      <c r="R91" s="686">
        <f t="shared" si="59"/>
        <v>0</v>
      </c>
      <c r="S91" s="686">
        <f t="shared" si="59"/>
        <v>0</v>
      </c>
      <c r="T91" s="686">
        <f t="shared" si="59"/>
        <v>0</v>
      </c>
      <c r="U91" s="686">
        <f t="shared" si="59"/>
        <v>0</v>
      </c>
      <c r="V91" s="686">
        <f t="shared" si="59"/>
        <v>0</v>
      </c>
      <c r="W91" s="686">
        <f t="shared" si="59"/>
        <v>0</v>
      </c>
      <c r="X91" s="686">
        <f t="shared" si="59"/>
        <v>0</v>
      </c>
      <c r="Y91" s="686">
        <f t="shared" si="59"/>
        <v>0</v>
      </c>
      <c r="Z91" s="686">
        <f t="shared" si="59"/>
        <v>0</v>
      </c>
      <c r="AA91" s="686">
        <f t="shared" si="59"/>
        <v>0</v>
      </c>
      <c r="AB91" s="686">
        <f t="shared" si="59"/>
        <v>0</v>
      </c>
    </row>
    <row r="92" spans="1:46" s="35" customFormat="1" x14ac:dyDescent="0.3">
      <c r="A92" s="22"/>
      <c r="B92" s="186" t="str">
        <f t="shared" si="54"/>
        <v>TCARGSL100P</v>
      </c>
      <c r="C92" s="186"/>
      <c r="D92" s="187"/>
      <c r="E92" s="186"/>
      <c r="F92" s="170"/>
      <c r="G92" s="213"/>
      <c r="H92" s="170"/>
      <c r="I92" s="190">
        <f>AF$8</f>
        <v>2030</v>
      </c>
      <c r="J92" s="191"/>
      <c r="K92" s="191"/>
      <c r="L92" s="211" t="s">
        <v>1064</v>
      </c>
      <c r="M92" s="186" t="s">
        <v>747</v>
      </c>
      <c r="N92" s="686">
        <f t="shared" ref="N92:AB92" si="60">N$88*LOOKUP($AD$82,$AG$4:$AP$4,$AG8:$AP8)</f>
        <v>0</v>
      </c>
      <c r="O92" s="686">
        <f t="shared" si="60"/>
        <v>0</v>
      </c>
      <c r="P92" s="686">
        <f t="shared" si="60"/>
        <v>0</v>
      </c>
      <c r="Q92" s="686">
        <f t="shared" si="60"/>
        <v>0</v>
      </c>
      <c r="R92" s="686">
        <f t="shared" si="60"/>
        <v>0</v>
      </c>
      <c r="S92" s="686">
        <f t="shared" si="60"/>
        <v>0</v>
      </c>
      <c r="T92" s="686">
        <f t="shared" si="60"/>
        <v>0</v>
      </c>
      <c r="U92" s="686">
        <f t="shared" si="60"/>
        <v>0</v>
      </c>
      <c r="V92" s="686">
        <f t="shared" si="60"/>
        <v>0</v>
      </c>
      <c r="W92" s="686">
        <f t="shared" si="60"/>
        <v>0</v>
      </c>
      <c r="X92" s="686">
        <f t="shared" si="60"/>
        <v>0</v>
      </c>
      <c r="Y92" s="686">
        <f t="shared" si="60"/>
        <v>0</v>
      </c>
      <c r="Z92" s="686">
        <f t="shared" si="60"/>
        <v>0</v>
      </c>
      <c r="AA92" s="686">
        <f t="shared" si="60"/>
        <v>0</v>
      </c>
      <c r="AB92" s="686">
        <f t="shared" si="60"/>
        <v>0</v>
      </c>
    </row>
    <row r="93" spans="1:46" s="35" customFormat="1" x14ac:dyDescent="0.3">
      <c r="A93" s="22"/>
      <c r="B93" s="186" t="str">
        <f t="shared" si="54"/>
        <v>TCARGSL100P</v>
      </c>
      <c r="C93" s="186"/>
      <c r="D93" s="187"/>
      <c r="E93" s="186"/>
      <c r="F93" s="170"/>
      <c r="G93" s="213"/>
      <c r="H93" s="170"/>
      <c r="I93" s="190">
        <f>AF$9</f>
        <v>2040</v>
      </c>
      <c r="J93" s="191"/>
      <c r="K93" s="191"/>
      <c r="L93" s="211" t="s">
        <v>1064</v>
      </c>
      <c r="M93" s="186" t="s">
        <v>747</v>
      </c>
      <c r="N93" s="686">
        <f t="shared" ref="N93:AB93" si="61">N$88*LOOKUP($AD$82,$AG$4:$AP$4,$AG9:$AP9)</f>
        <v>0</v>
      </c>
      <c r="O93" s="686">
        <f t="shared" si="61"/>
        <v>0</v>
      </c>
      <c r="P93" s="686">
        <f t="shared" si="61"/>
        <v>0</v>
      </c>
      <c r="Q93" s="686">
        <f t="shared" si="61"/>
        <v>0</v>
      </c>
      <c r="R93" s="686">
        <f t="shared" si="61"/>
        <v>0</v>
      </c>
      <c r="S93" s="686">
        <f t="shared" si="61"/>
        <v>0</v>
      </c>
      <c r="T93" s="686">
        <f t="shared" si="61"/>
        <v>0</v>
      </c>
      <c r="U93" s="686">
        <f t="shared" si="61"/>
        <v>0</v>
      </c>
      <c r="V93" s="686">
        <f t="shared" si="61"/>
        <v>0</v>
      </c>
      <c r="W93" s="686">
        <f t="shared" si="61"/>
        <v>0</v>
      </c>
      <c r="X93" s="686">
        <f t="shared" si="61"/>
        <v>0</v>
      </c>
      <c r="Y93" s="686">
        <f t="shared" si="61"/>
        <v>0</v>
      </c>
      <c r="Z93" s="686">
        <f t="shared" si="61"/>
        <v>0</v>
      </c>
      <c r="AA93" s="686">
        <f t="shared" si="61"/>
        <v>0</v>
      </c>
      <c r="AB93" s="686">
        <f t="shared" si="61"/>
        <v>0</v>
      </c>
    </row>
    <row r="94" spans="1:46" s="35" customFormat="1" x14ac:dyDescent="0.3">
      <c r="A94" s="22"/>
      <c r="B94" s="193" t="str">
        <f t="shared" si="54"/>
        <v>TCARGSL100P</v>
      </c>
      <c r="C94" s="193"/>
      <c r="D94" s="194"/>
      <c r="E94" s="193"/>
      <c r="F94" s="196"/>
      <c r="G94" s="215"/>
      <c r="H94" s="196"/>
      <c r="I94" s="197">
        <f>AF$10</f>
        <v>2050</v>
      </c>
      <c r="J94" s="198"/>
      <c r="K94" s="198"/>
      <c r="L94" s="212" t="s">
        <v>1064</v>
      </c>
      <c r="M94" s="193" t="s">
        <v>747</v>
      </c>
      <c r="N94" s="687">
        <f t="shared" ref="N94:AB94" si="62">N$88*LOOKUP($AD$82,$AG$4:$AP$4,$AG10:$AP10)</f>
        <v>0</v>
      </c>
      <c r="O94" s="687">
        <f t="shared" si="62"/>
        <v>0</v>
      </c>
      <c r="P94" s="687">
        <f t="shared" si="62"/>
        <v>0</v>
      </c>
      <c r="Q94" s="687">
        <f t="shared" si="62"/>
        <v>0</v>
      </c>
      <c r="R94" s="687">
        <f t="shared" si="62"/>
        <v>0</v>
      </c>
      <c r="S94" s="687">
        <f t="shared" si="62"/>
        <v>0</v>
      </c>
      <c r="T94" s="687">
        <f t="shared" si="62"/>
        <v>0</v>
      </c>
      <c r="U94" s="687">
        <f t="shared" si="62"/>
        <v>0</v>
      </c>
      <c r="V94" s="687">
        <f t="shared" si="62"/>
        <v>0</v>
      </c>
      <c r="W94" s="687">
        <f t="shared" si="62"/>
        <v>0</v>
      </c>
      <c r="X94" s="687">
        <f t="shared" si="62"/>
        <v>0</v>
      </c>
      <c r="Y94" s="687">
        <f t="shared" si="62"/>
        <v>0</v>
      </c>
      <c r="Z94" s="687">
        <f t="shared" si="62"/>
        <v>0</v>
      </c>
      <c r="AA94" s="687">
        <f t="shared" si="62"/>
        <v>0</v>
      </c>
      <c r="AB94" s="687">
        <f t="shared" si="62"/>
        <v>0</v>
      </c>
    </row>
    <row r="95" spans="1:46" s="83" customFormat="1" x14ac:dyDescent="0.3">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3">
      <c r="A96" s="22"/>
      <c r="B96" s="186" t="str">
        <f>B95</f>
        <v>TCARHYD100P</v>
      </c>
      <c r="C96" s="186"/>
      <c r="D96" s="187"/>
      <c r="E96" s="188" t="s">
        <v>185</v>
      </c>
      <c r="F96" s="170"/>
      <c r="G96" s="213"/>
      <c r="H96" s="170"/>
      <c r="I96" s="190"/>
      <c r="J96" s="191" t="s">
        <v>1156</v>
      </c>
      <c r="K96" s="191"/>
      <c r="L96" s="211" t="s">
        <v>101</v>
      </c>
      <c r="M96" s="186"/>
      <c r="N96" s="377">
        <f>1-N$17</f>
        <v>0.82499999999999996</v>
      </c>
      <c r="O96" s="377">
        <f t="shared" ref="O96:AB96" si="64">1-O$17</f>
        <v>0.82499999999999996</v>
      </c>
      <c r="P96" s="377">
        <f t="shared" si="64"/>
        <v>0.82499999999999996</v>
      </c>
      <c r="Q96" s="377">
        <f t="shared" si="64"/>
        <v>0.82499999999999996</v>
      </c>
      <c r="R96" s="377">
        <f t="shared" si="64"/>
        <v>0.82499999999999996</v>
      </c>
      <c r="S96" s="377">
        <f t="shared" si="64"/>
        <v>0.82499999999999996</v>
      </c>
      <c r="T96" s="377">
        <f t="shared" si="64"/>
        <v>0.82499999999999996</v>
      </c>
      <c r="U96" s="377">
        <f t="shared" si="64"/>
        <v>0.82499999999999996</v>
      </c>
      <c r="V96" s="377">
        <f t="shared" si="64"/>
        <v>0.82499999999999996</v>
      </c>
      <c r="W96" s="377">
        <f t="shared" si="64"/>
        <v>0.82499999999999996</v>
      </c>
      <c r="X96" s="377">
        <f t="shared" si="64"/>
        <v>0.82499999999999996</v>
      </c>
      <c r="Y96" s="377">
        <f t="shared" si="64"/>
        <v>0.82499999999999996</v>
      </c>
      <c r="Z96" s="377">
        <f t="shared" si="64"/>
        <v>0.82499999999999996</v>
      </c>
      <c r="AA96" s="377">
        <f t="shared" si="64"/>
        <v>0.82499999999999996</v>
      </c>
      <c r="AB96" s="377">
        <f t="shared" si="64"/>
        <v>0.82499999999999996</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3">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3">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3">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3">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3">
      <c r="A101" s="22"/>
      <c r="B101" s="186" t="str">
        <f t="shared" si="65"/>
        <v>TCARHYD100P</v>
      </c>
      <c r="C101" s="186"/>
      <c r="D101" s="187"/>
      <c r="E101" s="186"/>
      <c r="F101" s="170"/>
      <c r="G101" s="213"/>
      <c r="H101" s="170"/>
      <c r="I101" s="190">
        <f>$M$3</f>
        <v>2019</v>
      </c>
      <c r="J101" s="191"/>
      <c r="K101" s="191"/>
      <c r="L101" s="211" t="s">
        <v>1064</v>
      </c>
      <c r="M101" s="186" t="s">
        <v>747</v>
      </c>
      <c r="N101" s="686">
        <f>LOOKUP($C$95, T_Stock_Private!$C$26:$C$36, T_Stock_Private!D$26:D$36)*(1+N$25)</f>
        <v>0</v>
      </c>
      <c r="O101" s="686">
        <f>LOOKUP($C$95, T_Stock_Private!$C$26:$C$36, T_Stock_Private!E$26:E$36)*(1+O$25)</f>
        <v>0</v>
      </c>
      <c r="P101" s="686">
        <f>LOOKUP($C$95, T_Stock_Private!$C$26:$C$36, T_Stock_Private!F$26:F$36)*(1+P$25)</f>
        <v>0</v>
      </c>
      <c r="Q101" s="686">
        <f>LOOKUP($C$95, T_Stock_Private!$C$26:$C$36, T_Stock_Private!G$26:G$36)*(1+Q$25)</f>
        <v>0</v>
      </c>
      <c r="R101" s="686">
        <f>LOOKUP($C$95, T_Stock_Private!$C$26:$C$36, T_Stock_Private!H$26:H$36)*(1+R$25)</f>
        <v>0</v>
      </c>
      <c r="S101" s="686">
        <f>LOOKUP($C$95, T_Stock_Private!$C$26:$C$36, T_Stock_Private!I$26:I$36)*(1+S$25)</f>
        <v>0</v>
      </c>
      <c r="T101" s="686">
        <f>LOOKUP($C$95, T_Stock_Private!$C$26:$C$36, T_Stock_Private!J$26:J$36)*(1+T$25)</f>
        <v>0</v>
      </c>
      <c r="U101" s="686">
        <f>LOOKUP($C$95, T_Stock_Private!$C$26:$C$36, T_Stock_Private!K$26:K$36)*(1+U$25)</f>
        <v>0</v>
      </c>
      <c r="V101" s="686">
        <f>LOOKUP($C$95, T_Stock_Private!$C$26:$C$36, T_Stock_Private!L$26:L$36)*(1+V$25)</f>
        <v>0</v>
      </c>
      <c r="W101" s="686">
        <f>LOOKUP($C$95, T_Stock_Private!$C$26:$C$36, T_Stock_Private!M$26:M$36)*(1+W$25)</f>
        <v>0</v>
      </c>
      <c r="X101" s="686">
        <f>LOOKUP($C$95, T_Stock_Private!$C$26:$C$36, T_Stock_Private!N$26:N$36)*(1+X$25)</f>
        <v>0</v>
      </c>
      <c r="Y101" s="686">
        <f>LOOKUP($C$95, T_Stock_Private!$C$26:$C$36, T_Stock_Private!O$26:O$36)*(1+Y$25)</f>
        <v>0</v>
      </c>
      <c r="Z101" s="686">
        <f>LOOKUP($C$95, T_Stock_Private!$C$26:$C$36, T_Stock_Private!P$26:P$36)*(1+Z$25)</f>
        <v>0</v>
      </c>
      <c r="AA101" s="686">
        <f>LOOKUP($C$95, T_Stock_Private!$C$26:$C$36, T_Stock_Private!Q$26:Q$36)*(1+AA$25)</f>
        <v>0</v>
      </c>
      <c r="AB101" s="686">
        <f>LOOKUP($C$95, T_Stock_Private!$C$26:$C$36, T_Stock_Private!R$26:R$36)*(1+AB$25)</f>
        <v>0</v>
      </c>
    </row>
    <row r="102" spans="1:46" s="35" customFormat="1" x14ac:dyDescent="0.3">
      <c r="A102" s="22"/>
      <c r="B102" s="186" t="str">
        <f t="shared" si="65"/>
        <v>TCARHYD100P</v>
      </c>
      <c r="C102" s="186"/>
      <c r="D102" s="187"/>
      <c r="E102" s="186"/>
      <c r="F102" s="170"/>
      <c r="G102" s="213"/>
      <c r="H102" s="170"/>
      <c r="I102" s="190">
        <f>AF$5</f>
        <v>2016</v>
      </c>
      <c r="J102" s="191"/>
      <c r="K102" s="191"/>
      <c r="L102" s="211" t="s">
        <v>1064</v>
      </c>
      <c r="M102" s="186" t="s">
        <v>747</v>
      </c>
      <c r="N102" s="686">
        <f t="shared" ref="N102:AB102" si="67">N$101*LOOKUP($AD$95,$AG$4:$AP$4,$AG5:$AP5)</f>
        <v>0</v>
      </c>
      <c r="O102" s="686">
        <f t="shared" si="67"/>
        <v>0</v>
      </c>
      <c r="P102" s="686">
        <f t="shared" si="67"/>
        <v>0</v>
      </c>
      <c r="Q102" s="686">
        <f t="shared" si="67"/>
        <v>0</v>
      </c>
      <c r="R102" s="686">
        <f t="shared" si="67"/>
        <v>0</v>
      </c>
      <c r="S102" s="686">
        <f t="shared" si="67"/>
        <v>0</v>
      </c>
      <c r="T102" s="686">
        <f t="shared" si="67"/>
        <v>0</v>
      </c>
      <c r="U102" s="686">
        <f t="shared" si="67"/>
        <v>0</v>
      </c>
      <c r="V102" s="686">
        <f t="shared" si="67"/>
        <v>0</v>
      </c>
      <c r="W102" s="686">
        <f t="shared" si="67"/>
        <v>0</v>
      </c>
      <c r="X102" s="686">
        <f t="shared" si="67"/>
        <v>0</v>
      </c>
      <c r="Y102" s="686">
        <f t="shared" si="67"/>
        <v>0</v>
      </c>
      <c r="Z102" s="686">
        <f t="shared" si="67"/>
        <v>0</v>
      </c>
      <c r="AA102" s="686">
        <f t="shared" si="67"/>
        <v>0</v>
      </c>
      <c r="AB102" s="686">
        <f t="shared" si="67"/>
        <v>0</v>
      </c>
      <c r="AE102" s="568">
        <f>SUM(AF102:AT102)</f>
        <v>0</v>
      </c>
      <c r="AF102" s="567">
        <f>N99*N100*N101/1000</f>
        <v>0</v>
      </c>
      <c r="AG102" s="567">
        <f t="shared" ref="AG102:AT102" si="68">O99*O100*O101</f>
        <v>0</v>
      </c>
      <c r="AH102" s="567">
        <f t="shared" si="68"/>
        <v>0</v>
      </c>
      <c r="AI102" s="567">
        <f t="shared" si="68"/>
        <v>0</v>
      </c>
      <c r="AJ102" s="567">
        <f t="shared" si="68"/>
        <v>0</v>
      </c>
      <c r="AK102" s="567">
        <f t="shared" si="68"/>
        <v>0</v>
      </c>
      <c r="AL102" s="567">
        <f t="shared" si="68"/>
        <v>0</v>
      </c>
      <c r="AM102" s="567">
        <f t="shared" si="68"/>
        <v>0</v>
      </c>
      <c r="AN102" s="567">
        <f t="shared" si="68"/>
        <v>0</v>
      </c>
      <c r="AO102" s="567">
        <f t="shared" si="68"/>
        <v>0</v>
      </c>
      <c r="AP102" s="567">
        <f t="shared" si="68"/>
        <v>0</v>
      </c>
      <c r="AQ102" s="567">
        <f t="shared" si="68"/>
        <v>0</v>
      </c>
      <c r="AR102" s="567">
        <f t="shared" si="68"/>
        <v>0</v>
      </c>
      <c r="AS102" s="567">
        <f t="shared" si="68"/>
        <v>0</v>
      </c>
      <c r="AT102" s="567">
        <f t="shared" si="68"/>
        <v>0</v>
      </c>
    </row>
    <row r="103" spans="1:46" s="35" customFormat="1" x14ac:dyDescent="0.3">
      <c r="A103" s="22"/>
      <c r="B103" s="186" t="str">
        <f t="shared" si="65"/>
        <v>TCARHYD100P</v>
      </c>
      <c r="C103" s="186"/>
      <c r="D103" s="187"/>
      <c r="E103" s="186"/>
      <c r="F103" s="170"/>
      <c r="G103" s="213"/>
      <c r="H103" s="170"/>
      <c r="I103" s="190">
        <f>AF$6</f>
        <v>2020</v>
      </c>
      <c r="J103" s="191"/>
      <c r="K103" s="191"/>
      <c r="L103" s="211" t="s">
        <v>1064</v>
      </c>
      <c r="M103" s="186" t="s">
        <v>747</v>
      </c>
      <c r="N103" s="686">
        <f t="shared" ref="N103:AB103" si="69">N$101*LOOKUP($AD$95,$AG$4:$AP$4,$AG6:$AP6)</f>
        <v>0</v>
      </c>
      <c r="O103" s="686">
        <f t="shared" si="69"/>
        <v>0</v>
      </c>
      <c r="P103" s="686">
        <f t="shared" si="69"/>
        <v>0</v>
      </c>
      <c r="Q103" s="686">
        <f t="shared" si="69"/>
        <v>0</v>
      </c>
      <c r="R103" s="686">
        <f t="shared" si="69"/>
        <v>0</v>
      </c>
      <c r="S103" s="686">
        <f t="shared" si="69"/>
        <v>0</v>
      </c>
      <c r="T103" s="686">
        <f t="shared" si="69"/>
        <v>0</v>
      </c>
      <c r="U103" s="686">
        <f t="shared" si="69"/>
        <v>0</v>
      </c>
      <c r="V103" s="686">
        <f t="shared" si="69"/>
        <v>0</v>
      </c>
      <c r="W103" s="686">
        <f t="shared" si="69"/>
        <v>0</v>
      </c>
      <c r="X103" s="686">
        <f t="shared" si="69"/>
        <v>0</v>
      </c>
      <c r="Y103" s="686">
        <f t="shared" si="69"/>
        <v>0</v>
      </c>
      <c r="Z103" s="686">
        <f t="shared" si="69"/>
        <v>0</v>
      </c>
      <c r="AA103" s="686">
        <f t="shared" si="69"/>
        <v>0</v>
      </c>
      <c r="AB103" s="686">
        <f t="shared" si="69"/>
        <v>0</v>
      </c>
    </row>
    <row r="104" spans="1:46" s="35" customFormat="1" x14ac:dyDescent="0.3">
      <c r="A104" s="22"/>
      <c r="B104" s="186" t="str">
        <f t="shared" si="65"/>
        <v>TCARHYD100P</v>
      </c>
      <c r="C104" s="186"/>
      <c r="D104" s="187"/>
      <c r="E104" s="186"/>
      <c r="F104" s="170"/>
      <c r="G104" s="213"/>
      <c r="H104" s="170"/>
      <c r="I104" s="190">
        <f>AF$7</f>
        <v>2025</v>
      </c>
      <c r="J104" s="191"/>
      <c r="K104" s="191"/>
      <c r="L104" s="211" t="s">
        <v>1064</v>
      </c>
      <c r="M104" s="186" t="s">
        <v>747</v>
      </c>
      <c r="N104" s="686">
        <f t="shared" ref="N104:AB104" si="70">N$101*LOOKUP($AD$95,$AG$4:$AP$4,$AG7:$AP7)</f>
        <v>0</v>
      </c>
      <c r="O104" s="686">
        <f t="shared" si="70"/>
        <v>0</v>
      </c>
      <c r="P104" s="686">
        <f t="shared" si="70"/>
        <v>0</v>
      </c>
      <c r="Q104" s="686">
        <f t="shared" si="70"/>
        <v>0</v>
      </c>
      <c r="R104" s="686">
        <f t="shared" si="70"/>
        <v>0</v>
      </c>
      <c r="S104" s="686">
        <f t="shared" si="70"/>
        <v>0</v>
      </c>
      <c r="T104" s="686">
        <f t="shared" si="70"/>
        <v>0</v>
      </c>
      <c r="U104" s="686">
        <f t="shared" si="70"/>
        <v>0</v>
      </c>
      <c r="V104" s="686">
        <f t="shared" si="70"/>
        <v>0</v>
      </c>
      <c r="W104" s="686">
        <f t="shared" si="70"/>
        <v>0</v>
      </c>
      <c r="X104" s="686">
        <f t="shared" si="70"/>
        <v>0</v>
      </c>
      <c r="Y104" s="686">
        <f t="shared" si="70"/>
        <v>0</v>
      </c>
      <c r="Z104" s="686">
        <f t="shared" si="70"/>
        <v>0</v>
      </c>
      <c r="AA104" s="686">
        <f t="shared" si="70"/>
        <v>0</v>
      </c>
      <c r="AB104" s="686">
        <f t="shared" si="70"/>
        <v>0</v>
      </c>
    </row>
    <row r="105" spans="1:46" s="35" customFormat="1" x14ac:dyDescent="0.3">
      <c r="A105" s="22"/>
      <c r="B105" s="186" t="str">
        <f t="shared" si="65"/>
        <v>TCARHYD100P</v>
      </c>
      <c r="C105" s="186"/>
      <c r="D105" s="187"/>
      <c r="E105" s="186"/>
      <c r="F105" s="170"/>
      <c r="G105" s="213"/>
      <c r="H105" s="170"/>
      <c r="I105" s="190">
        <f>AF$8</f>
        <v>2030</v>
      </c>
      <c r="J105" s="191"/>
      <c r="K105" s="191"/>
      <c r="L105" s="211" t="s">
        <v>1064</v>
      </c>
      <c r="M105" s="186" t="s">
        <v>747</v>
      </c>
      <c r="N105" s="686">
        <f t="shared" ref="N105:AB105" si="71">N$101*LOOKUP($AD$95,$AG$4:$AP$4,$AG8:$AP8)</f>
        <v>0</v>
      </c>
      <c r="O105" s="686">
        <f t="shared" si="71"/>
        <v>0</v>
      </c>
      <c r="P105" s="686">
        <f t="shared" si="71"/>
        <v>0</v>
      </c>
      <c r="Q105" s="686">
        <f t="shared" si="71"/>
        <v>0</v>
      </c>
      <c r="R105" s="686">
        <f t="shared" si="71"/>
        <v>0</v>
      </c>
      <c r="S105" s="686">
        <f t="shared" si="71"/>
        <v>0</v>
      </c>
      <c r="T105" s="686">
        <f t="shared" si="71"/>
        <v>0</v>
      </c>
      <c r="U105" s="686">
        <f t="shared" si="71"/>
        <v>0</v>
      </c>
      <c r="V105" s="686">
        <f t="shared" si="71"/>
        <v>0</v>
      </c>
      <c r="W105" s="686">
        <f t="shared" si="71"/>
        <v>0</v>
      </c>
      <c r="X105" s="686">
        <f t="shared" si="71"/>
        <v>0</v>
      </c>
      <c r="Y105" s="686">
        <f t="shared" si="71"/>
        <v>0</v>
      </c>
      <c r="Z105" s="686">
        <f t="shared" si="71"/>
        <v>0</v>
      </c>
      <c r="AA105" s="686">
        <f t="shared" si="71"/>
        <v>0</v>
      </c>
      <c r="AB105" s="686">
        <f t="shared" si="71"/>
        <v>0</v>
      </c>
    </row>
    <row r="106" spans="1:46" s="35" customFormat="1" x14ac:dyDescent="0.3">
      <c r="A106" s="22"/>
      <c r="B106" s="186" t="str">
        <f t="shared" si="65"/>
        <v>TCARHYD100P</v>
      </c>
      <c r="C106" s="186"/>
      <c r="D106" s="187"/>
      <c r="E106" s="186"/>
      <c r="F106" s="170"/>
      <c r="G106" s="213"/>
      <c r="H106" s="170"/>
      <c r="I106" s="190">
        <f>AF$9</f>
        <v>2040</v>
      </c>
      <c r="J106" s="191"/>
      <c r="K106" s="191"/>
      <c r="L106" s="211" t="s">
        <v>1064</v>
      </c>
      <c r="M106" s="186" t="s">
        <v>747</v>
      </c>
      <c r="N106" s="686">
        <f t="shared" ref="N106:AB106" si="72">N$101*LOOKUP($AD$95,$AG$4:$AP$4,$AG9:$AP9)</f>
        <v>0</v>
      </c>
      <c r="O106" s="686">
        <f t="shared" si="72"/>
        <v>0</v>
      </c>
      <c r="P106" s="686">
        <f t="shared" si="72"/>
        <v>0</v>
      </c>
      <c r="Q106" s="686">
        <f t="shared" si="72"/>
        <v>0</v>
      </c>
      <c r="R106" s="686">
        <f t="shared" si="72"/>
        <v>0</v>
      </c>
      <c r="S106" s="686">
        <f t="shared" si="72"/>
        <v>0</v>
      </c>
      <c r="T106" s="686">
        <f t="shared" si="72"/>
        <v>0</v>
      </c>
      <c r="U106" s="686">
        <f t="shared" si="72"/>
        <v>0</v>
      </c>
      <c r="V106" s="686">
        <f t="shared" si="72"/>
        <v>0</v>
      </c>
      <c r="W106" s="686">
        <f t="shared" si="72"/>
        <v>0</v>
      </c>
      <c r="X106" s="686">
        <f t="shared" si="72"/>
        <v>0</v>
      </c>
      <c r="Y106" s="686">
        <f t="shared" si="72"/>
        <v>0</v>
      </c>
      <c r="Z106" s="686">
        <f t="shared" si="72"/>
        <v>0</v>
      </c>
      <c r="AA106" s="686">
        <f t="shared" si="72"/>
        <v>0</v>
      </c>
      <c r="AB106" s="686">
        <f t="shared" si="72"/>
        <v>0</v>
      </c>
    </row>
    <row r="107" spans="1:46" s="35" customFormat="1" x14ac:dyDescent="0.3">
      <c r="A107" s="22"/>
      <c r="B107" s="193" t="str">
        <f t="shared" si="65"/>
        <v>TCARHYD100P</v>
      </c>
      <c r="C107" s="193"/>
      <c r="D107" s="194"/>
      <c r="E107" s="193"/>
      <c r="F107" s="196"/>
      <c r="G107" s="215"/>
      <c r="H107" s="196"/>
      <c r="I107" s="197">
        <f>AF$10</f>
        <v>2050</v>
      </c>
      <c r="J107" s="198"/>
      <c r="K107" s="198"/>
      <c r="L107" s="212" t="s">
        <v>1064</v>
      </c>
      <c r="M107" s="193" t="s">
        <v>747</v>
      </c>
      <c r="N107" s="687">
        <f t="shared" ref="N107:AB107" si="73">N$101*LOOKUP($AD$95,$AG$4:$AP$4,$AG10:$AP10)</f>
        <v>0</v>
      </c>
      <c r="O107" s="687">
        <f t="shared" si="73"/>
        <v>0</v>
      </c>
      <c r="P107" s="687">
        <f t="shared" si="73"/>
        <v>0</v>
      </c>
      <c r="Q107" s="687">
        <f t="shared" si="73"/>
        <v>0</v>
      </c>
      <c r="R107" s="687">
        <f t="shared" si="73"/>
        <v>0</v>
      </c>
      <c r="S107" s="687">
        <f t="shared" si="73"/>
        <v>0</v>
      </c>
      <c r="T107" s="687">
        <f t="shared" si="73"/>
        <v>0</v>
      </c>
      <c r="U107" s="687">
        <f t="shared" si="73"/>
        <v>0</v>
      </c>
      <c r="V107" s="687">
        <f t="shared" si="73"/>
        <v>0</v>
      </c>
      <c r="W107" s="687">
        <f t="shared" si="73"/>
        <v>0</v>
      </c>
      <c r="X107" s="687">
        <f t="shared" si="73"/>
        <v>0</v>
      </c>
      <c r="Y107" s="687">
        <f t="shared" si="73"/>
        <v>0</v>
      </c>
      <c r="Z107" s="687">
        <f t="shared" si="73"/>
        <v>0</v>
      </c>
      <c r="AA107" s="687">
        <f t="shared" si="73"/>
        <v>0</v>
      </c>
      <c r="AB107" s="687">
        <f t="shared" si="73"/>
        <v>0</v>
      </c>
    </row>
    <row r="108" spans="1:46" s="35" customFormat="1" x14ac:dyDescent="0.3">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3">
      <c r="A109" s="22"/>
      <c r="B109" s="186" t="str">
        <f t="shared" ref="B109:B120" si="75">B108</f>
        <v>TCARHYG100P</v>
      </c>
      <c r="C109" s="186"/>
      <c r="D109" s="187"/>
      <c r="E109" s="258" t="s">
        <v>1011</v>
      </c>
      <c r="F109" s="170"/>
      <c r="G109" s="213"/>
      <c r="H109" s="170"/>
      <c r="I109" s="190"/>
      <c r="J109" s="191" t="s">
        <v>1156</v>
      </c>
      <c r="K109" s="191"/>
      <c r="L109" s="211" t="s">
        <v>101</v>
      </c>
      <c r="M109" s="186"/>
      <c r="N109" s="377">
        <f>N$18</f>
        <v>5.0999999999999997E-2</v>
      </c>
      <c r="O109" s="377">
        <f t="shared" ref="O109:AB109" si="76">O$18</f>
        <v>5.0999999999999997E-2</v>
      </c>
      <c r="P109" s="377">
        <f t="shared" si="76"/>
        <v>5.0999999999999997E-2</v>
      </c>
      <c r="Q109" s="377">
        <f t="shared" si="76"/>
        <v>5.0999999999999997E-2</v>
      </c>
      <c r="R109" s="377">
        <f t="shared" si="76"/>
        <v>5.0999999999999997E-2</v>
      </c>
      <c r="S109" s="377">
        <f t="shared" si="76"/>
        <v>5.0999999999999997E-2</v>
      </c>
      <c r="T109" s="377">
        <f t="shared" si="76"/>
        <v>5.0999999999999997E-2</v>
      </c>
      <c r="U109" s="377">
        <f t="shared" si="76"/>
        <v>5.0999999999999997E-2</v>
      </c>
      <c r="V109" s="377">
        <f t="shared" si="76"/>
        <v>5.0999999999999997E-2</v>
      </c>
      <c r="W109" s="377">
        <f t="shared" si="76"/>
        <v>5.0999999999999997E-2</v>
      </c>
      <c r="X109" s="377">
        <f t="shared" si="76"/>
        <v>5.0999999999999997E-2</v>
      </c>
      <c r="Y109" s="377">
        <f t="shared" si="76"/>
        <v>5.0999999999999997E-2</v>
      </c>
      <c r="Z109" s="377">
        <f t="shared" si="76"/>
        <v>5.0999999999999997E-2</v>
      </c>
      <c r="AA109" s="377">
        <f t="shared" si="76"/>
        <v>5.0999999999999997E-2</v>
      </c>
      <c r="AB109" s="377">
        <f t="shared" si="76"/>
        <v>5.0999999999999997E-2</v>
      </c>
      <c r="AD109" s="66" t="str">
        <f>IF(COUNTIF($AG$4:$AP$4,AD108)=1,"ok","MISSING")</f>
        <v>ok</v>
      </c>
    </row>
    <row r="110" spans="1:46" s="35" customFormat="1" x14ac:dyDescent="0.3">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3">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3">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3">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3">
      <c r="A114" s="22"/>
      <c r="B114" s="186" t="str">
        <f t="shared" si="75"/>
        <v>TCARHYG100P</v>
      </c>
      <c r="C114" s="186"/>
      <c r="D114" s="187"/>
      <c r="E114" s="186"/>
      <c r="F114" s="170"/>
      <c r="G114" s="213"/>
      <c r="H114" s="170"/>
      <c r="I114" s="190">
        <f>$M$3</f>
        <v>2019</v>
      </c>
      <c r="J114" s="191"/>
      <c r="K114" s="191"/>
      <c r="L114" s="211" t="s">
        <v>1064</v>
      </c>
      <c r="M114" s="186" t="s">
        <v>747</v>
      </c>
      <c r="N114" s="686">
        <f>LOOKUP($C$108, T_Stock_Private!$C$26:$C$36, T_Stock_Private!D$26:D$36)*(1+N$25)</f>
        <v>0</v>
      </c>
      <c r="O114" s="686">
        <f>LOOKUP($C$108, T_Stock_Private!$C$26:$C$36, T_Stock_Private!E$26:E$36)*(1+O$25)</f>
        <v>0</v>
      </c>
      <c r="P114" s="686">
        <f>LOOKUP($C$108, T_Stock_Private!$C$26:$C$36, T_Stock_Private!F$26:F$36)*(1+P$25)</f>
        <v>0</v>
      </c>
      <c r="Q114" s="686">
        <f>LOOKUP($C$108, T_Stock_Private!$C$26:$C$36, T_Stock_Private!G$26:G$36)*(1+Q$25)</f>
        <v>0</v>
      </c>
      <c r="R114" s="686">
        <f>LOOKUP($C$108, T_Stock_Private!$C$26:$C$36, T_Stock_Private!H$26:H$36)*(1+R$25)</f>
        <v>0</v>
      </c>
      <c r="S114" s="686">
        <f>LOOKUP($C$108, T_Stock_Private!$C$26:$C$36, T_Stock_Private!I$26:I$36)*(1+S$25)</f>
        <v>0</v>
      </c>
      <c r="T114" s="686">
        <f>LOOKUP($C$108, T_Stock_Private!$C$26:$C$36, T_Stock_Private!J$26:J$36)*(1+T$25)</f>
        <v>0</v>
      </c>
      <c r="U114" s="686">
        <f>LOOKUP($C$108, T_Stock_Private!$C$26:$C$36, T_Stock_Private!K$26:K$36)*(1+U$25)</f>
        <v>0</v>
      </c>
      <c r="V114" s="686">
        <f>LOOKUP($C$108, T_Stock_Private!$C$26:$C$36, T_Stock_Private!L$26:L$36)*(1+V$25)</f>
        <v>0</v>
      </c>
      <c r="W114" s="686">
        <f>LOOKUP($C$108, T_Stock_Private!$C$26:$C$36, T_Stock_Private!M$26:M$36)*(1+W$25)</f>
        <v>0</v>
      </c>
      <c r="X114" s="686">
        <f>LOOKUP($C$108, T_Stock_Private!$C$26:$C$36, T_Stock_Private!N$26:N$36)*(1+X$25)</f>
        <v>0</v>
      </c>
      <c r="Y114" s="686">
        <f>LOOKUP($C$108, T_Stock_Private!$C$26:$C$36, T_Stock_Private!O$26:O$36)*(1+Y$25)</f>
        <v>0</v>
      </c>
      <c r="Z114" s="686">
        <f>LOOKUP($C$108, T_Stock_Private!$C$26:$C$36, T_Stock_Private!P$26:P$36)*(1+Z$25)</f>
        <v>0</v>
      </c>
      <c r="AA114" s="686">
        <f>LOOKUP($C$108, T_Stock_Private!$C$26:$C$36, T_Stock_Private!Q$26:Q$36)*(1+AA$25)</f>
        <v>0</v>
      </c>
      <c r="AB114" s="686">
        <f>LOOKUP($C$108, T_Stock_Private!$C$26:$C$36, T_Stock_Private!R$26:R$36)*(1+AB$25)</f>
        <v>0</v>
      </c>
    </row>
    <row r="115" spans="1:46" s="35" customFormat="1" x14ac:dyDescent="0.3">
      <c r="A115" s="22"/>
      <c r="B115" s="186" t="str">
        <f t="shared" si="75"/>
        <v>TCARHYG100P</v>
      </c>
      <c r="C115" s="186"/>
      <c r="D115" s="187"/>
      <c r="E115" s="186"/>
      <c r="F115" s="170"/>
      <c r="G115" s="213"/>
      <c r="H115" s="170"/>
      <c r="I115" s="190">
        <f>AF$5</f>
        <v>2016</v>
      </c>
      <c r="J115" s="191"/>
      <c r="K115" s="191"/>
      <c r="L115" s="211" t="s">
        <v>1064</v>
      </c>
      <c r="M115" s="186" t="s">
        <v>747</v>
      </c>
      <c r="N115" s="686">
        <f t="shared" ref="N115:AB115" si="78">N$114*LOOKUP($AD$108,$AG$4:$AP$4,$AG5:$AP5)</f>
        <v>0</v>
      </c>
      <c r="O115" s="686">
        <f t="shared" si="78"/>
        <v>0</v>
      </c>
      <c r="P115" s="686">
        <f t="shared" si="78"/>
        <v>0</v>
      </c>
      <c r="Q115" s="686">
        <f t="shared" si="78"/>
        <v>0</v>
      </c>
      <c r="R115" s="686">
        <f t="shared" si="78"/>
        <v>0</v>
      </c>
      <c r="S115" s="686">
        <f t="shared" si="78"/>
        <v>0</v>
      </c>
      <c r="T115" s="686">
        <f t="shared" si="78"/>
        <v>0</v>
      </c>
      <c r="U115" s="686">
        <f t="shared" si="78"/>
        <v>0</v>
      </c>
      <c r="V115" s="686">
        <f t="shared" si="78"/>
        <v>0</v>
      </c>
      <c r="W115" s="686">
        <f t="shared" si="78"/>
        <v>0</v>
      </c>
      <c r="X115" s="686">
        <f t="shared" si="78"/>
        <v>0</v>
      </c>
      <c r="Y115" s="686">
        <f t="shared" si="78"/>
        <v>0</v>
      </c>
      <c r="Z115" s="686">
        <f t="shared" si="78"/>
        <v>0</v>
      </c>
      <c r="AA115" s="686">
        <f t="shared" si="78"/>
        <v>0</v>
      </c>
      <c r="AB115" s="686">
        <f t="shared" si="78"/>
        <v>0</v>
      </c>
      <c r="AE115" s="568">
        <f>SUM(AF115:AT115)</f>
        <v>0</v>
      </c>
      <c r="AF115" s="567">
        <f>N112*N113*N114/1000</f>
        <v>0</v>
      </c>
      <c r="AG115" s="567">
        <f t="shared" ref="AG115:AT115" si="79">O112*O113*O114</f>
        <v>0</v>
      </c>
      <c r="AH115" s="567">
        <f t="shared" si="79"/>
        <v>0</v>
      </c>
      <c r="AI115" s="567">
        <f t="shared" si="79"/>
        <v>0</v>
      </c>
      <c r="AJ115" s="567">
        <f t="shared" si="79"/>
        <v>0</v>
      </c>
      <c r="AK115" s="567">
        <f t="shared" si="79"/>
        <v>0</v>
      </c>
      <c r="AL115" s="567">
        <f t="shared" si="79"/>
        <v>0</v>
      </c>
      <c r="AM115" s="567">
        <f t="shared" si="79"/>
        <v>0</v>
      </c>
      <c r="AN115" s="567">
        <f t="shared" si="79"/>
        <v>0</v>
      </c>
      <c r="AO115" s="567">
        <f t="shared" si="79"/>
        <v>0</v>
      </c>
      <c r="AP115" s="567">
        <f t="shared" si="79"/>
        <v>0</v>
      </c>
      <c r="AQ115" s="567">
        <f t="shared" si="79"/>
        <v>0</v>
      </c>
      <c r="AR115" s="567">
        <f t="shared" si="79"/>
        <v>0</v>
      </c>
      <c r="AS115" s="567">
        <f t="shared" si="79"/>
        <v>0</v>
      </c>
      <c r="AT115" s="567">
        <f t="shared" si="79"/>
        <v>0</v>
      </c>
    </row>
    <row r="116" spans="1:46" s="35" customFormat="1" x14ac:dyDescent="0.3">
      <c r="A116" s="22"/>
      <c r="B116" s="186" t="str">
        <f t="shared" si="75"/>
        <v>TCARHYG100P</v>
      </c>
      <c r="C116" s="186"/>
      <c r="D116" s="187"/>
      <c r="E116" s="186"/>
      <c r="F116" s="170"/>
      <c r="G116" s="213"/>
      <c r="H116" s="170"/>
      <c r="I116" s="190">
        <f>AF$6</f>
        <v>2020</v>
      </c>
      <c r="J116" s="191"/>
      <c r="K116" s="191"/>
      <c r="L116" s="211" t="s">
        <v>1064</v>
      </c>
      <c r="M116" s="186" t="s">
        <v>747</v>
      </c>
      <c r="N116" s="686">
        <f t="shared" ref="N116:AB116" si="80">N$114*LOOKUP($AD$108,$AG$4:$AP$4,$AG6:$AP6)</f>
        <v>0</v>
      </c>
      <c r="O116" s="686">
        <f t="shared" si="80"/>
        <v>0</v>
      </c>
      <c r="P116" s="686">
        <f t="shared" si="80"/>
        <v>0</v>
      </c>
      <c r="Q116" s="686">
        <f t="shared" si="80"/>
        <v>0</v>
      </c>
      <c r="R116" s="686">
        <f t="shared" si="80"/>
        <v>0</v>
      </c>
      <c r="S116" s="686">
        <f t="shared" si="80"/>
        <v>0</v>
      </c>
      <c r="T116" s="686">
        <f t="shared" si="80"/>
        <v>0</v>
      </c>
      <c r="U116" s="686">
        <f t="shared" si="80"/>
        <v>0</v>
      </c>
      <c r="V116" s="686">
        <f t="shared" si="80"/>
        <v>0</v>
      </c>
      <c r="W116" s="686">
        <f t="shared" si="80"/>
        <v>0</v>
      </c>
      <c r="X116" s="686">
        <f t="shared" si="80"/>
        <v>0</v>
      </c>
      <c r="Y116" s="686">
        <f t="shared" si="80"/>
        <v>0</v>
      </c>
      <c r="Z116" s="686">
        <f t="shared" si="80"/>
        <v>0</v>
      </c>
      <c r="AA116" s="686">
        <f t="shared" si="80"/>
        <v>0</v>
      </c>
      <c r="AB116" s="686">
        <f t="shared" si="80"/>
        <v>0</v>
      </c>
    </row>
    <row r="117" spans="1:46" s="35" customFormat="1" x14ac:dyDescent="0.3">
      <c r="A117" s="22"/>
      <c r="B117" s="186" t="str">
        <f t="shared" si="75"/>
        <v>TCARHYG100P</v>
      </c>
      <c r="C117" s="186"/>
      <c r="D117" s="187"/>
      <c r="E117" s="186"/>
      <c r="F117" s="170"/>
      <c r="G117" s="213"/>
      <c r="H117" s="170"/>
      <c r="I117" s="190">
        <v>2025</v>
      </c>
      <c r="J117" s="191"/>
      <c r="K117" s="191"/>
      <c r="L117" s="211" t="s">
        <v>1064</v>
      </c>
      <c r="M117" s="186" t="s">
        <v>747</v>
      </c>
      <c r="N117" s="686">
        <f t="shared" ref="N117:AB117" si="81">N$114*LOOKUP($AD$108,$AG$4:$AP$4,$AG7:$AP7)</f>
        <v>0</v>
      </c>
      <c r="O117" s="686">
        <f t="shared" si="81"/>
        <v>0</v>
      </c>
      <c r="P117" s="686">
        <f t="shared" si="81"/>
        <v>0</v>
      </c>
      <c r="Q117" s="686">
        <f t="shared" si="81"/>
        <v>0</v>
      </c>
      <c r="R117" s="686">
        <f t="shared" si="81"/>
        <v>0</v>
      </c>
      <c r="S117" s="686">
        <f t="shared" si="81"/>
        <v>0</v>
      </c>
      <c r="T117" s="686">
        <f t="shared" si="81"/>
        <v>0</v>
      </c>
      <c r="U117" s="686">
        <f t="shared" si="81"/>
        <v>0</v>
      </c>
      <c r="V117" s="686">
        <f t="shared" si="81"/>
        <v>0</v>
      </c>
      <c r="W117" s="686">
        <f t="shared" si="81"/>
        <v>0</v>
      </c>
      <c r="X117" s="686">
        <f t="shared" si="81"/>
        <v>0</v>
      </c>
      <c r="Y117" s="686">
        <f t="shared" si="81"/>
        <v>0</v>
      </c>
      <c r="Z117" s="686">
        <f t="shared" si="81"/>
        <v>0</v>
      </c>
      <c r="AA117" s="686">
        <f t="shared" si="81"/>
        <v>0</v>
      </c>
      <c r="AB117" s="686">
        <f t="shared" si="81"/>
        <v>0</v>
      </c>
    </row>
    <row r="118" spans="1:46" s="35" customFormat="1" x14ac:dyDescent="0.3">
      <c r="A118" s="22"/>
      <c r="B118" s="186" t="str">
        <f t="shared" si="75"/>
        <v>TCARHYG100P</v>
      </c>
      <c r="C118" s="186"/>
      <c r="D118" s="187"/>
      <c r="E118" s="186"/>
      <c r="F118" s="170"/>
      <c r="G118" s="213"/>
      <c r="H118" s="170"/>
      <c r="I118" s="190">
        <f>AF$8</f>
        <v>2030</v>
      </c>
      <c r="J118" s="191"/>
      <c r="K118" s="191"/>
      <c r="L118" s="211" t="s">
        <v>1064</v>
      </c>
      <c r="M118" s="186" t="s">
        <v>747</v>
      </c>
      <c r="N118" s="686">
        <f t="shared" ref="N118:AB118" si="82">N$114*LOOKUP($AD$108,$AG$4:$AP$4,$AG8:$AP8)</f>
        <v>0</v>
      </c>
      <c r="O118" s="686">
        <f t="shared" si="82"/>
        <v>0</v>
      </c>
      <c r="P118" s="686">
        <f t="shared" si="82"/>
        <v>0</v>
      </c>
      <c r="Q118" s="686">
        <f t="shared" si="82"/>
        <v>0</v>
      </c>
      <c r="R118" s="686">
        <f t="shared" si="82"/>
        <v>0</v>
      </c>
      <c r="S118" s="686">
        <f t="shared" si="82"/>
        <v>0</v>
      </c>
      <c r="T118" s="686">
        <f t="shared" si="82"/>
        <v>0</v>
      </c>
      <c r="U118" s="686">
        <f t="shared" si="82"/>
        <v>0</v>
      </c>
      <c r="V118" s="686">
        <f t="shared" si="82"/>
        <v>0</v>
      </c>
      <c r="W118" s="686">
        <f t="shared" si="82"/>
        <v>0</v>
      </c>
      <c r="X118" s="686">
        <f t="shared" si="82"/>
        <v>0</v>
      </c>
      <c r="Y118" s="686">
        <f t="shared" si="82"/>
        <v>0</v>
      </c>
      <c r="Z118" s="686">
        <f t="shared" si="82"/>
        <v>0</v>
      </c>
      <c r="AA118" s="686">
        <f t="shared" si="82"/>
        <v>0</v>
      </c>
      <c r="AB118" s="686">
        <f t="shared" si="82"/>
        <v>0</v>
      </c>
    </row>
    <row r="119" spans="1:46" s="35" customFormat="1" x14ac:dyDescent="0.3">
      <c r="A119" s="22"/>
      <c r="B119" s="186" t="str">
        <f t="shared" si="75"/>
        <v>TCARHYG100P</v>
      </c>
      <c r="C119" s="186"/>
      <c r="D119" s="187"/>
      <c r="E119" s="186"/>
      <c r="F119" s="170"/>
      <c r="G119" s="213"/>
      <c r="H119" s="170"/>
      <c r="I119" s="190">
        <f>AF$9</f>
        <v>2040</v>
      </c>
      <c r="J119" s="191"/>
      <c r="K119" s="191"/>
      <c r="L119" s="211" t="s">
        <v>1064</v>
      </c>
      <c r="M119" s="186" t="s">
        <v>747</v>
      </c>
      <c r="N119" s="686">
        <f t="shared" ref="N119:AB119" si="83">N$114*LOOKUP($AD$108,$AG$4:$AP$4,$AG9:$AP9)</f>
        <v>0</v>
      </c>
      <c r="O119" s="686">
        <f t="shared" si="83"/>
        <v>0</v>
      </c>
      <c r="P119" s="686">
        <f t="shared" si="83"/>
        <v>0</v>
      </c>
      <c r="Q119" s="686">
        <f t="shared" si="83"/>
        <v>0</v>
      </c>
      <c r="R119" s="686">
        <f t="shared" si="83"/>
        <v>0</v>
      </c>
      <c r="S119" s="686">
        <f t="shared" si="83"/>
        <v>0</v>
      </c>
      <c r="T119" s="686">
        <f t="shared" si="83"/>
        <v>0</v>
      </c>
      <c r="U119" s="686">
        <f t="shared" si="83"/>
        <v>0</v>
      </c>
      <c r="V119" s="686">
        <f t="shared" si="83"/>
        <v>0</v>
      </c>
      <c r="W119" s="686">
        <f t="shared" si="83"/>
        <v>0</v>
      </c>
      <c r="X119" s="686">
        <f t="shared" si="83"/>
        <v>0</v>
      </c>
      <c r="Y119" s="686">
        <f t="shared" si="83"/>
        <v>0</v>
      </c>
      <c r="Z119" s="686">
        <f t="shared" si="83"/>
        <v>0</v>
      </c>
      <c r="AA119" s="686">
        <f t="shared" si="83"/>
        <v>0</v>
      </c>
      <c r="AB119" s="686">
        <f t="shared" si="83"/>
        <v>0</v>
      </c>
    </row>
    <row r="120" spans="1:46" s="35" customFormat="1" x14ac:dyDescent="0.3">
      <c r="A120" s="22"/>
      <c r="B120" s="193" t="str">
        <f t="shared" si="75"/>
        <v>TCARHYG100P</v>
      </c>
      <c r="C120" s="193"/>
      <c r="D120" s="194"/>
      <c r="E120" s="193"/>
      <c r="F120" s="196"/>
      <c r="G120" s="215"/>
      <c r="H120" s="196"/>
      <c r="I120" s="197">
        <f>AF$10</f>
        <v>2050</v>
      </c>
      <c r="J120" s="198"/>
      <c r="K120" s="198"/>
      <c r="L120" s="212" t="s">
        <v>1064</v>
      </c>
      <c r="M120" s="193" t="s">
        <v>747</v>
      </c>
      <c r="N120" s="687">
        <f t="shared" ref="N120:AB120" si="84">N$114*LOOKUP($AD$108,$AG$4:$AP$4,$AG10:$AP10)</f>
        <v>0</v>
      </c>
      <c r="O120" s="687">
        <f t="shared" si="84"/>
        <v>0</v>
      </c>
      <c r="P120" s="687">
        <f t="shared" si="84"/>
        <v>0</v>
      </c>
      <c r="Q120" s="687">
        <f t="shared" si="84"/>
        <v>0</v>
      </c>
      <c r="R120" s="687">
        <f t="shared" si="84"/>
        <v>0</v>
      </c>
      <c r="S120" s="687">
        <f t="shared" si="84"/>
        <v>0</v>
      </c>
      <c r="T120" s="687">
        <f t="shared" si="84"/>
        <v>0</v>
      </c>
      <c r="U120" s="687">
        <f t="shared" si="84"/>
        <v>0</v>
      </c>
      <c r="V120" s="687">
        <f t="shared" si="84"/>
        <v>0</v>
      </c>
      <c r="W120" s="687">
        <f t="shared" si="84"/>
        <v>0</v>
      </c>
      <c r="X120" s="687">
        <f t="shared" si="84"/>
        <v>0</v>
      </c>
      <c r="Y120" s="687">
        <f t="shared" si="84"/>
        <v>0</v>
      </c>
      <c r="Z120" s="687">
        <f t="shared" si="84"/>
        <v>0</v>
      </c>
      <c r="AA120" s="687">
        <f t="shared" si="84"/>
        <v>0</v>
      </c>
      <c r="AB120" s="687">
        <f t="shared" si="84"/>
        <v>0</v>
      </c>
    </row>
    <row r="121" spans="1:46" s="35" customFormat="1" x14ac:dyDescent="0.3">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3">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3">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3">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3">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3">
      <c r="A126" s="22"/>
      <c r="B126" s="186" t="str">
        <f t="shared" si="86"/>
        <v>TCARLPG100P</v>
      </c>
      <c r="C126" s="186"/>
      <c r="D126" s="187"/>
      <c r="E126" s="186"/>
      <c r="F126" s="170"/>
      <c r="G126" s="189"/>
      <c r="H126" s="170"/>
      <c r="I126" s="190">
        <f>$M$3</f>
        <v>2019</v>
      </c>
      <c r="J126" s="191"/>
      <c r="K126" s="191"/>
      <c r="L126" s="211" t="s">
        <v>1064</v>
      </c>
      <c r="M126" s="186" t="s">
        <v>747</v>
      </c>
      <c r="N126" s="686">
        <f>LOOKUP($C$121, T_Stock_Private!$C$26:$C$36, T_Stock_Private!D$26:D$36)*(1+N$25)</f>
        <v>0</v>
      </c>
      <c r="O126" s="686">
        <f>LOOKUP($C$121, T_Stock_Private!$C$26:$C$36, T_Stock_Private!E$26:E$36)*(1+O$25)</f>
        <v>0</v>
      </c>
      <c r="P126" s="686">
        <f>LOOKUP($C$121, T_Stock_Private!$C$26:$C$36, T_Stock_Private!F$26:F$36)*(1+P$25)</f>
        <v>0</v>
      </c>
      <c r="Q126" s="686">
        <f>LOOKUP($C$121, T_Stock_Private!$C$26:$C$36, T_Stock_Private!G$26:G$36)*(1+Q$25)</f>
        <v>0</v>
      </c>
      <c r="R126" s="686">
        <f>LOOKUP($C$121, T_Stock_Private!$C$26:$C$36, T_Stock_Private!H$26:H$36)*(1+R$25)</f>
        <v>0</v>
      </c>
      <c r="S126" s="686">
        <f>LOOKUP($C$121, T_Stock_Private!$C$26:$C$36, T_Stock_Private!I$26:I$36)*(1+S$25)</f>
        <v>0</v>
      </c>
      <c r="T126" s="686">
        <f>LOOKUP($C$121, T_Stock_Private!$C$26:$C$36, T_Stock_Private!J$26:J$36)*(1+T$25)</f>
        <v>0</v>
      </c>
      <c r="U126" s="686">
        <f>LOOKUP($C$121, T_Stock_Private!$C$26:$C$36, T_Stock_Private!K$26:K$36)*(1+U$25)</f>
        <v>0</v>
      </c>
      <c r="V126" s="686">
        <f>LOOKUP($C$121, T_Stock_Private!$C$26:$C$36, T_Stock_Private!L$26:L$36)*(1+V$25)</f>
        <v>0</v>
      </c>
      <c r="W126" s="686">
        <f>LOOKUP($C$121, T_Stock_Private!$C$26:$C$36, T_Stock_Private!M$26:M$36)*(1+W$25)</f>
        <v>0</v>
      </c>
      <c r="X126" s="686">
        <f>LOOKUP($C$121, T_Stock_Private!$C$26:$C$36, T_Stock_Private!N$26:N$36)*(1+X$25)</f>
        <v>0</v>
      </c>
      <c r="Y126" s="686">
        <f>LOOKUP($C$121, T_Stock_Private!$C$26:$C$36, T_Stock_Private!O$26:O$36)*(1+Y$25)</f>
        <v>0</v>
      </c>
      <c r="Z126" s="686">
        <f>LOOKUP($C$121, T_Stock_Private!$C$26:$C$36, T_Stock_Private!P$26:P$36)*(1+Z$25)</f>
        <v>0</v>
      </c>
      <c r="AA126" s="686">
        <f>LOOKUP($C$121, T_Stock_Private!$C$26:$C$36, T_Stock_Private!Q$26:Q$36)*(1+AA$25)</f>
        <v>0</v>
      </c>
      <c r="AB126" s="686">
        <f>LOOKUP($C$121, T_Stock_Private!$C$26:$C$36, T_Stock_Private!R$26:R$36)*(1+AB$25)</f>
        <v>0</v>
      </c>
    </row>
    <row r="127" spans="1:46" s="35" customFormat="1" x14ac:dyDescent="0.3">
      <c r="A127" s="22"/>
      <c r="B127" s="186" t="str">
        <f t="shared" si="86"/>
        <v>TCARLPG100P</v>
      </c>
      <c r="C127" s="186"/>
      <c r="D127" s="187"/>
      <c r="E127" s="186"/>
      <c r="F127" s="170"/>
      <c r="G127" s="189"/>
      <c r="H127" s="170"/>
      <c r="I127" s="190">
        <f>AF$5</f>
        <v>2016</v>
      </c>
      <c r="J127" s="191"/>
      <c r="K127" s="191"/>
      <c r="L127" s="211" t="s">
        <v>1064</v>
      </c>
      <c r="M127" s="186" t="s">
        <v>747</v>
      </c>
      <c r="N127" s="686">
        <f t="shared" ref="N127:AB127" si="88">N$126*LOOKUP($AD$121,$AG$4:$AP$4,$AG5:$AP5)</f>
        <v>0</v>
      </c>
      <c r="O127" s="686">
        <f t="shared" si="88"/>
        <v>0</v>
      </c>
      <c r="P127" s="686">
        <f t="shared" si="88"/>
        <v>0</v>
      </c>
      <c r="Q127" s="686">
        <f t="shared" si="88"/>
        <v>0</v>
      </c>
      <c r="R127" s="686">
        <f t="shared" si="88"/>
        <v>0</v>
      </c>
      <c r="S127" s="686">
        <f t="shared" si="88"/>
        <v>0</v>
      </c>
      <c r="T127" s="686">
        <f t="shared" si="88"/>
        <v>0</v>
      </c>
      <c r="U127" s="686">
        <f t="shared" si="88"/>
        <v>0</v>
      </c>
      <c r="V127" s="686">
        <f t="shared" si="88"/>
        <v>0</v>
      </c>
      <c r="W127" s="686">
        <f t="shared" si="88"/>
        <v>0</v>
      </c>
      <c r="X127" s="686">
        <f t="shared" si="88"/>
        <v>0</v>
      </c>
      <c r="Y127" s="686">
        <f t="shared" si="88"/>
        <v>0</v>
      </c>
      <c r="Z127" s="686">
        <f t="shared" si="88"/>
        <v>0</v>
      </c>
      <c r="AA127" s="686">
        <f t="shared" si="88"/>
        <v>0</v>
      </c>
      <c r="AB127" s="686">
        <f t="shared" si="88"/>
        <v>0</v>
      </c>
      <c r="AE127" s="568">
        <f>SUM(AF127:AT127)</f>
        <v>0</v>
      </c>
      <c r="AF127" s="567">
        <f>N124*N125*N126/1000</f>
        <v>0</v>
      </c>
      <c r="AG127" s="567">
        <f t="shared" ref="AG127:AT127" si="89">O124*O125*O126</f>
        <v>0</v>
      </c>
      <c r="AH127" s="567">
        <f t="shared" si="89"/>
        <v>0</v>
      </c>
      <c r="AI127" s="567">
        <f t="shared" si="89"/>
        <v>0</v>
      </c>
      <c r="AJ127" s="567">
        <f t="shared" si="89"/>
        <v>0</v>
      </c>
      <c r="AK127" s="567">
        <f t="shared" si="89"/>
        <v>0</v>
      </c>
      <c r="AL127" s="567">
        <f t="shared" si="89"/>
        <v>0</v>
      </c>
      <c r="AM127" s="567">
        <f t="shared" si="89"/>
        <v>0</v>
      </c>
      <c r="AN127" s="567">
        <f t="shared" si="89"/>
        <v>0</v>
      </c>
      <c r="AO127" s="567">
        <f t="shared" si="89"/>
        <v>0</v>
      </c>
      <c r="AP127" s="567">
        <f t="shared" si="89"/>
        <v>0</v>
      </c>
      <c r="AQ127" s="567">
        <f t="shared" si="89"/>
        <v>0</v>
      </c>
      <c r="AR127" s="567">
        <f t="shared" si="89"/>
        <v>0</v>
      </c>
      <c r="AS127" s="567">
        <f t="shared" si="89"/>
        <v>0</v>
      </c>
      <c r="AT127" s="567">
        <f t="shared" si="89"/>
        <v>0</v>
      </c>
    </row>
    <row r="128" spans="1:46" s="35" customFormat="1" x14ac:dyDescent="0.3">
      <c r="A128" s="22"/>
      <c r="B128" s="186" t="str">
        <f t="shared" si="86"/>
        <v>TCARLPG100P</v>
      </c>
      <c r="C128" s="186"/>
      <c r="D128" s="187"/>
      <c r="E128" s="186"/>
      <c r="F128" s="170"/>
      <c r="G128" s="189"/>
      <c r="H128" s="170"/>
      <c r="I128" s="190">
        <f>AF$6</f>
        <v>2020</v>
      </c>
      <c r="J128" s="191"/>
      <c r="K128" s="191"/>
      <c r="L128" s="211" t="s">
        <v>1064</v>
      </c>
      <c r="M128" s="186" t="s">
        <v>747</v>
      </c>
      <c r="N128" s="686">
        <f t="shared" ref="N128:AB128" si="90">N$126*LOOKUP($AD$121,$AG$4:$AP$4,$AG6:$AP6)</f>
        <v>0</v>
      </c>
      <c r="O128" s="686">
        <f t="shared" si="90"/>
        <v>0</v>
      </c>
      <c r="P128" s="686">
        <f t="shared" si="90"/>
        <v>0</v>
      </c>
      <c r="Q128" s="686">
        <f t="shared" si="90"/>
        <v>0</v>
      </c>
      <c r="R128" s="686">
        <f t="shared" si="90"/>
        <v>0</v>
      </c>
      <c r="S128" s="686">
        <f t="shared" si="90"/>
        <v>0</v>
      </c>
      <c r="T128" s="686">
        <f t="shared" si="90"/>
        <v>0</v>
      </c>
      <c r="U128" s="686">
        <f t="shared" si="90"/>
        <v>0</v>
      </c>
      <c r="V128" s="686">
        <f t="shared" si="90"/>
        <v>0</v>
      </c>
      <c r="W128" s="686">
        <f t="shared" si="90"/>
        <v>0</v>
      </c>
      <c r="X128" s="686">
        <f t="shared" si="90"/>
        <v>0</v>
      </c>
      <c r="Y128" s="686">
        <f t="shared" si="90"/>
        <v>0</v>
      </c>
      <c r="Z128" s="686">
        <f t="shared" si="90"/>
        <v>0</v>
      </c>
      <c r="AA128" s="686">
        <f t="shared" si="90"/>
        <v>0</v>
      </c>
      <c r="AB128" s="686">
        <f t="shared" si="90"/>
        <v>0</v>
      </c>
    </row>
    <row r="129" spans="1:46" s="35" customFormat="1" x14ac:dyDescent="0.3">
      <c r="A129" s="22"/>
      <c r="B129" s="186" t="str">
        <f t="shared" si="86"/>
        <v>TCARLPG100P</v>
      </c>
      <c r="C129" s="186"/>
      <c r="D129" s="187"/>
      <c r="E129" s="186"/>
      <c r="F129" s="170"/>
      <c r="G129" s="189"/>
      <c r="H129" s="170"/>
      <c r="I129" s="190">
        <f>AF$7</f>
        <v>2025</v>
      </c>
      <c r="J129" s="191"/>
      <c r="K129" s="191"/>
      <c r="L129" s="211" t="s">
        <v>1064</v>
      </c>
      <c r="M129" s="186" t="s">
        <v>747</v>
      </c>
      <c r="N129" s="686">
        <f t="shared" ref="N129:AB129" si="91">N$126*LOOKUP($AD$121,$AG$4:$AP$4,$AG7:$AP7)</f>
        <v>0</v>
      </c>
      <c r="O129" s="686">
        <f t="shared" si="91"/>
        <v>0</v>
      </c>
      <c r="P129" s="686">
        <f t="shared" si="91"/>
        <v>0</v>
      </c>
      <c r="Q129" s="686">
        <f t="shared" si="91"/>
        <v>0</v>
      </c>
      <c r="R129" s="686">
        <f t="shared" si="91"/>
        <v>0</v>
      </c>
      <c r="S129" s="686">
        <f t="shared" si="91"/>
        <v>0</v>
      </c>
      <c r="T129" s="686">
        <f t="shared" si="91"/>
        <v>0</v>
      </c>
      <c r="U129" s="686">
        <f t="shared" si="91"/>
        <v>0</v>
      </c>
      <c r="V129" s="686">
        <f t="shared" si="91"/>
        <v>0</v>
      </c>
      <c r="W129" s="686">
        <f t="shared" si="91"/>
        <v>0</v>
      </c>
      <c r="X129" s="686">
        <f t="shared" si="91"/>
        <v>0</v>
      </c>
      <c r="Y129" s="686">
        <f t="shared" si="91"/>
        <v>0</v>
      </c>
      <c r="Z129" s="686">
        <f t="shared" si="91"/>
        <v>0</v>
      </c>
      <c r="AA129" s="686">
        <f t="shared" si="91"/>
        <v>0</v>
      </c>
      <c r="AB129" s="686">
        <f t="shared" si="91"/>
        <v>0</v>
      </c>
    </row>
    <row r="130" spans="1:46" s="35" customFormat="1" x14ac:dyDescent="0.3">
      <c r="A130" s="22"/>
      <c r="B130" s="186" t="str">
        <f t="shared" si="86"/>
        <v>TCARLPG100P</v>
      </c>
      <c r="C130" s="186"/>
      <c r="D130" s="187"/>
      <c r="E130" s="186"/>
      <c r="F130" s="170"/>
      <c r="G130" s="189"/>
      <c r="H130" s="170"/>
      <c r="I130" s="190">
        <f>AF$8</f>
        <v>2030</v>
      </c>
      <c r="J130" s="191"/>
      <c r="K130" s="191"/>
      <c r="L130" s="211" t="s">
        <v>1064</v>
      </c>
      <c r="M130" s="186" t="s">
        <v>747</v>
      </c>
      <c r="N130" s="686">
        <f t="shared" ref="N130:AB130" si="92">N$126*LOOKUP($AD$121,$AG$4:$AP$4,$AG8:$AP8)</f>
        <v>0</v>
      </c>
      <c r="O130" s="686">
        <f t="shared" si="92"/>
        <v>0</v>
      </c>
      <c r="P130" s="686">
        <f t="shared" si="92"/>
        <v>0</v>
      </c>
      <c r="Q130" s="686">
        <f t="shared" si="92"/>
        <v>0</v>
      </c>
      <c r="R130" s="686">
        <f t="shared" si="92"/>
        <v>0</v>
      </c>
      <c r="S130" s="686">
        <f t="shared" si="92"/>
        <v>0</v>
      </c>
      <c r="T130" s="686">
        <f t="shared" si="92"/>
        <v>0</v>
      </c>
      <c r="U130" s="686">
        <f t="shared" si="92"/>
        <v>0</v>
      </c>
      <c r="V130" s="686">
        <f t="shared" si="92"/>
        <v>0</v>
      </c>
      <c r="W130" s="686">
        <f t="shared" si="92"/>
        <v>0</v>
      </c>
      <c r="X130" s="686">
        <f t="shared" si="92"/>
        <v>0</v>
      </c>
      <c r="Y130" s="686">
        <f t="shared" si="92"/>
        <v>0</v>
      </c>
      <c r="Z130" s="686">
        <f t="shared" si="92"/>
        <v>0</v>
      </c>
      <c r="AA130" s="686">
        <f t="shared" si="92"/>
        <v>0</v>
      </c>
      <c r="AB130" s="686">
        <f t="shared" si="92"/>
        <v>0</v>
      </c>
    </row>
    <row r="131" spans="1:46" s="35" customFormat="1" x14ac:dyDescent="0.3">
      <c r="A131" s="22"/>
      <c r="B131" s="186" t="str">
        <f t="shared" si="86"/>
        <v>TCARLPG100P</v>
      </c>
      <c r="C131" s="186"/>
      <c r="D131" s="187"/>
      <c r="E131" s="186"/>
      <c r="F131" s="170"/>
      <c r="G131" s="189"/>
      <c r="H131" s="170"/>
      <c r="I131" s="190">
        <f>AF$9</f>
        <v>2040</v>
      </c>
      <c r="J131" s="191"/>
      <c r="K131" s="191"/>
      <c r="L131" s="211" t="s">
        <v>1064</v>
      </c>
      <c r="M131" s="186" t="s">
        <v>747</v>
      </c>
      <c r="N131" s="686">
        <f t="shared" ref="N131:AB131" si="93">N$126*LOOKUP($AD$121,$AG$4:$AP$4,$AG9:$AP9)</f>
        <v>0</v>
      </c>
      <c r="O131" s="686">
        <f t="shared" si="93"/>
        <v>0</v>
      </c>
      <c r="P131" s="686">
        <f t="shared" si="93"/>
        <v>0</v>
      </c>
      <c r="Q131" s="686">
        <f t="shared" si="93"/>
        <v>0</v>
      </c>
      <c r="R131" s="686">
        <f t="shared" si="93"/>
        <v>0</v>
      </c>
      <c r="S131" s="686">
        <f t="shared" si="93"/>
        <v>0</v>
      </c>
      <c r="T131" s="686">
        <f t="shared" si="93"/>
        <v>0</v>
      </c>
      <c r="U131" s="686">
        <f t="shared" si="93"/>
        <v>0</v>
      </c>
      <c r="V131" s="686">
        <f t="shared" si="93"/>
        <v>0</v>
      </c>
      <c r="W131" s="686">
        <f t="shared" si="93"/>
        <v>0</v>
      </c>
      <c r="X131" s="686">
        <f t="shared" si="93"/>
        <v>0</v>
      </c>
      <c r="Y131" s="686">
        <f t="shared" si="93"/>
        <v>0</v>
      </c>
      <c r="Z131" s="686">
        <f t="shared" si="93"/>
        <v>0</v>
      </c>
      <c r="AA131" s="686">
        <f t="shared" si="93"/>
        <v>0</v>
      </c>
      <c r="AB131" s="686">
        <f t="shared" si="93"/>
        <v>0</v>
      </c>
    </row>
    <row r="132" spans="1:46" s="35" customFormat="1" x14ac:dyDescent="0.3">
      <c r="A132" s="22"/>
      <c r="B132" s="193" t="str">
        <f t="shared" si="86"/>
        <v>TCARLPG100P</v>
      </c>
      <c r="C132" s="193"/>
      <c r="D132" s="194"/>
      <c r="E132" s="193"/>
      <c r="F132" s="196"/>
      <c r="G132" s="195"/>
      <c r="H132" s="196"/>
      <c r="I132" s="197">
        <f>AF$10</f>
        <v>2050</v>
      </c>
      <c r="J132" s="198"/>
      <c r="K132" s="198"/>
      <c r="L132" s="212" t="s">
        <v>1064</v>
      </c>
      <c r="M132" s="193" t="s">
        <v>747</v>
      </c>
      <c r="N132" s="687">
        <f t="shared" ref="N132:AB132" si="94">N$126*LOOKUP($AD$121,$AG$4:$AP$4,$AG10:$AP10)</f>
        <v>0</v>
      </c>
      <c r="O132" s="687">
        <f t="shared" si="94"/>
        <v>0</v>
      </c>
      <c r="P132" s="687">
        <f t="shared" si="94"/>
        <v>0</v>
      </c>
      <c r="Q132" s="687">
        <f t="shared" si="94"/>
        <v>0</v>
      </c>
      <c r="R132" s="687">
        <f t="shared" si="94"/>
        <v>0</v>
      </c>
      <c r="S132" s="687">
        <f t="shared" si="94"/>
        <v>0</v>
      </c>
      <c r="T132" s="687">
        <f t="shared" si="94"/>
        <v>0</v>
      </c>
      <c r="U132" s="687">
        <f t="shared" si="94"/>
        <v>0</v>
      </c>
      <c r="V132" s="687">
        <f t="shared" si="94"/>
        <v>0</v>
      </c>
      <c r="W132" s="687">
        <f t="shared" si="94"/>
        <v>0</v>
      </c>
      <c r="X132" s="687">
        <f t="shared" si="94"/>
        <v>0</v>
      </c>
      <c r="Y132" s="687">
        <f t="shared" si="94"/>
        <v>0</v>
      </c>
      <c r="Z132" s="687">
        <f t="shared" si="94"/>
        <v>0</v>
      </c>
      <c r="AA132" s="687">
        <f t="shared" si="94"/>
        <v>0</v>
      </c>
      <c r="AB132" s="687">
        <f t="shared" si="94"/>
        <v>0</v>
      </c>
    </row>
    <row r="133" spans="1:46" s="83" customFormat="1" x14ac:dyDescent="0.3">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3">
      <c r="A134" s="22"/>
      <c r="B134" s="186" t="str">
        <f>B133</f>
        <v>TCARPYD100P</v>
      </c>
      <c r="C134" s="186"/>
      <c r="D134" s="187"/>
      <c r="E134" s="188" t="s">
        <v>185</v>
      </c>
      <c r="F134" s="170"/>
      <c r="G134" s="213"/>
      <c r="H134" s="170"/>
      <c r="I134" s="190"/>
      <c r="J134" s="191" t="s">
        <v>1156</v>
      </c>
      <c r="K134" s="191"/>
      <c r="L134" s="211" t="s">
        <v>101</v>
      </c>
      <c r="M134" s="186"/>
      <c r="N134" s="377">
        <f>1-N$17</f>
        <v>0.82499999999999996</v>
      </c>
      <c r="O134" s="377">
        <f t="shared" ref="O134:AB134" si="96">1-O$17</f>
        <v>0.82499999999999996</v>
      </c>
      <c r="P134" s="377">
        <f t="shared" si="96"/>
        <v>0.82499999999999996</v>
      </c>
      <c r="Q134" s="377">
        <f t="shared" si="96"/>
        <v>0.82499999999999996</v>
      </c>
      <c r="R134" s="377">
        <f t="shared" si="96"/>
        <v>0.82499999999999996</v>
      </c>
      <c r="S134" s="377">
        <f t="shared" si="96"/>
        <v>0.82499999999999996</v>
      </c>
      <c r="T134" s="377">
        <f t="shared" si="96"/>
        <v>0.82499999999999996</v>
      </c>
      <c r="U134" s="377">
        <f t="shared" si="96"/>
        <v>0.82499999999999996</v>
      </c>
      <c r="V134" s="377">
        <f t="shared" si="96"/>
        <v>0.82499999999999996</v>
      </c>
      <c r="W134" s="377">
        <f t="shared" si="96"/>
        <v>0.82499999999999996</v>
      </c>
      <c r="X134" s="377">
        <f t="shared" si="96"/>
        <v>0.82499999999999996</v>
      </c>
      <c r="Y134" s="377">
        <f t="shared" si="96"/>
        <v>0.82499999999999996</v>
      </c>
      <c r="Z134" s="377">
        <f t="shared" si="96"/>
        <v>0.82499999999999996</v>
      </c>
      <c r="AA134" s="377">
        <f t="shared" si="96"/>
        <v>0.82499999999999996</v>
      </c>
      <c r="AB134" s="377">
        <f t="shared" si="96"/>
        <v>0.82499999999999996</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3">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3">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3">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3">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3">
      <c r="A139" s="22"/>
      <c r="B139" s="186" t="str">
        <f t="shared" si="97"/>
        <v>TCARPYD100P</v>
      </c>
      <c r="C139" s="186"/>
      <c r="D139" s="187"/>
      <c r="E139" s="186"/>
      <c r="F139" s="170"/>
      <c r="G139" s="213"/>
      <c r="H139" s="170"/>
      <c r="I139" s="190">
        <f>$M$3</f>
        <v>2019</v>
      </c>
      <c r="J139" s="191"/>
      <c r="K139" s="191"/>
      <c r="L139" s="211" t="s">
        <v>1064</v>
      </c>
      <c r="M139" s="186" t="s">
        <v>747</v>
      </c>
      <c r="N139" s="686">
        <f>LOOKUP($C$133, T_Stock_Private!$C$26:$C$36, T_Stock_Private!D$26:D$36)*(1+N$25)</f>
        <v>0</v>
      </c>
      <c r="O139" s="686">
        <f>LOOKUP($C$133, T_Stock_Private!$C$26:$C$36, T_Stock_Private!E$26:E$36)*(1+O$25)</f>
        <v>0</v>
      </c>
      <c r="P139" s="686">
        <f>LOOKUP($C$133, T_Stock_Private!$C$26:$C$36, T_Stock_Private!F$26:F$36)*(1+P$25)</f>
        <v>0</v>
      </c>
      <c r="Q139" s="686">
        <f>LOOKUP($C$133, T_Stock_Private!$C$26:$C$36, T_Stock_Private!G$26:G$36)*(1+Q$25)</f>
        <v>0</v>
      </c>
      <c r="R139" s="686">
        <f>LOOKUP($C$133, T_Stock_Private!$C$26:$C$36, T_Stock_Private!H$26:H$36)*(1+R$25)</f>
        <v>0</v>
      </c>
      <c r="S139" s="686">
        <f>LOOKUP($C$133, T_Stock_Private!$C$26:$C$36, T_Stock_Private!I$26:I$36)*(1+S$25)</f>
        <v>0</v>
      </c>
      <c r="T139" s="686">
        <f>LOOKUP($C$133, T_Stock_Private!$C$26:$C$36, T_Stock_Private!J$26:J$36)*(1+T$25)</f>
        <v>0</v>
      </c>
      <c r="U139" s="686">
        <f>LOOKUP($C$133, T_Stock_Private!$C$26:$C$36, T_Stock_Private!K$26:K$36)*(1+U$25)</f>
        <v>0</v>
      </c>
      <c r="V139" s="686">
        <f>LOOKUP($C$133, T_Stock_Private!$C$26:$C$36, T_Stock_Private!L$26:L$36)*(1+V$25)</f>
        <v>0</v>
      </c>
      <c r="W139" s="686">
        <f>LOOKUP($C$133, T_Stock_Private!$C$26:$C$36, T_Stock_Private!M$26:M$36)*(1+W$25)</f>
        <v>0</v>
      </c>
      <c r="X139" s="686">
        <f>LOOKUP($C$133, T_Stock_Private!$C$26:$C$36, T_Stock_Private!N$26:N$36)*(1+X$25)</f>
        <v>0</v>
      </c>
      <c r="Y139" s="686">
        <f>LOOKUP($C$133, T_Stock_Private!$C$26:$C$36, T_Stock_Private!O$26:O$36)*(1+Y$25)</f>
        <v>0</v>
      </c>
      <c r="Z139" s="686">
        <f>LOOKUP($C$133, T_Stock_Private!$C$26:$C$36, T_Stock_Private!P$26:P$36)*(1+Z$25)</f>
        <v>0</v>
      </c>
      <c r="AA139" s="686">
        <f>LOOKUP($C$133, T_Stock_Private!$C$26:$C$36, T_Stock_Private!Q$26:Q$36)*(1+AA$25)</f>
        <v>0</v>
      </c>
      <c r="AB139" s="686">
        <f>LOOKUP($C$133, T_Stock_Private!$C$26:$C$36, T_Stock_Private!R$26:R$36)*(1+AB$25)</f>
        <v>0</v>
      </c>
    </row>
    <row r="140" spans="1:46" s="35" customFormat="1" x14ac:dyDescent="0.3">
      <c r="A140" s="22"/>
      <c r="B140" s="186" t="str">
        <f t="shared" si="97"/>
        <v>TCARPYD100P</v>
      </c>
      <c r="C140" s="186"/>
      <c r="D140" s="187"/>
      <c r="E140" s="186"/>
      <c r="F140" s="170"/>
      <c r="G140" s="213"/>
      <c r="H140" s="170"/>
      <c r="I140" s="190">
        <f>AF$5</f>
        <v>2016</v>
      </c>
      <c r="J140" s="191"/>
      <c r="K140" s="191"/>
      <c r="L140" s="211" t="s">
        <v>1064</v>
      </c>
      <c r="M140" s="186" t="s">
        <v>747</v>
      </c>
      <c r="N140" s="686">
        <f t="shared" ref="N140:AB140" si="99">N$139*LOOKUP($AD$133,$AG$4:$AP$4,$AG5:$AP5)</f>
        <v>0</v>
      </c>
      <c r="O140" s="686">
        <f t="shared" si="99"/>
        <v>0</v>
      </c>
      <c r="P140" s="686">
        <f t="shared" si="99"/>
        <v>0</v>
      </c>
      <c r="Q140" s="686">
        <f t="shared" si="99"/>
        <v>0</v>
      </c>
      <c r="R140" s="686">
        <f t="shared" si="99"/>
        <v>0</v>
      </c>
      <c r="S140" s="686">
        <f t="shared" si="99"/>
        <v>0</v>
      </c>
      <c r="T140" s="686">
        <f t="shared" si="99"/>
        <v>0</v>
      </c>
      <c r="U140" s="686">
        <f t="shared" si="99"/>
        <v>0</v>
      </c>
      <c r="V140" s="686">
        <f t="shared" si="99"/>
        <v>0</v>
      </c>
      <c r="W140" s="686">
        <f t="shared" si="99"/>
        <v>0</v>
      </c>
      <c r="X140" s="686">
        <f t="shared" si="99"/>
        <v>0</v>
      </c>
      <c r="Y140" s="686">
        <f t="shared" si="99"/>
        <v>0</v>
      </c>
      <c r="Z140" s="686">
        <f t="shared" si="99"/>
        <v>0</v>
      </c>
      <c r="AA140" s="686">
        <f t="shared" si="99"/>
        <v>0</v>
      </c>
      <c r="AB140" s="686">
        <f t="shared" si="99"/>
        <v>0</v>
      </c>
      <c r="AE140" s="568">
        <f>SUM(AF140:AT140)</f>
        <v>0</v>
      </c>
      <c r="AF140" s="567">
        <f>N137*N138*N139/1000</f>
        <v>0</v>
      </c>
      <c r="AG140" s="567">
        <f t="shared" ref="AG140:AT140" si="100">O137*O138*O139</f>
        <v>0</v>
      </c>
      <c r="AH140" s="567">
        <f t="shared" si="100"/>
        <v>0</v>
      </c>
      <c r="AI140" s="567">
        <f t="shared" si="100"/>
        <v>0</v>
      </c>
      <c r="AJ140" s="567">
        <f t="shared" si="100"/>
        <v>0</v>
      </c>
      <c r="AK140" s="567">
        <f t="shared" si="100"/>
        <v>0</v>
      </c>
      <c r="AL140" s="567">
        <f t="shared" si="100"/>
        <v>0</v>
      </c>
      <c r="AM140" s="567">
        <f t="shared" si="100"/>
        <v>0</v>
      </c>
      <c r="AN140" s="567">
        <f t="shared" si="100"/>
        <v>0</v>
      </c>
      <c r="AO140" s="567">
        <f t="shared" si="100"/>
        <v>0</v>
      </c>
      <c r="AP140" s="567">
        <f t="shared" si="100"/>
        <v>0</v>
      </c>
      <c r="AQ140" s="567">
        <f t="shared" si="100"/>
        <v>0</v>
      </c>
      <c r="AR140" s="567">
        <f t="shared" si="100"/>
        <v>0</v>
      </c>
      <c r="AS140" s="567">
        <f t="shared" si="100"/>
        <v>0</v>
      </c>
      <c r="AT140" s="567">
        <f t="shared" si="100"/>
        <v>0</v>
      </c>
    </row>
    <row r="141" spans="1:46" s="35" customFormat="1" x14ac:dyDescent="0.3">
      <c r="A141" s="22"/>
      <c r="B141" s="186" t="str">
        <f t="shared" si="97"/>
        <v>TCARPYD100P</v>
      </c>
      <c r="C141" s="186"/>
      <c r="D141" s="187"/>
      <c r="E141" s="186"/>
      <c r="F141" s="170"/>
      <c r="G141" s="213"/>
      <c r="H141" s="170"/>
      <c r="I141" s="190">
        <f>AF$6</f>
        <v>2020</v>
      </c>
      <c r="J141" s="191"/>
      <c r="K141" s="191"/>
      <c r="L141" s="211" t="s">
        <v>1064</v>
      </c>
      <c r="M141" s="186" t="s">
        <v>747</v>
      </c>
      <c r="N141" s="686">
        <f t="shared" ref="N141:AB141" si="101">N$139*LOOKUP($AD$133,$AG$4:$AP$4,$AG6:$AP6)</f>
        <v>0</v>
      </c>
      <c r="O141" s="686">
        <f t="shared" si="101"/>
        <v>0</v>
      </c>
      <c r="P141" s="686">
        <f t="shared" si="101"/>
        <v>0</v>
      </c>
      <c r="Q141" s="686">
        <f t="shared" si="101"/>
        <v>0</v>
      </c>
      <c r="R141" s="686">
        <f t="shared" si="101"/>
        <v>0</v>
      </c>
      <c r="S141" s="686">
        <f t="shared" si="101"/>
        <v>0</v>
      </c>
      <c r="T141" s="686">
        <f t="shared" si="101"/>
        <v>0</v>
      </c>
      <c r="U141" s="686">
        <f t="shared" si="101"/>
        <v>0</v>
      </c>
      <c r="V141" s="686">
        <f t="shared" si="101"/>
        <v>0</v>
      </c>
      <c r="W141" s="686">
        <f t="shared" si="101"/>
        <v>0</v>
      </c>
      <c r="X141" s="686">
        <f t="shared" si="101"/>
        <v>0</v>
      </c>
      <c r="Y141" s="686">
        <f t="shared" si="101"/>
        <v>0</v>
      </c>
      <c r="Z141" s="686">
        <f t="shared" si="101"/>
        <v>0</v>
      </c>
      <c r="AA141" s="686">
        <f t="shared" si="101"/>
        <v>0</v>
      </c>
      <c r="AB141" s="686">
        <f t="shared" si="101"/>
        <v>0</v>
      </c>
    </row>
    <row r="142" spans="1:46" s="35" customFormat="1" x14ac:dyDescent="0.3">
      <c r="A142" s="22"/>
      <c r="B142" s="186" t="str">
        <f t="shared" si="97"/>
        <v>TCARPYD100P</v>
      </c>
      <c r="C142" s="186"/>
      <c r="D142" s="187"/>
      <c r="E142" s="186"/>
      <c r="F142" s="170"/>
      <c r="G142" s="213"/>
      <c r="H142" s="170"/>
      <c r="I142" s="190">
        <f>AF$7</f>
        <v>2025</v>
      </c>
      <c r="J142" s="191"/>
      <c r="K142" s="191"/>
      <c r="L142" s="211" t="s">
        <v>1064</v>
      </c>
      <c r="M142" s="186" t="s">
        <v>747</v>
      </c>
      <c r="N142" s="686">
        <f t="shared" ref="N142:AB142" si="102">N$139*LOOKUP($AD$133,$AG$4:$AP$4,$AG7:$AP7)</f>
        <v>0</v>
      </c>
      <c r="O142" s="686">
        <f t="shared" si="102"/>
        <v>0</v>
      </c>
      <c r="P142" s="686">
        <f t="shared" si="102"/>
        <v>0</v>
      </c>
      <c r="Q142" s="686">
        <f t="shared" si="102"/>
        <v>0</v>
      </c>
      <c r="R142" s="686">
        <f t="shared" si="102"/>
        <v>0</v>
      </c>
      <c r="S142" s="686">
        <f t="shared" si="102"/>
        <v>0</v>
      </c>
      <c r="T142" s="686">
        <f t="shared" si="102"/>
        <v>0</v>
      </c>
      <c r="U142" s="686">
        <f t="shared" si="102"/>
        <v>0</v>
      </c>
      <c r="V142" s="686">
        <f t="shared" si="102"/>
        <v>0</v>
      </c>
      <c r="W142" s="686">
        <f t="shared" si="102"/>
        <v>0</v>
      </c>
      <c r="X142" s="686">
        <f t="shared" si="102"/>
        <v>0</v>
      </c>
      <c r="Y142" s="686">
        <f t="shared" si="102"/>
        <v>0</v>
      </c>
      <c r="Z142" s="686">
        <f t="shared" si="102"/>
        <v>0</v>
      </c>
      <c r="AA142" s="686">
        <f t="shared" si="102"/>
        <v>0</v>
      </c>
      <c r="AB142" s="686">
        <f t="shared" si="102"/>
        <v>0</v>
      </c>
    </row>
    <row r="143" spans="1:46" s="35" customFormat="1" x14ac:dyDescent="0.3">
      <c r="A143" s="22"/>
      <c r="B143" s="186" t="str">
        <f t="shared" si="97"/>
        <v>TCARPYD100P</v>
      </c>
      <c r="C143" s="186"/>
      <c r="D143" s="187"/>
      <c r="E143" s="186"/>
      <c r="F143" s="170"/>
      <c r="G143" s="213"/>
      <c r="H143" s="170"/>
      <c r="I143" s="190">
        <f>AF$8</f>
        <v>2030</v>
      </c>
      <c r="J143" s="191"/>
      <c r="K143" s="191"/>
      <c r="L143" s="211" t="s">
        <v>1064</v>
      </c>
      <c r="M143" s="186" t="s">
        <v>747</v>
      </c>
      <c r="N143" s="686">
        <f t="shared" ref="N143:AB143" si="103">N$139*LOOKUP($AD$133,$AG$4:$AP$4,$AG8:$AP8)</f>
        <v>0</v>
      </c>
      <c r="O143" s="686">
        <f t="shared" si="103"/>
        <v>0</v>
      </c>
      <c r="P143" s="686">
        <f t="shared" si="103"/>
        <v>0</v>
      </c>
      <c r="Q143" s="686">
        <f t="shared" si="103"/>
        <v>0</v>
      </c>
      <c r="R143" s="686">
        <f t="shared" si="103"/>
        <v>0</v>
      </c>
      <c r="S143" s="686">
        <f t="shared" si="103"/>
        <v>0</v>
      </c>
      <c r="T143" s="686">
        <f t="shared" si="103"/>
        <v>0</v>
      </c>
      <c r="U143" s="686">
        <f t="shared" si="103"/>
        <v>0</v>
      </c>
      <c r="V143" s="686">
        <f t="shared" si="103"/>
        <v>0</v>
      </c>
      <c r="W143" s="686">
        <f t="shared" si="103"/>
        <v>0</v>
      </c>
      <c r="X143" s="686">
        <f t="shared" si="103"/>
        <v>0</v>
      </c>
      <c r="Y143" s="686">
        <f t="shared" si="103"/>
        <v>0</v>
      </c>
      <c r="Z143" s="686">
        <f t="shared" si="103"/>
        <v>0</v>
      </c>
      <c r="AA143" s="686">
        <f t="shared" si="103"/>
        <v>0</v>
      </c>
      <c r="AB143" s="686">
        <f t="shared" si="103"/>
        <v>0</v>
      </c>
    </row>
    <row r="144" spans="1:46" s="35" customFormat="1" x14ac:dyDescent="0.3">
      <c r="A144" s="22"/>
      <c r="B144" s="186" t="str">
        <f t="shared" si="97"/>
        <v>TCARPYD100P</v>
      </c>
      <c r="C144" s="186"/>
      <c r="D144" s="187"/>
      <c r="E144" s="186"/>
      <c r="F144" s="170"/>
      <c r="G144" s="213"/>
      <c r="H144" s="170"/>
      <c r="I144" s="190">
        <f>AF$9</f>
        <v>2040</v>
      </c>
      <c r="J144" s="191"/>
      <c r="K144" s="191"/>
      <c r="L144" s="211" t="s">
        <v>1064</v>
      </c>
      <c r="M144" s="186" t="s">
        <v>747</v>
      </c>
      <c r="N144" s="686">
        <f t="shared" ref="N144:AB144" si="104">N$139*LOOKUP($AD$133,$AG$4:$AP$4,$AG9:$AP9)</f>
        <v>0</v>
      </c>
      <c r="O144" s="686">
        <f t="shared" si="104"/>
        <v>0</v>
      </c>
      <c r="P144" s="686">
        <f t="shared" si="104"/>
        <v>0</v>
      </c>
      <c r="Q144" s="686">
        <f t="shared" si="104"/>
        <v>0</v>
      </c>
      <c r="R144" s="686">
        <f t="shared" si="104"/>
        <v>0</v>
      </c>
      <c r="S144" s="686">
        <f t="shared" si="104"/>
        <v>0</v>
      </c>
      <c r="T144" s="686">
        <f t="shared" si="104"/>
        <v>0</v>
      </c>
      <c r="U144" s="686">
        <f t="shared" si="104"/>
        <v>0</v>
      </c>
      <c r="V144" s="686">
        <f t="shared" si="104"/>
        <v>0</v>
      </c>
      <c r="W144" s="686">
        <f t="shared" si="104"/>
        <v>0</v>
      </c>
      <c r="X144" s="686">
        <f t="shared" si="104"/>
        <v>0</v>
      </c>
      <c r="Y144" s="686">
        <f t="shared" si="104"/>
        <v>0</v>
      </c>
      <c r="Z144" s="686">
        <f t="shared" si="104"/>
        <v>0</v>
      </c>
      <c r="AA144" s="686">
        <f t="shared" si="104"/>
        <v>0</v>
      </c>
      <c r="AB144" s="686">
        <f t="shared" si="104"/>
        <v>0</v>
      </c>
    </row>
    <row r="145" spans="1:46" s="35" customFormat="1" x14ac:dyDescent="0.3">
      <c r="A145" s="22"/>
      <c r="B145" s="193" t="str">
        <f t="shared" si="97"/>
        <v>TCARPYD100P</v>
      </c>
      <c r="C145" s="193"/>
      <c r="D145" s="194"/>
      <c r="E145" s="193"/>
      <c r="F145" s="196"/>
      <c r="G145" s="215"/>
      <c r="H145" s="196"/>
      <c r="I145" s="197">
        <f>AF$10</f>
        <v>2050</v>
      </c>
      <c r="J145" s="198"/>
      <c r="K145" s="198"/>
      <c r="L145" s="212" t="s">
        <v>1064</v>
      </c>
      <c r="M145" s="193" t="s">
        <v>747</v>
      </c>
      <c r="N145" s="687">
        <f t="shared" ref="N145:AB145" si="105">N$139*LOOKUP($AD$133,$AG$4:$AP$4,$AG10:$AP10)</f>
        <v>0</v>
      </c>
      <c r="O145" s="687">
        <f t="shared" si="105"/>
        <v>0</v>
      </c>
      <c r="P145" s="687">
        <f t="shared" si="105"/>
        <v>0</v>
      </c>
      <c r="Q145" s="687">
        <f t="shared" si="105"/>
        <v>0</v>
      </c>
      <c r="R145" s="687">
        <f t="shared" si="105"/>
        <v>0</v>
      </c>
      <c r="S145" s="687">
        <f t="shared" si="105"/>
        <v>0</v>
      </c>
      <c r="T145" s="687">
        <f t="shared" si="105"/>
        <v>0</v>
      </c>
      <c r="U145" s="687">
        <f t="shared" si="105"/>
        <v>0</v>
      </c>
      <c r="V145" s="687">
        <f t="shared" si="105"/>
        <v>0</v>
      </c>
      <c r="W145" s="687">
        <f t="shared" si="105"/>
        <v>0</v>
      </c>
      <c r="X145" s="687">
        <f t="shared" si="105"/>
        <v>0</v>
      </c>
      <c r="Y145" s="687">
        <f t="shared" si="105"/>
        <v>0</v>
      </c>
      <c r="Z145" s="687">
        <f t="shared" si="105"/>
        <v>0</v>
      </c>
      <c r="AA145" s="687">
        <f t="shared" si="105"/>
        <v>0</v>
      </c>
      <c r="AB145" s="687">
        <f t="shared" si="105"/>
        <v>0</v>
      </c>
    </row>
    <row r="146" spans="1:46" s="83" customFormat="1" x14ac:dyDescent="0.3">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3">
      <c r="A147" s="22"/>
      <c r="B147" s="186" t="str">
        <f>B146</f>
        <v>TCARPYG100P</v>
      </c>
      <c r="C147" s="186"/>
      <c r="D147" s="187"/>
      <c r="E147" s="258" t="s">
        <v>1011</v>
      </c>
      <c r="F147" s="170"/>
      <c r="G147" s="213"/>
      <c r="H147" s="170"/>
      <c r="I147" s="190"/>
      <c r="J147" s="191" t="s">
        <v>1156</v>
      </c>
      <c r="K147" s="191"/>
      <c r="L147" s="211" t="s">
        <v>101</v>
      </c>
      <c r="M147" s="186"/>
      <c r="N147" s="377">
        <f>N$18</f>
        <v>5.0999999999999997E-2</v>
      </c>
      <c r="O147" s="377">
        <f t="shared" ref="O147:AB147" si="107">O$18</f>
        <v>5.0999999999999997E-2</v>
      </c>
      <c r="P147" s="377">
        <f t="shared" si="107"/>
        <v>5.0999999999999997E-2</v>
      </c>
      <c r="Q147" s="377">
        <f t="shared" si="107"/>
        <v>5.0999999999999997E-2</v>
      </c>
      <c r="R147" s="377">
        <f t="shared" si="107"/>
        <v>5.0999999999999997E-2</v>
      </c>
      <c r="S147" s="377">
        <f t="shared" si="107"/>
        <v>5.0999999999999997E-2</v>
      </c>
      <c r="T147" s="377">
        <f t="shared" si="107"/>
        <v>5.0999999999999997E-2</v>
      </c>
      <c r="U147" s="377">
        <f t="shared" si="107"/>
        <v>5.0999999999999997E-2</v>
      </c>
      <c r="V147" s="377">
        <f t="shared" si="107"/>
        <v>5.0999999999999997E-2</v>
      </c>
      <c r="W147" s="377">
        <f t="shared" si="107"/>
        <v>5.0999999999999997E-2</v>
      </c>
      <c r="X147" s="377">
        <f t="shared" si="107"/>
        <v>5.0999999999999997E-2</v>
      </c>
      <c r="Y147" s="377">
        <f t="shared" si="107"/>
        <v>5.0999999999999997E-2</v>
      </c>
      <c r="Z147" s="377">
        <f t="shared" si="107"/>
        <v>5.0999999999999997E-2</v>
      </c>
      <c r="AA147" s="377">
        <f t="shared" si="107"/>
        <v>5.0999999999999997E-2</v>
      </c>
      <c r="AB147" s="377">
        <f t="shared" si="107"/>
        <v>5.0999999999999997E-2</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3">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3">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3">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3">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3">
      <c r="A152" s="22"/>
      <c r="B152" s="186" t="str">
        <f t="shared" si="108"/>
        <v>TCARPYG100P</v>
      </c>
      <c r="C152" s="186"/>
      <c r="D152" s="187"/>
      <c r="E152" s="186"/>
      <c r="F152" s="170"/>
      <c r="G152" s="213"/>
      <c r="H152" s="170"/>
      <c r="I152" s="190">
        <f>$M$3</f>
        <v>2019</v>
      </c>
      <c r="J152" s="191"/>
      <c r="K152" s="191"/>
      <c r="L152" s="211" t="s">
        <v>1064</v>
      </c>
      <c r="M152" s="186" t="s">
        <v>747</v>
      </c>
      <c r="N152" s="686">
        <f>LOOKUP($C$146, T_Stock_Private!$C$26:$C$36, T_Stock_Private!D$26:D$36)*(1+N$25)</f>
        <v>0</v>
      </c>
      <c r="O152" s="686">
        <f>LOOKUP($C$146, T_Stock_Private!$C$26:$C$36, T_Stock_Private!E$26:E$36)*(1+O$25)</f>
        <v>0</v>
      </c>
      <c r="P152" s="686">
        <f>LOOKUP($C$146, T_Stock_Private!$C$26:$C$36, T_Stock_Private!F$26:F$36)*(1+P$25)</f>
        <v>0</v>
      </c>
      <c r="Q152" s="686">
        <f>LOOKUP($C$146, T_Stock_Private!$C$26:$C$36, T_Stock_Private!G$26:G$36)*(1+Q$25)</f>
        <v>0</v>
      </c>
      <c r="R152" s="686">
        <f>LOOKUP($C$146, T_Stock_Private!$C$26:$C$36, T_Stock_Private!H$26:H$36)*(1+R$25)</f>
        <v>0</v>
      </c>
      <c r="S152" s="686">
        <f>LOOKUP($C$146, T_Stock_Private!$C$26:$C$36, T_Stock_Private!I$26:I$36)*(1+S$25)</f>
        <v>0</v>
      </c>
      <c r="T152" s="686">
        <f>LOOKUP($C$146, T_Stock_Private!$C$26:$C$36, T_Stock_Private!J$26:J$36)*(1+T$25)</f>
        <v>0</v>
      </c>
      <c r="U152" s="686">
        <f>LOOKUP($C$146, T_Stock_Private!$C$26:$C$36, T_Stock_Private!K$26:K$36)*(1+U$25)</f>
        <v>0</v>
      </c>
      <c r="V152" s="686">
        <f>LOOKUP($C$146, T_Stock_Private!$C$26:$C$36, T_Stock_Private!L$26:L$36)*(1+V$25)</f>
        <v>0</v>
      </c>
      <c r="W152" s="686">
        <f>LOOKUP($C$146, T_Stock_Private!$C$26:$C$36, T_Stock_Private!M$26:M$36)*(1+W$25)</f>
        <v>0</v>
      </c>
      <c r="X152" s="686">
        <f>LOOKUP($C$146, T_Stock_Private!$C$26:$C$36, T_Stock_Private!N$26:N$36)*(1+X$25)</f>
        <v>0</v>
      </c>
      <c r="Y152" s="686">
        <f>LOOKUP($C$146, T_Stock_Private!$C$26:$C$36, T_Stock_Private!O$26:O$36)*(1+Y$25)</f>
        <v>0</v>
      </c>
      <c r="Z152" s="686">
        <f>LOOKUP($C$146, T_Stock_Private!$C$26:$C$36, T_Stock_Private!P$26:P$36)*(1+Z$25)</f>
        <v>0</v>
      </c>
      <c r="AA152" s="686">
        <f>LOOKUP($C$146, T_Stock_Private!$C$26:$C$36, T_Stock_Private!Q$26:Q$36)*(1+AA$25)</f>
        <v>0</v>
      </c>
      <c r="AB152" s="686">
        <f>LOOKUP($C$146, T_Stock_Private!$C$26:$C$36, T_Stock_Private!R$26:R$36)*(1+AB$25)</f>
        <v>0</v>
      </c>
    </row>
    <row r="153" spans="1:46" s="35" customFormat="1" x14ac:dyDescent="0.3">
      <c r="A153" s="22"/>
      <c r="B153" s="186" t="str">
        <f t="shared" si="108"/>
        <v>TCARPYG100P</v>
      </c>
      <c r="C153" s="186"/>
      <c r="D153" s="187"/>
      <c r="E153" s="186"/>
      <c r="F153" s="170"/>
      <c r="G153" s="213"/>
      <c r="H153" s="170"/>
      <c r="I153" s="190">
        <f>AF$5</f>
        <v>2016</v>
      </c>
      <c r="J153" s="191"/>
      <c r="K153" s="191"/>
      <c r="L153" s="211" t="s">
        <v>1064</v>
      </c>
      <c r="M153" s="186" t="s">
        <v>747</v>
      </c>
      <c r="N153" s="686">
        <f t="shared" ref="N153:AB153" si="110">N$152*LOOKUP($AD$146,$AG$4:$AP$4,$AG5:$AP5)</f>
        <v>0</v>
      </c>
      <c r="O153" s="686">
        <f t="shared" si="110"/>
        <v>0</v>
      </c>
      <c r="P153" s="686">
        <f t="shared" si="110"/>
        <v>0</v>
      </c>
      <c r="Q153" s="686">
        <f t="shared" si="110"/>
        <v>0</v>
      </c>
      <c r="R153" s="686">
        <f t="shared" si="110"/>
        <v>0</v>
      </c>
      <c r="S153" s="686">
        <f t="shared" si="110"/>
        <v>0</v>
      </c>
      <c r="T153" s="686">
        <f t="shared" si="110"/>
        <v>0</v>
      </c>
      <c r="U153" s="686">
        <f t="shared" si="110"/>
        <v>0</v>
      </c>
      <c r="V153" s="686">
        <f t="shared" si="110"/>
        <v>0</v>
      </c>
      <c r="W153" s="686">
        <f t="shared" si="110"/>
        <v>0</v>
      </c>
      <c r="X153" s="686">
        <f t="shared" si="110"/>
        <v>0</v>
      </c>
      <c r="Y153" s="686">
        <f t="shared" si="110"/>
        <v>0</v>
      </c>
      <c r="Z153" s="686">
        <f t="shared" si="110"/>
        <v>0</v>
      </c>
      <c r="AA153" s="686">
        <f t="shared" si="110"/>
        <v>0</v>
      </c>
      <c r="AB153" s="686">
        <f t="shared" si="110"/>
        <v>0</v>
      </c>
      <c r="AE153" s="568">
        <f>SUM(AF153:AT153)</f>
        <v>0</v>
      </c>
      <c r="AF153" s="567">
        <f>N150*N151*N152/1000</f>
        <v>0</v>
      </c>
      <c r="AG153" s="567">
        <f t="shared" ref="AG153:AT153" si="111">O150*O151*O152</f>
        <v>0</v>
      </c>
      <c r="AH153" s="567">
        <f t="shared" si="111"/>
        <v>0</v>
      </c>
      <c r="AI153" s="567">
        <f t="shared" si="111"/>
        <v>0</v>
      </c>
      <c r="AJ153" s="567">
        <f t="shared" si="111"/>
        <v>0</v>
      </c>
      <c r="AK153" s="567">
        <f t="shared" si="111"/>
        <v>0</v>
      </c>
      <c r="AL153" s="567">
        <f t="shared" si="111"/>
        <v>0</v>
      </c>
      <c r="AM153" s="567">
        <f t="shared" si="111"/>
        <v>0</v>
      </c>
      <c r="AN153" s="567">
        <f t="shared" si="111"/>
        <v>0</v>
      </c>
      <c r="AO153" s="567">
        <f t="shared" si="111"/>
        <v>0</v>
      </c>
      <c r="AP153" s="567">
        <f t="shared" si="111"/>
        <v>0</v>
      </c>
      <c r="AQ153" s="567">
        <f t="shared" si="111"/>
        <v>0</v>
      </c>
      <c r="AR153" s="567">
        <f t="shared" si="111"/>
        <v>0</v>
      </c>
      <c r="AS153" s="567">
        <f t="shared" si="111"/>
        <v>0</v>
      </c>
      <c r="AT153" s="567">
        <f t="shared" si="111"/>
        <v>0</v>
      </c>
    </row>
    <row r="154" spans="1:46" s="35" customFormat="1" x14ac:dyDescent="0.3">
      <c r="A154" s="22"/>
      <c r="B154" s="186" t="str">
        <f t="shared" si="108"/>
        <v>TCARPYG100P</v>
      </c>
      <c r="C154" s="186"/>
      <c r="D154" s="187"/>
      <c r="E154" s="186"/>
      <c r="F154" s="170"/>
      <c r="G154" s="213"/>
      <c r="H154" s="170"/>
      <c r="I154" s="190">
        <f>AF$6</f>
        <v>2020</v>
      </c>
      <c r="J154" s="191"/>
      <c r="K154" s="191"/>
      <c r="L154" s="211" t="s">
        <v>1064</v>
      </c>
      <c r="M154" s="186" t="s">
        <v>747</v>
      </c>
      <c r="N154" s="686">
        <f t="shared" ref="N154:AB154" si="112">N$152*LOOKUP($AD$146,$AG$4:$AP$4,$AG6:$AP6)</f>
        <v>0</v>
      </c>
      <c r="O154" s="686">
        <f t="shared" si="112"/>
        <v>0</v>
      </c>
      <c r="P154" s="686">
        <f t="shared" si="112"/>
        <v>0</v>
      </c>
      <c r="Q154" s="686">
        <f t="shared" si="112"/>
        <v>0</v>
      </c>
      <c r="R154" s="686">
        <f t="shared" si="112"/>
        <v>0</v>
      </c>
      <c r="S154" s="686">
        <f t="shared" si="112"/>
        <v>0</v>
      </c>
      <c r="T154" s="686">
        <f t="shared" si="112"/>
        <v>0</v>
      </c>
      <c r="U154" s="686">
        <f t="shared" si="112"/>
        <v>0</v>
      </c>
      <c r="V154" s="686">
        <f t="shared" si="112"/>
        <v>0</v>
      </c>
      <c r="W154" s="686">
        <f t="shared" si="112"/>
        <v>0</v>
      </c>
      <c r="X154" s="686">
        <f t="shared" si="112"/>
        <v>0</v>
      </c>
      <c r="Y154" s="686">
        <f t="shared" si="112"/>
        <v>0</v>
      </c>
      <c r="Z154" s="686">
        <f t="shared" si="112"/>
        <v>0</v>
      </c>
      <c r="AA154" s="686">
        <f t="shared" si="112"/>
        <v>0</v>
      </c>
      <c r="AB154" s="686">
        <f t="shared" si="112"/>
        <v>0</v>
      </c>
    </row>
    <row r="155" spans="1:46" s="35" customFormat="1" x14ac:dyDescent="0.3">
      <c r="A155" s="22"/>
      <c r="B155" s="186" t="str">
        <f t="shared" si="108"/>
        <v>TCARPYG100P</v>
      </c>
      <c r="C155" s="186"/>
      <c r="D155" s="187"/>
      <c r="E155" s="186"/>
      <c r="F155" s="170"/>
      <c r="G155" s="213"/>
      <c r="H155" s="170"/>
      <c r="I155" s="190">
        <f>AF$7</f>
        <v>2025</v>
      </c>
      <c r="J155" s="191"/>
      <c r="K155" s="191"/>
      <c r="L155" s="211" t="s">
        <v>1064</v>
      </c>
      <c r="M155" s="186" t="s">
        <v>747</v>
      </c>
      <c r="N155" s="686">
        <f t="shared" ref="N155:AB155" si="113">N$152*LOOKUP($AD$146,$AG$4:$AP$4,$AG7:$AP7)</f>
        <v>0</v>
      </c>
      <c r="O155" s="686">
        <f t="shared" si="113"/>
        <v>0</v>
      </c>
      <c r="P155" s="686">
        <f t="shared" si="113"/>
        <v>0</v>
      </c>
      <c r="Q155" s="686">
        <f t="shared" si="113"/>
        <v>0</v>
      </c>
      <c r="R155" s="686">
        <f t="shared" si="113"/>
        <v>0</v>
      </c>
      <c r="S155" s="686">
        <f t="shared" si="113"/>
        <v>0</v>
      </c>
      <c r="T155" s="686">
        <f t="shared" si="113"/>
        <v>0</v>
      </c>
      <c r="U155" s="686">
        <f t="shared" si="113"/>
        <v>0</v>
      </c>
      <c r="V155" s="686">
        <f t="shared" si="113"/>
        <v>0</v>
      </c>
      <c r="W155" s="686">
        <f t="shared" si="113"/>
        <v>0</v>
      </c>
      <c r="X155" s="686">
        <f t="shared" si="113"/>
        <v>0</v>
      </c>
      <c r="Y155" s="686">
        <f t="shared" si="113"/>
        <v>0</v>
      </c>
      <c r="Z155" s="686">
        <f t="shared" si="113"/>
        <v>0</v>
      </c>
      <c r="AA155" s="686">
        <f t="shared" si="113"/>
        <v>0</v>
      </c>
      <c r="AB155" s="686">
        <f t="shared" si="113"/>
        <v>0</v>
      </c>
    </row>
    <row r="156" spans="1:46" s="35" customFormat="1" x14ac:dyDescent="0.3">
      <c r="A156" s="22"/>
      <c r="B156" s="186" t="str">
        <f t="shared" si="108"/>
        <v>TCARPYG100P</v>
      </c>
      <c r="C156" s="186"/>
      <c r="D156" s="187"/>
      <c r="E156" s="186"/>
      <c r="F156" s="170"/>
      <c r="G156" s="213"/>
      <c r="H156" s="170"/>
      <c r="I156" s="190">
        <f>AF$8</f>
        <v>2030</v>
      </c>
      <c r="J156" s="191"/>
      <c r="K156" s="191"/>
      <c r="L156" s="211" t="s">
        <v>1064</v>
      </c>
      <c r="M156" s="186" t="s">
        <v>747</v>
      </c>
      <c r="N156" s="686">
        <f t="shared" ref="N156:AB156" si="114">N$152*LOOKUP($AD$146,$AG$4:$AP$4,$AG8:$AP8)</f>
        <v>0</v>
      </c>
      <c r="O156" s="686">
        <f t="shared" si="114"/>
        <v>0</v>
      </c>
      <c r="P156" s="686">
        <f t="shared" si="114"/>
        <v>0</v>
      </c>
      <c r="Q156" s="686">
        <f t="shared" si="114"/>
        <v>0</v>
      </c>
      <c r="R156" s="686">
        <f t="shared" si="114"/>
        <v>0</v>
      </c>
      <c r="S156" s="686">
        <f t="shared" si="114"/>
        <v>0</v>
      </c>
      <c r="T156" s="686">
        <f t="shared" si="114"/>
        <v>0</v>
      </c>
      <c r="U156" s="686">
        <f t="shared" si="114"/>
        <v>0</v>
      </c>
      <c r="V156" s="686">
        <f t="shared" si="114"/>
        <v>0</v>
      </c>
      <c r="W156" s="686">
        <f t="shared" si="114"/>
        <v>0</v>
      </c>
      <c r="X156" s="686">
        <f t="shared" si="114"/>
        <v>0</v>
      </c>
      <c r="Y156" s="686">
        <f t="shared" si="114"/>
        <v>0</v>
      </c>
      <c r="Z156" s="686">
        <f t="shared" si="114"/>
        <v>0</v>
      </c>
      <c r="AA156" s="686">
        <f t="shared" si="114"/>
        <v>0</v>
      </c>
      <c r="AB156" s="686">
        <f t="shared" si="114"/>
        <v>0</v>
      </c>
    </row>
    <row r="157" spans="1:46" s="35" customFormat="1" x14ac:dyDescent="0.3">
      <c r="A157" s="22"/>
      <c r="B157" s="186" t="str">
        <f t="shared" si="108"/>
        <v>TCARPYG100P</v>
      </c>
      <c r="C157" s="186"/>
      <c r="D157" s="187"/>
      <c r="E157" s="186"/>
      <c r="F157" s="170"/>
      <c r="G157" s="213"/>
      <c r="H157" s="170"/>
      <c r="I157" s="190">
        <f>AF$9</f>
        <v>2040</v>
      </c>
      <c r="J157" s="191"/>
      <c r="K157" s="191"/>
      <c r="L157" s="211" t="s">
        <v>1064</v>
      </c>
      <c r="M157" s="186" t="s">
        <v>747</v>
      </c>
      <c r="N157" s="686">
        <f t="shared" ref="N157:AB157" si="115">N$152*LOOKUP($AD$146,$AG$4:$AP$4,$AG9:$AP9)</f>
        <v>0</v>
      </c>
      <c r="O157" s="686">
        <f t="shared" si="115"/>
        <v>0</v>
      </c>
      <c r="P157" s="686">
        <f t="shared" si="115"/>
        <v>0</v>
      </c>
      <c r="Q157" s="686">
        <f t="shared" si="115"/>
        <v>0</v>
      </c>
      <c r="R157" s="686">
        <f t="shared" si="115"/>
        <v>0</v>
      </c>
      <c r="S157" s="686">
        <f t="shared" si="115"/>
        <v>0</v>
      </c>
      <c r="T157" s="686">
        <f t="shared" si="115"/>
        <v>0</v>
      </c>
      <c r="U157" s="686">
        <f t="shared" si="115"/>
        <v>0</v>
      </c>
      <c r="V157" s="686">
        <f t="shared" si="115"/>
        <v>0</v>
      </c>
      <c r="W157" s="686">
        <f t="shared" si="115"/>
        <v>0</v>
      </c>
      <c r="X157" s="686">
        <f t="shared" si="115"/>
        <v>0</v>
      </c>
      <c r="Y157" s="686">
        <f t="shared" si="115"/>
        <v>0</v>
      </c>
      <c r="Z157" s="686">
        <f t="shared" si="115"/>
        <v>0</v>
      </c>
      <c r="AA157" s="686">
        <f t="shared" si="115"/>
        <v>0</v>
      </c>
      <c r="AB157" s="686">
        <f t="shared" si="115"/>
        <v>0</v>
      </c>
    </row>
    <row r="158" spans="1:46" s="35" customFormat="1" x14ac:dyDescent="0.3">
      <c r="A158" s="22"/>
      <c r="B158" s="193" t="str">
        <f t="shared" si="108"/>
        <v>TCARPYG100P</v>
      </c>
      <c r="C158" s="193"/>
      <c r="D158" s="194"/>
      <c r="E158" s="193"/>
      <c r="F158" s="196"/>
      <c r="G158" s="215"/>
      <c r="H158" s="196"/>
      <c r="I158" s="197">
        <f>AF$10</f>
        <v>2050</v>
      </c>
      <c r="J158" s="198"/>
      <c r="K158" s="198"/>
      <c r="L158" s="212" t="s">
        <v>1064</v>
      </c>
      <c r="M158" s="193" t="s">
        <v>747</v>
      </c>
      <c r="N158" s="687">
        <f t="shared" ref="N158:AB158" si="116">N$152*LOOKUP($AD$146,$AG$4:$AP$4,$AG10:$AP10)</f>
        <v>0</v>
      </c>
      <c r="O158" s="687">
        <f t="shared" si="116"/>
        <v>0</v>
      </c>
      <c r="P158" s="687">
        <f t="shared" si="116"/>
        <v>0</v>
      </c>
      <c r="Q158" s="687">
        <f t="shared" si="116"/>
        <v>0</v>
      </c>
      <c r="R158" s="687">
        <f t="shared" si="116"/>
        <v>0</v>
      </c>
      <c r="S158" s="687">
        <f t="shared" si="116"/>
        <v>0</v>
      </c>
      <c r="T158" s="687">
        <f t="shared" si="116"/>
        <v>0</v>
      </c>
      <c r="U158" s="687">
        <f t="shared" si="116"/>
        <v>0</v>
      </c>
      <c r="V158" s="687">
        <f t="shared" si="116"/>
        <v>0</v>
      </c>
      <c r="W158" s="687">
        <f t="shared" si="116"/>
        <v>0</v>
      </c>
      <c r="X158" s="687">
        <f t="shared" si="116"/>
        <v>0</v>
      </c>
      <c r="Y158" s="687">
        <f t="shared" si="116"/>
        <v>0</v>
      </c>
      <c r="Z158" s="687">
        <f t="shared" si="116"/>
        <v>0</v>
      </c>
      <c r="AA158" s="687">
        <f t="shared" si="116"/>
        <v>0</v>
      </c>
      <c r="AB158" s="687">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33203125" defaultRowHeight="14.4" x14ac:dyDescent="0.3"/>
  <cols>
    <col min="1" max="1" width="2.6640625" style="33" customWidth="1"/>
    <col min="2" max="2" width="25.33203125" style="33" customWidth="1"/>
    <col min="3" max="3" width="14.44140625" style="33" bestFit="1" customWidth="1"/>
    <col min="4" max="4" width="26.6640625" style="33" customWidth="1"/>
    <col min="5" max="5" width="13.33203125" style="33" bestFit="1" customWidth="1"/>
    <col min="6" max="7" width="12.44140625" style="33" customWidth="1"/>
    <col min="8" max="8" width="15.6640625" style="33" bestFit="1" customWidth="1"/>
    <col min="9" max="9" width="11.6640625" style="33" bestFit="1" customWidth="1"/>
    <col min="10" max="11" width="17.33203125" style="33" bestFit="1" customWidth="1"/>
    <col min="12" max="12" width="17.5546875" style="33" customWidth="1"/>
    <col min="13" max="13" width="27.44140625" style="33" customWidth="1"/>
    <col min="14" max="28" width="8.5546875" style="33" customWidth="1"/>
    <col min="29" max="29" width="12.5546875" style="33" bestFit="1" customWidth="1"/>
    <col min="30" max="30" width="15.33203125" style="33" customWidth="1"/>
    <col min="31" max="31" width="9.33203125" style="33"/>
    <col min="32" max="32" width="12" style="33" bestFit="1" customWidth="1"/>
    <col min="33" max="47" width="11.5546875" style="33" bestFit="1" customWidth="1"/>
    <col min="48" max="16384" width="9.33203125" style="33"/>
  </cols>
  <sheetData>
    <row r="1" spans="1:46" x14ac:dyDescent="0.3">
      <c r="M1" s="120" t="s">
        <v>1110</v>
      </c>
      <c r="N1" s="35"/>
      <c r="O1" s="35"/>
      <c r="P1" s="35"/>
      <c r="Q1" s="35"/>
      <c r="R1" s="35"/>
      <c r="S1" s="35"/>
      <c r="T1" s="35"/>
      <c r="U1" s="35"/>
      <c r="V1" s="35"/>
      <c r="W1" s="35"/>
      <c r="X1" s="35"/>
      <c r="Y1" s="35"/>
      <c r="Z1" s="35"/>
      <c r="AA1" s="35"/>
      <c r="AB1" s="35"/>
    </row>
    <row r="2" spans="1:46" s="35" customFormat="1" ht="19.5" customHeight="1" x14ac:dyDescent="0.3">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3">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3">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3">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3">
      <c r="I6" s="36"/>
      <c r="AF6" s="38">
        <v>2020</v>
      </c>
      <c r="AG6" s="39">
        <v>0.95</v>
      </c>
      <c r="AH6" s="39">
        <v>0.95</v>
      </c>
      <c r="AI6" s="67">
        <v>0.95</v>
      </c>
      <c r="AJ6" s="67">
        <v>0.95</v>
      </c>
      <c r="AK6" s="67">
        <v>0.95</v>
      </c>
      <c r="AL6" s="67">
        <v>1</v>
      </c>
      <c r="AM6" s="74">
        <v>0.95</v>
      </c>
      <c r="AN6" s="67">
        <v>0.95</v>
      </c>
      <c r="AO6" s="67">
        <v>0.95</v>
      </c>
      <c r="AP6" s="67">
        <v>0.95</v>
      </c>
    </row>
    <row r="7" spans="1:46" x14ac:dyDescent="0.3">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3">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3">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3">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3">
        <f>SUM(N11:AB11)</f>
        <v>0</v>
      </c>
      <c r="AG11" s="35"/>
      <c r="AH11" s="35"/>
      <c r="AI11" s="35"/>
      <c r="AJ11" s="35"/>
      <c r="AK11" s="35"/>
      <c r="AL11" s="35"/>
      <c r="AM11" s="35"/>
      <c r="AN11" s="35"/>
      <c r="AO11" s="35"/>
      <c r="AP11" s="35"/>
      <c r="AQ11" s="35"/>
      <c r="AR11" s="35"/>
      <c r="AS11" s="35"/>
      <c r="AT11" s="35"/>
    </row>
    <row r="12" spans="1:46" x14ac:dyDescent="0.3">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3">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 thickBot="1" x14ac:dyDescent="0.35">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 thickBot="1" x14ac:dyDescent="0.35">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3">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3">
      <c r="A17" s="44"/>
      <c r="B17" s="44"/>
      <c r="C17" s="44"/>
      <c r="D17" s="44"/>
      <c r="E17" s="44"/>
      <c r="F17" s="44"/>
      <c r="G17" s="44"/>
      <c r="K17" s="172"/>
      <c r="L17" s="172"/>
      <c r="M17" s="174" t="str">
        <f>STAT_TRA_Shares!B7</f>
        <v>% of biogas in CNG</v>
      </c>
      <c r="N17" s="514">
        <f>STAT_TRA_Shares!C7</f>
        <v>0.95</v>
      </c>
      <c r="O17" s="513">
        <f t="shared" ref="O17:AB23" si="4">$N17</f>
        <v>0.95</v>
      </c>
      <c r="P17" s="513">
        <f t="shared" si="4"/>
        <v>0.95</v>
      </c>
      <c r="Q17" s="513">
        <f t="shared" si="4"/>
        <v>0.95</v>
      </c>
      <c r="R17" s="513">
        <f t="shared" si="4"/>
        <v>0.95</v>
      </c>
      <c r="S17" s="513">
        <f t="shared" si="4"/>
        <v>0.95</v>
      </c>
      <c r="T17" s="513">
        <f t="shared" si="4"/>
        <v>0.95</v>
      </c>
      <c r="U17" s="513">
        <f t="shared" si="4"/>
        <v>0.95</v>
      </c>
      <c r="V17" s="513">
        <f t="shared" si="4"/>
        <v>0.95</v>
      </c>
      <c r="W17" s="513">
        <f t="shared" si="4"/>
        <v>0.95</v>
      </c>
      <c r="X17" s="513">
        <f t="shared" si="4"/>
        <v>0.95</v>
      </c>
      <c r="Y17" s="513">
        <f t="shared" si="4"/>
        <v>0.95</v>
      </c>
      <c r="Z17" s="513">
        <f t="shared" si="4"/>
        <v>0.95</v>
      </c>
      <c r="AA17" s="513">
        <f t="shared" si="4"/>
        <v>0.95</v>
      </c>
      <c r="AB17" s="513">
        <f t="shared" si="4"/>
        <v>0.95</v>
      </c>
      <c r="AC17" s="44"/>
    </row>
    <row r="18" spans="1:46" x14ac:dyDescent="0.3">
      <c r="A18" s="44"/>
      <c r="B18" s="44"/>
      <c r="C18" s="44"/>
      <c r="D18" s="44"/>
      <c r="E18" s="44"/>
      <c r="F18" s="44"/>
      <c r="G18" s="44"/>
      <c r="K18" s="172"/>
      <c r="L18" s="172"/>
      <c r="M18" s="174" t="str">
        <f>STAT_TRA_Shares!B9</f>
        <v>% of HVO in diesel</v>
      </c>
      <c r="N18" s="514">
        <f>STAT_TRA_Shares!C9</f>
        <v>0.17499999999999999</v>
      </c>
      <c r="O18" s="513">
        <f t="shared" si="4"/>
        <v>0.17499999999999999</v>
      </c>
      <c r="P18" s="513">
        <f t="shared" si="4"/>
        <v>0.17499999999999999</v>
      </c>
      <c r="Q18" s="513">
        <f t="shared" si="4"/>
        <v>0.17499999999999999</v>
      </c>
      <c r="R18" s="513">
        <f t="shared" si="4"/>
        <v>0.17499999999999999</v>
      </c>
      <c r="S18" s="513">
        <f t="shared" si="4"/>
        <v>0.17499999999999999</v>
      </c>
      <c r="T18" s="513">
        <f t="shared" si="4"/>
        <v>0.17499999999999999</v>
      </c>
      <c r="U18" s="513">
        <f t="shared" si="4"/>
        <v>0.17499999999999999</v>
      </c>
      <c r="V18" s="513">
        <f t="shared" si="4"/>
        <v>0.17499999999999999</v>
      </c>
      <c r="W18" s="513">
        <f t="shared" si="4"/>
        <v>0.17499999999999999</v>
      </c>
      <c r="X18" s="513">
        <f t="shared" si="4"/>
        <v>0.17499999999999999</v>
      </c>
      <c r="Y18" s="513">
        <f t="shared" si="4"/>
        <v>0.17499999999999999</v>
      </c>
      <c r="Z18" s="513">
        <f t="shared" si="4"/>
        <v>0.17499999999999999</v>
      </c>
      <c r="AA18" s="513">
        <f t="shared" si="4"/>
        <v>0.17499999999999999</v>
      </c>
      <c r="AB18" s="513">
        <f t="shared" si="4"/>
        <v>0.17499999999999999</v>
      </c>
      <c r="AC18" s="373"/>
    </row>
    <row r="19" spans="1:46" x14ac:dyDescent="0.3">
      <c r="A19" s="44"/>
      <c r="B19" s="44"/>
      <c r="C19" s="44"/>
      <c r="D19" s="44"/>
      <c r="E19" s="44"/>
      <c r="F19" s="44"/>
      <c r="G19" s="44"/>
      <c r="K19" s="172"/>
      <c r="L19" s="172"/>
      <c r="M19" s="174" t="str">
        <f>STAT_TRA_Shares!B10</f>
        <v>% of low-blend bioethanol in gasoline</v>
      </c>
      <c r="N19" s="514">
        <f>STAT_TRA_Shares!C10</f>
        <v>5.0999999999999997E-2</v>
      </c>
      <c r="O19" s="513">
        <f t="shared" si="4"/>
        <v>5.0999999999999997E-2</v>
      </c>
      <c r="P19" s="513">
        <f t="shared" si="4"/>
        <v>5.0999999999999997E-2</v>
      </c>
      <c r="Q19" s="513">
        <f t="shared" si="4"/>
        <v>5.0999999999999997E-2</v>
      </c>
      <c r="R19" s="513">
        <f t="shared" si="4"/>
        <v>5.0999999999999997E-2</v>
      </c>
      <c r="S19" s="513">
        <f t="shared" si="4"/>
        <v>5.0999999999999997E-2</v>
      </c>
      <c r="T19" s="513">
        <f t="shared" si="4"/>
        <v>5.0999999999999997E-2</v>
      </c>
      <c r="U19" s="513">
        <f t="shared" si="4"/>
        <v>5.0999999999999997E-2</v>
      </c>
      <c r="V19" s="513">
        <f t="shared" si="4"/>
        <v>5.0999999999999997E-2</v>
      </c>
      <c r="W19" s="513">
        <f t="shared" si="4"/>
        <v>5.0999999999999997E-2</v>
      </c>
      <c r="X19" s="513">
        <f t="shared" si="4"/>
        <v>5.0999999999999997E-2</v>
      </c>
      <c r="Y19" s="513">
        <f t="shared" si="4"/>
        <v>5.0999999999999997E-2</v>
      </c>
      <c r="Z19" s="513">
        <f t="shared" si="4"/>
        <v>5.0999999999999997E-2</v>
      </c>
      <c r="AA19" s="513">
        <f t="shared" si="4"/>
        <v>5.0999999999999997E-2</v>
      </c>
      <c r="AB19" s="513">
        <f t="shared" si="4"/>
        <v>5.0999999999999997E-2</v>
      </c>
      <c r="AC19" s="374"/>
    </row>
    <row r="20" spans="1:46" x14ac:dyDescent="0.3">
      <c r="A20" s="44"/>
      <c r="B20" s="44"/>
      <c r="C20" s="44"/>
      <c r="D20" s="44"/>
      <c r="E20" s="44"/>
      <c r="F20" s="44"/>
      <c r="G20" s="44"/>
      <c r="K20" s="172"/>
      <c r="L20" s="172"/>
      <c r="M20" s="174" t="str">
        <f>STAT_TRA_Shares!B12</f>
        <v>% of bioethanol in E85 (TRAETH)</v>
      </c>
      <c r="N20" s="514">
        <f>STAT_TRA_Shares!C12</f>
        <v>0.82</v>
      </c>
      <c r="O20" s="513">
        <f t="shared" si="4"/>
        <v>0.82</v>
      </c>
      <c r="P20" s="513">
        <f t="shared" si="4"/>
        <v>0.82</v>
      </c>
      <c r="Q20" s="513">
        <f t="shared" si="4"/>
        <v>0.82</v>
      </c>
      <c r="R20" s="513">
        <f t="shared" si="4"/>
        <v>0.82</v>
      </c>
      <c r="S20" s="513">
        <f t="shared" si="4"/>
        <v>0.82</v>
      </c>
      <c r="T20" s="513">
        <f t="shared" si="4"/>
        <v>0.82</v>
      </c>
      <c r="U20" s="513">
        <f t="shared" si="4"/>
        <v>0.82</v>
      </c>
      <c r="V20" s="513">
        <f t="shared" si="4"/>
        <v>0.82</v>
      </c>
      <c r="W20" s="513">
        <f t="shared" si="4"/>
        <v>0.82</v>
      </c>
      <c r="X20" s="513">
        <f t="shared" si="4"/>
        <v>0.82</v>
      </c>
      <c r="Y20" s="513">
        <f t="shared" si="4"/>
        <v>0.82</v>
      </c>
      <c r="Z20" s="513">
        <f t="shared" si="4"/>
        <v>0.82</v>
      </c>
      <c r="AA20" s="513">
        <f t="shared" si="4"/>
        <v>0.82</v>
      </c>
      <c r="AB20" s="513">
        <f t="shared" si="4"/>
        <v>0.82</v>
      </c>
      <c r="AC20" s="374"/>
    </row>
    <row r="21" spans="1:46" x14ac:dyDescent="0.3">
      <c r="A21" s="44"/>
      <c r="B21" s="44"/>
      <c r="C21" s="44"/>
      <c r="D21" s="44"/>
      <c r="E21" s="44"/>
      <c r="F21" s="44"/>
      <c r="G21" s="44"/>
      <c r="K21" s="172"/>
      <c r="L21" s="172"/>
      <c r="M21" s="174" t="str">
        <f>STAT_TRA_Shares!B18</f>
        <v>% of CNG fuelled in flexfuel GAS vehicles (rest is GSL)</v>
      </c>
      <c r="N21" s="514">
        <f>STAT_TRA_Shares!C18</f>
        <v>0.8</v>
      </c>
      <c r="O21" s="513">
        <f t="shared" si="4"/>
        <v>0.8</v>
      </c>
      <c r="P21" s="513">
        <f t="shared" si="4"/>
        <v>0.8</v>
      </c>
      <c r="Q21" s="513">
        <f t="shared" si="4"/>
        <v>0.8</v>
      </c>
      <c r="R21" s="513">
        <f t="shared" si="4"/>
        <v>0.8</v>
      </c>
      <c r="S21" s="513">
        <f t="shared" si="4"/>
        <v>0.8</v>
      </c>
      <c r="T21" s="513">
        <f t="shared" si="4"/>
        <v>0.8</v>
      </c>
      <c r="U21" s="513">
        <f t="shared" si="4"/>
        <v>0.8</v>
      </c>
      <c r="V21" s="513">
        <f t="shared" si="4"/>
        <v>0.8</v>
      </c>
      <c r="W21" s="513">
        <f t="shared" si="4"/>
        <v>0.8</v>
      </c>
      <c r="X21" s="513">
        <f t="shared" si="4"/>
        <v>0.8</v>
      </c>
      <c r="Y21" s="513">
        <f t="shared" si="4"/>
        <v>0.8</v>
      </c>
      <c r="Z21" s="513">
        <f t="shared" si="4"/>
        <v>0.8</v>
      </c>
      <c r="AA21" s="513">
        <f t="shared" si="4"/>
        <v>0.8</v>
      </c>
      <c r="AB21" s="513">
        <f t="shared" si="4"/>
        <v>0.8</v>
      </c>
      <c r="AC21" s="44"/>
    </row>
    <row r="22" spans="1:46" x14ac:dyDescent="0.3">
      <c r="A22" s="44"/>
      <c r="B22" s="44"/>
      <c r="C22" s="44"/>
      <c r="D22" s="44"/>
      <c r="E22" s="44"/>
      <c r="F22" s="44"/>
      <c r="G22" s="44"/>
      <c r="K22" s="172"/>
      <c r="L22" s="172"/>
      <c r="M22" s="174" t="str">
        <f>STAT_TRA_Shares!B19</f>
        <v>% of ethanol fuelled in E85 flexfuel vehicles (rest is GSL)</v>
      </c>
      <c r="N22" s="514">
        <f>STAT_TRA_Shares!C19</f>
        <v>0.75</v>
      </c>
      <c r="O22" s="513">
        <f t="shared" si="4"/>
        <v>0.75</v>
      </c>
      <c r="P22" s="513">
        <f t="shared" si="4"/>
        <v>0.75</v>
      </c>
      <c r="Q22" s="513">
        <f t="shared" si="4"/>
        <v>0.75</v>
      </c>
      <c r="R22" s="513">
        <f t="shared" si="4"/>
        <v>0.75</v>
      </c>
      <c r="S22" s="513">
        <f t="shared" si="4"/>
        <v>0.75</v>
      </c>
      <c r="T22" s="513">
        <f t="shared" si="4"/>
        <v>0.75</v>
      </c>
      <c r="U22" s="513">
        <f t="shared" si="4"/>
        <v>0.75</v>
      </c>
      <c r="V22" s="513">
        <f t="shared" si="4"/>
        <v>0.75</v>
      </c>
      <c r="W22" s="513">
        <f t="shared" si="4"/>
        <v>0.75</v>
      </c>
      <c r="X22" s="513">
        <f t="shared" si="4"/>
        <v>0.75</v>
      </c>
      <c r="Y22" s="513">
        <f t="shared" si="4"/>
        <v>0.75</v>
      </c>
      <c r="Z22" s="513">
        <f t="shared" si="4"/>
        <v>0.75</v>
      </c>
      <c r="AA22" s="513">
        <f t="shared" si="4"/>
        <v>0.75</v>
      </c>
      <c r="AB22" s="513">
        <f t="shared" si="4"/>
        <v>0.75</v>
      </c>
      <c r="AC22" s="373"/>
    </row>
    <row r="23" spans="1:46" x14ac:dyDescent="0.3">
      <c r="A23" s="44"/>
      <c r="B23" s="44"/>
      <c r="C23" s="44"/>
      <c r="D23" s="44"/>
      <c r="E23" s="44"/>
      <c r="F23" s="44"/>
      <c r="G23" s="44"/>
      <c r="K23" s="172"/>
      <c r="L23" s="172"/>
      <c r="M23" s="174" t="str">
        <f>STAT_TRA_Shares!B20</f>
        <v>% of LPG fuelled in flexfuel LPG vehicles (rest is GSL)</v>
      </c>
      <c r="N23" s="514">
        <f>STAT_TRA_Shares!C20</f>
        <v>0.8</v>
      </c>
      <c r="O23" s="513">
        <f t="shared" si="4"/>
        <v>0.8</v>
      </c>
      <c r="P23" s="513">
        <f t="shared" si="4"/>
        <v>0.8</v>
      </c>
      <c r="Q23" s="513">
        <f t="shared" si="4"/>
        <v>0.8</v>
      </c>
      <c r="R23" s="513">
        <f t="shared" si="4"/>
        <v>0.8</v>
      </c>
      <c r="S23" s="513">
        <f t="shared" si="4"/>
        <v>0.8</v>
      </c>
      <c r="T23" s="513">
        <f t="shared" si="4"/>
        <v>0.8</v>
      </c>
      <c r="U23" s="513">
        <f t="shared" si="4"/>
        <v>0.8</v>
      </c>
      <c r="V23" s="513">
        <f t="shared" si="4"/>
        <v>0.8</v>
      </c>
      <c r="W23" s="513">
        <f t="shared" si="4"/>
        <v>0.8</v>
      </c>
      <c r="X23" s="513">
        <f t="shared" si="4"/>
        <v>0.8</v>
      </c>
      <c r="Y23" s="513">
        <f t="shared" si="4"/>
        <v>0.8</v>
      </c>
      <c r="Z23" s="513">
        <f t="shared" si="4"/>
        <v>0.8</v>
      </c>
      <c r="AA23" s="513">
        <f t="shared" si="4"/>
        <v>0.8</v>
      </c>
      <c r="AB23" s="513">
        <f t="shared" si="4"/>
        <v>0.8</v>
      </c>
      <c r="AC23" s="373"/>
    </row>
    <row r="24" spans="1:46" x14ac:dyDescent="0.3">
      <c r="A24" s="44"/>
      <c r="B24" s="555"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3">
      <c r="A25" s="44"/>
      <c r="B25" s="44"/>
      <c r="C25" s="44"/>
      <c r="D25" s="44"/>
      <c r="E25" s="44"/>
      <c r="F25" s="44"/>
      <c r="G25" s="44"/>
      <c r="M25" s="473" t="s">
        <v>1151</v>
      </c>
      <c r="N25" s="481">
        <v>0</v>
      </c>
      <c r="O25" s="481">
        <v>0</v>
      </c>
      <c r="P25" s="481">
        <v>0</v>
      </c>
      <c r="Q25" s="481">
        <v>0</v>
      </c>
      <c r="R25" s="481">
        <v>0</v>
      </c>
      <c r="S25" s="481">
        <v>0</v>
      </c>
      <c r="T25" s="481">
        <v>0</v>
      </c>
      <c r="U25" s="481">
        <v>0</v>
      </c>
      <c r="V25" s="481">
        <v>0</v>
      </c>
      <c r="W25" s="481">
        <v>0</v>
      </c>
      <c r="X25" s="481">
        <v>0</v>
      </c>
      <c r="Y25" s="481">
        <v>0</v>
      </c>
      <c r="Z25" s="481">
        <v>0</v>
      </c>
      <c r="AA25" s="481">
        <v>0</v>
      </c>
      <c r="AB25" s="481">
        <v>0</v>
      </c>
      <c r="AF25" s="77"/>
      <c r="AG25" s="77"/>
      <c r="AH25" s="77"/>
      <c r="AI25" s="77"/>
      <c r="AJ25" s="77"/>
      <c r="AK25" s="77"/>
      <c r="AL25" s="77"/>
    </row>
    <row r="26" spans="1:46" s="35" customFormat="1" x14ac:dyDescent="0.3">
      <c r="B26" s="26" t="s">
        <v>1190</v>
      </c>
      <c r="C26" s="26"/>
      <c r="I26" s="36"/>
      <c r="M26" s="473" t="s">
        <v>1153</v>
      </c>
      <c r="N26" s="481">
        <v>0</v>
      </c>
      <c r="O26" s="481">
        <v>0</v>
      </c>
      <c r="P26" s="481">
        <v>0</v>
      </c>
      <c r="Q26" s="481">
        <v>0</v>
      </c>
      <c r="R26" s="481">
        <v>0</v>
      </c>
      <c r="S26" s="481">
        <v>0</v>
      </c>
      <c r="T26" s="481">
        <v>0</v>
      </c>
      <c r="U26" s="481">
        <v>0</v>
      </c>
      <c r="V26" s="481">
        <v>0</v>
      </c>
      <c r="W26" s="481">
        <v>0</v>
      </c>
      <c r="X26" s="481">
        <v>0</v>
      </c>
      <c r="Y26" s="481">
        <v>0</v>
      </c>
      <c r="Z26" s="481">
        <v>0</v>
      </c>
      <c r="AA26" s="481">
        <v>0</v>
      </c>
      <c r="AB26" s="481">
        <v>0</v>
      </c>
    </row>
    <row r="27" spans="1:46" s="35" customFormat="1" x14ac:dyDescent="0.3"/>
    <row r="28" spans="1:46" s="22" customFormat="1" x14ac:dyDescent="0.3">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3">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3">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4" t="str">
        <f>IF(AE31-SUM(N10:AB10)&lt;0,"too small",IF(AE31-SUM(N10:AB10)&gt;0.001,"Too big","ok"))</f>
        <v>ok</v>
      </c>
      <c r="AF30" s="618" t="str">
        <f t="shared" ref="AF30:AT30" si="7">IF(AF31-N10&lt;0,"too small",IF(AF31-N10&gt;0.001,"Too big","ok"))</f>
        <v>ok</v>
      </c>
      <c r="AG30" s="618" t="str">
        <f t="shared" si="7"/>
        <v>ok</v>
      </c>
      <c r="AH30" s="618" t="str">
        <f t="shared" si="7"/>
        <v>ok</v>
      </c>
      <c r="AI30" s="618" t="str">
        <f t="shared" si="7"/>
        <v>ok</v>
      </c>
      <c r="AJ30" s="618" t="str">
        <f t="shared" si="7"/>
        <v>ok</v>
      </c>
      <c r="AK30" s="618" t="str">
        <f t="shared" si="7"/>
        <v>ok</v>
      </c>
      <c r="AL30" s="618" t="str">
        <f t="shared" si="7"/>
        <v>ok</v>
      </c>
      <c r="AM30" s="618" t="str">
        <f t="shared" si="7"/>
        <v>ok</v>
      </c>
      <c r="AN30" s="618" t="str">
        <f t="shared" si="7"/>
        <v>ok</v>
      </c>
      <c r="AO30" s="618" t="str">
        <f t="shared" si="7"/>
        <v>ok</v>
      </c>
      <c r="AP30" s="618" t="str">
        <f t="shared" si="7"/>
        <v>ok</v>
      </c>
      <c r="AQ30" s="618" t="str">
        <f t="shared" si="7"/>
        <v>ok</v>
      </c>
      <c r="AR30" s="618" t="str">
        <f t="shared" si="7"/>
        <v>ok</v>
      </c>
      <c r="AS30" s="618" t="str">
        <f t="shared" si="7"/>
        <v>ok</v>
      </c>
      <c r="AT30" s="618" t="str">
        <f t="shared" si="7"/>
        <v>ok</v>
      </c>
    </row>
    <row r="31" spans="1:46" s="82" customFormat="1" x14ac:dyDescent="0.3">
      <c r="B31" s="178" t="str">
        <f>C31</f>
        <v>TMOTELC100</v>
      </c>
      <c r="C31" s="178" t="s">
        <v>323</v>
      </c>
      <c r="D31" s="598" t="s">
        <v>873</v>
      </c>
      <c r="E31" s="599" t="s">
        <v>682</v>
      </c>
      <c r="F31" s="326"/>
      <c r="G31" s="178"/>
      <c r="H31" s="178"/>
      <c r="I31" s="183"/>
      <c r="J31" s="184"/>
      <c r="K31" s="184"/>
      <c r="L31" s="185" t="s">
        <v>1106</v>
      </c>
      <c r="M31" s="178" t="s">
        <v>1155</v>
      </c>
      <c r="N31" s="600">
        <f>10^-3</f>
        <v>1E-3</v>
      </c>
      <c r="O31" s="600">
        <f t="shared" ref="O31:AB31" si="8">$N31</f>
        <v>1E-3</v>
      </c>
      <c r="P31" s="600">
        <f t="shared" si="8"/>
        <v>1E-3</v>
      </c>
      <c r="Q31" s="600">
        <f t="shared" si="8"/>
        <v>1E-3</v>
      </c>
      <c r="R31" s="600">
        <f t="shared" si="8"/>
        <v>1E-3</v>
      </c>
      <c r="S31" s="600">
        <f t="shared" si="8"/>
        <v>1E-3</v>
      </c>
      <c r="T31" s="600">
        <f t="shared" si="8"/>
        <v>1E-3</v>
      </c>
      <c r="U31" s="600">
        <f t="shared" si="8"/>
        <v>1E-3</v>
      </c>
      <c r="V31" s="600">
        <f t="shared" si="8"/>
        <v>1E-3</v>
      </c>
      <c r="W31" s="600">
        <f t="shared" si="8"/>
        <v>1E-3</v>
      </c>
      <c r="X31" s="600">
        <f t="shared" si="8"/>
        <v>1E-3</v>
      </c>
      <c r="Y31" s="600">
        <f t="shared" si="8"/>
        <v>1E-3</v>
      </c>
      <c r="Z31" s="600">
        <f t="shared" si="8"/>
        <v>1E-3</v>
      </c>
      <c r="AA31" s="600">
        <f t="shared" si="8"/>
        <v>1E-3</v>
      </c>
      <c r="AB31" s="600">
        <f t="shared" si="8"/>
        <v>1E-3</v>
      </c>
      <c r="AD31" s="56" t="str">
        <f>MID(D31,6,3)</f>
        <v>ELC</v>
      </c>
      <c r="AE31" s="80">
        <f>SUM(AF31:AT31)</f>
        <v>0</v>
      </c>
      <c r="AF31" s="585">
        <f>SUM(AF34:AF46)</f>
        <v>0</v>
      </c>
      <c r="AG31" s="585">
        <f t="shared" ref="AG31:AT31" si="9">SUM(AG34:AG46)</f>
        <v>0</v>
      </c>
      <c r="AH31" s="585">
        <f t="shared" si="9"/>
        <v>0</v>
      </c>
      <c r="AI31" s="585">
        <f t="shared" si="9"/>
        <v>0</v>
      </c>
      <c r="AJ31" s="585">
        <f t="shared" si="9"/>
        <v>0</v>
      </c>
      <c r="AK31" s="585">
        <f t="shared" si="9"/>
        <v>0</v>
      </c>
      <c r="AL31" s="585">
        <f t="shared" si="9"/>
        <v>0</v>
      </c>
      <c r="AM31" s="585">
        <f t="shared" si="9"/>
        <v>0</v>
      </c>
      <c r="AN31" s="585">
        <f t="shared" si="9"/>
        <v>0</v>
      </c>
      <c r="AO31" s="585">
        <f t="shared" si="9"/>
        <v>0</v>
      </c>
      <c r="AP31" s="585">
        <f t="shared" si="9"/>
        <v>0</v>
      </c>
      <c r="AQ31" s="585">
        <f t="shared" si="9"/>
        <v>0</v>
      </c>
      <c r="AR31" s="585">
        <f t="shared" si="9"/>
        <v>0</v>
      </c>
      <c r="AS31" s="585">
        <f t="shared" si="9"/>
        <v>0</v>
      </c>
      <c r="AT31" s="585">
        <f t="shared" si="9"/>
        <v>0</v>
      </c>
    </row>
    <row r="32" spans="1:46" s="22" customFormat="1" x14ac:dyDescent="0.3">
      <c r="B32" s="186" t="str">
        <f>B31</f>
        <v>TMOTELC100</v>
      </c>
      <c r="C32" s="186"/>
      <c r="D32" s="601"/>
      <c r="E32" s="601"/>
      <c r="F32" s="186"/>
      <c r="G32" s="214" t="s">
        <v>76</v>
      </c>
      <c r="H32" s="186"/>
      <c r="I32" s="190"/>
      <c r="J32" s="191"/>
      <c r="K32" s="191"/>
      <c r="L32" s="191" t="s">
        <v>1125</v>
      </c>
      <c r="M32" s="186" t="s">
        <v>677</v>
      </c>
      <c r="N32" s="674">
        <f>T_CEFF!H99</f>
        <v>1.8799399999999999</v>
      </c>
      <c r="O32" s="674">
        <f>T_CEFF!I99</f>
        <v>1.8799399999999999</v>
      </c>
      <c r="P32" s="674">
        <f>T_CEFF!J99</f>
        <v>1.8799399999999999</v>
      </c>
      <c r="Q32" s="674">
        <f>T_CEFF!K99</f>
        <v>1.8799399999999999</v>
      </c>
      <c r="R32" s="674">
        <f>T_CEFF!L99</f>
        <v>1.8799399999999999</v>
      </c>
      <c r="S32" s="674">
        <f>T_CEFF!M99</f>
        <v>1.8799399999999999</v>
      </c>
      <c r="T32" s="674">
        <f>T_CEFF!N99</f>
        <v>1.8799399999999999</v>
      </c>
      <c r="U32" s="674">
        <f>T_CEFF!O99</f>
        <v>1.8799399999999999</v>
      </c>
      <c r="V32" s="674">
        <f>T_CEFF!P99</f>
        <v>1.8799399999999999</v>
      </c>
      <c r="W32" s="674">
        <f>T_CEFF!Q99</f>
        <v>1.8799399999999999</v>
      </c>
      <c r="X32" s="674">
        <f>T_CEFF!R99</f>
        <v>1.8799399999999999</v>
      </c>
      <c r="Y32" s="674">
        <f>T_CEFF!S99</f>
        <v>1.8799399999999999</v>
      </c>
      <c r="Z32" s="674">
        <f>T_CEFF!T99</f>
        <v>1.8799399999999999</v>
      </c>
      <c r="AA32" s="674">
        <f>T_CEFF!U99</f>
        <v>1.8799399999999999</v>
      </c>
      <c r="AB32" s="674">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3">
      <c r="B33" s="186" t="str">
        <f t="shared" ref="B33:B41" si="10">B32</f>
        <v>TMOTELC100</v>
      </c>
      <c r="C33" s="186"/>
      <c r="D33" s="601"/>
      <c r="E33" s="186"/>
      <c r="F33" s="213"/>
      <c r="G33" s="186"/>
      <c r="H33" s="186"/>
      <c r="I33" s="190"/>
      <c r="J33" s="191"/>
      <c r="K33" s="191" t="s">
        <v>748</v>
      </c>
      <c r="L33" s="186" t="s">
        <v>1127</v>
      </c>
      <c r="M33" s="186" t="s">
        <v>1158</v>
      </c>
      <c r="N33" s="602">
        <f>N$15</f>
        <v>0</v>
      </c>
      <c r="O33" s="602">
        <f t="shared" ref="O33:AB33" si="11">O$15</f>
        <v>0</v>
      </c>
      <c r="P33" s="602">
        <f t="shared" si="11"/>
        <v>0</v>
      </c>
      <c r="Q33" s="602">
        <f t="shared" si="11"/>
        <v>0</v>
      </c>
      <c r="R33" s="602">
        <f t="shared" si="11"/>
        <v>0</v>
      </c>
      <c r="S33" s="602">
        <f t="shared" si="11"/>
        <v>0</v>
      </c>
      <c r="T33" s="602">
        <f t="shared" si="11"/>
        <v>0</v>
      </c>
      <c r="U33" s="602">
        <f t="shared" si="11"/>
        <v>0</v>
      </c>
      <c r="V33" s="602">
        <f t="shared" si="11"/>
        <v>0</v>
      </c>
      <c r="W33" s="602">
        <f t="shared" si="11"/>
        <v>0</v>
      </c>
      <c r="X33" s="602">
        <f t="shared" si="11"/>
        <v>0</v>
      </c>
      <c r="Y33" s="602">
        <f t="shared" si="11"/>
        <v>0</v>
      </c>
      <c r="Z33" s="602">
        <f t="shared" si="11"/>
        <v>0</v>
      </c>
      <c r="AA33" s="602">
        <f t="shared" si="11"/>
        <v>0</v>
      </c>
      <c r="AB33" s="602">
        <f t="shared" si="11"/>
        <v>0</v>
      </c>
    </row>
    <row r="34" spans="1:46" s="22" customFormat="1" x14ac:dyDescent="0.3">
      <c r="B34" s="186" t="str">
        <f t="shared" si="10"/>
        <v>TMOTELC100</v>
      </c>
      <c r="C34" s="186"/>
      <c r="D34" s="601"/>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3">
      <c r="B35" s="186" t="str">
        <f t="shared" si="10"/>
        <v>TMOTELC100</v>
      </c>
      <c r="C35" s="186"/>
      <c r="D35" s="601"/>
      <c r="E35" s="186"/>
      <c r="F35" s="213"/>
      <c r="G35" s="186"/>
      <c r="H35" s="186"/>
      <c r="I35" s="190">
        <f>$M$3</f>
        <v>2019</v>
      </c>
      <c r="J35" s="191"/>
      <c r="K35" s="191"/>
      <c r="L35" s="192" t="s">
        <v>1064</v>
      </c>
      <c r="M35" s="186" t="s">
        <v>747</v>
      </c>
      <c r="N35" s="686">
        <f>T_Stock_Private!D44*(1+N26)</f>
        <v>0</v>
      </c>
      <c r="O35" s="686">
        <f>T_Stock_Private!E44*(1+O26)</f>
        <v>0</v>
      </c>
      <c r="P35" s="686">
        <f>T_Stock_Private!F44*(1+P26)</f>
        <v>0</v>
      </c>
      <c r="Q35" s="686">
        <f>T_Stock_Private!G44*(1+Q26)</f>
        <v>0</v>
      </c>
      <c r="R35" s="686">
        <f>T_Stock_Private!H44*(1+R26)</f>
        <v>0</v>
      </c>
      <c r="S35" s="686">
        <f>T_Stock_Private!I44*(1+S26)</f>
        <v>0</v>
      </c>
      <c r="T35" s="686">
        <f>T_Stock_Private!J44*(1+T26)</f>
        <v>0</v>
      </c>
      <c r="U35" s="686">
        <f>T_Stock_Private!K44*(1+U26)</f>
        <v>0</v>
      </c>
      <c r="V35" s="686">
        <f>T_Stock_Private!L44*(1+V26)</f>
        <v>0</v>
      </c>
      <c r="W35" s="686">
        <f>T_Stock_Private!M44*(1+W26)</f>
        <v>0</v>
      </c>
      <c r="X35" s="686">
        <f>T_Stock_Private!N44*(1+X26)</f>
        <v>0</v>
      </c>
      <c r="Y35" s="686">
        <f>T_Stock_Private!O44*(1+Y26)</f>
        <v>0</v>
      </c>
      <c r="Z35" s="686">
        <f>T_Stock_Private!P44*(1+Z26)</f>
        <v>0</v>
      </c>
      <c r="AA35" s="686">
        <f>T_Stock_Private!Q44*(1+AA26)</f>
        <v>0</v>
      </c>
      <c r="AB35" s="686">
        <f>T_Stock_Private!R44*(1+AB26)</f>
        <v>0</v>
      </c>
    </row>
    <row r="36" spans="1:46" s="22" customFormat="1" x14ac:dyDescent="0.3">
      <c r="B36" s="186" t="str">
        <f t="shared" si="10"/>
        <v>TMOTELC100</v>
      </c>
      <c r="C36" s="186"/>
      <c r="D36" s="601"/>
      <c r="E36" s="186"/>
      <c r="F36" s="213"/>
      <c r="G36" s="186"/>
      <c r="H36" s="186"/>
      <c r="I36" s="190">
        <f>AF$5</f>
        <v>2016</v>
      </c>
      <c r="J36" s="191"/>
      <c r="K36" s="191"/>
      <c r="L36" s="192" t="s">
        <v>1064</v>
      </c>
      <c r="M36" s="186" t="s">
        <v>747</v>
      </c>
      <c r="N36" s="686">
        <f t="shared" ref="N36:AB36" si="13">N35*LOOKUP($AD31,$AG$4:$AP$4,$AG$5:$AP$5)</f>
        <v>0</v>
      </c>
      <c r="O36" s="686">
        <f t="shared" si="13"/>
        <v>0</v>
      </c>
      <c r="P36" s="686">
        <f t="shared" si="13"/>
        <v>0</v>
      </c>
      <c r="Q36" s="686">
        <f t="shared" si="13"/>
        <v>0</v>
      </c>
      <c r="R36" s="686">
        <f t="shared" si="13"/>
        <v>0</v>
      </c>
      <c r="S36" s="686">
        <f t="shared" si="13"/>
        <v>0</v>
      </c>
      <c r="T36" s="686">
        <f t="shared" si="13"/>
        <v>0</v>
      </c>
      <c r="U36" s="686">
        <f t="shared" si="13"/>
        <v>0</v>
      </c>
      <c r="V36" s="686">
        <f t="shared" si="13"/>
        <v>0</v>
      </c>
      <c r="W36" s="686">
        <f t="shared" si="13"/>
        <v>0</v>
      </c>
      <c r="X36" s="686">
        <f t="shared" si="13"/>
        <v>0</v>
      </c>
      <c r="Y36" s="686">
        <f t="shared" si="13"/>
        <v>0</v>
      </c>
      <c r="Z36" s="686">
        <f t="shared" si="13"/>
        <v>0</v>
      </c>
      <c r="AA36" s="686">
        <f t="shared" si="13"/>
        <v>0</v>
      </c>
      <c r="AB36" s="686">
        <f t="shared" si="13"/>
        <v>0</v>
      </c>
    </row>
    <row r="37" spans="1:46" s="22" customFormat="1" x14ac:dyDescent="0.3">
      <c r="B37" s="186" t="str">
        <f t="shared" si="10"/>
        <v>TMOTELC100</v>
      </c>
      <c r="C37" s="186"/>
      <c r="D37" s="601"/>
      <c r="E37" s="186"/>
      <c r="F37" s="213"/>
      <c r="G37" s="186"/>
      <c r="H37" s="186"/>
      <c r="I37" s="190">
        <f>AF$6</f>
        <v>2020</v>
      </c>
      <c r="J37" s="191"/>
      <c r="K37" s="191"/>
      <c r="L37" s="192" t="s">
        <v>1064</v>
      </c>
      <c r="M37" s="186" t="s">
        <v>747</v>
      </c>
      <c r="N37" s="686">
        <f t="shared" ref="N37:AB37" si="14">N35*LOOKUP($AD31,$AG$4:$AP$4,$AG$6:$AP$6)</f>
        <v>0</v>
      </c>
      <c r="O37" s="686">
        <f t="shared" si="14"/>
        <v>0</v>
      </c>
      <c r="P37" s="686">
        <f t="shared" si="14"/>
        <v>0</v>
      </c>
      <c r="Q37" s="686">
        <f t="shared" si="14"/>
        <v>0</v>
      </c>
      <c r="R37" s="686">
        <f t="shared" si="14"/>
        <v>0</v>
      </c>
      <c r="S37" s="686">
        <f t="shared" si="14"/>
        <v>0</v>
      </c>
      <c r="T37" s="686">
        <f t="shared" si="14"/>
        <v>0</v>
      </c>
      <c r="U37" s="686">
        <f t="shared" si="14"/>
        <v>0</v>
      </c>
      <c r="V37" s="686">
        <f t="shared" si="14"/>
        <v>0</v>
      </c>
      <c r="W37" s="686">
        <f t="shared" si="14"/>
        <v>0</v>
      </c>
      <c r="X37" s="686">
        <f t="shared" si="14"/>
        <v>0</v>
      </c>
      <c r="Y37" s="686">
        <f t="shared" si="14"/>
        <v>0</v>
      </c>
      <c r="Z37" s="686">
        <f t="shared" si="14"/>
        <v>0</v>
      </c>
      <c r="AA37" s="686">
        <f t="shared" si="14"/>
        <v>0</v>
      </c>
      <c r="AB37" s="686">
        <f t="shared" si="14"/>
        <v>0</v>
      </c>
    </row>
    <row r="38" spans="1:46" s="22" customFormat="1" x14ac:dyDescent="0.3">
      <c r="B38" s="186" t="str">
        <f t="shared" si="10"/>
        <v>TMOTELC100</v>
      </c>
      <c r="C38" s="186"/>
      <c r="D38" s="601"/>
      <c r="E38" s="186"/>
      <c r="F38" s="213"/>
      <c r="G38" s="186"/>
      <c r="H38" s="186"/>
      <c r="I38" s="190">
        <f>AF$7</f>
        <v>2025</v>
      </c>
      <c r="J38" s="191"/>
      <c r="K38" s="191"/>
      <c r="L38" s="192" t="s">
        <v>1064</v>
      </c>
      <c r="M38" s="186" t="s">
        <v>747</v>
      </c>
      <c r="N38" s="686">
        <f t="shared" ref="N38:AB38" si="15">N35*LOOKUP($AD31,$AG$4:$AP$4,$AG$7:$AP$7)</f>
        <v>0</v>
      </c>
      <c r="O38" s="686">
        <f t="shared" si="15"/>
        <v>0</v>
      </c>
      <c r="P38" s="686">
        <f t="shared" si="15"/>
        <v>0</v>
      </c>
      <c r="Q38" s="686">
        <f t="shared" si="15"/>
        <v>0</v>
      </c>
      <c r="R38" s="686">
        <f t="shared" si="15"/>
        <v>0</v>
      </c>
      <c r="S38" s="686">
        <f t="shared" si="15"/>
        <v>0</v>
      </c>
      <c r="T38" s="686">
        <f t="shared" si="15"/>
        <v>0</v>
      </c>
      <c r="U38" s="686">
        <f t="shared" si="15"/>
        <v>0</v>
      </c>
      <c r="V38" s="686">
        <f t="shared" si="15"/>
        <v>0</v>
      </c>
      <c r="W38" s="686">
        <f t="shared" si="15"/>
        <v>0</v>
      </c>
      <c r="X38" s="686">
        <f t="shared" si="15"/>
        <v>0</v>
      </c>
      <c r="Y38" s="686">
        <f t="shared" si="15"/>
        <v>0</v>
      </c>
      <c r="Z38" s="686">
        <f t="shared" si="15"/>
        <v>0</v>
      </c>
      <c r="AA38" s="686">
        <f t="shared" si="15"/>
        <v>0</v>
      </c>
      <c r="AB38" s="686">
        <f t="shared" si="15"/>
        <v>0</v>
      </c>
    </row>
    <row r="39" spans="1:46" s="22" customFormat="1" x14ac:dyDescent="0.3">
      <c r="B39" s="186" t="str">
        <f t="shared" si="10"/>
        <v>TMOTELC100</v>
      </c>
      <c r="C39" s="186"/>
      <c r="D39" s="601"/>
      <c r="E39" s="186"/>
      <c r="F39" s="213"/>
      <c r="G39" s="186"/>
      <c r="H39" s="186"/>
      <c r="I39" s="190">
        <f>AF$8</f>
        <v>2030</v>
      </c>
      <c r="J39" s="191"/>
      <c r="K39" s="191"/>
      <c r="L39" s="192" t="s">
        <v>1064</v>
      </c>
      <c r="M39" s="186" t="s">
        <v>747</v>
      </c>
      <c r="N39" s="686">
        <f t="shared" ref="N39:AB39" si="16">N35*LOOKUP($AD31,$AG$4:$AP$4,$AG$8:$AP$8)</f>
        <v>0</v>
      </c>
      <c r="O39" s="686">
        <f t="shared" si="16"/>
        <v>0</v>
      </c>
      <c r="P39" s="686">
        <f t="shared" si="16"/>
        <v>0</v>
      </c>
      <c r="Q39" s="686">
        <f t="shared" si="16"/>
        <v>0</v>
      </c>
      <c r="R39" s="686">
        <f t="shared" si="16"/>
        <v>0</v>
      </c>
      <c r="S39" s="686">
        <f t="shared" si="16"/>
        <v>0</v>
      </c>
      <c r="T39" s="686">
        <f t="shared" si="16"/>
        <v>0</v>
      </c>
      <c r="U39" s="686">
        <f t="shared" si="16"/>
        <v>0</v>
      </c>
      <c r="V39" s="686">
        <f t="shared" si="16"/>
        <v>0</v>
      </c>
      <c r="W39" s="686">
        <f t="shared" si="16"/>
        <v>0</v>
      </c>
      <c r="X39" s="686">
        <f t="shared" si="16"/>
        <v>0</v>
      </c>
      <c r="Y39" s="686">
        <f t="shared" si="16"/>
        <v>0</v>
      </c>
      <c r="Z39" s="686">
        <f t="shared" si="16"/>
        <v>0</v>
      </c>
      <c r="AA39" s="686">
        <f t="shared" si="16"/>
        <v>0</v>
      </c>
      <c r="AB39" s="686">
        <f t="shared" si="16"/>
        <v>0</v>
      </c>
    </row>
    <row r="40" spans="1:46" s="22" customFormat="1" x14ac:dyDescent="0.3">
      <c r="B40" s="186" t="str">
        <f t="shared" si="10"/>
        <v>TMOTELC100</v>
      </c>
      <c r="C40" s="186"/>
      <c r="D40" s="601"/>
      <c r="E40" s="186"/>
      <c r="F40" s="213"/>
      <c r="G40" s="186"/>
      <c r="H40" s="186"/>
      <c r="I40" s="190">
        <f>AF$9</f>
        <v>2040</v>
      </c>
      <c r="J40" s="191"/>
      <c r="K40" s="191"/>
      <c r="L40" s="192" t="s">
        <v>1064</v>
      </c>
      <c r="M40" s="186" t="s">
        <v>747</v>
      </c>
      <c r="N40" s="686">
        <f t="shared" ref="N40:AB40" si="17">N35*LOOKUP($AD31,$AG$4:$AP$4,$AG$9:$AP$9)</f>
        <v>0</v>
      </c>
      <c r="O40" s="686">
        <f t="shared" si="17"/>
        <v>0</v>
      </c>
      <c r="P40" s="686">
        <f t="shared" si="17"/>
        <v>0</v>
      </c>
      <c r="Q40" s="686">
        <f t="shared" si="17"/>
        <v>0</v>
      </c>
      <c r="R40" s="686">
        <f t="shared" si="17"/>
        <v>0</v>
      </c>
      <c r="S40" s="686">
        <f t="shared" si="17"/>
        <v>0</v>
      </c>
      <c r="T40" s="686">
        <f t="shared" si="17"/>
        <v>0</v>
      </c>
      <c r="U40" s="686">
        <f t="shared" si="17"/>
        <v>0</v>
      </c>
      <c r="V40" s="686">
        <f t="shared" si="17"/>
        <v>0</v>
      </c>
      <c r="W40" s="686">
        <f t="shared" si="17"/>
        <v>0</v>
      </c>
      <c r="X40" s="686">
        <f t="shared" si="17"/>
        <v>0</v>
      </c>
      <c r="Y40" s="686">
        <f t="shared" si="17"/>
        <v>0</v>
      </c>
      <c r="Z40" s="686">
        <f t="shared" si="17"/>
        <v>0</v>
      </c>
      <c r="AA40" s="686">
        <f t="shared" si="17"/>
        <v>0</v>
      </c>
      <c r="AB40" s="686">
        <f t="shared" si="17"/>
        <v>0</v>
      </c>
    </row>
    <row r="41" spans="1:46" s="22" customFormat="1" x14ac:dyDescent="0.3">
      <c r="B41" s="193" t="str">
        <f t="shared" si="10"/>
        <v>TMOTELC100</v>
      </c>
      <c r="C41" s="193"/>
      <c r="D41" s="603"/>
      <c r="E41" s="193"/>
      <c r="F41" s="215"/>
      <c r="G41" s="193"/>
      <c r="H41" s="193"/>
      <c r="I41" s="197">
        <f>AF$10</f>
        <v>2050</v>
      </c>
      <c r="J41" s="198"/>
      <c r="K41" s="198"/>
      <c r="L41" s="199" t="s">
        <v>1064</v>
      </c>
      <c r="M41" s="193" t="s">
        <v>747</v>
      </c>
      <c r="N41" s="687">
        <f t="shared" ref="N41:AB41" si="18">N35*LOOKUP($AD31,$AG$4:$AP$4,$AG$10:$AP$10)</f>
        <v>0</v>
      </c>
      <c r="O41" s="687">
        <f t="shared" si="18"/>
        <v>0</v>
      </c>
      <c r="P41" s="687">
        <f t="shared" si="18"/>
        <v>0</v>
      </c>
      <c r="Q41" s="687">
        <f t="shared" si="18"/>
        <v>0</v>
      </c>
      <c r="R41" s="687">
        <f t="shared" si="18"/>
        <v>0</v>
      </c>
      <c r="S41" s="687">
        <f t="shared" si="18"/>
        <v>0</v>
      </c>
      <c r="T41" s="687">
        <f t="shared" si="18"/>
        <v>0</v>
      </c>
      <c r="U41" s="687">
        <f t="shared" si="18"/>
        <v>0</v>
      </c>
      <c r="V41" s="687">
        <f t="shared" si="18"/>
        <v>0</v>
      </c>
      <c r="W41" s="687">
        <f t="shared" si="18"/>
        <v>0</v>
      </c>
      <c r="X41" s="687">
        <f t="shared" si="18"/>
        <v>0</v>
      </c>
      <c r="Y41" s="687">
        <f t="shared" si="18"/>
        <v>0</v>
      </c>
      <c r="Z41" s="687">
        <f t="shared" si="18"/>
        <v>0</v>
      </c>
      <c r="AA41" s="687">
        <f t="shared" si="18"/>
        <v>0</v>
      </c>
      <c r="AB41" s="687">
        <f t="shared" si="18"/>
        <v>0</v>
      </c>
      <c r="AD41" s="604"/>
    </row>
    <row r="42" spans="1:46" s="83" customFormat="1" x14ac:dyDescent="0.3">
      <c r="A42" s="82"/>
      <c r="B42" s="178" t="str">
        <f>C42</f>
        <v>TMOTGSL100</v>
      </c>
      <c r="C42" s="178" t="s">
        <v>324</v>
      </c>
      <c r="D42" s="179" t="s">
        <v>875</v>
      </c>
      <c r="E42" s="407" t="s">
        <v>1013</v>
      </c>
      <c r="F42" s="181"/>
      <c r="G42" s="182"/>
      <c r="H42" s="182"/>
      <c r="I42" s="183"/>
      <c r="J42" s="184"/>
      <c r="K42" s="184"/>
      <c r="L42" s="185" t="s">
        <v>1106</v>
      </c>
      <c r="M42" s="178" t="s">
        <v>1155</v>
      </c>
      <c r="N42" s="566">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3">
      <c r="A43" s="22"/>
      <c r="B43" s="186" t="str">
        <f>B42</f>
        <v>TMOTGSL100</v>
      </c>
      <c r="C43" s="186"/>
      <c r="D43" s="187"/>
      <c r="E43" s="258" t="s">
        <v>1011</v>
      </c>
      <c r="F43" s="189"/>
      <c r="G43" s="170"/>
      <c r="H43" s="170"/>
      <c r="I43" s="190"/>
      <c r="J43" s="191" t="s">
        <v>1156</v>
      </c>
      <c r="K43" s="191"/>
      <c r="L43" s="192" t="s">
        <v>101</v>
      </c>
      <c r="M43" s="186"/>
      <c r="N43" s="377">
        <f>N$19</f>
        <v>5.0999999999999997E-2</v>
      </c>
      <c r="O43" s="377">
        <f t="shared" ref="O43:AB43" si="20">O$19</f>
        <v>5.0999999999999997E-2</v>
      </c>
      <c r="P43" s="377">
        <f t="shared" si="20"/>
        <v>5.0999999999999997E-2</v>
      </c>
      <c r="Q43" s="377">
        <f t="shared" si="20"/>
        <v>5.0999999999999997E-2</v>
      </c>
      <c r="R43" s="377">
        <f t="shared" si="20"/>
        <v>5.0999999999999997E-2</v>
      </c>
      <c r="S43" s="377">
        <f t="shared" si="20"/>
        <v>5.0999999999999997E-2</v>
      </c>
      <c r="T43" s="377">
        <f t="shared" si="20"/>
        <v>5.0999999999999997E-2</v>
      </c>
      <c r="U43" s="377">
        <f t="shared" si="20"/>
        <v>5.0999999999999997E-2</v>
      </c>
      <c r="V43" s="377">
        <f t="shared" si="20"/>
        <v>5.0999999999999997E-2</v>
      </c>
      <c r="W43" s="377">
        <f t="shared" si="20"/>
        <v>5.0999999999999997E-2</v>
      </c>
      <c r="X43" s="377">
        <f t="shared" si="20"/>
        <v>5.0999999999999997E-2</v>
      </c>
      <c r="Y43" s="377">
        <f t="shared" si="20"/>
        <v>5.0999999999999997E-2</v>
      </c>
      <c r="Z43" s="377">
        <f t="shared" si="20"/>
        <v>5.0999999999999997E-2</v>
      </c>
      <c r="AA43" s="377">
        <f t="shared" si="20"/>
        <v>5.0999999999999997E-2</v>
      </c>
      <c r="AB43" s="377">
        <f t="shared" si="20"/>
        <v>5.0999999999999997E-2</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3">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3">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3">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3">
      <c r="A47" s="22"/>
      <c r="B47" s="186" t="str">
        <f t="shared" si="21"/>
        <v>TMOTGSL100</v>
      </c>
      <c r="C47" s="186"/>
      <c r="D47" s="187"/>
      <c r="E47" s="186"/>
      <c r="F47" s="189"/>
      <c r="G47" s="170"/>
      <c r="H47" s="170"/>
      <c r="I47" s="190">
        <f>$M$3</f>
        <v>2019</v>
      </c>
      <c r="J47" s="191"/>
      <c r="K47" s="191"/>
      <c r="L47" s="192" t="s">
        <v>1064</v>
      </c>
      <c r="M47" s="186" t="s">
        <v>747</v>
      </c>
      <c r="N47" s="686">
        <f>T_Stock_Private!D47*(1+N26)</f>
        <v>0</v>
      </c>
      <c r="O47" s="686">
        <f>T_Stock_Private!E47*(1+O26)</f>
        <v>0</v>
      </c>
      <c r="P47" s="686">
        <f>T_Stock_Private!F47*(1+P26)</f>
        <v>0</v>
      </c>
      <c r="Q47" s="686">
        <f>T_Stock_Private!G47*(1+Q26)</f>
        <v>0</v>
      </c>
      <c r="R47" s="686">
        <f>T_Stock_Private!H47*(1+R26)</f>
        <v>0</v>
      </c>
      <c r="S47" s="686">
        <f>T_Stock_Private!I47*(1+S26)</f>
        <v>0</v>
      </c>
      <c r="T47" s="686">
        <f>T_Stock_Private!J47*(1+T26)</f>
        <v>0</v>
      </c>
      <c r="U47" s="686">
        <f>T_Stock_Private!K47*(1+U26)</f>
        <v>0</v>
      </c>
      <c r="V47" s="686">
        <f>T_Stock_Private!L47*(1+V26)</f>
        <v>0</v>
      </c>
      <c r="W47" s="686">
        <f>T_Stock_Private!M47*(1+W26)</f>
        <v>0</v>
      </c>
      <c r="X47" s="686">
        <f>T_Stock_Private!N47*(1+X26)</f>
        <v>0</v>
      </c>
      <c r="Y47" s="686">
        <f>T_Stock_Private!O47*(1+Y26)</f>
        <v>0</v>
      </c>
      <c r="Z47" s="686">
        <f>T_Stock_Private!P47*(1+Z26)</f>
        <v>0</v>
      </c>
      <c r="AA47" s="686">
        <f>T_Stock_Private!Q47*(1+AA26)</f>
        <v>0</v>
      </c>
      <c r="AB47" s="686">
        <f>T_Stock_Private!R47*(1+AB26)</f>
        <v>0</v>
      </c>
    </row>
    <row r="48" spans="1:46" s="35" customFormat="1" x14ac:dyDescent="0.3">
      <c r="A48" s="22"/>
      <c r="B48" s="186" t="str">
        <f t="shared" si="21"/>
        <v>TMOTGSL100</v>
      </c>
      <c r="C48" s="186"/>
      <c r="D48" s="187"/>
      <c r="E48" s="186"/>
      <c r="F48" s="189"/>
      <c r="G48" s="170"/>
      <c r="H48" s="170"/>
      <c r="I48" s="190">
        <f>AF$5</f>
        <v>2016</v>
      </c>
      <c r="J48" s="191"/>
      <c r="K48" s="191"/>
      <c r="L48" s="192" t="s">
        <v>1064</v>
      </c>
      <c r="M48" s="186" t="s">
        <v>747</v>
      </c>
      <c r="N48" s="686">
        <f t="shared" ref="N48:AB48" si="24">N47*LOOKUP($AD42,$AG$4:$AP$4,$AG$5:$AP$5)</f>
        <v>0</v>
      </c>
      <c r="O48" s="686">
        <f t="shared" si="24"/>
        <v>0</v>
      </c>
      <c r="P48" s="686">
        <f t="shared" si="24"/>
        <v>0</v>
      </c>
      <c r="Q48" s="686">
        <f t="shared" si="24"/>
        <v>0</v>
      </c>
      <c r="R48" s="686">
        <f t="shared" si="24"/>
        <v>0</v>
      </c>
      <c r="S48" s="686">
        <f t="shared" si="24"/>
        <v>0</v>
      </c>
      <c r="T48" s="686">
        <f t="shared" si="24"/>
        <v>0</v>
      </c>
      <c r="U48" s="686">
        <f t="shared" si="24"/>
        <v>0</v>
      </c>
      <c r="V48" s="686">
        <f t="shared" si="24"/>
        <v>0</v>
      </c>
      <c r="W48" s="686">
        <f t="shared" si="24"/>
        <v>0</v>
      </c>
      <c r="X48" s="686">
        <f t="shared" si="24"/>
        <v>0</v>
      </c>
      <c r="Y48" s="686">
        <f t="shared" si="24"/>
        <v>0</v>
      </c>
      <c r="Z48" s="686">
        <f t="shared" si="24"/>
        <v>0</v>
      </c>
      <c r="AA48" s="686">
        <f t="shared" si="24"/>
        <v>0</v>
      </c>
      <c r="AB48" s="686">
        <f t="shared" si="24"/>
        <v>0</v>
      </c>
    </row>
    <row r="49" spans="1:46" s="35" customFormat="1" x14ac:dyDescent="0.3">
      <c r="A49" s="22"/>
      <c r="B49" s="186" t="str">
        <f t="shared" si="21"/>
        <v>TMOTGSL100</v>
      </c>
      <c r="C49" s="186"/>
      <c r="D49" s="187"/>
      <c r="E49" s="186"/>
      <c r="F49" s="189"/>
      <c r="G49" s="170"/>
      <c r="H49" s="170"/>
      <c r="I49" s="190">
        <f>AF$6</f>
        <v>2020</v>
      </c>
      <c r="J49" s="191"/>
      <c r="K49" s="191"/>
      <c r="L49" s="192" t="s">
        <v>1064</v>
      </c>
      <c r="M49" s="186" t="s">
        <v>747</v>
      </c>
      <c r="N49" s="686">
        <f t="shared" ref="N49:AB49" si="25">N47*LOOKUP($AD42,$AG$4:$AP$4,$AG$6:$AP$6)</f>
        <v>0</v>
      </c>
      <c r="O49" s="686">
        <f t="shared" si="25"/>
        <v>0</v>
      </c>
      <c r="P49" s="686">
        <f t="shared" si="25"/>
        <v>0</v>
      </c>
      <c r="Q49" s="686">
        <f t="shared" si="25"/>
        <v>0</v>
      </c>
      <c r="R49" s="686">
        <f t="shared" si="25"/>
        <v>0</v>
      </c>
      <c r="S49" s="686">
        <f t="shared" si="25"/>
        <v>0</v>
      </c>
      <c r="T49" s="686">
        <f t="shared" si="25"/>
        <v>0</v>
      </c>
      <c r="U49" s="686">
        <f t="shared" si="25"/>
        <v>0</v>
      </c>
      <c r="V49" s="686">
        <f t="shared" si="25"/>
        <v>0</v>
      </c>
      <c r="W49" s="686">
        <f t="shared" si="25"/>
        <v>0</v>
      </c>
      <c r="X49" s="686">
        <f t="shared" si="25"/>
        <v>0</v>
      </c>
      <c r="Y49" s="686">
        <f t="shared" si="25"/>
        <v>0</v>
      </c>
      <c r="Z49" s="686">
        <f t="shared" si="25"/>
        <v>0</v>
      </c>
      <c r="AA49" s="686">
        <f t="shared" si="25"/>
        <v>0</v>
      </c>
      <c r="AB49" s="686">
        <f t="shared" si="25"/>
        <v>0</v>
      </c>
    </row>
    <row r="50" spans="1:46" s="35" customFormat="1" x14ac:dyDescent="0.3">
      <c r="A50" s="22"/>
      <c r="B50" s="186" t="str">
        <f t="shared" si="21"/>
        <v>TMOTGSL100</v>
      </c>
      <c r="C50" s="186"/>
      <c r="D50" s="187"/>
      <c r="E50" s="186"/>
      <c r="F50" s="189"/>
      <c r="G50" s="170"/>
      <c r="H50" s="170"/>
      <c r="I50" s="190">
        <f>AF$7</f>
        <v>2025</v>
      </c>
      <c r="J50" s="191"/>
      <c r="K50" s="191"/>
      <c r="L50" s="192" t="s">
        <v>1064</v>
      </c>
      <c r="M50" s="186" t="s">
        <v>747</v>
      </c>
      <c r="N50" s="686">
        <f t="shared" ref="N50:AB50" si="26">N47*LOOKUP($AD42,$AG$4:$AP$4,$AG$7:$AP$7)</f>
        <v>0</v>
      </c>
      <c r="O50" s="686">
        <f t="shared" si="26"/>
        <v>0</v>
      </c>
      <c r="P50" s="686">
        <f t="shared" si="26"/>
        <v>0</v>
      </c>
      <c r="Q50" s="686">
        <f t="shared" si="26"/>
        <v>0</v>
      </c>
      <c r="R50" s="686">
        <f t="shared" si="26"/>
        <v>0</v>
      </c>
      <c r="S50" s="686">
        <f t="shared" si="26"/>
        <v>0</v>
      </c>
      <c r="T50" s="686">
        <f t="shared" si="26"/>
        <v>0</v>
      </c>
      <c r="U50" s="686">
        <f t="shared" si="26"/>
        <v>0</v>
      </c>
      <c r="V50" s="686">
        <f t="shared" si="26"/>
        <v>0</v>
      </c>
      <c r="W50" s="686">
        <f t="shared" si="26"/>
        <v>0</v>
      </c>
      <c r="X50" s="686">
        <f t="shared" si="26"/>
        <v>0</v>
      </c>
      <c r="Y50" s="686">
        <f t="shared" si="26"/>
        <v>0</v>
      </c>
      <c r="Z50" s="686">
        <f t="shared" si="26"/>
        <v>0</v>
      </c>
      <c r="AA50" s="686">
        <f t="shared" si="26"/>
        <v>0</v>
      </c>
      <c r="AB50" s="686">
        <f t="shared" si="26"/>
        <v>0</v>
      </c>
    </row>
    <row r="51" spans="1:46" s="35" customFormat="1" x14ac:dyDescent="0.3">
      <c r="A51" s="22"/>
      <c r="B51" s="186" t="str">
        <f t="shared" si="21"/>
        <v>TMOTGSL100</v>
      </c>
      <c r="C51" s="186"/>
      <c r="D51" s="187"/>
      <c r="E51" s="186"/>
      <c r="F51" s="189"/>
      <c r="G51" s="170"/>
      <c r="H51" s="170"/>
      <c r="I51" s="190">
        <f>AF$8</f>
        <v>2030</v>
      </c>
      <c r="J51" s="191"/>
      <c r="K51" s="191"/>
      <c r="L51" s="192" t="s">
        <v>1064</v>
      </c>
      <c r="M51" s="186" t="s">
        <v>747</v>
      </c>
      <c r="N51" s="686">
        <f t="shared" ref="N51:AB51" si="27">N47*LOOKUP($AD42,$AG$4:$AP$4,$AG$8:$AP$8)</f>
        <v>0</v>
      </c>
      <c r="O51" s="686">
        <f t="shared" si="27"/>
        <v>0</v>
      </c>
      <c r="P51" s="686">
        <f t="shared" si="27"/>
        <v>0</v>
      </c>
      <c r="Q51" s="686">
        <f t="shared" si="27"/>
        <v>0</v>
      </c>
      <c r="R51" s="686">
        <f t="shared" si="27"/>
        <v>0</v>
      </c>
      <c r="S51" s="686">
        <f t="shared" si="27"/>
        <v>0</v>
      </c>
      <c r="T51" s="686">
        <f t="shared" si="27"/>
        <v>0</v>
      </c>
      <c r="U51" s="686">
        <f t="shared" si="27"/>
        <v>0</v>
      </c>
      <c r="V51" s="686">
        <f t="shared" si="27"/>
        <v>0</v>
      </c>
      <c r="W51" s="686">
        <f t="shared" si="27"/>
        <v>0</v>
      </c>
      <c r="X51" s="686">
        <f t="shared" si="27"/>
        <v>0</v>
      </c>
      <c r="Y51" s="686">
        <f t="shared" si="27"/>
        <v>0</v>
      </c>
      <c r="Z51" s="686">
        <f t="shared" si="27"/>
        <v>0</v>
      </c>
      <c r="AA51" s="686">
        <f t="shared" si="27"/>
        <v>0</v>
      </c>
      <c r="AB51" s="686">
        <f t="shared" si="27"/>
        <v>0</v>
      </c>
    </row>
    <row r="52" spans="1:46" s="35" customFormat="1" x14ac:dyDescent="0.3">
      <c r="A52" s="22"/>
      <c r="B52" s="186" t="str">
        <f t="shared" si="21"/>
        <v>TMOTGSL100</v>
      </c>
      <c r="C52" s="186"/>
      <c r="D52" s="187"/>
      <c r="E52" s="186"/>
      <c r="F52" s="189"/>
      <c r="G52" s="170"/>
      <c r="H52" s="170"/>
      <c r="I52" s="190">
        <f>AF$9</f>
        <v>2040</v>
      </c>
      <c r="J52" s="191"/>
      <c r="K52" s="191"/>
      <c r="L52" s="192" t="s">
        <v>1064</v>
      </c>
      <c r="M52" s="186" t="s">
        <v>747</v>
      </c>
      <c r="N52" s="686">
        <f t="shared" ref="N52:AB52" si="28">N47*LOOKUP($AD42,$AG$4:$AP$4,$AG$9:$AP$9)</f>
        <v>0</v>
      </c>
      <c r="O52" s="686">
        <f t="shared" si="28"/>
        <v>0</v>
      </c>
      <c r="P52" s="686">
        <f t="shared" si="28"/>
        <v>0</v>
      </c>
      <c r="Q52" s="686">
        <f t="shared" si="28"/>
        <v>0</v>
      </c>
      <c r="R52" s="686">
        <f t="shared" si="28"/>
        <v>0</v>
      </c>
      <c r="S52" s="686">
        <f t="shared" si="28"/>
        <v>0</v>
      </c>
      <c r="T52" s="686">
        <f t="shared" si="28"/>
        <v>0</v>
      </c>
      <c r="U52" s="686">
        <f t="shared" si="28"/>
        <v>0</v>
      </c>
      <c r="V52" s="686">
        <f t="shared" si="28"/>
        <v>0</v>
      </c>
      <c r="W52" s="686">
        <f t="shared" si="28"/>
        <v>0</v>
      </c>
      <c r="X52" s="686">
        <f t="shared" si="28"/>
        <v>0</v>
      </c>
      <c r="Y52" s="686">
        <f t="shared" si="28"/>
        <v>0</v>
      </c>
      <c r="Z52" s="686">
        <f t="shared" si="28"/>
        <v>0</v>
      </c>
      <c r="AA52" s="686">
        <f t="shared" si="28"/>
        <v>0</v>
      </c>
      <c r="AB52" s="686">
        <f t="shared" si="28"/>
        <v>0</v>
      </c>
    </row>
    <row r="53" spans="1:46" s="35" customFormat="1" x14ac:dyDescent="0.3">
      <c r="A53" s="22"/>
      <c r="B53" s="193" t="str">
        <f t="shared" si="21"/>
        <v>TMOTGSL100</v>
      </c>
      <c r="C53" s="193"/>
      <c r="D53" s="194"/>
      <c r="E53" s="193"/>
      <c r="F53" s="195"/>
      <c r="G53" s="196"/>
      <c r="H53" s="196"/>
      <c r="I53" s="197">
        <f>AF$10</f>
        <v>2050</v>
      </c>
      <c r="J53" s="198"/>
      <c r="K53" s="198"/>
      <c r="L53" s="199" t="s">
        <v>1064</v>
      </c>
      <c r="M53" s="193" t="s">
        <v>747</v>
      </c>
      <c r="N53" s="687">
        <f t="shared" ref="N53:AB53" si="29">N47*LOOKUP($AD42,$AG$4:$AP$4,$AG$10:$AP$10)</f>
        <v>0</v>
      </c>
      <c r="O53" s="687">
        <f t="shared" si="29"/>
        <v>0</v>
      </c>
      <c r="P53" s="687">
        <f t="shared" si="29"/>
        <v>0</v>
      </c>
      <c r="Q53" s="687">
        <f t="shared" si="29"/>
        <v>0</v>
      </c>
      <c r="R53" s="687">
        <f t="shared" si="29"/>
        <v>0</v>
      </c>
      <c r="S53" s="687">
        <f t="shared" si="29"/>
        <v>0</v>
      </c>
      <c r="T53" s="687">
        <f t="shared" si="29"/>
        <v>0</v>
      </c>
      <c r="U53" s="687">
        <f t="shared" si="29"/>
        <v>0</v>
      </c>
      <c r="V53" s="687">
        <f t="shared" si="29"/>
        <v>0</v>
      </c>
      <c r="W53" s="687">
        <f t="shared" si="29"/>
        <v>0</v>
      </c>
      <c r="X53" s="687">
        <f t="shared" si="29"/>
        <v>0</v>
      </c>
      <c r="Y53" s="687">
        <f t="shared" si="29"/>
        <v>0</v>
      </c>
      <c r="Z53" s="687">
        <f t="shared" si="29"/>
        <v>0</v>
      </c>
      <c r="AA53" s="687">
        <f t="shared" si="29"/>
        <v>0</v>
      </c>
      <c r="AB53" s="687">
        <f t="shared" si="29"/>
        <v>0</v>
      </c>
    </row>
    <row r="55" spans="1:46" x14ac:dyDescent="0.3">
      <c r="A55" s="44"/>
      <c r="B55" s="44"/>
      <c r="C55" s="44"/>
      <c r="D55" s="44"/>
      <c r="E55" s="44"/>
      <c r="F55" s="44"/>
      <c r="G55" s="44"/>
      <c r="AF55" s="77"/>
      <c r="AG55" s="77"/>
      <c r="AH55" s="77"/>
      <c r="AI55" s="77"/>
      <c r="AJ55" s="77"/>
      <c r="AK55" s="77"/>
      <c r="AL55" s="77"/>
    </row>
    <row r="56" spans="1:46" s="35" customFormat="1" x14ac:dyDescent="0.3">
      <c r="B56" s="589"/>
      <c r="C56" s="589"/>
      <c r="I56" s="36"/>
      <c r="M56" s="473" t="s">
        <v>1151</v>
      </c>
      <c r="N56" s="481">
        <v>0</v>
      </c>
      <c r="O56" s="481">
        <v>0</v>
      </c>
      <c r="P56" s="481">
        <v>0</v>
      </c>
      <c r="Q56" s="481">
        <v>0</v>
      </c>
      <c r="R56" s="481">
        <v>0</v>
      </c>
      <c r="S56" s="481">
        <v>0</v>
      </c>
      <c r="T56" s="481">
        <v>0</v>
      </c>
      <c r="U56" s="481">
        <v>0</v>
      </c>
      <c r="V56" s="481">
        <v>0</v>
      </c>
      <c r="W56" s="481">
        <v>0</v>
      </c>
      <c r="X56" s="481">
        <v>0</v>
      </c>
      <c r="Y56" s="481">
        <v>0</v>
      </c>
      <c r="Z56" s="481">
        <v>0</v>
      </c>
      <c r="AA56" s="481">
        <v>0</v>
      </c>
      <c r="AB56" s="481">
        <v>0</v>
      </c>
      <c r="AF56" s="49"/>
    </row>
    <row r="57" spans="1:46" s="35" customFormat="1" x14ac:dyDescent="0.3">
      <c r="B57" s="26" t="s">
        <v>1191</v>
      </c>
      <c r="C57" s="26"/>
      <c r="I57" s="36"/>
      <c r="M57" s="473" t="s">
        <v>1153</v>
      </c>
      <c r="N57" s="481">
        <v>0</v>
      </c>
      <c r="O57" s="481">
        <v>0</v>
      </c>
      <c r="P57" s="481">
        <v>0</v>
      </c>
      <c r="Q57" s="481">
        <v>0</v>
      </c>
      <c r="R57" s="481">
        <v>0</v>
      </c>
      <c r="S57" s="481">
        <v>0</v>
      </c>
      <c r="T57" s="481">
        <v>0</v>
      </c>
      <c r="U57" s="481">
        <v>0</v>
      </c>
      <c r="V57" s="481">
        <v>0</v>
      </c>
      <c r="W57" s="481">
        <v>0</v>
      </c>
      <c r="X57" s="481">
        <v>0</v>
      </c>
      <c r="Y57" s="481">
        <v>0</v>
      </c>
      <c r="Z57" s="481">
        <v>0</v>
      </c>
      <c r="AA57" s="481">
        <v>0</v>
      </c>
      <c r="AB57" s="481">
        <v>0</v>
      </c>
    </row>
    <row r="58" spans="1:46" s="35" customFormat="1" x14ac:dyDescent="0.3">
      <c r="I58" s="36"/>
      <c r="M58" s="473"/>
      <c r="N58" s="473"/>
      <c r="O58" s="473"/>
      <c r="P58" s="473"/>
      <c r="Q58" s="473"/>
      <c r="R58" s="473"/>
      <c r="S58" s="473"/>
      <c r="T58" s="473"/>
      <c r="U58" s="473"/>
      <c r="V58" s="473"/>
      <c r="W58" s="473"/>
      <c r="X58" s="473"/>
      <c r="Y58" s="473"/>
      <c r="Z58" s="473"/>
      <c r="AA58" s="473"/>
      <c r="AB58" s="473"/>
    </row>
    <row r="59" spans="1:46" s="22" customFormat="1" x14ac:dyDescent="0.3">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3">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3">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4" t="str">
        <f>IF(AE62-SUM(N11:AB11)&lt;0,"too small",IF(AE62-SUM(N11:AB11)&gt;0.001,"Too big","ok"))</f>
        <v>ok</v>
      </c>
      <c r="AF61" s="618" t="str">
        <f t="shared" ref="AF61:AT61" si="32">IF(AF62-N11&lt;0,"too small",IF(AF62-N11&gt;0.001,"Too big","ok"))</f>
        <v>ok</v>
      </c>
      <c r="AG61" s="618" t="str">
        <f t="shared" si="32"/>
        <v>ok</v>
      </c>
      <c r="AH61" s="618" t="str">
        <f t="shared" si="32"/>
        <v>ok</v>
      </c>
      <c r="AI61" s="618" t="str">
        <f t="shared" si="32"/>
        <v>ok</v>
      </c>
      <c r="AJ61" s="618" t="str">
        <f t="shared" si="32"/>
        <v>ok</v>
      </c>
      <c r="AK61" s="618" t="str">
        <f t="shared" si="32"/>
        <v>ok</v>
      </c>
      <c r="AL61" s="618" t="str">
        <f t="shared" si="32"/>
        <v>ok</v>
      </c>
      <c r="AM61" s="618" t="str">
        <f t="shared" si="32"/>
        <v>ok</v>
      </c>
      <c r="AN61" s="618" t="str">
        <f t="shared" si="32"/>
        <v>ok</v>
      </c>
      <c r="AO61" s="618" t="str">
        <f t="shared" si="32"/>
        <v>ok</v>
      </c>
      <c r="AP61" s="618" t="str">
        <f t="shared" si="32"/>
        <v>ok</v>
      </c>
      <c r="AQ61" s="618" t="str">
        <f t="shared" si="32"/>
        <v>ok</v>
      </c>
      <c r="AR61" s="618" t="str">
        <f t="shared" si="32"/>
        <v>ok</v>
      </c>
      <c r="AS61" s="618" t="str">
        <f t="shared" si="32"/>
        <v>ok</v>
      </c>
      <c r="AT61" s="618" t="str">
        <f t="shared" si="32"/>
        <v>ok</v>
      </c>
    </row>
    <row r="62" spans="1:46" s="82" customFormat="1" x14ac:dyDescent="0.3">
      <c r="B62" s="178" t="str">
        <f>C62</f>
        <v>TMOTELC900</v>
      </c>
      <c r="C62" s="178" t="s">
        <v>541</v>
      </c>
      <c r="D62" s="598" t="s">
        <v>874</v>
      </c>
      <c r="E62" s="599" t="s">
        <v>682</v>
      </c>
      <c r="F62" s="326"/>
      <c r="G62" s="178"/>
      <c r="H62" s="178"/>
      <c r="I62" s="183"/>
      <c r="J62" s="184"/>
      <c r="K62" s="184"/>
      <c r="L62" s="185" t="s">
        <v>1106</v>
      </c>
      <c r="M62" s="178" t="s">
        <v>1155</v>
      </c>
      <c r="N62" s="600">
        <f>10^-3</f>
        <v>1E-3</v>
      </c>
      <c r="O62" s="600">
        <f t="shared" ref="O62:AB62" si="33">$N62</f>
        <v>1E-3</v>
      </c>
      <c r="P62" s="600">
        <f t="shared" si="33"/>
        <v>1E-3</v>
      </c>
      <c r="Q62" s="600">
        <f t="shared" si="33"/>
        <v>1E-3</v>
      </c>
      <c r="R62" s="600">
        <f t="shared" si="33"/>
        <v>1E-3</v>
      </c>
      <c r="S62" s="600">
        <f t="shared" si="33"/>
        <v>1E-3</v>
      </c>
      <c r="T62" s="600">
        <f t="shared" si="33"/>
        <v>1E-3</v>
      </c>
      <c r="U62" s="600">
        <f t="shared" si="33"/>
        <v>1E-3</v>
      </c>
      <c r="V62" s="600">
        <f t="shared" si="33"/>
        <v>1E-3</v>
      </c>
      <c r="W62" s="600">
        <f t="shared" si="33"/>
        <v>1E-3</v>
      </c>
      <c r="X62" s="600">
        <f t="shared" si="33"/>
        <v>1E-3</v>
      </c>
      <c r="Y62" s="600">
        <f t="shared" si="33"/>
        <v>1E-3</v>
      </c>
      <c r="Z62" s="600">
        <f t="shared" si="33"/>
        <v>1E-3</v>
      </c>
      <c r="AA62" s="600">
        <f t="shared" si="33"/>
        <v>1E-3</v>
      </c>
      <c r="AB62" s="600">
        <f t="shared" si="33"/>
        <v>1E-3</v>
      </c>
      <c r="AD62" s="56" t="str">
        <f>MID(D62,6,3)</f>
        <v>ELC</v>
      </c>
      <c r="AE62" s="611">
        <f>SUM(AF62:AT62)</f>
        <v>1.0000000000000001E-9</v>
      </c>
      <c r="AF62" s="585">
        <f>SUM(AF64:AF77)</f>
        <v>1.0000000000000001E-9</v>
      </c>
      <c r="AG62" s="585">
        <f t="shared" ref="AG62:AT62" si="34">SUM(AG64:AG77)</f>
        <v>0</v>
      </c>
      <c r="AH62" s="585">
        <f t="shared" si="34"/>
        <v>0</v>
      </c>
      <c r="AI62" s="585">
        <f t="shared" si="34"/>
        <v>0</v>
      </c>
      <c r="AJ62" s="585">
        <f t="shared" si="34"/>
        <v>0</v>
      </c>
      <c r="AK62" s="585">
        <f t="shared" si="34"/>
        <v>0</v>
      </c>
      <c r="AL62" s="585">
        <f t="shared" si="34"/>
        <v>0</v>
      </c>
      <c r="AM62" s="585">
        <f t="shared" si="34"/>
        <v>0</v>
      </c>
      <c r="AN62" s="585">
        <f t="shared" si="34"/>
        <v>0</v>
      </c>
      <c r="AO62" s="585">
        <f t="shared" si="34"/>
        <v>0</v>
      </c>
      <c r="AP62" s="585">
        <f t="shared" si="34"/>
        <v>0</v>
      </c>
      <c r="AQ62" s="585">
        <f t="shared" si="34"/>
        <v>0</v>
      </c>
      <c r="AR62" s="585">
        <f t="shared" si="34"/>
        <v>0</v>
      </c>
      <c r="AS62" s="585">
        <f t="shared" si="34"/>
        <v>0</v>
      </c>
      <c r="AT62" s="585">
        <f t="shared" si="34"/>
        <v>0</v>
      </c>
    </row>
    <row r="63" spans="1:46" s="22" customFormat="1" x14ac:dyDescent="0.3">
      <c r="B63" s="186" t="str">
        <f>B62</f>
        <v>TMOTELC900</v>
      </c>
      <c r="C63" s="186"/>
      <c r="D63" s="601"/>
      <c r="E63" s="601"/>
      <c r="F63" s="186"/>
      <c r="G63" s="214" t="s">
        <v>76</v>
      </c>
      <c r="H63" s="186"/>
      <c r="I63" s="190"/>
      <c r="J63" s="191"/>
      <c r="K63" s="191"/>
      <c r="L63" s="191" t="s">
        <v>1125</v>
      </c>
      <c r="M63" s="186" t="s">
        <v>677</v>
      </c>
      <c r="N63" s="674">
        <f>T_CEFF!H101</f>
        <v>1.8799399999999999</v>
      </c>
      <c r="O63" s="674">
        <f>T_CEFF!I101</f>
        <v>1.8799399999999999</v>
      </c>
      <c r="P63" s="674">
        <f>T_CEFF!J101</f>
        <v>1.8799399999999999</v>
      </c>
      <c r="Q63" s="674">
        <f>T_CEFF!K101</f>
        <v>1.8799399999999999</v>
      </c>
      <c r="R63" s="674">
        <f>T_CEFF!L101</f>
        <v>1.8799399999999999</v>
      </c>
      <c r="S63" s="674">
        <f>T_CEFF!M101</f>
        <v>1.8799399999999999</v>
      </c>
      <c r="T63" s="674">
        <f>T_CEFF!N101</f>
        <v>1.8799399999999999</v>
      </c>
      <c r="U63" s="674">
        <f>T_CEFF!O101</f>
        <v>1.8799399999999999</v>
      </c>
      <c r="V63" s="674">
        <f>T_CEFF!P101</f>
        <v>1.8799399999999999</v>
      </c>
      <c r="W63" s="674">
        <f>T_CEFF!Q101</f>
        <v>1.8799399999999999</v>
      </c>
      <c r="X63" s="674">
        <f>T_CEFF!R101</f>
        <v>1.8799399999999999</v>
      </c>
      <c r="Y63" s="674">
        <f>T_CEFF!S101</f>
        <v>1.8799399999999999</v>
      </c>
      <c r="Z63" s="674">
        <f>T_CEFF!T101</f>
        <v>1.8799399999999999</v>
      </c>
      <c r="AA63" s="674">
        <f>T_CEFF!U101</f>
        <v>1.8799399999999999</v>
      </c>
      <c r="AB63" s="674">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3">
      <c r="B64" s="186" t="str">
        <f t="shared" ref="B64:B72" si="35">B63</f>
        <v>TMOTELC900</v>
      </c>
      <c r="C64" s="186"/>
      <c r="D64" s="601"/>
      <c r="E64" s="186"/>
      <c r="F64" s="213"/>
      <c r="G64" s="186"/>
      <c r="H64" s="186"/>
      <c r="I64" s="190"/>
      <c r="J64" s="191"/>
      <c r="K64" s="191" t="s">
        <v>748</v>
      </c>
      <c r="L64" s="186" t="s">
        <v>1127</v>
      </c>
      <c r="M64" s="186" t="s">
        <v>1158</v>
      </c>
      <c r="N64" s="602">
        <f>N$15</f>
        <v>0</v>
      </c>
      <c r="O64" s="602">
        <f t="shared" ref="O64:AB64" si="36">O$15</f>
        <v>0</v>
      </c>
      <c r="P64" s="602">
        <f t="shared" si="36"/>
        <v>0</v>
      </c>
      <c r="Q64" s="602">
        <f t="shared" si="36"/>
        <v>0</v>
      </c>
      <c r="R64" s="602">
        <f t="shared" si="36"/>
        <v>0</v>
      </c>
      <c r="S64" s="602">
        <f t="shared" si="36"/>
        <v>0</v>
      </c>
      <c r="T64" s="602">
        <f t="shared" si="36"/>
        <v>0</v>
      </c>
      <c r="U64" s="602">
        <f t="shared" si="36"/>
        <v>0</v>
      </c>
      <c r="V64" s="602">
        <f t="shared" si="36"/>
        <v>0</v>
      </c>
      <c r="W64" s="602">
        <f t="shared" si="36"/>
        <v>0</v>
      </c>
      <c r="X64" s="602">
        <f t="shared" si="36"/>
        <v>0</v>
      </c>
      <c r="Y64" s="602">
        <f t="shared" si="36"/>
        <v>0</v>
      </c>
      <c r="Z64" s="602">
        <f t="shared" si="36"/>
        <v>0</v>
      </c>
      <c r="AA64" s="602">
        <f t="shared" si="36"/>
        <v>0</v>
      </c>
      <c r="AB64" s="602">
        <f t="shared" si="36"/>
        <v>0</v>
      </c>
    </row>
    <row r="65" spans="1:46" s="22" customFormat="1" x14ac:dyDescent="0.3">
      <c r="B65" s="186" t="str">
        <f t="shared" si="35"/>
        <v>TMOTELC900</v>
      </c>
      <c r="C65" s="186"/>
      <c r="D65" s="601"/>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3">
      <c r="B66" s="186" t="str">
        <f t="shared" si="35"/>
        <v>TMOTELC900</v>
      </c>
      <c r="C66" s="186"/>
      <c r="D66" s="601"/>
      <c r="E66" s="186"/>
      <c r="F66" s="213"/>
      <c r="G66" s="186"/>
      <c r="H66" s="186"/>
      <c r="I66" s="190">
        <f>$M$3</f>
        <v>2019</v>
      </c>
      <c r="J66" s="191"/>
      <c r="K66" s="191"/>
      <c r="L66" s="192" t="s">
        <v>1064</v>
      </c>
      <c r="M66" s="186" t="s">
        <v>747</v>
      </c>
      <c r="N66" s="686">
        <f>'T_Stock_TOTAL_&amp;_City'!D44*(1+TMO!N57)</f>
        <v>0</v>
      </c>
      <c r="O66" s="686">
        <f>'T_Stock_TOTAL_&amp;_City'!E44*(1+TMO!O57)</f>
        <v>0</v>
      </c>
      <c r="P66" s="686">
        <f>'T_Stock_TOTAL_&amp;_City'!F44*(1+TMO!P57)</f>
        <v>0</v>
      </c>
      <c r="Q66" s="686">
        <f>'T_Stock_TOTAL_&amp;_City'!G44*(1+TMO!Q57)</f>
        <v>0</v>
      </c>
      <c r="R66" s="686">
        <f>'T_Stock_TOTAL_&amp;_City'!H44*(1+TMO!R57)</f>
        <v>0</v>
      </c>
      <c r="S66" s="686">
        <f>'T_Stock_TOTAL_&amp;_City'!I44*(1+TMO!S57)</f>
        <v>0</v>
      </c>
      <c r="T66" s="686">
        <f>'T_Stock_TOTAL_&amp;_City'!J44*(1+TMO!T57)</f>
        <v>0</v>
      </c>
      <c r="U66" s="686">
        <f>'T_Stock_TOTAL_&amp;_City'!K44*(1+TMO!U57)</f>
        <v>0</v>
      </c>
      <c r="V66" s="686">
        <f>'T_Stock_TOTAL_&amp;_City'!L44*(1+TMO!V57)</f>
        <v>0</v>
      </c>
      <c r="W66" s="686">
        <f>'T_Stock_TOTAL_&amp;_City'!M44*(1+TMO!W57)</f>
        <v>0</v>
      </c>
      <c r="X66" s="686">
        <f>'T_Stock_TOTAL_&amp;_City'!N44*(1+TMO!X57)</f>
        <v>0</v>
      </c>
      <c r="Y66" s="686">
        <f>'T_Stock_TOTAL_&amp;_City'!O44*(1+TMO!Y57)</f>
        <v>0</v>
      </c>
      <c r="Z66" s="686">
        <f>'T_Stock_TOTAL_&amp;_City'!P44*(1+TMO!Z57)</f>
        <v>0</v>
      </c>
      <c r="AA66" s="686">
        <f>'T_Stock_TOTAL_&amp;_City'!Q44*(1+TMO!AA57)</f>
        <v>0</v>
      </c>
      <c r="AB66" s="686">
        <f>'T_Stock_TOTAL_&amp;_City'!R44*(1+TMO!AB57)</f>
        <v>0</v>
      </c>
    </row>
    <row r="67" spans="1:46" s="22" customFormat="1" x14ac:dyDescent="0.3">
      <c r="B67" s="186" t="str">
        <f t="shared" si="35"/>
        <v>TMOTELC900</v>
      </c>
      <c r="C67" s="186"/>
      <c r="D67" s="601"/>
      <c r="E67" s="186"/>
      <c r="F67" s="213"/>
      <c r="G67" s="186"/>
      <c r="H67" s="186"/>
      <c r="I67" s="190">
        <f>AF$5</f>
        <v>2016</v>
      </c>
      <c r="J67" s="191"/>
      <c r="K67" s="191"/>
      <c r="L67" s="192" t="s">
        <v>1064</v>
      </c>
      <c r="M67" s="186" t="s">
        <v>747</v>
      </c>
      <c r="N67" s="686">
        <f t="shared" ref="N67:AB67" si="38">N66*LOOKUP($AD62,$AG$4:$AP$4,$AG$5:$AP$5)</f>
        <v>0</v>
      </c>
      <c r="O67" s="686">
        <f t="shared" si="38"/>
        <v>0</v>
      </c>
      <c r="P67" s="686">
        <f t="shared" si="38"/>
        <v>0</v>
      </c>
      <c r="Q67" s="686">
        <f t="shared" si="38"/>
        <v>0</v>
      </c>
      <c r="R67" s="686">
        <f t="shared" si="38"/>
        <v>0</v>
      </c>
      <c r="S67" s="686">
        <f t="shared" si="38"/>
        <v>0</v>
      </c>
      <c r="T67" s="686">
        <f t="shared" si="38"/>
        <v>0</v>
      </c>
      <c r="U67" s="686">
        <f t="shared" si="38"/>
        <v>0</v>
      </c>
      <c r="V67" s="686">
        <f t="shared" si="38"/>
        <v>0</v>
      </c>
      <c r="W67" s="686">
        <f t="shared" si="38"/>
        <v>0</v>
      </c>
      <c r="X67" s="686">
        <f t="shared" si="38"/>
        <v>0</v>
      </c>
      <c r="Y67" s="686">
        <f t="shared" si="38"/>
        <v>0</v>
      </c>
      <c r="Z67" s="686">
        <f t="shared" si="38"/>
        <v>0</v>
      </c>
      <c r="AA67" s="686">
        <f t="shared" si="38"/>
        <v>0</v>
      </c>
      <c r="AB67" s="686">
        <f t="shared" si="38"/>
        <v>0</v>
      </c>
    </row>
    <row r="68" spans="1:46" s="22" customFormat="1" x14ac:dyDescent="0.3">
      <c r="B68" s="186" t="str">
        <f t="shared" si="35"/>
        <v>TMOTELC900</v>
      </c>
      <c r="C68" s="186"/>
      <c r="D68" s="601"/>
      <c r="E68" s="186"/>
      <c r="F68" s="213"/>
      <c r="G68" s="186"/>
      <c r="H68" s="186"/>
      <c r="I68" s="190">
        <f>AF$6</f>
        <v>2020</v>
      </c>
      <c r="J68" s="191"/>
      <c r="K68" s="191"/>
      <c r="L68" s="192" t="s">
        <v>1064</v>
      </c>
      <c r="M68" s="186" t="s">
        <v>747</v>
      </c>
      <c r="N68" s="686">
        <f t="shared" ref="N68:AB68" si="39">N66*LOOKUP($AD62,$AG$4:$AP$4,$AG$6:$AP$6)</f>
        <v>0</v>
      </c>
      <c r="O68" s="686">
        <f t="shared" si="39"/>
        <v>0</v>
      </c>
      <c r="P68" s="686">
        <f t="shared" si="39"/>
        <v>0</v>
      </c>
      <c r="Q68" s="686">
        <f t="shared" si="39"/>
        <v>0</v>
      </c>
      <c r="R68" s="686">
        <f t="shared" si="39"/>
        <v>0</v>
      </c>
      <c r="S68" s="686">
        <f t="shared" si="39"/>
        <v>0</v>
      </c>
      <c r="T68" s="686">
        <f t="shared" si="39"/>
        <v>0</v>
      </c>
      <c r="U68" s="686">
        <f t="shared" si="39"/>
        <v>0</v>
      </c>
      <c r="V68" s="686">
        <f t="shared" si="39"/>
        <v>0</v>
      </c>
      <c r="W68" s="686">
        <f t="shared" si="39"/>
        <v>0</v>
      </c>
      <c r="X68" s="686">
        <f t="shared" si="39"/>
        <v>0</v>
      </c>
      <c r="Y68" s="686">
        <f t="shared" si="39"/>
        <v>0</v>
      </c>
      <c r="Z68" s="686">
        <f t="shared" si="39"/>
        <v>0</v>
      </c>
      <c r="AA68" s="686">
        <f t="shared" si="39"/>
        <v>0</v>
      </c>
      <c r="AB68" s="686">
        <f t="shared" si="39"/>
        <v>0</v>
      </c>
    </row>
    <row r="69" spans="1:46" s="22" customFormat="1" x14ac:dyDescent="0.3">
      <c r="B69" s="186" t="str">
        <f t="shared" si="35"/>
        <v>TMOTELC900</v>
      </c>
      <c r="C69" s="186"/>
      <c r="D69" s="601"/>
      <c r="E69" s="186"/>
      <c r="F69" s="213"/>
      <c r="G69" s="186"/>
      <c r="H69" s="186"/>
      <c r="I69" s="190">
        <f>AF$7</f>
        <v>2025</v>
      </c>
      <c r="J69" s="191"/>
      <c r="K69" s="191"/>
      <c r="L69" s="192" t="s">
        <v>1064</v>
      </c>
      <c r="M69" s="186" t="s">
        <v>747</v>
      </c>
      <c r="N69" s="686">
        <f t="shared" ref="N69:AB69" si="40">N66*LOOKUP($AD62,$AG$4:$AP$4,$AG$7:$AP$7)</f>
        <v>0</v>
      </c>
      <c r="O69" s="686">
        <f t="shared" si="40"/>
        <v>0</v>
      </c>
      <c r="P69" s="686">
        <f t="shared" si="40"/>
        <v>0</v>
      </c>
      <c r="Q69" s="686">
        <f t="shared" si="40"/>
        <v>0</v>
      </c>
      <c r="R69" s="686">
        <f t="shared" si="40"/>
        <v>0</v>
      </c>
      <c r="S69" s="686">
        <f t="shared" si="40"/>
        <v>0</v>
      </c>
      <c r="T69" s="686">
        <f t="shared" si="40"/>
        <v>0</v>
      </c>
      <c r="U69" s="686">
        <f t="shared" si="40"/>
        <v>0</v>
      </c>
      <c r="V69" s="686">
        <f t="shared" si="40"/>
        <v>0</v>
      </c>
      <c r="W69" s="686">
        <f t="shared" si="40"/>
        <v>0</v>
      </c>
      <c r="X69" s="686">
        <f t="shared" si="40"/>
        <v>0</v>
      </c>
      <c r="Y69" s="686">
        <f t="shared" si="40"/>
        <v>0</v>
      </c>
      <c r="Z69" s="686">
        <f t="shared" si="40"/>
        <v>0</v>
      </c>
      <c r="AA69" s="686">
        <f t="shared" si="40"/>
        <v>0</v>
      </c>
      <c r="AB69" s="686">
        <f t="shared" si="40"/>
        <v>0</v>
      </c>
    </row>
    <row r="70" spans="1:46" s="22" customFormat="1" x14ac:dyDescent="0.3">
      <c r="B70" s="186" t="str">
        <f t="shared" si="35"/>
        <v>TMOTELC900</v>
      </c>
      <c r="C70" s="186"/>
      <c r="D70" s="601"/>
      <c r="E70" s="186"/>
      <c r="F70" s="213"/>
      <c r="G70" s="186"/>
      <c r="H70" s="186"/>
      <c r="I70" s="190">
        <f>AF$8</f>
        <v>2030</v>
      </c>
      <c r="J70" s="191"/>
      <c r="K70" s="191"/>
      <c r="L70" s="192" t="s">
        <v>1064</v>
      </c>
      <c r="M70" s="186" t="s">
        <v>747</v>
      </c>
      <c r="N70" s="686">
        <f t="shared" ref="N70:AB70" si="41">N66*LOOKUP($AD62,$AG$4:$AP$4,$AG$8:$AP$8)</f>
        <v>0</v>
      </c>
      <c r="O70" s="686">
        <f t="shared" si="41"/>
        <v>0</v>
      </c>
      <c r="P70" s="686">
        <f t="shared" si="41"/>
        <v>0</v>
      </c>
      <c r="Q70" s="686">
        <f t="shared" si="41"/>
        <v>0</v>
      </c>
      <c r="R70" s="686">
        <f t="shared" si="41"/>
        <v>0</v>
      </c>
      <c r="S70" s="686">
        <f t="shared" si="41"/>
        <v>0</v>
      </c>
      <c r="T70" s="686">
        <f t="shared" si="41"/>
        <v>0</v>
      </c>
      <c r="U70" s="686">
        <f t="shared" si="41"/>
        <v>0</v>
      </c>
      <c r="V70" s="686">
        <f t="shared" si="41"/>
        <v>0</v>
      </c>
      <c r="W70" s="686">
        <f t="shared" si="41"/>
        <v>0</v>
      </c>
      <c r="X70" s="686">
        <f t="shared" si="41"/>
        <v>0</v>
      </c>
      <c r="Y70" s="686">
        <f t="shared" si="41"/>
        <v>0</v>
      </c>
      <c r="Z70" s="686">
        <f t="shared" si="41"/>
        <v>0</v>
      </c>
      <c r="AA70" s="686">
        <f t="shared" si="41"/>
        <v>0</v>
      </c>
      <c r="AB70" s="686">
        <f t="shared" si="41"/>
        <v>0</v>
      </c>
    </row>
    <row r="71" spans="1:46" s="22" customFormat="1" x14ac:dyDescent="0.3">
      <c r="B71" s="186" t="str">
        <f t="shared" si="35"/>
        <v>TMOTELC900</v>
      </c>
      <c r="C71" s="186"/>
      <c r="D71" s="601"/>
      <c r="E71" s="186"/>
      <c r="F71" s="213"/>
      <c r="G71" s="186"/>
      <c r="H71" s="186"/>
      <c r="I71" s="190">
        <f>AF$9</f>
        <v>2040</v>
      </c>
      <c r="J71" s="191"/>
      <c r="K71" s="191"/>
      <c r="L71" s="192" t="s">
        <v>1064</v>
      </c>
      <c r="M71" s="186" t="s">
        <v>747</v>
      </c>
      <c r="N71" s="686">
        <f t="shared" ref="N71:AB71" si="42">N66*LOOKUP($AD62,$AG$4:$AP$4,$AG$9:$AP$9)</f>
        <v>0</v>
      </c>
      <c r="O71" s="686">
        <f t="shared" si="42"/>
        <v>0</v>
      </c>
      <c r="P71" s="686">
        <f t="shared" si="42"/>
        <v>0</v>
      </c>
      <c r="Q71" s="686">
        <f t="shared" si="42"/>
        <v>0</v>
      </c>
      <c r="R71" s="686">
        <f t="shared" si="42"/>
        <v>0</v>
      </c>
      <c r="S71" s="686">
        <f t="shared" si="42"/>
        <v>0</v>
      </c>
      <c r="T71" s="686">
        <f t="shared" si="42"/>
        <v>0</v>
      </c>
      <c r="U71" s="686">
        <f t="shared" si="42"/>
        <v>0</v>
      </c>
      <c r="V71" s="686">
        <f t="shared" si="42"/>
        <v>0</v>
      </c>
      <c r="W71" s="686">
        <f t="shared" si="42"/>
        <v>0</v>
      </c>
      <c r="X71" s="686">
        <f t="shared" si="42"/>
        <v>0</v>
      </c>
      <c r="Y71" s="686">
        <f t="shared" si="42"/>
        <v>0</v>
      </c>
      <c r="Z71" s="686">
        <f t="shared" si="42"/>
        <v>0</v>
      </c>
      <c r="AA71" s="686">
        <f t="shared" si="42"/>
        <v>0</v>
      </c>
      <c r="AB71" s="686">
        <f t="shared" si="42"/>
        <v>0</v>
      </c>
    </row>
    <row r="72" spans="1:46" s="22" customFormat="1" x14ac:dyDescent="0.3">
      <c r="B72" s="193" t="str">
        <f t="shared" si="35"/>
        <v>TMOTELC900</v>
      </c>
      <c r="C72" s="193"/>
      <c r="D72" s="603"/>
      <c r="E72" s="193"/>
      <c r="F72" s="215"/>
      <c r="G72" s="193"/>
      <c r="H72" s="193"/>
      <c r="I72" s="197">
        <f>AF$10</f>
        <v>2050</v>
      </c>
      <c r="J72" s="198"/>
      <c r="K72" s="198"/>
      <c r="L72" s="199" t="s">
        <v>1064</v>
      </c>
      <c r="M72" s="193" t="s">
        <v>747</v>
      </c>
      <c r="N72" s="687">
        <f t="shared" ref="N72:AB72" si="43">N66*LOOKUP($AD62,$AG$4:$AP$4,$AG$10:$AP$10)</f>
        <v>0</v>
      </c>
      <c r="O72" s="687">
        <f t="shared" si="43"/>
        <v>0</v>
      </c>
      <c r="P72" s="687">
        <f t="shared" si="43"/>
        <v>0</v>
      </c>
      <c r="Q72" s="687">
        <f t="shared" si="43"/>
        <v>0</v>
      </c>
      <c r="R72" s="687">
        <f t="shared" si="43"/>
        <v>0</v>
      </c>
      <c r="S72" s="687">
        <f t="shared" si="43"/>
        <v>0</v>
      </c>
      <c r="T72" s="687">
        <f t="shared" si="43"/>
        <v>0</v>
      </c>
      <c r="U72" s="687">
        <f t="shared" si="43"/>
        <v>0</v>
      </c>
      <c r="V72" s="687">
        <f t="shared" si="43"/>
        <v>0</v>
      </c>
      <c r="W72" s="687">
        <f t="shared" si="43"/>
        <v>0</v>
      </c>
      <c r="X72" s="687">
        <f t="shared" si="43"/>
        <v>0</v>
      </c>
      <c r="Y72" s="687">
        <f t="shared" si="43"/>
        <v>0</v>
      </c>
      <c r="Z72" s="687">
        <f t="shared" si="43"/>
        <v>0</v>
      </c>
      <c r="AA72" s="687">
        <f t="shared" si="43"/>
        <v>0</v>
      </c>
      <c r="AB72" s="687">
        <f t="shared" si="43"/>
        <v>0</v>
      </c>
      <c r="AD72" s="604"/>
    </row>
    <row r="73" spans="1:46" s="83" customFormat="1" x14ac:dyDescent="0.3">
      <c r="A73" s="82"/>
      <c r="B73" s="178" t="str">
        <f>C73</f>
        <v>TMOTGSL900</v>
      </c>
      <c r="C73" s="178" t="s">
        <v>542</v>
      </c>
      <c r="D73" s="179" t="s">
        <v>876</v>
      </c>
      <c r="E73" s="407" t="s">
        <v>1013</v>
      </c>
      <c r="F73" s="181"/>
      <c r="G73" s="182"/>
      <c r="H73" s="182"/>
      <c r="I73" s="183"/>
      <c r="J73" s="184"/>
      <c r="K73" s="184"/>
      <c r="L73" s="185" t="s">
        <v>1106</v>
      </c>
      <c r="M73" s="178" t="s">
        <v>1155</v>
      </c>
      <c r="N73" s="566">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3">
      <c r="A74" s="22"/>
      <c r="B74" s="186" t="str">
        <f>B73</f>
        <v>TMOTGSL900</v>
      </c>
      <c r="C74" s="186"/>
      <c r="D74" s="187"/>
      <c r="E74" s="258" t="s">
        <v>1011</v>
      </c>
      <c r="F74" s="189"/>
      <c r="G74" s="170"/>
      <c r="H74" s="170"/>
      <c r="I74" s="190"/>
      <c r="J74" s="191" t="s">
        <v>1156</v>
      </c>
      <c r="K74" s="191"/>
      <c r="L74" s="192" t="s">
        <v>101</v>
      </c>
      <c r="M74" s="186"/>
      <c r="N74" s="377">
        <f>N$19</f>
        <v>5.0999999999999997E-2</v>
      </c>
      <c r="O74" s="377">
        <f t="shared" ref="O74:AB74" si="45">O$19</f>
        <v>5.0999999999999997E-2</v>
      </c>
      <c r="P74" s="377">
        <f t="shared" si="45"/>
        <v>5.0999999999999997E-2</v>
      </c>
      <c r="Q74" s="377">
        <f t="shared" si="45"/>
        <v>5.0999999999999997E-2</v>
      </c>
      <c r="R74" s="377">
        <f t="shared" si="45"/>
        <v>5.0999999999999997E-2</v>
      </c>
      <c r="S74" s="377">
        <f t="shared" si="45"/>
        <v>5.0999999999999997E-2</v>
      </c>
      <c r="T74" s="377">
        <f t="shared" si="45"/>
        <v>5.0999999999999997E-2</v>
      </c>
      <c r="U74" s="377">
        <f t="shared" si="45"/>
        <v>5.0999999999999997E-2</v>
      </c>
      <c r="V74" s="377">
        <f t="shared" si="45"/>
        <v>5.0999999999999997E-2</v>
      </c>
      <c r="W74" s="377">
        <f t="shared" si="45"/>
        <v>5.0999999999999997E-2</v>
      </c>
      <c r="X74" s="377">
        <f t="shared" si="45"/>
        <v>5.0999999999999997E-2</v>
      </c>
      <c r="Y74" s="377">
        <f t="shared" si="45"/>
        <v>5.0999999999999997E-2</v>
      </c>
      <c r="Z74" s="377">
        <f t="shared" si="45"/>
        <v>5.0999999999999997E-2</v>
      </c>
      <c r="AA74" s="377">
        <f t="shared" si="45"/>
        <v>5.0999999999999997E-2</v>
      </c>
      <c r="AB74" s="377">
        <f t="shared" si="45"/>
        <v>5.0999999999999997E-2</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3">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3">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3">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3">
      <c r="A78" s="22"/>
      <c r="B78" s="186" t="str">
        <f t="shared" si="46"/>
        <v>TMOTGSL900</v>
      </c>
      <c r="C78" s="186"/>
      <c r="D78" s="187"/>
      <c r="E78" s="186"/>
      <c r="F78" s="189"/>
      <c r="G78" s="170"/>
      <c r="H78" s="170"/>
      <c r="I78" s="190">
        <f>$M$3</f>
        <v>2019</v>
      </c>
      <c r="J78" s="191"/>
      <c r="K78" s="191"/>
      <c r="L78" s="192" t="s">
        <v>1064</v>
      </c>
      <c r="M78" s="186" t="s">
        <v>747</v>
      </c>
      <c r="N78" s="686">
        <f>'T_Stock_TOTAL_&amp;_City'!D47*(1+TMO!N57)</f>
        <v>0</v>
      </c>
      <c r="O78" s="686">
        <f>'T_Stock_TOTAL_&amp;_City'!E47*(1+TMO!O57)</f>
        <v>0</v>
      </c>
      <c r="P78" s="686">
        <f>'T_Stock_TOTAL_&amp;_City'!F47*(1+TMO!P57)</f>
        <v>0</v>
      </c>
      <c r="Q78" s="686">
        <f>'T_Stock_TOTAL_&amp;_City'!G47*(1+TMO!Q57)</f>
        <v>0</v>
      </c>
      <c r="R78" s="686">
        <f>'T_Stock_TOTAL_&amp;_City'!H47*(1+TMO!R57)</f>
        <v>0</v>
      </c>
      <c r="S78" s="686">
        <f>'T_Stock_TOTAL_&amp;_City'!I47*(1+TMO!S57)</f>
        <v>0</v>
      </c>
      <c r="T78" s="686">
        <f>'T_Stock_TOTAL_&amp;_City'!J47*(1+TMO!T57)</f>
        <v>0</v>
      </c>
      <c r="U78" s="686">
        <f>'T_Stock_TOTAL_&amp;_City'!K47*(1+TMO!U57)</f>
        <v>0</v>
      </c>
      <c r="V78" s="686">
        <f>'T_Stock_TOTAL_&amp;_City'!L47*(1+TMO!V57)</f>
        <v>0</v>
      </c>
      <c r="W78" s="686">
        <f>'T_Stock_TOTAL_&amp;_City'!M47*(1+TMO!W57)</f>
        <v>0</v>
      </c>
      <c r="X78" s="686">
        <f>'T_Stock_TOTAL_&amp;_City'!N47*(1+TMO!X57)</f>
        <v>0</v>
      </c>
      <c r="Y78" s="686">
        <f>'T_Stock_TOTAL_&amp;_City'!O47*(1+TMO!Y57)</f>
        <v>0</v>
      </c>
      <c r="Z78" s="686">
        <f>'T_Stock_TOTAL_&amp;_City'!P47*(1+TMO!Z57)</f>
        <v>0</v>
      </c>
      <c r="AA78" s="686">
        <f>'T_Stock_TOTAL_&amp;_City'!Q47*(1+TMO!AA57)</f>
        <v>0</v>
      </c>
      <c r="AB78" s="686">
        <f>'T_Stock_TOTAL_&amp;_City'!R47*(1+TMO!AB57)</f>
        <v>0</v>
      </c>
    </row>
    <row r="79" spans="1:46" s="35" customFormat="1" x14ac:dyDescent="0.3">
      <c r="A79" s="22"/>
      <c r="B79" s="186" t="str">
        <f t="shared" si="46"/>
        <v>TMOTGSL900</v>
      </c>
      <c r="C79" s="186"/>
      <c r="D79" s="187"/>
      <c r="E79" s="186"/>
      <c r="F79" s="189"/>
      <c r="G79" s="170"/>
      <c r="H79" s="170"/>
      <c r="I79" s="190">
        <f>AF$5</f>
        <v>2016</v>
      </c>
      <c r="J79" s="191"/>
      <c r="K79" s="191"/>
      <c r="L79" s="192" t="s">
        <v>1064</v>
      </c>
      <c r="M79" s="186" t="s">
        <v>747</v>
      </c>
      <c r="N79" s="686">
        <f t="shared" ref="N79:AB79" si="49">N78*LOOKUP($AD73,$AG$4:$AP$4,$AG$5:$AP$5)</f>
        <v>0</v>
      </c>
      <c r="O79" s="686">
        <f t="shared" si="49"/>
        <v>0</v>
      </c>
      <c r="P79" s="686">
        <f t="shared" si="49"/>
        <v>0</v>
      </c>
      <c r="Q79" s="686">
        <f t="shared" si="49"/>
        <v>0</v>
      </c>
      <c r="R79" s="686">
        <f t="shared" si="49"/>
        <v>0</v>
      </c>
      <c r="S79" s="686">
        <f t="shared" si="49"/>
        <v>0</v>
      </c>
      <c r="T79" s="686">
        <f t="shared" si="49"/>
        <v>0</v>
      </c>
      <c r="U79" s="686">
        <f t="shared" si="49"/>
        <v>0</v>
      </c>
      <c r="V79" s="686">
        <f t="shared" si="49"/>
        <v>0</v>
      </c>
      <c r="W79" s="686">
        <f t="shared" si="49"/>
        <v>0</v>
      </c>
      <c r="X79" s="686">
        <f t="shared" si="49"/>
        <v>0</v>
      </c>
      <c r="Y79" s="686">
        <f t="shared" si="49"/>
        <v>0</v>
      </c>
      <c r="Z79" s="686">
        <f t="shared" si="49"/>
        <v>0</v>
      </c>
      <c r="AA79" s="686">
        <f t="shared" si="49"/>
        <v>0</v>
      </c>
      <c r="AB79" s="686">
        <f t="shared" si="49"/>
        <v>0</v>
      </c>
    </row>
    <row r="80" spans="1:46" s="35" customFormat="1" x14ac:dyDescent="0.3">
      <c r="A80" s="22"/>
      <c r="B80" s="186" t="str">
        <f t="shared" si="46"/>
        <v>TMOTGSL900</v>
      </c>
      <c r="C80" s="186"/>
      <c r="D80" s="187"/>
      <c r="E80" s="186"/>
      <c r="F80" s="189"/>
      <c r="G80" s="170"/>
      <c r="H80" s="170"/>
      <c r="I80" s="190">
        <f>AF$6</f>
        <v>2020</v>
      </c>
      <c r="J80" s="191"/>
      <c r="K80" s="191"/>
      <c r="L80" s="192" t="s">
        <v>1064</v>
      </c>
      <c r="M80" s="186" t="s">
        <v>747</v>
      </c>
      <c r="N80" s="686">
        <f t="shared" ref="N80:AB80" si="50">N78*LOOKUP($AD73,$AG$4:$AP$4,$AG$6:$AP$6)</f>
        <v>0</v>
      </c>
      <c r="O80" s="686">
        <f t="shared" si="50"/>
        <v>0</v>
      </c>
      <c r="P80" s="686">
        <f t="shared" si="50"/>
        <v>0</v>
      </c>
      <c r="Q80" s="686">
        <f t="shared" si="50"/>
        <v>0</v>
      </c>
      <c r="R80" s="686">
        <f t="shared" si="50"/>
        <v>0</v>
      </c>
      <c r="S80" s="686">
        <f t="shared" si="50"/>
        <v>0</v>
      </c>
      <c r="T80" s="686">
        <f t="shared" si="50"/>
        <v>0</v>
      </c>
      <c r="U80" s="686">
        <f t="shared" si="50"/>
        <v>0</v>
      </c>
      <c r="V80" s="686">
        <f t="shared" si="50"/>
        <v>0</v>
      </c>
      <c r="W80" s="686">
        <f t="shared" si="50"/>
        <v>0</v>
      </c>
      <c r="X80" s="686">
        <f t="shared" si="50"/>
        <v>0</v>
      </c>
      <c r="Y80" s="686">
        <f t="shared" si="50"/>
        <v>0</v>
      </c>
      <c r="Z80" s="686">
        <f t="shared" si="50"/>
        <v>0</v>
      </c>
      <c r="AA80" s="686">
        <f t="shared" si="50"/>
        <v>0</v>
      </c>
      <c r="AB80" s="686">
        <f t="shared" si="50"/>
        <v>0</v>
      </c>
    </row>
    <row r="81" spans="1:28" s="35" customFormat="1" x14ac:dyDescent="0.3">
      <c r="A81" s="22"/>
      <c r="B81" s="186" t="str">
        <f t="shared" si="46"/>
        <v>TMOTGSL900</v>
      </c>
      <c r="C81" s="186"/>
      <c r="D81" s="187"/>
      <c r="E81" s="186"/>
      <c r="F81" s="189"/>
      <c r="G81" s="170"/>
      <c r="H81" s="170"/>
      <c r="I81" s="190">
        <f>AF$7</f>
        <v>2025</v>
      </c>
      <c r="J81" s="191"/>
      <c r="K81" s="191"/>
      <c r="L81" s="192" t="s">
        <v>1064</v>
      </c>
      <c r="M81" s="186" t="s">
        <v>747</v>
      </c>
      <c r="N81" s="686">
        <f t="shared" ref="N81:AB81" si="51">N78*LOOKUP($AD73,$AG$4:$AP$4,$AG$7:$AP$7)</f>
        <v>0</v>
      </c>
      <c r="O81" s="686">
        <f t="shared" si="51"/>
        <v>0</v>
      </c>
      <c r="P81" s="686">
        <f t="shared" si="51"/>
        <v>0</v>
      </c>
      <c r="Q81" s="686">
        <f t="shared" si="51"/>
        <v>0</v>
      </c>
      <c r="R81" s="686">
        <f t="shared" si="51"/>
        <v>0</v>
      </c>
      <c r="S81" s="686">
        <f t="shared" si="51"/>
        <v>0</v>
      </c>
      <c r="T81" s="686">
        <f t="shared" si="51"/>
        <v>0</v>
      </c>
      <c r="U81" s="686">
        <f t="shared" si="51"/>
        <v>0</v>
      </c>
      <c r="V81" s="686">
        <f t="shared" si="51"/>
        <v>0</v>
      </c>
      <c r="W81" s="686">
        <f t="shared" si="51"/>
        <v>0</v>
      </c>
      <c r="X81" s="686">
        <f t="shared" si="51"/>
        <v>0</v>
      </c>
      <c r="Y81" s="686">
        <f t="shared" si="51"/>
        <v>0</v>
      </c>
      <c r="Z81" s="686">
        <f t="shared" si="51"/>
        <v>0</v>
      </c>
      <c r="AA81" s="686">
        <f t="shared" si="51"/>
        <v>0</v>
      </c>
      <c r="AB81" s="686">
        <f t="shared" si="51"/>
        <v>0</v>
      </c>
    </row>
    <row r="82" spans="1:28" s="35" customFormat="1" x14ac:dyDescent="0.3">
      <c r="A82" s="22"/>
      <c r="B82" s="186" t="str">
        <f t="shared" si="46"/>
        <v>TMOTGSL900</v>
      </c>
      <c r="C82" s="186"/>
      <c r="D82" s="187"/>
      <c r="E82" s="186"/>
      <c r="F82" s="189"/>
      <c r="G82" s="170"/>
      <c r="H82" s="170"/>
      <c r="I82" s="190">
        <f>AF$8</f>
        <v>2030</v>
      </c>
      <c r="J82" s="191"/>
      <c r="K82" s="191"/>
      <c r="L82" s="192" t="s">
        <v>1064</v>
      </c>
      <c r="M82" s="186" t="s">
        <v>747</v>
      </c>
      <c r="N82" s="686">
        <f t="shared" ref="N82:AB82" si="52">N78*LOOKUP($AD73,$AG$4:$AP$4,$AG$8:$AP$8)</f>
        <v>0</v>
      </c>
      <c r="O82" s="686">
        <f t="shared" si="52"/>
        <v>0</v>
      </c>
      <c r="P82" s="686">
        <f t="shared" si="52"/>
        <v>0</v>
      </c>
      <c r="Q82" s="686">
        <f t="shared" si="52"/>
        <v>0</v>
      </c>
      <c r="R82" s="686">
        <f t="shared" si="52"/>
        <v>0</v>
      </c>
      <c r="S82" s="686">
        <f t="shared" si="52"/>
        <v>0</v>
      </c>
      <c r="T82" s="686">
        <f t="shared" si="52"/>
        <v>0</v>
      </c>
      <c r="U82" s="686">
        <f t="shared" si="52"/>
        <v>0</v>
      </c>
      <c r="V82" s="686">
        <f t="shared" si="52"/>
        <v>0</v>
      </c>
      <c r="W82" s="686">
        <f t="shared" si="52"/>
        <v>0</v>
      </c>
      <c r="X82" s="686">
        <f t="shared" si="52"/>
        <v>0</v>
      </c>
      <c r="Y82" s="686">
        <f t="shared" si="52"/>
        <v>0</v>
      </c>
      <c r="Z82" s="686">
        <f t="shared" si="52"/>
        <v>0</v>
      </c>
      <c r="AA82" s="686">
        <f t="shared" si="52"/>
        <v>0</v>
      </c>
      <c r="AB82" s="686">
        <f t="shared" si="52"/>
        <v>0</v>
      </c>
    </row>
    <row r="83" spans="1:28" s="35" customFormat="1" x14ac:dyDescent="0.3">
      <c r="A83" s="22"/>
      <c r="B83" s="186" t="str">
        <f t="shared" si="46"/>
        <v>TMOTGSL900</v>
      </c>
      <c r="C83" s="186"/>
      <c r="D83" s="187"/>
      <c r="E83" s="186"/>
      <c r="F83" s="189"/>
      <c r="G83" s="170"/>
      <c r="H83" s="170"/>
      <c r="I83" s="190">
        <f>AF$9</f>
        <v>2040</v>
      </c>
      <c r="J83" s="191"/>
      <c r="K83" s="191"/>
      <c r="L83" s="192" t="s">
        <v>1064</v>
      </c>
      <c r="M83" s="186" t="s">
        <v>747</v>
      </c>
      <c r="N83" s="686">
        <f t="shared" ref="N83:AB83" si="53">N78*LOOKUP($AD73,$AG$4:$AP$4,$AG$9:$AP$9)</f>
        <v>0</v>
      </c>
      <c r="O83" s="686">
        <f t="shared" si="53"/>
        <v>0</v>
      </c>
      <c r="P83" s="686">
        <f t="shared" si="53"/>
        <v>0</v>
      </c>
      <c r="Q83" s="686">
        <f t="shared" si="53"/>
        <v>0</v>
      </c>
      <c r="R83" s="686">
        <f t="shared" si="53"/>
        <v>0</v>
      </c>
      <c r="S83" s="686">
        <f t="shared" si="53"/>
        <v>0</v>
      </c>
      <c r="T83" s="686">
        <f t="shared" si="53"/>
        <v>0</v>
      </c>
      <c r="U83" s="686">
        <f t="shared" si="53"/>
        <v>0</v>
      </c>
      <c r="V83" s="686">
        <f t="shared" si="53"/>
        <v>0</v>
      </c>
      <c r="W83" s="686">
        <f t="shared" si="53"/>
        <v>0</v>
      </c>
      <c r="X83" s="686">
        <f t="shared" si="53"/>
        <v>0</v>
      </c>
      <c r="Y83" s="686">
        <f t="shared" si="53"/>
        <v>0</v>
      </c>
      <c r="Z83" s="686">
        <f t="shared" si="53"/>
        <v>0</v>
      </c>
      <c r="AA83" s="686">
        <f t="shared" si="53"/>
        <v>0</v>
      </c>
      <c r="AB83" s="686">
        <f t="shared" si="53"/>
        <v>0</v>
      </c>
    </row>
    <row r="84" spans="1:28" s="35" customFormat="1" x14ac:dyDescent="0.3">
      <c r="A84" s="22"/>
      <c r="B84" s="193" t="str">
        <f t="shared" si="46"/>
        <v>TMOTGSL900</v>
      </c>
      <c r="C84" s="193"/>
      <c r="D84" s="194"/>
      <c r="E84" s="193"/>
      <c r="F84" s="195"/>
      <c r="G84" s="196"/>
      <c r="H84" s="196"/>
      <c r="I84" s="197">
        <f>AF$10</f>
        <v>2050</v>
      </c>
      <c r="J84" s="198"/>
      <c r="K84" s="198"/>
      <c r="L84" s="199" t="s">
        <v>1064</v>
      </c>
      <c r="M84" s="193" t="s">
        <v>747</v>
      </c>
      <c r="N84" s="687">
        <f t="shared" ref="N84:AB84" si="54">N78*LOOKUP($AD73,$AG$4:$AP$4,$AG$10:$AP$10)</f>
        <v>0</v>
      </c>
      <c r="O84" s="687">
        <f t="shared" si="54"/>
        <v>0</v>
      </c>
      <c r="P84" s="687">
        <f t="shared" si="54"/>
        <v>0</v>
      </c>
      <c r="Q84" s="687">
        <f t="shared" si="54"/>
        <v>0</v>
      </c>
      <c r="R84" s="687">
        <f t="shared" si="54"/>
        <v>0</v>
      </c>
      <c r="S84" s="687">
        <f t="shared" si="54"/>
        <v>0</v>
      </c>
      <c r="T84" s="687">
        <f t="shared" si="54"/>
        <v>0</v>
      </c>
      <c r="U84" s="687">
        <f t="shared" si="54"/>
        <v>0</v>
      </c>
      <c r="V84" s="687">
        <f t="shared" si="54"/>
        <v>0</v>
      </c>
      <c r="W84" s="687">
        <f t="shared" si="54"/>
        <v>0</v>
      </c>
      <c r="X84" s="687">
        <f t="shared" si="54"/>
        <v>0</v>
      </c>
      <c r="Y84" s="687">
        <f t="shared" si="54"/>
        <v>0</v>
      </c>
      <c r="Z84" s="687">
        <f t="shared" si="54"/>
        <v>0</v>
      </c>
      <c r="AA84" s="687">
        <f t="shared" si="54"/>
        <v>0</v>
      </c>
      <c r="AB84" s="687">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zoomScale="75" zoomScaleNormal="75" workbookViewId="0">
      <selection activeCell="T45" sqref="T45"/>
    </sheetView>
  </sheetViews>
  <sheetFormatPr defaultColWidth="9.33203125" defaultRowHeight="14.4" x14ac:dyDescent="0.3"/>
  <cols>
    <col min="1" max="1" width="3.33203125" style="33" customWidth="1"/>
    <col min="2" max="2" width="23.6640625" style="33" customWidth="1"/>
    <col min="3" max="3" width="13.33203125" style="33" bestFit="1" customWidth="1"/>
    <col min="4" max="4" width="40" style="33" customWidth="1"/>
    <col min="5" max="6" width="13.33203125" style="33" customWidth="1"/>
    <col min="7" max="7" width="11.6640625" style="33" customWidth="1"/>
    <col min="8" max="8" width="13.6640625" style="33" customWidth="1"/>
    <col min="9" max="9" width="23.44140625" style="33" customWidth="1"/>
    <col min="10" max="10" width="20.33203125" style="33" customWidth="1"/>
    <col min="11" max="11" width="19.6640625" style="33" customWidth="1"/>
    <col min="12" max="12" width="23.44140625" style="33" customWidth="1"/>
    <col min="13" max="13" width="11.44140625" style="33" customWidth="1"/>
    <col min="14" max="15" width="13.5546875" style="33" customWidth="1"/>
    <col min="16" max="16" width="12.6640625" style="33" customWidth="1"/>
    <col min="17" max="19" width="13.5546875" style="33" customWidth="1"/>
    <col min="20" max="27" width="12.6640625" style="33" bestFit="1" customWidth="1"/>
    <col min="28" max="28" width="10.6640625" style="33" customWidth="1"/>
    <col min="29" max="29" width="13.6640625" style="33" customWidth="1"/>
    <col min="30" max="30" width="8.44140625" style="33" bestFit="1" customWidth="1"/>
    <col min="31" max="31" width="9.33203125" style="33" customWidth="1"/>
    <col min="32" max="45" width="8.44140625" style="33" bestFit="1" customWidth="1"/>
    <col min="46" max="46" width="9.33203125" style="33"/>
    <col min="47" max="47" width="10.6640625" style="33" customWidth="1"/>
    <col min="48"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3">
      <c r="H6" s="36"/>
      <c r="AE6" s="38">
        <f>AE5+5</f>
        <v>2025</v>
      </c>
      <c r="AF6" s="67">
        <v>0.9</v>
      </c>
      <c r="AG6" s="67">
        <v>0.9</v>
      </c>
      <c r="AH6" s="90"/>
      <c r="AI6" s="90"/>
      <c r="AJ6" s="90"/>
      <c r="AK6" s="90"/>
      <c r="AL6" s="90"/>
      <c r="AM6" s="90"/>
      <c r="AN6" s="90"/>
      <c r="AV6" s="700" t="s">
        <v>85</v>
      </c>
      <c r="AW6" s="700" t="s">
        <v>421</v>
      </c>
      <c r="AX6" s="700" t="str">
        <f t="shared" ref="AX6:BL6" si="2">M$2</f>
        <v>Z01</v>
      </c>
      <c r="AY6" s="700" t="str">
        <f t="shared" si="2"/>
        <v>Z02</v>
      </c>
      <c r="AZ6" s="700" t="str">
        <f t="shared" si="2"/>
        <v>Z03</v>
      </c>
      <c r="BA6" s="700" t="str">
        <f t="shared" si="2"/>
        <v>Z04</v>
      </c>
      <c r="BB6" s="700" t="str">
        <f t="shared" si="2"/>
        <v>Z05</v>
      </c>
      <c r="BC6" s="700" t="str">
        <f t="shared" si="2"/>
        <v>Z06</v>
      </c>
      <c r="BD6" s="700" t="str">
        <f t="shared" si="2"/>
        <v>Z07</v>
      </c>
      <c r="BE6" s="700" t="str">
        <f t="shared" si="2"/>
        <v>Z08</v>
      </c>
      <c r="BF6" s="700" t="str">
        <f t="shared" si="2"/>
        <v>Z09</v>
      </c>
      <c r="BG6" s="700" t="str">
        <f t="shared" si="2"/>
        <v>Z10</v>
      </c>
      <c r="BH6" s="700" t="str">
        <f t="shared" si="2"/>
        <v>Z11</v>
      </c>
      <c r="BI6" s="700" t="str">
        <f t="shared" si="2"/>
        <v>Z12</v>
      </c>
      <c r="BJ6" s="700" t="str">
        <f t="shared" si="2"/>
        <v>Z13</v>
      </c>
      <c r="BK6" s="700" t="str">
        <f t="shared" si="2"/>
        <v>Z14</v>
      </c>
      <c r="BL6" s="700" t="str">
        <f t="shared" si="2"/>
        <v>Z15</v>
      </c>
    </row>
    <row r="7" spans="1:64" x14ac:dyDescent="0.3">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2">
        <f>AW7/3.6*1000</f>
        <v>0</v>
      </c>
      <c r="AV7" s="398" t="s">
        <v>103</v>
      </c>
      <c r="AW7" s="709">
        <f>SUM(AX7:BL7)</f>
        <v>0</v>
      </c>
      <c r="AX7" s="708">
        <f t="shared" ref="AX7:BL7" si="3">SUM(AX8:AX26)</f>
        <v>0</v>
      </c>
      <c r="AY7" s="708">
        <f t="shared" si="3"/>
        <v>0</v>
      </c>
      <c r="AZ7" s="708">
        <f t="shared" si="3"/>
        <v>0</v>
      </c>
      <c r="BA7" s="708">
        <f t="shared" si="3"/>
        <v>0</v>
      </c>
      <c r="BB7" s="708">
        <f t="shared" si="3"/>
        <v>0</v>
      </c>
      <c r="BC7" s="708">
        <f t="shared" si="3"/>
        <v>0</v>
      </c>
      <c r="BD7" s="708">
        <f t="shared" si="3"/>
        <v>0</v>
      </c>
      <c r="BE7" s="708">
        <f t="shared" si="3"/>
        <v>0</v>
      </c>
      <c r="BF7" s="708">
        <f t="shared" si="3"/>
        <v>0</v>
      </c>
      <c r="BG7" s="708">
        <f t="shared" si="3"/>
        <v>0</v>
      </c>
      <c r="BH7" s="708">
        <f t="shared" si="3"/>
        <v>0</v>
      </c>
      <c r="BI7" s="708">
        <f t="shared" si="3"/>
        <v>0</v>
      </c>
      <c r="BJ7" s="708">
        <f t="shared" si="3"/>
        <v>0</v>
      </c>
      <c r="BK7" s="708">
        <f t="shared" si="3"/>
        <v>0</v>
      </c>
      <c r="BL7" s="708">
        <f t="shared" si="3"/>
        <v>0</v>
      </c>
    </row>
    <row r="8" spans="1:64" x14ac:dyDescent="0.3">
      <c r="G8" s="511"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4" t="s">
        <v>987</v>
      </c>
      <c r="AW8" s="729">
        <f>SUM(AX8:BL8)</f>
        <v>0</v>
      </c>
      <c r="AX8" s="722"/>
      <c r="AY8" s="722"/>
      <c r="AZ8" s="722"/>
      <c r="BA8" s="722"/>
      <c r="BB8" s="722"/>
      <c r="BC8" s="722"/>
      <c r="BD8" s="722"/>
      <c r="BE8" s="722"/>
      <c r="BF8" s="722"/>
      <c r="BG8" s="722"/>
      <c r="BH8" s="722"/>
      <c r="BI8" s="722"/>
      <c r="BJ8" s="722"/>
      <c r="BK8" s="722"/>
      <c r="BL8" s="722"/>
    </row>
    <row r="9" spans="1:64" x14ac:dyDescent="0.3">
      <c r="G9" s="511"/>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4" t="s">
        <v>993</v>
      </c>
      <c r="AW9" s="729">
        <f t="shared" ref="AW9:AW12" si="5">SUM(AX9:BL9)</f>
        <v>0</v>
      </c>
      <c r="AX9" s="722"/>
      <c r="AY9" s="722"/>
      <c r="AZ9" s="722"/>
      <c r="BA9" s="722"/>
      <c r="BB9" s="722"/>
      <c r="BC9" s="722"/>
      <c r="BD9" s="722"/>
      <c r="BE9" s="722"/>
      <c r="BF9" s="722"/>
      <c r="BG9" s="722"/>
      <c r="BH9" s="722"/>
      <c r="BI9" s="722"/>
      <c r="BJ9" s="722"/>
      <c r="BK9" s="722"/>
      <c r="BL9" s="722"/>
    </row>
    <row r="10" spans="1:64" x14ac:dyDescent="0.3">
      <c r="A10" s="44"/>
      <c r="B10" s="44"/>
      <c r="C10" s="44"/>
      <c r="D10" s="35"/>
      <c r="E10" s="35"/>
      <c r="F10" s="44"/>
      <c r="G10" s="511"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1">
        <f t="shared" ref="AC10:AC19" si="6">SUM(M10:AA10)</f>
        <v>0</v>
      </c>
      <c r="AN10" s="35"/>
      <c r="AO10" s="35"/>
      <c r="AP10" s="35"/>
      <c r="AQ10" s="35"/>
      <c r="AR10" s="35"/>
      <c r="AV10" s="724" t="s">
        <v>997</v>
      </c>
      <c r="AW10" s="729">
        <f t="shared" si="5"/>
        <v>0</v>
      </c>
      <c r="AX10" s="724"/>
      <c r="AY10" s="724"/>
      <c r="AZ10" s="724"/>
      <c r="BA10" s="724"/>
      <c r="BB10" s="724"/>
      <c r="BC10" s="724"/>
      <c r="BD10" s="724"/>
      <c r="BE10" s="724"/>
      <c r="BF10" s="724"/>
      <c r="BG10" s="724"/>
      <c r="BH10" s="724"/>
      <c r="BI10" s="724"/>
      <c r="BJ10" s="724"/>
      <c r="BK10" s="724"/>
      <c r="BL10" s="724"/>
    </row>
    <row r="11" spans="1:64" x14ac:dyDescent="0.3">
      <c r="A11" s="44"/>
      <c r="B11" s="44"/>
      <c r="C11" s="44"/>
      <c r="D11" s="35"/>
      <c r="E11" s="35"/>
      <c r="F11" s="44"/>
      <c r="G11" s="511" t="s">
        <v>517</v>
      </c>
      <c r="H11" s="540" t="s">
        <v>661</v>
      </c>
      <c r="I11" s="540" t="str">
        <f>LOOKUP(H11,TRA_Comm!$C$29:$C$90,TRA_Comm!$D$29:$D$90)</f>
        <v>Rail.Freight.City.</v>
      </c>
      <c r="J11" s="541"/>
      <c r="K11" s="541" t="s">
        <v>1117</v>
      </c>
      <c r="L11" s="541" t="s">
        <v>632</v>
      </c>
      <c r="M11" s="542">
        <f>SUMIF(DEMAND_Pkm_Tkm!$C$48:$C$71, $H11, DEMAND_Pkm_Tkm!G$48:G$71)</f>
        <v>0</v>
      </c>
      <c r="N11" s="542">
        <f>SUMIF(DEMAND_Pkm_Tkm!$C$48:$C$71, $H11, DEMAND_Pkm_Tkm!H$48:H$71)</f>
        <v>0</v>
      </c>
      <c r="O11" s="542">
        <f>SUMIF(DEMAND_Pkm_Tkm!$C$48:$C$71, $H11, DEMAND_Pkm_Tkm!I$48:I$71)</f>
        <v>0</v>
      </c>
      <c r="P11" s="542">
        <f>SUMIF(DEMAND_Pkm_Tkm!$C$48:$C$71, $H11, DEMAND_Pkm_Tkm!J$48:J$71)</f>
        <v>0</v>
      </c>
      <c r="Q11" s="542">
        <f>SUMIF(DEMAND_Pkm_Tkm!$C$48:$C$71, $H11, DEMAND_Pkm_Tkm!K$48:K$71)</f>
        <v>0</v>
      </c>
      <c r="R11" s="542">
        <f>SUMIF(DEMAND_Pkm_Tkm!$C$48:$C$71, $H11, DEMAND_Pkm_Tkm!L$48:L$71)</f>
        <v>0</v>
      </c>
      <c r="S11" s="542">
        <f>SUMIF(DEMAND_Pkm_Tkm!$C$48:$C$71, $H11, DEMAND_Pkm_Tkm!M$48:M$71)</f>
        <v>0</v>
      </c>
      <c r="T11" s="542">
        <f>SUMIF(DEMAND_Pkm_Tkm!$C$48:$C$71, $H11, DEMAND_Pkm_Tkm!N$48:N$71)</f>
        <v>0</v>
      </c>
      <c r="U11" s="542">
        <f>SUMIF(DEMAND_Pkm_Tkm!$C$48:$C$71, $H11, DEMAND_Pkm_Tkm!O$48:O$71)</f>
        <v>0</v>
      </c>
      <c r="V11" s="542">
        <f>SUMIF(DEMAND_Pkm_Tkm!$C$48:$C$71, $H11, DEMAND_Pkm_Tkm!P$48:P$71)</f>
        <v>0</v>
      </c>
      <c r="W11" s="542">
        <f>SUMIF(DEMAND_Pkm_Tkm!$C$48:$C$71, $H11, DEMAND_Pkm_Tkm!Q$48:Q$71)</f>
        <v>0</v>
      </c>
      <c r="X11" s="542">
        <f>SUMIF(DEMAND_Pkm_Tkm!$C$48:$C$71, $H11, DEMAND_Pkm_Tkm!R$48:R$71)</f>
        <v>0</v>
      </c>
      <c r="Y11" s="542">
        <f>SUMIF(DEMAND_Pkm_Tkm!$C$48:$C$71, $H11, DEMAND_Pkm_Tkm!S$48:S$71)</f>
        <v>0</v>
      </c>
      <c r="Z11" s="542">
        <f>SUMIF(DEMAND_Pkm_Tkm!$C$48:$C$71, $H11, DEMAND_Pkm_Tkm!T$48:T$71)</f>
        <v>0</v>
      </c>
      <c r="AA11" s="542">
        <f>SUMIF(DEMAND_Pkm_Tkm!$C$48:$C$71, $H11, DEMAND_Pkm_Tkm!U$48:U$71)</f>
        <v>0</v>
      </c>
      <c r="AC11" s="592">
        <f t="shared" si="6"/>
        <v>0</v>
      </c>
      <c r="AO11" s="35"/>
      <c r="AP11" s="35"/>
      <c r="AQ11" s="35"/>
      <c r="AR11" s="35"/>
      <c r="AV11" s="726" t="s">
        <v>999</v>
      </c>
      <c r="AW11" s="729">
        <f t="shared" si="5"/>
        <v>0</v>
      </c>
      <c r="AX11" s="725"/>
      <c r="AY11" s="725"/>
      <c r="AZ11" s="725"/>
      <c r="BA11" s="725"/>
      <c r="BB11" s="725"/>
      <c r="BC11" s="725"/>
      <c r="BD11" s="725"/>
      <c r="BE11" s="725"/>
      <c r="BF11" s="725"/>
      <c r="BG11" s="725"/>
      <c r="BH11" s="725"/>
      <c r="BI11" s="725"/>
      <c r="BJ11" s="725"/>
      <c r="BK11" s="725"/>
      <c r="BL11" s="725"/>
    </row>
    <row r="12" spans="1:64" x14ac:dyDescent="0.3">
      <c r="A12" s="44"/>
      <c r="B12" s="44"/>
      <c r="C12" s="44"/>
      <c r="D12" s="35"/>
      <c r="E12" s="35"/>
      <c r="F12" s="44"/>
      <c r="G12" s="511"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1">
        <f t="shared" si="6"/>
        <v>0</v>
      </c>
      <c r="AO12" s="35"/>
      <c r="AP12" s="35"/>
      <c r="AQ12" s="35"/>
      <c r="AR12" s="35"/>
      <c r="AT12" s="77">
        <f>AU12-2480</f>
        <v>-2480</v>
      </c>
      <c r="AU12" s="862">
        <f>AW12/3.6*1000</f>
        <v>0</v>
      </c>
      <c r="AV12" s="726" t="s">
        <v>1001</v>
      </c>
      <c r="AW12" s="729">
        <f t="shared" si="5"/>
        <v>0</v>
      </c>
      <c r="AX12" s="722">
        <f>AX51+AX83</f>
        <v>0</v>
      </c>
      <c r="AY12" s="722">
        <f t="shared" ref="AY12:BL12" si="7">AY51+AY83</f>
        <v>0</v>
      </c>
      <c r="AZ12" s="722">
        <f t="shared" si="7"/>
        <v>0</v>
      </c>
      <c r="BA12" s="722">
        <f t="shared" si="7"/>
        <v>0</v>
      </c>
      <c r="BB12" s="722">
        <f t="shared" si="7"/>
        <v>0</v>
      </c>
      <c r="BC12" s="722">
        <f t="shared" si="7"/>
        <v>0</v>
      </c>
      <c r="BD12" s="722">
        <f t="shared" si="7"/>
        <v>0</v>
      </c>
      <c r="BE12" s="722">
        <f t="shared" si="7"/>
        <v>0</v>
      </c>
      <c r="BF12" s="722">
        <f t="shared" si="7"/>
        <v>0</v>
      </c>
      <c r="BG12" s="722">
        <f t="shared" si="7"/>
        <v>0</v>
      </c>
      <c r="BH12" s="722">
        <f t="shared" si="7"/>
        <v>0</v>
      </c>
      <c r="BI12" s="722">
        <f t="shared" si="7"/>
        <v>0</v>
      </c>
      <c r="BJ12" s="722">
        <f t="shared" si="7"/>
        <v>0</v>
      </c>
      <c r="BK12" s="722">
        <f t="shared" si="7"/>
        <v>0</v>
      </c>
      <c r="BL12" s="722">
        <f t="shared" si="7"/>
        <v>0</v>
      </c>
    </row>
    <row r="13" spans="1:64" x14ac:dyDescent="0.3">
      <c r="A13" s="44"/>
      <c r="B13" s="44"/>
      <c r="C13" s="44"/>
      <c r="D13" s="35"/>
      <c r="E13" s="35"/>
      <c r="F13" s="44"/>
      <c r="G13" s="511"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1">
        <f t="shared" si="6"/>
        <v>0</v>
      </c>
      <c r="AO13" s="35"/>
      <c r="AP13" s="35"/>
      <c r="AQ13" s="35"/>
      <c r="AR13" s="35"/>
      <c r="AU13" s="77"/>
      <c r="AV13" s="727" t="s">
        <v>185</v>
      </c>
      <c r="AW13" s="729">
        <f t="shared" ref="AW13:AW24" si="8">SUM(AX13:BL13)</f>
        <v>0</v>
      </c>
      <c r="AX13" s="722"/>
      <c r="AY13" s="722"/>
      <c r="AZ13" s="722"/>
      <c r="BA13" s="722"/>
      <c r="BB13" s="722"/>
      <c r="BC13" s="722"/>
      <c r="BD13" s="722"/>
      <c r="BE13" s="722"/>
      <c r="BF13" s="722"/>
      <c r="BG13" s="722"/>
      <c r="BH13" s="722"/>
      <c r="BI13" s="722"/>
      <c r="BJ13" s="722"/>
      <c r="BK13" s="722"/>
      <c r="BL13" s="722"/>
    </row>
    <row r="14" spans="1:64" x14ac:dyDescent="0.3">
      <c r="A14" s="44"/>
      <c r="B14" s="34"/>
      <c r="C14" s="44"/>
      <c r="D14" s="35"/>
      <c r="E14" s="35"/>
      <c r="F14" s="44"/>
      <c r="G14" s="511"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1">
        <f t="shared" si="6"/>
        <v>0</v>
      </c>
      <c r="AO14" s="35"/>
      <c r="AP14" s="35"/>
      <c r="AQ14" s="35"/>
      <c r="AR14" s="35"/>
      <c r="AU14" s="77"/>
      <c r="AV14" s="727" t="s">
        <v>682</v>
      </c>
      <c r="AW14" s="729">
        <f t="shared" si="8"/>
        <v>0</v>
      </c>
      <c r="AX14" s="730"/>
      <c r="AY14" s="730"/>
      <c r="AZ14" s="730"/>
      <c r="BA14" s="730"/>
      <c r="BB14" s="730"/>
      <c r="BC14" s="730"/>
      <c r="BD14" s="730"/>
      <c r="BE14" s="730"/>
      <c r="BF14" s="730"/>
      <c r="BG14" s="730"/>
      <c r="BH14" s="730"/>
      <c r="BI14" s="730"/>
      <c r="BJ14" s="730"/>
      <c r="BK14" s="730"/>
      <c r="BL14" s="730"/>
    </row>
    <row r="15" spans="1:64" x14ac:dyDescent="0.3">
      <c r="A15" s="44"/>
      <c r="B15" s="91"/>
      <c r="C15" s="44"/>
      <c r="D15" s="35"/>
      <c r="E15" s="35"/>
      <c r="F15" s="44"/>
      <c r="G15" s="511"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1">
        <f t="shared" si="6"/>
        <v>0</v>
      </c>
      <c r="AO15" s="35"/>
      <c r="AP15" s="35"/>
      <c r="AQ15" s="35"/>
      <c r="AR15" s="35"/>
      <c r="AT15" s="77">
        <f>AU15-5372</f>
        <v>-5372</v>
      </c>
      <c r="AU15" s="862">
        <f>AW15/3.6*1000</f>
        <v>0</v>
      </c>
      <c r="AV15" s="726" t="s">
        <v>1007</v>
      </c>
      <c r="AW15" s="729">
        <f t="shared" si="8"/>
        <v>0</v>
      </c>
      <c r="AX15" s="722">
        <f>AX39+AX64+AX96+AX115+AX127</f>
        <v>0</v>
      </c>
      <c r="AY15" s="722">
        <f t="shared" ref="AY15:BL15" si="9">AY39+AY64+AY96+AY115+AY127</f>
        <v>0</v>
      </c>
      <c r="AZ15" s="722">
        <f t="shared" si="9"/>
        <v>0</v>
      </c>
      <c r="BA15" s="722">
        <f t="shared" si="9"/>
        <v>0</v>
      </c>
      <c r="BB15" s="722">
        <f t="shared" si="9"/>
        <v>0</v>
      </c>
      <c r="BC15" s="722">
        <f t="shared" si="9"/>
        <v>0</v>
      </c>
      <c r="BD15" s="722">
        <f t="shared" si="9"/>
        <v>0</v>
      </c>
      <c r="BE15" s="722">
        <f t="shared" si="9"/>
        <v>0</v>
      </c>
      <c r="BF15" s="722">
        <f t="shared" si="9"/>
        <v>0</v>
      </c>
      <c r="BG15" s="722">
        <f t="shared" si="9"/>
        <v>0</v>
      </c>
      <c r="BH15" s="722">
        <f t="shared" si="9"/>
        <v>0</v>
      </c>
      <c r="BI15" s="722">
        <f t="shared" si="9"/>
        <v>0</v>
      </c>
      <c r="BJ15" s="722">
        <f t="shared" si="9"/>
        <v>0</v>
      </c>
      <c r="BK15" s="722">
        <f t="shared" si="9"/>
        <v>0</v>
      </c>
      <c r="BL15" s="722">
        <f t="shared" si="9"/>
        <v>0</v>
      </c>
    </row>
    <row r="16" spans="1:64" x14ac:dyDescent="0.3">
      <c r="A16" s="44"/>
      <c r="B16" s="91"/>
      <c r="C16" s="44"/>
      <c r="D16" s="35"/>
      <c r="E16" s="35"/>
      <c r="F16" s="44"/>
      <c r="G16" s="511"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1">
        <f t="shared" si="6"/>
        <v>0</v>
      </c>
      <c r="AO16" s="35"/>
      <c r="AP16" s="35"/>
      <c r="AQ16" s="35"/>
      <c r="AR16" s="35"/>
      <c r="AU16" s="77"/>
      <c r="AV16" s="727" t="s">
        <v>1009</v>
      </c>
      <c r="AW16" s="729">
        <f t="shared" si="8"/>
        <v>0</v>
      </c>
      <c r="AX16" s="722"/>
      <c r="AY16" s="722"/>
      <c r="AZ16" s="722"/>
      <c r="BA16" s="722"/>
      <c r="BB16" s="722"/>
      <c r="BC16" s="722"/>
      <c r="BD16" s="722"/>
      <c r="BE16" s="722"/>
      <c r="BF16" s="722"/>
      <c r="BG16" s="722"/>
      <c r="BH16" s="722"/>
      <c r="BI16" s="722"/>
      <c r="BJ16" s="722"/>
      <c r="BK16" s="722"/>
      <c r="BL16" s="722"/>
    </row>
    <row r="17" spans="1:64" x14ac:dyDescent="0.3">
      <c r="A17" s="44"/>
      <c r="B17" s="44"/>
      <c r="C17" s="44"/>
      <c r="D17" s="35"/>
      <c r="E17" s="35"/>
      <c r="F17" s="44"/>
      <c r="G17" s="511"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1">
        <f t="shared" si="6"/>
        <v>0</v>
      </c>
      <c r="AO17" s="35"/>
      <c r="AP17" s="35"/>
      <c r="AQ17" s="35"/>
      <c r="AR17" s="35"/>
      <c r="AV17" s="727" t="s">
        <v>1011</v>
      </c>
      <c r="AW17" s="729">
        <f t="shared" si="8"/>
        <v>0</v>
      </c>
      <c r="AX17" s="722"/>
      <c r="AY17" s="722"/>
      <c r="AZ17" s="722"/>
      <c r="BA17" s="722"/>
      <c r="BB17" s="722"/>
      <c r="BC17" s="722"/>
      <c r="BD17" s="722"/>
      <c r="BE17" s="722"/>
      <c r="BF17" s="722"/>
      <c r="BG17" s="722"/>
      <c r="BH17" s="722"/>
      <c r="BI17" s="722"/>
      <c r="BJ17" s="722"/>
      <c r="BK17" s="722"/>
      <c r="BL17" s="722"/>
    </row>
    <row r="18" spans="1:64" x14ac:dyDescent="0.3">
      <c r="A18" s="44"/>
      <c r="C18" s="44"/>
      <c r="D18" s="35"/>
      <c r="E18" s="35"/>
      <c r="F18" s="44"/>
      <c r="G18" s="511" t="s">
        <v>1196</v>
      </c>
      <c r="H18" s="172" t="s">
        <v>417</v>
      </c>
      <c r="I18" s="173" t="str">
        <f>LOOKUP(H18,TRA_Comm!$C$29:$C$90,TRA_Comm!$D$29:$D$90)</f>
        <v>Rail.Passenger.</v>
      </c>
      <c r="J18" s="173"/>
      <c r="K18" s="173" t="s">
        <v>1117</v>
      </c>
      <c r="L18" s="173" t="s">
        <v>582</v>
      </c>
      <c r="M18" s="824">
        <f>SUMIF(DEMAND_Pkm_Tkm!$C$6:$C$43, $H18, DEMAND_Pkm_Tkm!G$6:G$43)</f>
        <v>0</v>
      </c>
      <c r="N18" s="824">
        <f>SUMIF(DEMAND_Pkm_Tkm!$C$6:$C$43, $H18, DEMAND_Pkm_Tkm!H$6:H$43)</f>
        <v>0</v>
      </c>
      <c r="O18" s="824">
        <f>SUMIF(DEMAND_Pkm_Tkm!$C$6:$C$43, $H18, DEMAND_Pkm_Tkm!I$6:I$43)</f>
        <v>0</v>
      </c>
      <c r="P18" s="824">
        <f>SUMIF(DEMAND_Pkm_Tkm!$C$6:$C$43, $H18, DEMAND_Pkm_Tkm!J$6:J$43)</f>
        <v>0</v>
      </c>
      <c r="Q18" s="824">
        <f>SUMIF(DEMAND_Pkm_Tkm!$C$6:$C$43, $H18, DEMAND_Pkm_Tkm!K$6:K$43)</f>
        <v>0</v>
      </c>
      <c r="R18" s="824">
        <f>SUMIF(DEMAND_Pkm_Tkm!$C$6:$C$43, $H18, DEMAND_Pkm_Tkm!L$6:L$43)</f>
        <v>0</v>
      </c>
      <c r="S18" s="824">
        <f>SUMIF(DEMAND_Pkm_Tkm!$C$6:$C$43, $H18, DEMAND_Pkm_Tkm!M$6:M$43)</f>
        <v>0</v>
      </c>
      <c r="T18" s="824">
        <f>SUMIF(DEMAND_Pkm_Tkm!$C$6:$C$43, $H18, DEMAND_Pkm_Tkm!N$6:N$43)</f>
        <v>0</v>
      </c>
      <c r="U18" s="824">
        <f>SUMIF(DEMAND_Pkm_Tkm!$C$6:$C$43, $H18, DEMAND_Pkm_Tkm!O$6:O$43)</f>
        <v>0</v>
      </c>
      <c r="V18" s="824">
        <f>SUMIF(DEMAND_Pkm_Tkm!$C$6:$C$43, $H18, DEMAND_Pkm_Tkm!P$6:P$43)</f>
        <v>0</v>
      </c>
      <c r="W18" s="824">
        <f>SUMIF(DEMAND_Pkm_Tkm!$C$6:$C$43, $H18, DEMAND_Pkm_Tkm!Q$6:Q$43)</f>
        <v>0</v>
      </c>
      <c r="X18" s="824">
        <f>SUMIF(DEMAND_Pkm_Tkm!$C$6:$C$43, $H18, DEMAND_Pkm_Tkm!R$6:R$43)</f>
        <v>0</v>
      </c>
      <c r="Y18" s="824">
        <f>SUMIF(DEMAND_Pkm_Tkm!$C$6:$C$43, $H18, DEMAND_Pkm_Tkm!S$6:S$43)</f>
        <v>0</v>
      </c>
      <c r="Z18" s="824">
        <f>SUMIF(DEMAND_Pkm_Tkm!$C$6:$C$43, $H18, DEMAND_Pkm_Tkm!T$6:T$43)</f>
        <v>0</v>
      </c>
      <c r="AA18" s="824">
        <f>SUMIF(DEMAND_Pkm_Tkm!$C$6:$C$43, $H18, DEMAND_Pkm_Tkm!U$6:U$43)</f>
        <v>0</v>
      </c>
      <c r="AC18" s="591">
        <f t="shared" si="6"/>
        <v>0</v>
      </c>
      <c r="AE18" s="511"/>
      <c r="AF18" s="35"/>
      <c r="AG18" s="35"/>
      <c r="AH18" s="35"/>
      <c r="AI18" s="35"/>
      <c r="AJ18" s="35"/>
      <c r="AK18" s="35"/>
      <c r="AL18" s="35"/>
      <c r="AM18" s="35"/>
      <c r="AO18" s="35"/>
      <c r="AP18" s="35"/>
      <c r="AQ18" s="35"/>
      <c r="AR18" s="35"/>
      <c r="AV18" s="727" t="s">
        <v>1013</v>
      </c>
      <c r="AW18" s="729">
        <f t="shared" si="8"/>
        <v>0</v>
      </c>
      <c r="AX18" s="722"/>
      <c r="AY18" s="722"/>
      <c r="AZ18" s="722"/>
      <c r="BA18" s="722"/>
      <c r="BB18" s="722"/>
      <c r="BC18" s="722"/>
      <c r="BD18" s="722"/>
      <c r="BE18" s="722"/>
      <c r="BF18" s="722"/>
      <c r="BG18" s="722"/>
      <c r="BH18" s="722"/>
      <c r="BI18" s="722"/>
      <c r="BJ18" s="722"/>
      <c r="BK18" s="722"/>
      <c r="BL18" s="722"/>
    </row>
    <row r="19" spans="1:64" x14ac:dyDescent="0.3">
      <c r="A19" s="44"/>
      <c r="C19" s="44"/>
      <c r="D19" s="35"/>
      <c r="E19" s="35"/>
      <c r="F19" s="44"/>
      <c r="G19" s="511"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1">
        <f t="shared" si="6"/>
        <v>0</v>
      </c>
      <c r="AE19" s="35"/>
      <c r="AF19" s="35"/>
      <c r="AG19" s="35"/>
      <c r="AH19" s="35"/>
      <c r="AI19" s="35"/>
      <c r="AJ19" s="35"/>
      <c r="AK19" s="35"/>
      <c r="AL19" s="35"/>
      <c r="AO19" s="35"/>
      <c r="AP19" s="35"/>
      <c r="AQ19" s="35"/>
      <c r="AR19" s="35"/>
      <c r="AV19" s="727" t="s">
        <v>1015</v>
      </c>
      <c r="AW19" s="729">
        <f t="shared" si="8"/>
        <v>0</v>
      </c>
      <c r="AX19" s="724"/>
      <c r="AY19" s="724"/>
      <c r="AZ19" s="724"/>
      <c r="BA19" s="724"/>
      <c r="BB19" s="724"/>
      <c r="BC19" s="724"/>
      <c r="BD19" s="724"/>
      <c r="BE19" s="724"/>
      <c r="BF19" s="724"/>
      <c r="BG19" s="724"/>
      <c r="BH19" s="724"/>
      <c r="BI19" s="724"/>
      <c r="BJ19" s="724"/>
      <c r="BK19" s="724"/>
      <c r="BL19" s="724"/>
    </row>
    <row r="20" spans="1:64" x14ac:dyDescent="0.3">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7" t="s">
        <v>1022</v>
      </c>
      <c r="AW20" s="729">
        <f t="shared" si="8"/>
        <v>0</v>
      </c>
      <c r="AX20" s="724"/>
      <c r="AY20" s="724"/>
      <c r="AZ20" s="724"/>
      <c r="BA20" s="724"/>
      <c r="BB20" s="724"/>
      <c r="BC20" s="724"/>
      <c r="BD20" s="724"/>
      <c r="BE20" s="724"/>
      <c r="BF20" s="724"/>
      <c r="BG20" s="724"/>
      <c r="BH20" s="724"/>
      <c r="BI20" s="724"/>
      <c r="BJ20" s="724"/>
      <c r="BK20" s="724"/>
      <c r="BL20" s="724"/>
    </row>
    <row r="21" spans="1:64" x14ac:dyDescent="0.3">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4" t="s">
        <v>680</v>
      </c>
      <c r="AW21" s="729">
        <f t="shared" si="8"/>
        <v>0</v>
      </c>
      <c r="AX21" s="722"/>
      <c r="AY21" s="722"/>
      <c r="AZ21" s="722"/>
      <c r="BA21" s="722"/>
      <c r="BB21" s="722"/>
      <c r="BC21" s="722"/>
      <c r="BD21" s="722"/>
      <c r="BE21" s="722"/>
      <c r="BF21" s="722"/>
      <c r="BG21" s="722"/>
      <c r="BH21" s="722"/>
      <c r="BI21" s="722"/>
      <c r="BJ21" s="722"/>
      <c r="BK21" s="722"/>
      <c r="BL21" s="722"/>
    </row>
    <row r="22" spans="1:64" x14ac:dyDescent="0.3">
      <c r="A22" s="44"/>
      <c r="B22" s="44"/>
      <c r="C22" s="44"/>
      <c r="D22" s="35"/>
      <c r="E22" s="35"/>
      <c r="F22" s="44"/>
      <c r="G22" s="44"/>
      <c r="H22" s="44"/>
      <c r="I22" s="44"/>
      <c r="J22" s="44"/>
      <c r="L22" s="186" t="s">
        <v>1199</v>
      </c>
      <c r="M22" s="165">
        <f>T_ACTFLO!E36</f>
        <v>0</v>
      </c>
      <c r="N22" s="165">
        <f>T_ACTFLO!F36</f>
        <v>0</v>
      </c>
      <c r="O22" s="165">
        <f>T_ACTFLO!G36</f>
        <v>0</v>
      </c>
      <c r="P22" s="165">
        <f>T_ACTFLO!H36</f>
        <v>0</v>
      </c>
      <c r="Q22" s="165">
        <f>T_ACTFLO!I36</f>
        <v>0</v>
      </c>
      <c r="R22" s="165">
        <f>T_ACTFLO!J36</f>
        <v>0</v>
      </c>
      <c r="S22" s="165">
        <f>T_ACTFLO!K36</f>
        <v>0</v>
      </c>
      <c r="T22" s="165">
        <f>T_ACTFLO!L36</f>
        <v>0</v>
      </c>
      <c r="U22" s="165">
        <f>T_ACTFLO!M36</f>
        <v>0</v>
      </c>
      <c r="V22" s="165">
        <f>T_ACTFLO!N36</f>
        <v>0</v>
      </c>
      <c r="W22" s="165">
        <f>T_ACTFLO!O36</f>
        <v>0</v>
      </c>
      <c r="X22" s="165">
        <f>T_ACTFLO!P36</f>
        <v>0</v>
      </c>
      <c r="Y22" s="165">
        <f>T_ACTFLO!Q36</f>
        <v>0</v>
      </c>
      <c r="Z22" s="165">
        <f>T_ACTFLO!R36</f>
        <v>0</v>
      </c>
      <c r="AA22" s="165">
        <f>T_ACTFLO!S36</f>
        <v>0</v>
      </c>
      <c r="AB22" s="44"/>
      <c r="AD22" s="35"/>
      <c r="AE22" s="35"/>
      <c r="AF22" s="35"/>
      <c r="AG22" s="35"/>
      <c r="AH22" s="35"/>
      <c r="AI22" s="35"/>
      <c r="AJ22" s="35"/>
      <c r="AO22" s="35"/>
      <c r="AP22" s="35"/>
      <c r="AQ22" s="35"/>
      <c r="AR22" s="35"/>
      <c r="AV22" s="724" t="s">
        <v>1028</v>
      </c>
      <c r="AW22" s="729">
        <f t="shared" si="8"/>
        <v>0</v>
      </c>
      <c r="AX22" s="724"/>
      <c r="AY22" s="724"/>
      <c r="AZ22" s="724"/>
      <c r="BA22" s="724"/>
      <c r="BB22" s="724"/>
      <c r="BC22" s="724"/>
      <c r="BD22" s="724"/>
      <c r="BE22" s="724"/>
      <c r="BF22" s="724"/>
      <c r="BG22" s="724"/>
      <c r="BH22" s="724"/>
      <c r="BI22" s="724"/>
      <c r="BJ22" s="724"/>
      <c r="BK22" s="724"/>
      <c r="BL22" s="724"/>
    </row>
    <row r="23" spans="1:64" x14ac:dyDescent="0.3">
      <c r="A23" s="44"/>
      <c r="B23" s="44"/>
      <c r="C23" s="44"/>
      <c r="D23" s="35"/>
      <c r="E23" s="35"/>
      <c r="F23" s="44"/>
      <c r="G23" s="35"/>
      <c r="H23" s="35"/>
      <c r="I23" s="35"/>
      <c r="J23" s="35"/>
      <c r="K23" s="330"/>
      <c r="L23" s="186" t="s">
        <v>1200</v>
      </c>
      <c r="M23" s="165">
        <f>T_ACTFLO!E37</f>
        <v>0</v>
      </c>
      <c r="N23" s="165">
        <f>T_ACTFLO!F37</f>
        <v>0</v>
      </c>
      <c r="O23" s="165">
        <f>T_ACTFLO!G37</f>
        <v>0</v>
      </c>
      <c r="P23" s="165">
        <f>T_ACTFLO!H37</f>
        <v>0</v>
      </c>
      <c r="Q23" s="165">
        <f>T_ACTFLO!I37</f>
        <v>0</v>
      </c>
      <c r="R23" s="165">
        <f>T_ACTFLO!J37</f>
        <v>0</v>
      </c>
      <c r="S23" s="165">
        <f>T_ACTFLO!K37</f>
        <v>0</v>
      </c>
      <c r="T23" s="165">
        <f>T_ACTFLO!L37</f>
        <v>0</v>
      </c>
      <c r="U23" s="165">
        <f>T_ACTFLO!M37</f>
        <v>0</v>
      </c>
      <c r="V23" s="165">
        <f>T_ACTFLO!N37</f>
        <v>0</v>
      </c>
      <c r="W23" s="165">
        <f>T_ACTFLO!O37</f>
        <v>0</v>
      </c>
      <c r="X23" s="165">
        <f>T_ACTFLO!P37</f>
        <v>0</v>
      </c>
      <c r="Y23" s="165">
        <f>T_ACTFLO!Q37</f>
        <v>0</v>
      </c>
      <c r="Z23" s="165">
        <f>T_ACTFLO!R37</f>
        <v>0</v>
      </c>
      <c r="AA23" s="165">
        <f>T_ACTFLO!S37</f>
        <v>0</v>
      </c>
      <c r="AD23" s="35"/>
      <c r="AE23" s="35"/>
      <c r="AF23" s="35"/>
      <c r="AG23" s="35"/>
      <c r="AH23" s="35"/>
      <c r="AI23" s="35"/>
      <c r="AJ23" s="35"/>
      <c r="AO23" s="35"/>
      <c r="AP23" s="35"/>
      <c r="AQ23" s="35"/>
      <c r="AR23" s="35"/>
      <c r="AV23" s="724" t="s">
        <v>1030</v>
      </c>
      <c r="AW23" s="729">
        <f t="shared" si="8"/>
        <v>0</v>
      </c>
      <c r="AX23" s="724"/>
      <c r="AY23" s="724"/>
      <c r="AZ23" s="724"/>
      <c r="BA23" s="724"/>
      <c r="BB23" s="724"/>
      <c r="BC23" s="724"/>
      <c r="BD23" s="724"/>
      <c r="BE23" s="724"/>
      <c r="BF23" s="724"/>
      <c r="BG23" s="724"/>
      <c r="BH23" s="724"/>
      <c r="BI23" s="724"/>
      <c r="BJ23" s="724"/>
      <c r="BK23" s="724"/>
      <c r="BL23" s="724"/>
    </row>
    <row r="24" spans="1:64" x14ac:dyDescent="0.3">
      <c r="A24" s="44"/>
      <c r="B24" s="44"/>
      <c r="C24" s="44"/>
      <c r="D24" s="35"/>
      <c r="E24" s="35"/>
      <c r="F24" s="44"/>
      <c r="G24" s="35"/>
      <c r="H24" s="35"/>
      <c r="I24" s="35"/>
      <c r="J24" s="35"/>
      <c r="K24" s="330"/>
      <c r="L24" s="186" t="s">
        <v>1201</v>
      </c>
      <c r="M24" s="165">
        <f>T_ACTFLO!E38</f>
        <v>0</v>
      </c>
      <c r="N24" s="165">
        <f>T_ACTFLO!F38</f>
        <v>0</v>
      </c>
      <c r="O24" s="165">
        <f>T_ACTFLO!G38</f>
        <v>0</v>
      </c>
      <c r="P24" s="165">
        <f>T_ACTFLO!H38</f>
        <v>0</v>
      </c>
      <c r="Q24" s="165">
        <f>T_ACTFLO!I38</f>
        <v>0</v>
      </c>
      <c r="R24" s="165">
        <f>T_ACTFLO!J38</f>
        <v>0</v>
      </c>
      <c r="S24" s="165">
        <f>T_ACTFLO!K38</f>
        <v>0</v>
      </c>
      <c r="T24" s="165">
        <f>T_ACTFLO!L38</f>
        <v>0</v>
      </c>
      <c r="U24" s="165">
        <f>T_ACTFLO!M38</f>
        <v>0</v>
      </c>
      <c r="V24" s="165">
        <f>T_ACTFLO!N38</f>
        <v>0</v>
      </c>
      <c r="W24" s="165">
        <f>T_ACTFLO!O38</f>
        <v>0</v>
      </c>
      <c r="X24" s="165">
        <f>T_ACTFLO!P38</f>
        <v>0</v>
      </c>
      <c r="Y24" s="165">
        <f>T_ACTFLO!Q38</f>
        <v>0</v>
      </c>
      <c r="Z24" s="165">
        <f>T_ACTFLO!R38</f>
        <v>0</v>
      </c>
      <c r="AA24" s="165">
        <f>T_ACTFLO!S38</f>
        <v>0</v>
      </c>
      <c r="AD24" s="35"/>
      <c r="AE24" s="35"/>
      <c r="AF24" s="35"/>
      <c r="AG24" s="35"/>
      <c r="AH24" s="35"/>
      <c r="AI24" s="35"/>
      <c r="AJ24" s="35"/>
      <c r="AO24" s="35"/>
      <c r="AP24" s="35"/>
      <c r="AQ24" s="35"/>
      <c r="AR24" s="35"/>
      <c r="AV24" s="724" t="s">
        <v>1032</v>
      </c>
      <c r="AW24" s="729">
        <f t="shared" si="8"/>
        <v>0</v>
      </c>
      <c r="AX24" s="722"/>
      <c r="AY24" s="722"/>
      <c r="AZ24" s="722"/>
      <c r="BA24" s="722"/>
      <c r="BB24" s="722"/>
      <c r="BC24" s="722"/>
      <c r="BD24" s="722"/>
      <c r="BE24" s="722"/>
      <c r="BF24" s="722"/>
      <c r="BG24" s="722"/>
      <c r="BH24" s="722"/>
      <c r="BI24" s="722"/>
      <c r="BJ24" s="722"/>
      <c r="BK24" s="722"/>
      <c r="BL24" s="722"/>
    </row>
    <row r="25" spans="1:64" x14ac:dyDescent="0.3">
      <c r="A25" s="44"/>
      <c r="B25" s="44"/>
      <c r="C25" s="44"/>
      <c r="D25" s="35"/>
      <c r="E25" s="35"/>
      <c r="F25" s="44"/>
      <c r="G25" s="35"/>
      <c r="H25" s="35"/>
      <c r="I25" s="35"/>
      <c r="J25" s="35"/>
      <c r="K25" s="330"/>
      <c r="L25" s="186" t="s">
        <v>1202</v>
      </c>
      <c r="M25" s="165">
        <f>T_ACTFLO!E39</f>
        <v>0</v>
      </c>
      <c r="N25" s="165">
        <f>T_ACTFLO!F39</f>
        <v>0</v>
      </c>
      <c r="O25" s="165">
        <f>T_ACTFLO!G39</f>
        <v>0</v>
      </c>
      <c r="P25" s="165">
        <f>T_ACTFLO!H39</f>
        <v>0</v>
      </c>
      <c r="Q25" s="165">
        <f>T_ACTFLO!I39</f>
        <v>0</v>
      </c>
      <c r="R25" s="165">
        <f>T_ACTFLO!J39</f>
        <v>0</v>
      </c>
      <c r="S25" s="165">
        <f>T_ACTFLO!K39</f>
        <v>0</v>
      </c>
      <c r="T25" s="165">
        <f>T_ACTFLO!L39</f>
        <v>0</v>
      </c>
      <c r="U25" s="165">
        <f>T_ACTFLO!M39</f>
        <v>0</v>
      </c>
      <c r="V25" s="165">
        <f>T_ACTFLO!N39</f>
        <v>0</v>
      </c>
      <c r="W25" s="165">
        <f>T_ACTFLO!O39</f>
        <v>0</v>
      </c>
      <c r="X25" s="165">
        <f>T_ACTFLO!P39</f>
        <v>0</v>
      </c>
      <c r="Y25" s="165">
        <f>T_ACTFLO!Q39</f>
        <v>0</v>
      </c>
      <c r="Z25" s="165">
        <f>T_ACTFLO!R39</f>
        <v>0</v>
      </c>
      <c r="AA25" s="165">
        <f>T_ACTFLO!S39</f>
        <v>0</v>
      </c>
      <c r="AD25" s="35"/>
      <c r="AE25" s="35"/>
      <c r="AF25" s="35"/>
      <c r="AG25" s="35"/>
      <c r="AH25" s="35"/>
      <c r="AI25" s="35"/>
      <c r="AJ25" s="35"/>
      <c r="AO25" s="35"/>
      <c r="AP25" s="35"/>
      <c r="AQ25" s="35"/>
      <c r="AR25" s="35"/>
      <c r="AV25" s="724" t="s">
        <v>1034</v>
      </c>
      <c r="AW25" s="729">
        <f>SUM(AX25:BL25)</f>
        <v>0</v>
      </c>
      <c r="AX25" s="724"/>
      <c r="AY25" s="724"/>
      <c r="AZ25" s="724"/>
      <c r="BA25" s="724"/>
      <c r="BB25" s="724"/>
      <c r="BC25" s="724"/>
      <c r="BD25" s="724"/>
      <c r="BE25" s="724"/>
      <c r="BF25" s="724"/>
      <c r="BG25" s="724"/>
      <c r="BH25" s="724"/>
      <c r="BI25" s="724"/>
      <c r="BJ25" s="724"/>
      <c r="BK25" s="724"/>
      <c r="BL25" s="724"/>
    </row>
    <row r="26" spans="1:64" x14ac:dyDescent="0.3">
      <c r="A26" s="44"/>
      <c r="B26" s="44"/>
      <c r="C26" s="44"/>
      <c r="D26" s="35"/>
      <c r="E26" s="35"/>
      <c r="F26" s="44"/>
      <c r="G26" s="35"/>
      <c r="H26" s="35"/>
      <c r="I26" s="35"/>
      <c r="J26" s="35"/>
      <c r="K26" s="330"/>
      <c r="L26" s="186" t="s">
        <v>1203</v>
      </c>
      <c r="M26" s="165">
        <f>T_ACTFLO!E40</f>
        <v>0</v>
      </c>
      <c r="N26" s="165">
        <f>T_ACTFLO!F40</f>
        <v>0</v>
      </c>
      <c r="O26" s="165">
        <f>T_ACTFLO!G40</f>
        <v>0</v>
      </c>
      <c r="P26" s="165">
        <f>T_ACTFLO!H40</f>
        <v>0</v>
      </c>
      <c r="Q26" s="165">
        <f>T_ACTFLO!I40</f>
        <v>0</v>
      </c>
      <c r="R26" s="165">
        <f>T_ACTFLO!J40</f>
        <v>0</v>
      </c>
      <c r="S26" s="165">
        <f>T_ACTFLO!K40</f>
        <v>0</v>
      </c>
      <c r="T26" s="165">
        <f>T_ACTFLO!L40</f>
        <v>0</v>
      </c>
      <c r="U26" s="165">
        <f>T_ACTFLO!M40</f>
        <v>0</v>
      </c>
      <c r="V26" s="165">
        <f>T_ACTFLO!N40</f>
        <v>0</v>
      </c>
      <c r="W26" s="165">
        <f>T_ACTFLO!O40</f>
        <v>0</v>
      </c>
      <c r="X26" s="165">
        <f>T_ACTFLO!P40</f>
        <v>0</v>
      </c>
      <c r="Y26" s="165">
        <f>T_ACTFLO!Q40</f>
        <v>0</v>
      </c>
      <c r="Z26" s="165">
        <f>T_ACTFLO!R40</f>
        <v>0</v>
      </c>
      <c r="AA26" s="165">
        <f>T_ACTFLO!S40</f>
        <v>0</v>
      </c>
      <c r="AD26" s="35"/>
      <c r="AE26" s="35"/>
      <c r="AF26" s="35"/>
      <c r="AG26" s="35"/>
      <c r="AH26" s="35"/>
      <c r="AI26" s="35"/>
      <c r="AJ26" s="35"/>
      <c r="AO26" s="35"/>
      <c r="AP26" s="35"/>
      <c r="AQ26" s="35"/>
      <c r="AR26" s="35"/>
      <c r="AV26" s="724" t="s">
        <v>1038</v>
      </c>
      <c r="AW26" s="729">
        <f>SUM(AX26:BL26)</f>
        <v>0</v>
      </c>
      <c r="AX26" s="722"/>
      <c r="AY26" s="722"/>
      <c r="AZ26" s="722"/>
      <c r="BA26" s="722"/>
      <c r="BB26" s="722"/>
      <c r="BC26" s="722"/>
      <c r="BD26" s="722"/>
      <c r="BE26" s="722"/>
      <c r="BF26" s="722"/>
      <c r="BG26" s="722"/>
      <c r="BH26" s="722"/>
      <c r="BI26" s="722"/>
      <c r="BJ26" s="722"/>
      <c r="BK26" s="722"/>
      <c r="BL26" s="722"/>
    </row>
    <row r="27" spans="1:64" x14ac:dyDescent="0.3">
      <c r="A27" s="44"/>
      <c r="B27" s="44"/>
      <c r="C27" s="44"/>
      <c r="D27" s="44"/>
      <c r="E27" s="44"/>
      <c r="F27" s="44"/>
      <c r="G27" s="44"/>
      <c r="H27" s="44"/>
      <c r="I27" s="44"/>
      <c r="J27" s="44"/>
      <c r="K27" s="330"/>
      <c r="L27" s="186" t="s">
        <v>1204</v>
      </c>
      <c r="M27" s="165">
        <f>T_ACTFLO!E41</f>
        <v>0</v>
      </c>
      <c r="N27" s="165">
        <f>T_ACTFLO!F41</f>
        <v>0</v>
      </c>
      <c r="O27" s="165">
        <f>T_ACTFLO!G41</f>
        <v>0</v>
      </c>
      <c r="P27" s="165">
        <f>T_ACTFLO!H41</f>
        <v>0</v>
      </c>
      <c r="Q27" s="165">
        <f>T_ACTFLO!I41</f>
        <v>0</v>
      </c>
      <c r="R27" s="165">
        <f>T_ACTFLO!J41</f>
        <v>0</v>
      </c>
      <c r="S27" s="165">
        <f>T_ACTFLO!K41</f>
        <v>0</v>
      </c>
      <c r="T27" s="165">
        <f>T_ACTFLO!L41</f>
        <v>0</v>
      </c>
      <c r="U27" s="165">
        <f>T_ACTFLO!M41</f>
        <v>0</v>
      </c>
      <c r="V27" s="165">
        <f>T_ACTFLO!N41</f>
        <v>0</v>
      </c>
      <c r="W27" s="165">
        <f>T_ACTFLO!O41</f>
        <v>0</v>
      </c>
      <c r="X27" s="165">
        <f>T_ACTFLO!P41</f>
        <v>0</v>
      </c>
      <c r="Y27" s="165">
        <f>T_ACTFLO!Q41</f>
        <v>0</v>
      </c>
      <c r="Z27" s="165">
        <f>T_ACTFLO!R41</f>
        <v>0</v>
      </c>
      <c r="AA27" s="165">
        <f>T_ACTFLO!S41</f>
        <v>0</v>
      </c>
      <c r="AC27" s="48"/>
      <c r="AD27" s="35"/>
      <c r="AE27" s="35"/>
      <c r="AF27" s="35"/>
      <c r="AG27" s="35"/>
      <c r="AH27" s="35"/>
      <c r="AI27" s="35"/>
      <c r="AJ27" s="35"/>
    </row>
    <row r="28" spans="1:64" x14ac:dyDescent="0.3">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3">
      <c r="A29" s="44"/>
      <c r="B29" s="44"/>
      <c r="C29" s="44"/>
      <c r="D29" s="44"/>
      <c r="E29" s="44"/>
      <c r="F29" s="44"/>
      <c r="G29" s="44"/>
      <c r="H29" s="44"/>
      <c r="I29" s="44"/>
      <c r="J29" s="44"/>
      <c r="K29" s="186" t="s">
        <v>1205</v>
      </c>
      <c r="L29" s="186" t="s">
        <v>1206</v>
      </c>
      <c r="M29" s="822">
        <v>0</v>
      </c>
      <c r="N29" s="822">
        <v>0</v>
      </c>
      <c r="O29" s="822">
        <v>1</v>
      </c>
      <c r="P29" s="822">
        <v>0</v>
      </c>
      <c r="Q29" s="822">
        <v>0</v>
      </c>
      <c r="R29" s="822">
        <v>0</v>
      </c>
      <c r="S29" s="822">
        <v>0</v>
      </c>
      <c r="T29" s="822">
        <v>0</v>
      </c>
      <c r="U29" s="822">
        <v>0</v>
      </c>
      <c r="V29" s="822">
        <v>1</v>
      </c>
      <c r="W29" s="822">
        <v>0</v>
      </c>
      <c r="X29" s="822">
        <v>0</v>
      </c>
      <c r="Y29" s="822">
        <v>0.05</v>
      </c>
      <c r="Z29" s="822">
        <v>1</v>
      </c>
      <c r="AA29" s="822">
        <v>0</v>
      </c>
      <c r="AC29" s="48"/>
      <c r="AD29" s="35"/>
      <c r="AE29" s="35"/>
      <c r="AF29" s="35"/>
      <c r="AG29" s="35"/>
      <c r="AH29" s="35"/>
      <c r="AI29" s="35"/>
      <c r="AJ29" s="35"/>
    </row>
    <row r="30" spans="1:64" x14ac:dyDescent="0.3">
      <c r="A30" s="44"/>
      <c r="B30" s="44"/>
      <c r="C30" s="44"/>
      <c r="D30" s="44"/>
      <c r="E30" s="44"/>
      <c r="F30" s="44"/>
      <c r="G30" s="44"/>
      <c r="H30" s="44"/>
      <c r="I30" s="44"/>
      <c r="J30" s="44"/>
      <c r="K30" s="186" t="s">
        <v>1205</v>
      </c>
      <c r="L30" s="186" t="s">
        <v>1207</v>
      </c>
      <c r="M30" s="822">
        <f>1-M29</f>
        <v>1</v>
      </c>
      <c r="N30" s="822">
        <f t="shared" ref="N30:AA30" si="11">1-N29</f>
        <v>1</v>
      </c>
      <c r="O30" s="822">
        <f t="shared" si="11"/>
        <v>0</v>
      </c>
      <c r="P30" s="822">
        <f t="shared" si="11"/>
        <v>1</v>
      </c>
      <c r="Q30" s="822">
        <f t="shared" si="11"/>
        <v>1</v>
      </c>
      <c r="R30" s="822">
        <f t="shared" si="11"/>
        <v>1</v>
      </c>
      <c r="S30" s="822">
        <f t="shared" si="11"/>
        <v>1</v>
      </c>
      <c r="T30" s="822">
        <f t="shared" si="11"/>
        <v>1</v>
      </c>
      <c r="U30" s="822">
        <f t="shared" si="11"/>
        <v>1</v>
      </c>
      <c r="V30" s="822">
        <f t="shared" si="11"/>
        <v>0</v>
      </c>
      <c r="W30" s="822">
        <f t="shared" si="11"/>
        <v>1</v>
      </c>
      <c r="X30" s="822">
        <f t="shared" si="11"/>
        <v>1</v>
      </c>
      <c r="Y30" s="822">
        <f t="shared" si="11"/>
        <v>0.95</v>
      </c>
      <c r="Z30" s="822">
        <f t="shared" si="11"/>
        <v>0</v>
      </c>
      <c r="AA30" s="822">
        <f t="shared" si="11"/>
        <v>1</v>
      </c>
      <c r="AC30" s="48"/>
      <c r="AD30" s="35"/>
      <c r="AE30" s="35"/>
      <c r="AF30" s="35"/>
      <c r="AG30" s="35"/>
      <c r="AH30" s="35"/>
      <c r="AI30" s="35"/>
      <c r="AJ30" s="35"/>
    </row>
    <row r="31" spans="1:64" x14ac:dyDescent="0.3">
      <c r="A31" s="44"/>
      <c r="B31" s="44"/>
      <c r="C31" s="44"/>
      <c r="D31" s="44"/>
      <c r="E31" s="44"/>
      <c r="F31" s="44"/>
      <c r="G31" s="44"/>
      <c r="H31" s="44"/>
      <c r="I31" s="44"/>
      <c r="J31" s="44"/>
      <c r="K31" s="186" t="s">
        <v>1208</v>
      </c>
      <c r="L31" s="186" t="s">
        <v>1206</v>
      </c>
      <c r="M31" s="822">
        <v>0.05</v>
      </c>
      <c r="N31" s="822">
        <v>0.05</v>
      </c>
      <c r="O31" s="822">
        <v>0.05</v>
      </c>
      <c r="P31" s="822">
        <v>0.05</v>
      </c>
      <c r="Q31" s="822">
        <v>0.05</v>
      </c>
      <c r="R31" s="822">
        <v>0.05</v>
      </c>
      <c r="S31" s="822">
        <v>0.05</v>
      </c>
      <c r="T31" s="822">
        <v>0.05</v>
      </c>
      <c r="U31" s="822">
        <v>0.05</v>
      </c>
      <c r="V31" s="822">
        <v>0.05</v>
      </c>
      <c r="W31" s="822">
        <v>0.05</v>
      </c>
      <c r="X31" s="822">
        <v>0.05</v>
      </c>
      <c r="Y31" s="822">
        <v>0.05</v>
      </c>
      <c r="Z31" s="822">
        <v>0.05</v>
      </c>
      <c r="AA31" s="822">
        <v>0.05</v>
      </c>
      <c r="AC31" s="48"/>
      <c r="AD31" s="35"/>
      <c r="AE31" s="35"/>
      <c r="AF31" s="35"/>
      <c r="AG31" s="35"/>
      <c r="AH31" s="35"/>
      <c r="AI31" s="35"/>
      <c r="AJ31" s="35"/>
    </row>
    <row r="32" spans="1:64" x14ac:dyDescent="0.3">
      <c r="A32" s="44"/>
      <c r="B32" s="44"/>
      <c r="C32" s="44"/>
      <c r="D32" s="44"/>
      <c r="E32" s="44"/>
      <c r="F32" s="44"/>
      <c r="G32" s="44"/>
      <c r="H32" s="44"/>
      <c r="I32" s="44"/>
      <c r="J32" s="44"/>
      <c r="K32" s="186" t="s">
        <v>1208</v>
      </c>
      <c r="L32" s="186" t="s">
        <v>1207</v>
      </c>
      <c r="M32" s="822">
        <f>1-M31</f>
        <v>0.95</v>
      </c>
      <c r="N32" s="822">
        <f t="shared" ref="N32" si="12">1-N31</f>
        <v>0.95</v>
      </c>
      <c r="O32" s="822">
        <f t="shared" ref="O32" si="13">1-O31</f>
        <v>0.95</v>
      </c>
      <c r="P32" s="822">
        <f t="shared" ref="P32" si="14">1-P31</f>
        <v>0.95</v>
      </c>
      <c r="Q32" s="822">
        <f t="shared" ref="Q32" si="15">1-Q31</f>
        <v>0.95</v>
      </c>
      <c r="R32" s="822">
        <f t="shared" ref="R32" si="16">1-R31</f>
        <v>0.95</v>
      </c>
      <c r="S32" s="822">
        <f t="shared" ref="S32" si="17">1-S31</f>
        <v>0.95</v>
      </c>
      <c r="T32" s="822">
        <f t="shared" ref="T32" si="18">1-T31</f>
        <v>0.95</v>
      </c>
      <c r="U32" s="822">
        <f t="shared" ref="U32" si="19">1-U31</f>
        <v>0.95</v>
      </c>
      <c r="V32" s="822">
        <f t="shared" ref="V32" si="20">1-V31</f>
        <v>0.95</v>
      </c>
      <c r="W32" s="822">
        <f t="shared" ref="W32" si="21">1-W31</f>
        <v>0.95</v>
      </c>
      <c r="X32" s="822">
        <f t="shared" ref="X32" si="22">1-X31</f>
        <v>0.95</v>
      </c>
      <c r="Y32" s="822">
        <f t="shared" ref="Y32" si="23">1-Y31</f>
        <v>0.95</v>
      </c>
      <c r="Z32" s="822">
        <f t="shared" ref="Z32" si="24">1-Z31</f>
        <v>0.95</v>
      </c>
      <c r="AA32" s="822">
        <f t="shared" ref="AA32" si="25">1-AA31</f>
        <v>0.95</v>
      </c>
      <c r="AC32" s="48"/>
      <c r="AD32" s="35"/>
      <c r="AE32" s="35"/>
      <c r="AF32" s="35"/>
      <c r="AG32" s="35"/>
      <c r="AH32" s="35"/>
      <c r="AI32" s="35"/>
      <c r="AJ32" s="35"/>
    </row>
    <row r="33" spans="1:64" s="22" customFormat="1" x14ac:dyDescent="0.3">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8" customFormat="1" ht="16.5" customHeight="1" x14ac:dyDescent="0.3">
      <c r="B34" s="17" t="s">
        <v>1209</v>
      </c>
      <c r="C34" s="559"/>
      <c r="H34" s="370"/>
    </row>
    <row r="35" spans="1:64" s="558" customFormat="1" ht="16.5" customHeight="1" x14ac:dyDescent="0.3">
      <c r="H35" s="370"/>
    </row>
    <row r="36" spans="1:64" s="22" customFormat="1" x14ac:dyDescent="0.3">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3">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1"/>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0" t="s">
        <v>85</v>
      </c>
      <c r="AW37" s="700" t="s">
        <v>421</v>
      </c>
      <c r="AX37" s="700" t="str">
        <f t="shared" ref="AX37:BL37" si="28">M$2</f>
        <v>Z01</v>
      </c>
      <c r="AY37" s="700" t="str">
        <f t="shared" si="28"/>
        <v>Z02</v>
      </c>
      <c r="AZ37" s="700" t="str">
        <f t="shared" si="28"/>
        <v>Z03</v>
      </c>
      <c r="BA37" s="700" t="str">
        <f t="shared" si="28"/>
        <v>Z04</v>
      </c>
      <c r="BB37" s="700" t="str">
        <f t="shared" si="28"/>
        <v>Z05</v>
      </c>
      <c r="BC37" s="700" t="str">
        <f t="shared" si="28"/>
        <v>Z06</v>
      </c>
      <c r="BD37" s="700" t="str">
        <f t="shared" si="28"/>
        <v>Z07</v>
      </c>
      <c r="BE37" s="700" t="str">
        <f t="shared" si="28"/>
        <v>Z08</v>
      </c>
      <c r="BF37" s="700" t="str">
        <f t="shared" si="28"/>
        <v>Z09</v>
      </c>
      <c r="BG37" s="700" t="str">
        <f t="shared" si="28"/>
        <v>Z10</v>
      </c>
      <c r="BH37" s="700" t="str">
        <f t="shared" si="28"/>
        <v>Z11</v>
      </c>
      <c r="BI37" s="700" t="str">
        <f t="shared" si="28"/>
        <v>Z12</v>
      </c>
      <c r="BJ37" s="700" t="str">
        <f t="shared" si="28"/>
        <v>Z13</v>
      </c>
      <c r="BK37" s="700" t="str">
        <f t="shared" si="28"/>
        <v>Z14</v>
      </c>
      <c r="BL37" s="700" t="str">
        <f t="shared" si="28"/>
        <v>Z15</v>
      </c>
    </row>
    <row r="38" spans="1:64" s="22" customFormat="1" x14ac:dyDescent="0.3">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4" t="str">
        <f>IF(SUM(AD42:AD55)-SUM(AC18:AC19)&lt;0,"too small",IF(SUM(AD42:AD55)-SUM(AC18:AC19)&gt;0.0001,"Too big","ok"))</f>
        <v>ok</v>
      </c>
      <c r="AE38" s="618" t="str">
        <f t="shared" ref="AE38:AS38" si="29">IF(SUM(AE42:AE55)-SUM(M18:M19)&lt;0,"too small",IF(SUM(AE42:AE55)-SUM(M18:M19)&gt;0.001,"Too big","ok"))</f>
        <v>ok</v>
      </c>
      <c r="AF38" s="618" t="str">
        <f t="shared" si="29"/>
        <v>ok</v>
      </c>
      <c r="AG38" s="618" t="str">
        <f t="shared" si="29"/>
        <v>ok</v>
      </c>
      <c r="AH38" s="618" t="str">
        <f t="shared" si="29"/>
        <v>ok</v>
      </c>
      <c r="AI38" s="618" t="str">
        <f t="shared" si="29"/>
        <v>ok</v>
      </c>
      <c r="AJ38" s="618" t="str">
        <f t="shared" si="29"/>
        <v>ok</v>
      </c>
      <c r="AK38" s="618" t="str">
        <f t="shared" si="29"/>
        <v>ok</v>
      </c>
      <c r="AL38" s="618" t="str">
        <f t="shared" si="29"/>
        <v>ok</v>
      </c>
      <c r="AM38" s="618" t="str">
        <f t="shared" si="29"/>
        <v>ok</v>
      </c>
      <c r="AN38" s="618" t="str">
        <f t="shared" si="29"/>
        <v>ok</v>
      </c>
      <c r="AO38" s="618" t="str">
        <f t="shared" si="29"/>
        <v>ok</v>
      </c>
      <c r="AP38" s="618" t="str">
        <f t="shared" si="29"/>
        <v>ok</v>
      </c>
      <c r="AQ38" s="618" t="str">
        <f t="shared" si="29"/>
        <v>ok</v>
      </c>
      <c r="AR38" s="618" t="str">
        <f t="shared" si="29"/>
        <v>ok</v>
      </c>
      <c r="AS38" s="618" t="str">
        <f t="shared" si="29"/>
        <v>ok</v>
      </c>
      <c r="AV38" s="398" t="s">
        <v>103</v>
      </c>
      <c r="AW38" s="716">
        <f>SUM(AX38:BL38)</f>
        <v>0</v>
      </c>
      <c r="AX38" s="717">
        <f t="shared" ref="AX38:BL38" si="30">SUM(AX39:AX204)</f>
        <v>0</v>
      </c>
      <c r="AY38" s="717">
        <f t="shared" si="30"/>
        <v>0</v>
      </c>
      <c r="AZ38" s="717">
        <f t="shared" si="30"/>
        <v>0</v>
      </c>
      <c r="BA38" s="717">
        <f t="shared" si="30"/>
        <v>0</v>
      </c>
      <c r="BB38" s="717">
        <f t="shared" si="30"/>
        <v>0</v>
      </c>
      <c r="BC38" s="717">
        <f t="shared" si="30"/>
        <v>0</v>
      </c>
      <c r="BD38" s="717">
        <f t="shared" si="30"/>
        <v>0</v>
      </c>
      <c r="BE38" s="717">
        <f t="shared" si="30"/>
        <v>0</v>
      </c>
      <c r="BF38" s="717">
        <f t="shared" si="30"/>
        <v>0</v>
      </c>
      <c r="BG38" s="717">
        <f t="shared" si="30"/>
        <v>0</v>
      </c>
      <c r="BH38" s="717">
        <f t="shared" si="30"/>
        <v>0</v>
      </c>
      <c r="BI38" s="717">
        <f t="shared" si="30"/>
        <v>0</v>
      </c>
      <c r="BJ38" s="717">
        <f t="shared" si="30"/>
        <v>0</v>
      </c>
      <c r="BK38" s="717">
        <f t="shared" si="30"/>
        <v>0</v>
      </c>
      <c r="BL38" s="717">
        <f t="shared" si="30"/>
        <v>0</v>
      </c>
    </row>
    <row r="39" spans="1:64" s="35" customFormat="1" x14ac:dyDescent="0.3">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699" t="str">
        <f t="shared" ref="AV39:AV43" si="32">MID(E39,1,7)</f>
        <v>TRAELR</v>
      </c>
      <c r="AW39" s="567">
        <f>SUM(AX39:BL39)</f>
        <v>0</v>
      </c>
      <c r="AX39" s="567">
        <f>M43*M44/M40/1000</f>
        <v>0</v>
      </c>
      <c r="AY39" s="567">
        <f t="shared" ref="AY39" si="33">N43*N44/N40/1000</f>
        <v>0</v>
      </c>
      <c r="AZ39" s="567">
        <f t="shared" ref="AZ39" si="34">O43*O44/O40/1000</f>
        <v>0</v>
      </c>
      <c r="BA39" s="567">
        <f t="shared" ref="BA39" si="35">P43*P44/P40/1000</f>
        <v>0</v>
      </c>
      <c r="BB39" s="567">
        <f t="shared" ref="BB39" si="36">Q43*Q44/Q40/1000</f>
        <v>0</v>
      </c>
      <c r="BC39" s="567">
        <f t="shared" ref="BC39" si="37">R43*R44/R40/1000</f>
        <v>0</v>
      </c>
      <c r="BD39" s="567">
        <f t="shared" ref="BD39" si="38">S43*S44/S40/1000</f>
        <v>0</v>
      </c>
      <c r="BE39" s="567">
        <f t="shared" ref="BE39" si="39">T43*T44/T40/1000</f>
        <v>0</v>
      </c>
      <c r="BF39" s="567">
        <f t="shared" ref="BF39" si="40">U43*U44/U40/1000</f>
        <v>0</v>
      </c>
      <c r="BG39" s="567">
        <f t="shared" ref="BG39" si="41">V43*V44/V40/1000</f>
        <v>0</v>
      </c>
      <c r="BH39" s="567">
        <f t="shared" ref="BH39" si="42">W43*W44/W40/1000</f>
        <v>0</v>
      </c>
      <c r="BI39" s="567">
        <f t="shared" ref="BI39" si="43">X43*X44/X40/1000</f>
        <v>0</v>
      </c>
      <c r="BJ39" s="567">
        <f t="shared" ref="BJ39" si="44">Y43*Y44/Y40/1000</f>
        <v>0</v>
      </c>
      <c r="BK39" s="567">
        <f t="shared" ref="BK39" si="45">Z43*Z44/Z40/1000</f>
        <v>0</v>
      </c>
      <c r="BL39" s="567">
        <f t="shared" ref="BL39" si="46">AA43*AA44/AA40/1000</f>
        <v>0</v>
      </c>
    </row>
    <row r="40" spans="1:64" s="35" customFormat="1" x14ac:dyDescent="0.3">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2"/>
      <c r="AE40" s="823"/>
      <c r="AF40" s="823"/>
      <c r="AG40" s="823"/>
      <c r="AH40" s="823"/>
      <c r="AI40" s="823"/>
      <c r="AJ40" s="823"/>
      <c r="AK40" s="823"/>
      <c r="AL40" s="823"/>
      <c r="AM40" s="823"/>
      <c r="AN40" s="823"/>
      <c r="AO40" s="823"/>
      <c r="AP40" s="823"/>
      <c r="AQ40" s="823"/>
      <c r="AR40" s="823"/>
      <c r="AS40" s="823"/>
      <c r="AV40" s="699" t="str">
        <f t="shared" si="32"/>
        <v/>
      </c>
      <c r="AW40" s="567"/>
      <c r="AX40" s="567"/>
      <c r="AY40" s="567"/>
      <c r="AZ40" s="567"/>
      <c r="BA40" s="567"/>
      <c r="BB40" s="567"/>
      <c r="BC40" s="567"/>
      <c r="BD40" s="567"/>
      <c r="BE40" s="567"/>
      <c r="BF40" s="567"/>
      <c r="BG40" s="567"/>
      <c r="BH40" s="567"/>
      <c r="BI40" s="567"/>
      <c r="BJ40" s="567"/>
      <c r="BK40" s="567"/>
      <c r="BL40" s="567"/>
    </row>
    <row r="41" spans="1:64" s="35" customFormat="1" x14ac:dyDescent="0.3">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699" t="str">
        <f t="shared" si="32"/>
        <v/>
      </c>
      <c r="AW41" s="567"/>
      <c r="AX41" s="567"/>
      <c r="AY41" s="567"/>
      <c r="AZ41" s="567"/>
      <c r="BA41" s="567"/>
      <c r="BB41" s="567"/>
      <c r="BC41" s="567"/>
      <c r="BD41" s="567"/>
      <c r="BE41" s="567"/>
      <c r="BF41" s="567"/>
      <c r="BG41" s="567"/>
      <c r="BH41" s="567"/>
      <c r="BI41" s="567"/>
      <c r="BJ41" s="567"/>
      <c r="BK41" s="567"/>
      <c r="BL41" s="567"/>
    </row>
    <row r="42" spans="1:64" s="35" customFormat="1" x14ac:dyDescent="0.3">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1">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699" t="str">
        <f t="shared" si="32"/>
        <v/>
      </c>
    </row>
    <row r="43" spans="1:64" s="35" customFormat="1" x14ac:dyDescent="0.3">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699" t="str">
        <f t="shared" si="32"/>
        <v/>
      </c>
    </row>
    <row r="44" spans="1:64" s="35" customFormat="1" x14ac:dyDescent="0.3">
      <c r="B44" s="186" t="str">
        <f t="shared" si="47"/>
        <v>TTPELC100</v>
      </c>
      <c r="C44" s="186"/>
      <c r="D44" s="187"/>
      <c r="E44" s="186"/>
      <c r="F44" s="189"/>
      <c r="G44" s="170"/>
      <c r="H44" s="190">
        <f>$L$3</f>
        <v>2019</v>
      </c>
      <c r="I44" s="191"/>
      <c r="J44" s="191"/>
      <c r="K44" s="192" t="s">
        <v>1064</v>
      </c>
      <c r="L44" s="191" t="s">
        <v>747</v>
      </c>
      <c r="M44" s="688">
        <f>IF(M43=0, 0, ROUNDUP((M$18+M$19)/M42/M43*1000*M$30, 8))</f>
        <v>0</v>
      </c>
      <c r="N44" s="688">
        <f t="shared" ref="N44:AA44" si="50">IF(N43=0, 0, ROUNDUP((N$18+N$19)/N42/N43*1000*N$30, 8))</f>
        <v>0</v>
      </c>
      <c r="O44" s="688">
        <f t="shared" si="50"/>
        <v>0</v>
      </c>
      <c r="P44" s="688">
        <f t="shared" si="50"/>
        <v>0</v>
      </c>
      <c r="Q44" s="688">
        <f t="shared" si="50"/>
        <v>0</v>
      </c>
      <c r="R44" s="688">
        <f t="shared" si="50"/>
        <v>0</v>
      </c>
      <c r="S44" s="688">
        <f t="shared" si="50"/>
        <v>0</v>
      </c>
      <c r="T44" s="688">
        <f t="shared" si="50"/>
        <v>0</v>
      </c>
      <c r="U44" s="688">
        <f t="shared" si="50"/>
        <v>0</v>
      </c>
      <c r="V44" s="688">
        <f t="shared" si="50"/>
        <v>0</v>
      </c>
      <c r="W44" s="688">
        <f t="shared" si="50"/>
        <v>0</v>
      </c>
      <c r="X44" s="688">
        <f t="shared" si="50"/>
        <v>0</v>
      </c>
      <c r="Y44" s="688">
        <f>IF(Y43=0, 0, ROUNDUP((Y$18+Y$19)/Y42/Y43*1000*Y$30, 8))</f>
        <v>0</v>
      </c>
      <c r="Z44" s="688">
        <f t="shared" si="50"/>
        <v>0</v>
      </c>
      <c r="AA44" s="688">
        <f t="shared" si="50"/>
        <v>0</v>
      </c>
    </row>
    <row r="45" spans="1:64" s="35" customFormat="1" x14ac:dyDescent="0.3">
      <c r="B45" s="186" t="str">
        <f t="shared" si="47"/>
        <v>TTPELC100</v>
      </c>
      <c r="C45" s="186"/>
      <c r="D45" s="187"/>
      <c r="E45" s="186"/>
      <c r="F45" s="189"/>
      <c r="G45" s="170"/>
      <c r="H45" s="190">
        <f>AE$4</f>
        <v>2016</v>
      </c>
      <c r="I45" s="191"/>
      <c r="J45" s="191"/>
      <c r="K45" s="192" t="s">
        <v>1064</v>
      </c>
      <c r="L45" s="191" t="s">
        <v>747</v>
      </c>
      <c r="M45" s="686">
        <f t="shared" ref="M45:AA50" si="51">M44*LOOKUP($AC$39,$AF$3:$AN$3,$AF4:$AN4)</f>
        <v>0</v>
      </c>
      <c r="N45" s="686">
        <f t="shared" si="51"/>
        <v>0</v>
      </c>
      <c r="O45" s="686">
        <f t="shared" si="51"/>
        <v>0</v>
      </c>
      <c r="P45" s="686">
        <f t="shared" si="51"/>
        <v>0</v>
      </c>
      <c r="Q45" s="686">
        <f t="shared" si="51"/>
        <v>0</v>
      </c>
      <c r="R45" s="686">
        <f t="shared" si="51"/>
        <v>0</v>
      </c>
      <c r="S45" s="686">
        <f t="shared" si="51"/>
        <v>0</v>
      </c>
      <c r="T45" s="686">
        <f t="shared" si="51"/>
        <v>0</v>
      </c>
      <c r="U45" s="686">
        <f t="shared" si="51"/>
        <v>0</v>
      </c>
      <c r="V45" s="686">
        <f t="shared" si="51"/>
        <v>0</v>
      </c>
      <c r="W45" s="686">
        <f t="shared" si="51"/>
        <v>0</v>
      </c>
      <c r="X45" s="686">
        <f t="shared" si="51"/>
        <v>0</v>
      </c>
      <c r="Y45" s="686">
        <f t="shared" si="51"/>
        <v>0</v>
      </c>
      <c r="Z45" s="686">
        <f t="shared" si="51"/>
        <v>0</v>
      </c>
      <c r="AA45" s="686">
        <f t="shared" si="51"/>
        <v>0</v>
      </c>
    </row>
    <row r="46" spans="1:64" s="35" customFormat="1" x14ac:dyDescent="0.3">
      <c r="B46" s="186" t="str">
        <f t="shared" si="47"/>
        <v>TTPELC100</v>
      </c>
      <c r="C46" s="186"/>
      <c r="D46" s="187"/>
      <c r="E46" s="186"/>
      <c r="F46" s="189"/>
      <c r="G46" s="170"/>
      <c r="H46" s="190">
        <f>AE$5</f>
        <v>2020</v>
      </c>
      <c r="I46" s="191"/>
      <c r="J46" s="191"/>
      <c r="K46" s="192" t="s">
        <v>1064</v>
      </c>
      <c r="L46" s="191" t="s">
        <v>747</v>
      </c>
      <c r="M46" s="686">
        <f t="shared" si="51"/>
        <v>0</v>
      </c>
      <c r="N46" s="686">
        <f t="shared" si="51"/>
        <v>0</v>
      </c>
      <c r="O46" s="686">
        <f t="shared" si="51"/>
        <v>0</v>
      </c>
      <c r="P46" s="686">
        <f t="shared" si="51"/>
        <v>0</v>
      </c>
      <c r="Q46" s="686">
        <f t="shared" si="51"/>
        <v>0</v>
      </c>
      <c r="R46" s="686">
        <f t="shared" si="51"/>
        <v>0</v>
      </c>
      <c r="S46" s="686">
        <f t="shared" si="51"/>
        <v>0</v>
      </c>
      <c r="T46" s="686">
        <f t="shared" si="51"/>
        <v>0</v>
      </c>
      <c r="U46" s="686">
        <f t="shared" si="51"/>
        <v>0</v>
      </c>
      <c r="V46" s="686">
        <f t="shared" si="51"/>
        <v>0</v>
      </c>
      <c r="W46" s="686">
        <f t="shared" si="51"/>
        <v>0</v>
      </c>
      <c r="X46" s="686">
        <f t="shared" si="51"/>
        <v>0</v>
      </c>
      <c r="Y46" s="686">
        <f t="shared" si="51"/>
        <v>0</v>
      </c>
      <c r="Z46" s="686">
        <f t="shared" si="51"/>
        <v>0</v>
      </c>
      <c r="AA46" s="686">
        <f t="shared" si="51"/>
        <v>0</v>
      </c>
    </row>
    <row r="47" spans="1:64" s="35" customFormat="1" x14ac:dyDescent="0.3">
      <c r="B47" s="186" t="str">
        <f t="shared" si="47"/>
        <v>TTPELC100</v>
      </c>
      <c r="C47" s="186"/>
      <c r="D47" s="187"/>
      <c r="E47" s="186"/>
      <c r="F47" s="189"/>
      <c r="G47" s="170"/>
      <c r="H47" s="190">
        <f>AE$6</f>
        <v>2025</v>
      </c>
      <c r="I47" s="191"/>
      <c r="J47" s="191"/>
      <c r="K47" s="192" t="s">
        <v>1064</v>
      </c>
      <c r="L47" s="191" t="s">
        <v>747</v>
      </c>
      <c r="M47" s="686">
        <f t="shared" si="51"/>
        <v>0</v>
      </c>
      <c r="N47" s="686">
        <f t="shared" si="51"/>
        <v>0</v>
      </c>
      <c r="O47" s="686">
        <f t="shared" si="51"/>
        <v>0</v>
      </c>
      <c r="P47" s="686">
        <f t="shared" si="51"/>
        <v>0</v>
      </c>
      <c r="Q47" s="686">
        <f t="shared" si="51"/>
        <v>0</v>
      </c>
      <c r="R47" s="686">
        <f t="shared" si="51"/>
        <v>0</v>
      </c>
      <c r="S47" s="686">
        <f t="shared" si="51"/>
        <v>0</v>
      </c>
      <c r="T47" s="686">
        <f t="shared" si="51"/>
        <v>0</v>
      </c>
      <c r="U47" s="686">
        <f t="shared" si="51"/>
        <v>0</v>
      </c>
      <c r="V47" s="686">
        <f t="shared" si="51"/>
        <v>0</v>
      </c>
      <c r="W47" s="686">
        <f t="shared" si="51"/>
        <v>0</v>
      </c>
      <c r="X47" s="686">
        <f t="shared" si="51"/>
        <v>0</v>
      </c>
      <c r="Y47" s="686">
        <f t="shared" si="51"/>
        <v>0</v>
      </c>
      <c r="Z47" s="686">
        <f t="shared" si="51"/>
        <v>0</v>
      </c>
      <c r="AA47" s="686">
        <f t="shared" si="51"/>
        <v>0</v>
      </c>
    </row>
    <row r="48" spans="1:64" s="35" customFormat="1" x14ac:dyDescent="0.3">
      <c r="B48" s="186" t="str">
        <f t="shared" si="47"/>
        <v>TTPELC100</v>
      </c>
      <c r="C48" s="186"/>
      <c r="D48" s="187"/>
      <c r="E48" s="186"/>
      <c r="F48" s="189"/>
      <c r="G48" s="170"/>
      <c r="H48" s="190">
        <f>AE$7</f>
        <v>2030</v>
      </c>
      <c r="I48" s="191"/>
      <c r="J48" s="191"/>
      <c r="K48" s="192" t="s">
        <v>1064</v>
      </c>
      <c r="L48" s="191" t="s">
        <v>747</v>
      </c>
      <c r="M48" s="686">
        <f t="shared" si="51"/>
        <v>0</v>
      </c>
      <c r="N48" s="686">
        <f t="shared" si="51"/>
        <v>0</v>
      </c>
      <c r="O48" s="686">
        <f t="shared" si="51"/>
        <v>0</v>
      </c>
      <c r="P48" s="686">
        <f t="shared" si="51"/>
        <v>0</v>
      </c>
      <c r="Q48" s="686">
        <f t="shared" si="51"/>
        <v>0</v>
      </c>
      <c r="R48" s="686">
        <f t="shared" si="51"/>
        <v>0</v>
      </c>
      <c r="S48" s="686">
        <f t="shared" si="51"/>
        <v>0</v>
      </c>
      <c r="T48" s="686">
        <f t="shared" si="51"/>
        <v>0</v>
      </c>
      <c r="U48" s="686">
        <f t="shared" si="51"/>
        <v>0</v>
      </c>
      <c r="V48" s="686">
        <f t="shared" si="51"/>
        <v>0</v>
      </c>
      <c r="W48" s="686">
        <f t="shared" si="51"/>
        <v>0</v>
      </c>
      <c r="X48" s="686">
        <f t="shared" si="51"/>
        <v>0</v>
      </c>
      <c r="Y48" s="686">
        <f t="shared" si="51"/>
        <v>0</v>
      </c>
      <c r="Z48" s="686">
        <f t="shared" si="51"/>
        <v>0</v>
      </c>
      <c r="AA48" s="686">
        <f t="shared" si="51"/>
        <v>0</v>
      </c>
    </row>
    <row r="49" spans="1:64" s="35" customFormat="1" x14ac:dyDescent="0.3">
      <c r="B49" s="186" t="str">
        <f t="shared" si="47"/>
        <v>TTPELC100</v>
      </c>
      <c r="C49" s="186"/>
      <c r="D49" s="187"/>
      <c r="E49" s="186"/>
      <c r="F49" s="189"/>
      <c r="G49" s="170"/>
      <c r="H49" s="190">
        <f>AE$8</f>
        <v>2040</v>
      </c>
      <c r="I49" s="191"/>
      <c r="J49" s="191"/>
      <c r="K49" s="192" t="s">
        <v>1064</v>
      </c>
      <c r="L49" s="191" t="s">
        <v>747</v>
      </c>
      <c r="M49" s="686">
        <f t="shared" si="51"/>
        <v>0</v>
      </c>
      <c r="N49" s="686">
        <f t="shared" si="51"/>
        <v>0</v>
      </c>
      <c r="O49" s="686">
        <f t="shared" si="51"/>
        <v>0</v>
      </c>
      <c r="P49" s="686">
        <f t="shared" si="51"/>
        <v>0</v>
      </c>
      <c r="Q49" s="686">
        <f t="shared" si="51"/>
        <v>0</v>
      </c>
      <c r="R49" s="686">
        <f t="shared" si="51"/>
        <v>0</v>
      </c>
      <c r="S49" s="686">
        <f t="shared" si="51"/>
        <v>0</v>
      </c>
      <c r="T49" s="686">
        <f t="shared" si="51"/>
        <v>0</v>
      </c>
      <c r="U49" s="686">
        <f t="shared" si="51"/>
        <v>0</v>
      </c>
      <c r="V49" s="686">
        <f t="shared" si="51"/>
        <v>0</v>
      </c>
      <c r="W49" s="686">
        <f t="shared" si="51"/>
        <v>0</v>
      </c>
      <c r="X49" s="686">
        <f t="shared" si="51"/>
        <v>0</v>
      </c>
      <c r="Y49" s="686">
        <f t="shared" si="51"/>
        <v>0</v>
      </c>
      <c r="Z49" s="686">
        <f t="shared" si="51"/>
        <v>0</v>
      </c>
      <c r="AA49" s="686">
        <f t="shared" si="51"/>
        <v>0</v>
      </c>
    </row>
    <row r="50" spans="1:64" s="35" customFormat="1" x14ac:dyDescent="0.3">
      <c r="B50" s="193" t="str">
        <f t="shared" si="47"/>
        <v>TTPELC100</v>
      </c>
      <c r="C50" s="193"/>
      <c r="D50" s="194"/>
      <c r="E50" s="193"/>
      <c r="F50" s="195"/>
      <c r="G50" s="196"/>
      <c r="H50" s="197">
        <f>AE$9</f>
        <v>2050</v>
      </c>
      <c r="I50" s="198"/>
      <c r="J50" s="198"/>
      <c r="K50" s="199" t="s">
        <v>1064</v>
      </c>
      <c r="L50" s="198" t="s">
        <v>747</v>
      </c>
      <c r="M50" s="687">
        <f t="shared" si="51"/>
        <v>0</v>
      </c>
      <c r="N50" s="687">
        <f t="shared" si="51"/>
        <v>0</v>
      </c>
      <c r="O50" s="687">
        <f t="shared" si="51"/>
        <v>0</v>
      </c>
      <c r="P50" s="687">
        <f t="shared" si="51"/>
        <v>0</v>
      </c>
      <c r="Q50" s="687">
        <f t="shared" si="51"/>
        <v>0</v>
      </c>
      <c r="R50" s="687">
        <f t="shared" si="51"/>
        <v>0</v>
      </c>
      <c r="S50" s="687">
        <f t="shared" si="51"/>
        <v>0</v>
      </c>
      <c r="T50" s="687">
        <f t="shared" si="51"/>
        <v>0</v>
      </c>
      <c r="U50" s="687">
        <f t="shared" si="51"/>
        <v>0</v>
      </c>
      <c r="V50" s="687">
        <f t="shared" si="51"/>
        <v>0</v>
      </c>
      <c r="W50" s="687">
        <f t="shared" si="51"/>
        <v>0</v>
      </c>
      <c r="X50" s="687">
        <f t="shared" si="51"/>
        <v>0</v>
      </c>
      <c r="Y50" s="687">
        <f t="shared" si="51"/>
        <v>0</v>
      </c>
      <c r="Z50" s="687">
        <f t="shared" si="51"/>
        <v>0</v>
      </c>
      <c r="AA50" s="687">
        <f t="shared" si="51"/>
        <v>0</v>
      </c>
    </row>
    <row r="51" spans="1:64" s="35" customFormat="1" x14ac:dyDescent="0.3">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699" t="str">
        <f t="shared" ref="AV51" si="53">MID(E51,1,7)</f>
        <v>TRADSR</v>
      </c>
      <c r="AW51" s="567">
        <f>SUM(AX51:BL51)</f>
        <v>0</v>
      </c>
      <c r="AX51" s="567">
        <f>M56*M57/M53/1000</f>
        <v>0</v>
      </c>
      <c r="AY51" s="567">
        <f t="shared" ref="AY51" si="54">N56*N57/N53/1000</f>
        <v>0</v>
      </c>
      <c r="AZ51" s="567">
        <f t="shared" ref="AZ51" si="55">O56*O57/O53/1000</f>
        <v>0</v>
      </c>
      <c r="BA51" s="567">
        <f t="shared" ref="BA51" si="56">P56*P57/P53/1000</f>
        <v>0</v>
      </c>
      <c r="BB51" s="567">
        <f t="shared" ref="BB51" si="57">Q56*Q57/Q53/1000</f>
        <v>0</v>
      </c>
      <c r="BC51" s="567">
        <f t="shared" ref="BC51" si="58">R56*R57/R53/1000</f>
        <v>0</v>
      </c>
      <c r="BD51" s="567">
        <f t="shared" ref="BD51" si="59">S56*S57/S53/1000</f>
        <v>0</v>
      </c>
      <c r="BE51" s="567">
        <f t="shared" ref="BE51" si="60">T56*T57/T53/1000</f>
        <v>0</v>
      </c>
      <c r="BF51" s="567">
        <f t="shared" ref="BF51" si="61">U56*U57/U53/1000</f>
        <v>0</v>
      </c>
      <c r="BG51" s="567">
        <f t="shared" ref="BG51" si="62">V56*V57/V53/1000</f>
        <v>0</v>
      </c>
      <c r="BH51" s="567">
        <f t="shared" ref="BH51" si="63">W56*W57/W53/1000</f>
        <v>0</v>
      </c>
      <c r="BI51" s="567">
        <f t="shared" ref="BI51" si="64">X56*X57/X53/1000</f>
        <v>0</v>
      </c>
      <c r="BJ51" s="567">
        <f t="shared" ref="BJ51" si="65">Y56*Y57/Y53/1000</f>
        <v>0</v>
      </c>
      <c r="BK51" s="567">
        <f t="shared" ref="BK51" si="66">Z56*Z57/Z53/1000</f>
        <v>0</v>
      </c>
      <c r="BL51" s="567">
        <f t="shared" ref="BL51" si="67">AA56*AA57/AA53/1000</f>
        <v>0</v>
      </c>
    </row>
    <row r="52" spans="1:64" s="35" customFormat="1" x14ac:dyDescent="0.3">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699"/>
      <c r="AW52" s="567"/>
      <c r="AX52" s="567"/>
      <c r="AY52" s="567"/>
      <c r="AZ52" s="567"/>
      <c r="BA52" s="567"/>
      <c r="BB52" s="567"/>
      <c r="BC52" s="567"/>
      <c r="BD52" s="567"/>
      <c r="BE52" s="567"/>
      <c r="BF52" s="567"/>
      <c r="BG52" s="567"/>
      <c r="BH52" s="567"/>
      <c r="BI52" s="567"/>
      <c r="BJ52" s="567"/>
      <c r="BK52" s="567"/>
      <c r="BL52" s="567"/>
    </row>
    <row r="53" spans="1:64" s="35" customFormat="1" x14ac:dyDescent="0.3">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3">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3">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1">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3">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3">
      <c r="B57" s="186" t="str">
        <f t="shared" si="68"/>
        <v>TTPDST100</v>
      </c>
      <c r="C57" s="186"/>
      <c r="D57" s="187"/>
      <c r="E57" s="186"/>
      <c r="F57" s="189"/>
      <c r="G57" s="170"/>
      <c r="H57" s="190">
        <f>$L$3</f>
        <v>2019</v>
      </c>
      <c r="I57" s="191"/>
      <c r="J57" s="191"/>
      <c r="K57" s="192" t="s">
        <v>1064</v>
      </c>
      <c r="L57" s="191" t="s">
        <v>747</v>
      </c>
      <c r="M57" s="688">
        <f>IF(M56=0, 0, ROUNDUP((M$18+M$19)/M55/M56*1000*M$29, 8))</f>
        <v>0</v>
      </c>
      <c r="N57" s="688">
        <f t="shared" ref="N57:AA57" si="71">IF(N56=0, 0, ROUNDUP((N$18+N$19)/N55/N56*1000*N$29, 8))</f>
        <v>0</v>
      </c>
      <c r="O57" s="688">
        <f t="shared" si="71"/>
        <v>0</v>
      </c>
      <c r="P57" s="688">
        <f t="shared" si="71"/>
        <v>0</v>
      </c>
      <c r="Q57" s="688">
        <f t="shared" si="71"/>
        <v>0</v>
      </c>
      <c r="R57" s="688">
        <f t="shared" si="71"/>
        <v>0</v>
      </c>
      <c r="S57" s="688">
        <f t="shared" si="71"/>
        <v>0</v>
      </c>
      <c r="T57" s="688">
        <f t="shared" si="71"/>
        <v>0</v>
      </c>
      <c r="U57" s="688">
        <f t="shared" si="71"/>
        <v>0</v>
      </c>
      <c r="V57" s="688">
        <f t="shared" si="71"/>
        <v>0</v>
      </c>
      <c r="W57" s="688">
        <f t="shared" si="71"/>
        <v>0</v>
      </c>
      <c r="X57" s="688">
        <f t="shared" si="71"/>
        <v>0</v>
      </c>
      <c r="Y57" s="688">
        <f t="shared" si="71"/>
        <v>0</v>
      </c>
      <c r="Z57" s="688">
        <f t="shared" si="71"/>
        <v>0</v>
      </c>
      <c r="AA57" s="688">
        <f t="shared" si="71"/>
        <v>0</v>
      </c>
    </row>
    <row r="58" spans="1:64" s="35" customFormat="1" x14ac:dyDescent="0.3">
      <c r="B58" s="186" t="str">
        <f t="shared" si="68"/>
        <v>TTPDST100</v>
      </c>
      <c r="C58" s="186"/>
      <c r="D58" s="187"/>
      <c r="E58" s="186"/>
      <c r="F58" s="189"/>
      <c r="G58" s="170"/>
      <c r="H58" s="190">
        <f>AE$4</f>
        <v>2016</v>
      </c>
      <c r="I58" s="191"/>
      <c r="J58" s="191"/>
      <c r="K58" s="192" t="s">
        <v>1064</v>
      </c>
      <c r="L58" s="191" t="s">
        <v>747</v>
      </c>
      <c r="M58" s="686">
        <f t="shared" ref="M58:AA58" si="72">M57*LOOKUP($AC51,$AF$3:$AN$3,$AF$4:$AN$4)</f>
        <v>0</v>
      </c>
      <c r="N58" s="686">
        <f t="shared" si="72"/>
        <v>0</v>
      </c>
      <c r="O58" s="686">
        <f t="shared" si="72"/>
        <v>0</v>
      </c>
      <c r="P58" s="686">
        <f t="shared" si="72"/>
        <v>0</v>
      </c>
      <c r="Q58" s="686">
        <f t="shared" si="72"/>
        <v>0</v>
      </c>
      <c r="R58" s="686">
        <f t="shared" si="72"/>
        <v>0</v>
      </c>
      <c r="S58" s="686">
        <f t="shared" si="72"/>
        <v>0</v>
      </c>
      <c r="T58" s="686">
        <f t="shared" si="72"/>
        <v>0</v>
      </c>
      <c r="U58" s="686">
        <f t="shared" si="72"/>
        <v>0</v>
      </c>
      <c r="V58" s="686">
        <f t="shared" si="72"/>
        <v>0</v>
      </c>
      <c r="W58" s="686">
        <f t="shared" si="72"/>
        <v>0</v>
      </c>
      <c r="X58" s="686">
        <f t="shared" si="72"/>
        <v>0</v>
      </c>
      <c r="Y58" s="686">
        <f t="shared" si="72"/>
        <v>0</v>
      </c>
      <c r="Z58" s="686">
        <f t="shared" si="72"/>
        <v>0</v>
      </c>
      <c r="AA58" s="686">
        <f t="shared" si="72"/>
        <v>0</v>
      </c>
    </row>
    <row r="59" spans="1:64" s="35" customFormat="1" x14ac:dyDescent="0.3">
      <c r="B59" s="186" t="str">
        <f t="shared" si="68"/>
        <v>TTPDST100</v>
      </c>
      <c r="C59" s="186"/>
      <c r="D59" s="187"/>
      <c r="E59" s="186"/>
      <c r="F59" s="189"/>
      <c r="G59" s="170"/>
      <c r="H59" s="190">
        <f>AE$5</f>
        <v>2020</v>
      </c>
      <c r="I59" s="191"/>
      <c r="J59" s="191"/>
      <c r="K59" s="192" t="s">
        <v>1064</v>
      </c>
      <c r="L59" s="191" t="s">
        <v>747</v>
      </c>
      <c r="M59" s="686">
        <f t="shared" ref="M59:AA59" si="73">M57*LOOKUP($AC51,$AF$3:$AN$3,$AF$5:$AN$5)</f>
        <v>0</v>
      </c>
      <c r="N59" s="686">
        <f t="shared" si="73"/>
        <v>0</v>
      </c>
      <c r="O59" s="686">
        <f t="shared" si="73"/>
        <v>0</v>
      </c>
      <c r="P59" s="686">
        <f t="shared" si="73"/>
        <v>0</v>
      </c>
      <c r="Q59" s="686">
        <f t="shared" si="73"/>
        <v>0</v>
      </c>
      <c r="R59" s="686">
        <f t="shared" si="73"/>
        <v>0</v>
      </c>
      <c r="S59" s="686">
        <f t="shared" si="73"/>
        <v>0</v>
      </c>
      <c r="T59" s="686">
        <f t="shared" si="73"/>
        <v>0</v>
      </c>
      <c r="U59" s="686">
        <f t="shared" si="73"/>
        <v>0</v>
      </c>
      <c r="V59" s="686">
        <f t="shared" si="73"/>
        <v>0</v>
      </c>
      <c r="W59" s="686">
        <f t="shared" si="73"/>
        <v>0</v>
      </c>
      <c r="X59" s="686">
        <f t="shared" si="73"/>
        <v>0</v>
      </c>
      <c r="Y59" s="686">
        <f t="shared" si="73"/>
        <v>0</v>
      </c>
      <c r="Z59" s="686">
        <f t="shared" si="73"/>
        <v>0</v>
      </c>
      <c r="AA59" s="686">
        <f t="shared" si="73"/>
        <v>0</v>
      </c>
    </row>
    <row r="60" spans="1:64" s="35" customFormat="1" x14ac:dyDescent="0.3">
      <c r="B60" s="186" t="str">
        <f t="shared" si="68"/>
        <v>TTPDST100</v>
      </c>
      <c r="C60" s="186"/>
      <c r="D60" s="187"/>
      <c r="E60" s="186"/>
      <c r="F60" s="189"/>
      <c r="G60" s="170"/>
      <c r="H60" s="190">
        <f>AE$6</f>
        <v>2025</v>
      </c>
      <c r="I60" s="191"/>
      <c r="J60" s="191"/>
      <c r="K60" s="192" t="s">
        <v>1064</v>
      </c>
      <c r="L60" s="191" t="s">
        <v>747</v>
      </c>
      <c r="M60" s="686">
        <f t="shared" ref="M60:AA60" si="74">M57*LOOKUP($AC51,$AF$3:$AN$3,$AF$6:$AN$6)</f>
        <v>0</v>
      </c>
      <c r="N60" s="686">
        <f t="shared" si="74"/>
        <v>0</v>
      </c>
      <c r="O60" s="686">
        <f t="shared" si="74"/>
        <v>0</v>
      </c>
      <c r="P60" s="686">
        <f t="shared" si="74"/>
        <v>0</v>
      </c>
      <c r="Q60" s="686">
        <f t="shared" si="74"/>
        <v>0</v>
      </c>
      <c r="R60" s="686">
        <f t="shared" si="74"/>
        <v>0</v>
      </c>
      <c r="S60" s="686">
        <f t="shared" si="74"/>
        <v>0</v>
      </c>
      <c r="T60" s="686">
        <f t="shared" si="74"/>
        <v>0</v>
      </c>
      <c r="U60" s="686">
        <f t="shared" si="74"/>
        <v>0</v>
      </c>
      <c r="V60" s="686">
        <f t="shared" si="74"/>
        <v>0</v>
      </c>
      <c r="W60" s="686">
        <f t="shared" si="74"/>
        <v>0</v>
      </c>
      <c r="X60" s="686">
        <f t="shared" si="74"/>
        <v>0</v>
      </c>
      <c r="Y60" s="686">
        <f t="shared" si="74"/>
        <v>0</v>
      </c>
      <c r="Z60" s="686">
        <f t="shared" si="74"/>
        <v>0</v>
      </c>
      <c r="AA60" s="686">
        <f t="shared" si="74"/>
        <v>0</v>
      </c>
    </row>
    <row r="61" spans="1:64" s="35" customFormat="1" x14ac:dyDescent="0.3">
      <c r="B61" s="186" t="str">
        <f t="shared" si="68"/>
        <v>TTPDST100</v>
      </c>
      <c r="C61" s="186"/>
      <c r="D61" s="187"/>
      <c r="E61" s="186"/>
      <c r="F61" s="189"/>
      <c r="G61" s="170"/>
      <c r="H61" s="190">
        <f>AE$7</f>
        <v>2030</v>
      </c>
      <c r="I61" s="191"/>
      <c r="J61" s="191"/>
      <c r="K61" s="192" t="s">
        <v>1064</v>
      </c>
      <c r="L61" s="191" t="s">
        <v>747</v>
      </c>
      <c r="M61" s="686">
        <f t="shared" ref="M61:AA61" si="75">M57*LOOKUP($AC51,$AF$3:$AN$3,$AF$7:$AN$7)</f>
        <v>0</v>
      </c>
      <c r="N61" s="686">
        <f t="shared" si="75"/>
        <v>0</v>
      </c>
      <c r="O61" s="686">
        <f t="shared" si="75"/>
        <v>0</v>
      </c>
      <c r="P61" s="686">
        <f t="shared" si="75"/>
        <v>0</v>
      </c>
      <c r="Q61" s="686">
        <f t="shared" si="75"/>
        <v>0</v>
      </c>
      <c r="R61" s="686">
        <f t="shared" si="75"/>
        <v>0</v>
      </c>
      <c r="S61" s="686">
        <f t="shared" si="75"/>
        <v>0</v>
      </c>
      <c r="T61" s="686">
        <f t="shared" si="75"/>
        <v>0</v>
      </c>
      <c r="U61" s="686">
        <f t="shared" si="75"/>
        <v>0</v>
      </c>
      <c r="V61" s="686">
        <f t="shared" si="75"/>
        <v>0</v>
      </c>
      <c r="W61" s="686">
        <f t="shared" si="75"/>
        <v>0</v>
      </c>
      <c r="X61" s="686">
        <f t="shared" si="75"/>
        <v>0</v>
      </c>
      <c r="Y61" s="686">
        <f t="shared" si="75"/>
        <v>0</v>
      </c>
      <c r="Z61" s="686">
        <f t="shared" si="75"/>
        <v>0</v>
      </c>
      <c r="AA61" s="686">
        <f t="shared" si="75"/>
        <v>0</v>
      </c>
    </row>
    <row r="62" spans="1:64" s="35" customFormat="1" x14ac:dyDescent="0.3">
      <c r="B62" s="186" t="str">
        <f t="shared" si="68"/>
        <v>TTPDST100</v>
      </c>
      <c r="C62" s="186"/>
      <c r="D62" s="187"/>
      <c r="E62" s="186"/>
      <c r="F62" s="189"/>
      <c r="G62" s="170"/>
      <c r="H62" s="190">
        <f>AE$8</f>
        <v>2040</v>
      </c>
      <c r="I62" s="191"/>
      <c r="J62" s="191"/>
      <c r="K62" s="192" t="s">
        <v>1064</v>
      </c>
      <c r="L62" s="191" t="s">
        <v>747</v>
      </c>
      <c r="M62" s="686">
        <f t="shared" ref="M62:AA62" si="76">M57*LOOKUP($AC51,$AF$3:$AN$3,$AF$8:$AN$8)</f>
        <v>0</v>
      </c>
      <c r="N62" s="686">
        <f t="shared" si="76"/>
        <v>0</v>
      </c>
      <c r="O62" s="686">
        <f t="shared" si="76"/>
        <v>0</v>
      </c>
      <c r="P62" s="686">
        <f t="shared" si="76"/>
        <v>0</v>
      </c>
      <c r="Q62" s="686">
        <f t="shared" si="76"/>
        <v>0</v>
      </c>
      <c r="R62" s="686">
        <f t="shared" si="76"/>
        <v>0</v>
      </c>
      <c r="S62" s="686">
        <f t="shared" si="76"/>
        <v>0</v>
      </c>
      <c r="T62" s="686">
        <f t="shared" si="76"/>
        <v>0</v>
      </c>
      <c r="U62" s="686">
        <f t="shared" si="76"/>
        <v>0</v>
      </c>
      <c r="V62" s="686">
        <f t="shared" si="76"/>
        <v>0</v>
      </c>
      <c r="W62" s="686">
        <f t="shared" si="76"/>
        <v>0</v>
      </c>
      <c r="X62" s="686">
        <f t="shared" si="76"/>
        <v>0</v>
      </c>
      <c r="Y62" s="686">
        <f t="shared" si="76"/>
        <v>0</v>
      </c>
      <c r="Z62" s="686">
        <f t="shared" si="76"/>
        <v>0</v>
      </c>
      <c r="AA62" s="686">
        <f t="shared" si="76"/>
        <v>0</v>
      </c>
    </row>
    <row r="63" spans="1:64" s="35" customFormat="1" x14ac:dyDescent="0.3">
      <c r="B63" s="193" t="str">
        <f t="shared" si="68"/>
        <v>TTPDST100</v>
      </c>
      <c r="C63" s="193"/>
      <c r="D63" s="194"/>
      <c r="E63" s="193"/>
      <c r="F63" s="195"/>
      <c r="G63" s="196"/>
      <c r="H63" s="197">
        <f>AE$9</f>
        <v>2050</v>
      </c>
      <c r="I63" s="198"/>
      <c r="J63" s="198"/>
      <c r="K63" s="199" t="s">
        <v>1064</v>
      </c>
      <c r="L63" s="198" t="s">
        <v>747</v>
      </c>
      <c r="M63" s="687">
        <f t="shared" ref="M63:AA63" si="77">M57*LOOKUP($AC51,$AF$3:$AN$3,$AF$9:$AN$9)</f>
        <v>0</v>
      </c>
      <c r="N63" s="687">
        <f t="shared" si="77"/>
        <v>0</v>
      </c>
      <c r="O63" s="687">
        <f t="shared" si="77"/>
        <v>0</v>
      </c>
      <c r="P63" s="687">
        <f t="shared" si="77"/>
        <v>0</v>
      </c>
      <c r="Q63" s="687">
        <f t="shared" si="77"/>
        <v>0</v>
      </c>
      <c r="R63" s="687">
        <f t="shared" si="77"/>
        <v>0</v>
      </c>
      <c r="S63" s="687">
        <f t="shared" si="77"/>
        <v>0</v>
      </c>
      <c r="T63" s="687">
        <f t="shared" si="77"/>
        <v>0</v>
      </c>
      <c r="U63" s="687">
        <f t="shared" si="77"/>
        <v>0</v>
      </c>
      <c r="V63" s="687">
        <f t="shared" si="77"/>
        <v>0</v>
      </c>
      <c r="W63" s="687">
        <f t="shared" si="77"/>
        <v>0</v>
      </c>
      <c r="X63" s="687">
        <f t="shared" si="77"/>
        <v>0</v>
      </c>
      <c r="Y63" s="687">
        <f t="shared" si="77"/>
        <v>0</v>
      </c>
      <c r="Z63" s="687">
        <f t="shared" si="77"/>
        <v>0</v>
      </c>
      <c r="AA63" s="687">
        <f t="shared" si="77"/>
        <v>0</v>
      </c>
    </row>
    <row r="64" spans="1:64" s="83" customFormat="1" x14ac:dyDescent="0.3">
      <c r="A64" s="82"/>
      <c r="B64" s="178" t="str">
        <f>C64</f>
        <v>TTPHELC100</v>
      </c>
      <c r="C64" s="178" t="s">
        <v>224</v>
      </c>
      <c r="D64" s="179" t="s">
        <v>892</v>
      </c>
      <c r="E64" s="180" t="s">
        <v>1007</v>
      </c>
      <c r="F64" s="539"/>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4" t="str">
        <f>IF(AD67-SUM(AC12:AC13)&lt;0,"too small",IF(AD67-SUM(AC12:AC13)&gt;0.001,"Too big","ok"))</f>
        <v>ok</v>
      </c>
      <c r="AE64" s="618" t="str">
        <f t="shared" ref="AE64:AS64" si="79">IF(AE67-SUM(M12:M13)&lt;0,"too small",IF(AE67-SUM(M12:M13)&gt;0.001,"Too big","ok"))</f>
        <v>ok</v>
      </c>
      <c r="AF64" s="618" t="str">
        <f t="shared" si="79"/>
        <v>ok</v>
      </c>
      <c r="AG64" s="618" t="str">
        <f t="shared" si="79"/>
        <v>ok</v>
      </c>
      <c r="AH64" s="618" t="str">
        <f t="shared" si="79"/>
        <v>ok</v>
      </c>
      <c r="AI64" s="618" t="str">
        <f t="shared" si="79"/>
        <v>ok</v>
      </c>
      <c r="AJ64" s="618" t="str">
        <f t="shared" si="79"/>
        <v>ok</v>
      </c>
      <c r="AK64" s="618" t="str">
        <f t="shared" si="79"/>
        <v>ok</v>
      </c>
      <c r="AL64" s="618" t="str">
        <f t="shared" si="79"/>
        <v>ok</v>
      </c>
      <c r="AM64" s="618" t="str">
        <f t="shared" si="79"/>
        <v>ok</v>
      </c>
      <c r="AN64" s="618" t="str">
        <f t="shared" si="79"/>
        <v>ok</v>
      </c>
      <c r="AO64" s="618" t="str">
        <f t="shared" si="79"/>
        <v>ok</v>
      </c>
      <c r="AP64" s="618" t="str">
        <f t="shared" si="79"/>
        <v>ok</v>
      </c>
      <c r="AQ64" s="618" t="str">
        <f t="shared" si="79"/>
        <v>ok</v>
      </c>
      <c r="AR64" s="618" t="str">
        <f t="shared" si="79"/>
        <v>ok</v>
      </c>
      <c r="AS64" s="618" t="str">
        <f t="shared" si="79"/>
        <v>ok</v>
      </c>
      <c r="AV64" s="699" t="str">
        <f t="shared" ref="AV64" si="80">MID(E64,1,7)</f>
        <v>TRAELR</v>
      </c>
      <c r="AW64" s="567">
        <f>SUM(AX64:BL64)</f>
        <v>0</v>
      </c>
      <c r="AX64" s="567">
        <f>M68*M69/M65/1000</f>
        <v>0</v>
      </c>
      <c r="AY64" s="567">
        <f t="shared" ref="AY64" si="81">N68*N69/N65/1000</f>
        <v>0</v>
      </c>
      <c r="AZ64" s="567">
        <f t="shared" ref="AZ64" si="82">O68*O69/O65/1000</f>
        <v>0</v>
      </c>
      <c r="BA64" s="567">
        <f t="shared" ref="BA64" si="83">P68*P69/P65/1000</f>
        <v>0</v>
      </c>
      <c r="BB64" s="567">
        <f t="shared" ref="BB64" si="84">Q68*Q69/Q65/1000</f>
        <v>0</v>
      </c>
      <c r="BC64" s="567">
        <f t="shared" ref="BC64" si="85">R68*R69/R65/1000</f>
        <v>0</v>
      </c>
      <c r="BD64" s="567">
        <f t="shared" ref="BD64" si="86">S68*S69/S65/1000</f>
        <v>0</v>
      </c>
      <c r="BE64" s="567">
        <f t="shared" ref="BE64" si="87">T68*T69/T65/1000</f>
        <v>0</v>
      </c>
      <c r="BF64" s="567">
        <f t="shared" ref="BF64" si="88">U68*U69/U65/1000</f>
        <v>0</v>
      </c>
      <c r="BG64" s="567">
        <f t="shared" ref="BG64" si="89">V68*V69/V65/1000</f>
        <v>0</v>
      </c>
      <c r="BH64" s="567">
        <f t="shared" ref="BH64" si="90">W68*W69/W65/1000</f>
        <v>0</v>
      </c>
      <c r="BI64" s="567">
        <f t="shared" ref="BI64" si="91">X68*X69/X65/1000</f>
        <v>0</v>
      </c>
      <c r="BJ64" s="567">
        <f t="shared" ref="BJ64" si="92">Y68*Y69/Y65/1000</f>
        <v>0</v>
      </c>
      <c r="BK64" s="567">
        <f t="shared" ref="BK64" si="93">Z68*Z69/Z65/1000</f>
        <v>0</v>
      </c>
      <c r="BL64" s="567">
        <f t="shared" ref="BL64" si="94">AA68*AA69/AA65/1000</f>
        <v>0</v>
      </c>
    </row>
    <row r="65" spans="1:48" s="83" customFormat="1" x14ac:dyDescent="0.3">
      <c r="A65" s="82"/>
      <c r="B65" s="186" t="str">
        <f>B64</f>
        <v>TTPHELC100</v>
      </c>
      <c r="C65" s="178"/>
      <c r="D65" s="179"/>
      <c r="E65" s="180"/>
      <c r="F65" s="539"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2"/>
      <c r="AE65" s="618"/>
      <c r="AF65" s="618"/>
      <c r="AG65" s="618"/>
      <c r="AH65" s="618"/>
      <c r="AI65" s="618"/>
      <c r="AJ65" s="618"/>
      <c r="AK65" s="618"/>
      <c r="AL65" s="618"/>
      <c r="AM65" s="618"/>
      <c r="AN65" s="618"/>
      <c r="AO65" s="618"/>
      <c r="AP65" s="618"/>
      <c r="AQ65" s="618"/>
      <c r="AR65" s="618"/>
      <c r="AS65" s="618"/>
    </row>
    <row r="66" spans="1:48" s="35" customFormat="1" x14ac:dyDescent="0.3">
      <c r="B66" s="186" t="str">
        <f t="shared" ref="B66:B75" si="95">B65</f>
        <v>TTPHELC100</v>
      </c>
      <c r="C66" s="186"/>
      <c r="D66" s="186"/>
      <c r="E66" s="188"/>
      <c r="F66" s="538"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3">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1">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3">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3">
      <c r="B69" s="186" t="str">
        <f t="shared" si="95"/>
        <v>TTPHELC100</v>
      </c>
      <c r="C69" s="186"/>
      <c r="D69" s="187"/>
      <c r="E69" s="186"/>
      <c r="F69" s="189"/>
      <c r="G69" s="170"/>
      <c r="H69" s="190">
        <f>$L$3</f>
        <v>2019</v>
      </c>
      <c r="I69" s="191"/>
      <c r="J69" s="191"/>
      <c r="K69" s="192" t="s">
        <v>1064</v>
      </c>
      <c r="L69" s="191" t="s">
        <v>747</v>
      </c>
      <c r="M69" s="688">
        <f t="shared" ref="M69:AA69" si="98">IF(M68=0, 0, ROUNDUP((M12+M13)/M67/M68*1000, 8))</f>
        <v>0</v>
      </c>
      <c r="N69" s="688">
        <f t="shared" si="98"/>
        <v>0</v>
      </c>
      <c r="O69" s="688">
        <f t="shared" si="98"/>
        <v>0</v>
      </c>
      <c r="P69" s="688">
        <f t="shared" si="98"/>
        <v>0</v>
      </c>
      <c r="Q69" s="688">
        <f t="shared" si="98"/>
        <v>0</v>
      </c>
      <c r="R69" s="688">
        <f t="shared" si="98"/>
        <v>0</v>
      </c>
      <c r="S69" s="688">
        <f t="shared" si="98"/>
        <v>0</v>
      </c>
      <c r="T69" s="688">
        <f t="shared" si="98"/>
        <v>0</v>
      </c>
      <c r="U69" s="688">
        <f t="shared" si="98"/>
        <v>0</v>
      </c>
      <c r="V69" s="688">
        <f t="shared" si="98"/>
        <v>0</v>
      </c>
      <c r="W69" s="688">
        <f t="shared" si="98"/>
        <v>0</v>
      </c>
      <c r="X69" s="688">
        <f t="shared" si="98"/>
        <v>0</v>
      </c>
      <c r="Y69" s="688">
        <f t="shared" si="98"/>
        <v>0</v>
      </c>
      <c r="Z69" s="688">
        <f t="shared" si="98"/>
        <v>0</v>
      </c>
      <c r="AA69" s="688">
        <f t="shared" si="98"/>
        <v>0</v>
      </c>
    </row>
    <row r="70" spans="1:48" s="35" customFormat="1" x14ac:dyDescent="0.3">
      <c r="B70" s="186" t="str">
        <f t="shared" si="95"/>
        <v>TTPHELC100</v>
      </c>
      <c r="C70" s="186"/>
      <c r="D70" s="187"/>
      <c r="E70" s="186"/>
      <c r="F70" s="189"/>
      <c r="G70" s="170"/>
      <c r="H70" s="190">
        <f>AE$4</f>
        <v>2016</v>
      </c>
      <c r="I70" s="191"/>
      <c r="J70" s="191"/>
      <c r="K70" s="192" t="s">
        <v>1064</v>
      </c>
      <c r="L70" s="191" t="s">
        <v>747</v>
      </c>
      <c r="M70" s="686">
        <f t="shared" ref="M70:AA70" si="99">M69*LOOKUP($AC64,$AF$3:$AN$3,$AF$4:$AN$4)</f>
        <v>0</v>
      </c>
      <c r="N70" s="686">
        <f t="shared" si="99"/>
        <v>0</v>
      </c>
      <c r="O70" s="686">
        <f t="shared" si="99"/>
        <v>0</v>
      </c>
      <c r="P70" s="686">
        <f t="shared" si="99"/>
        <v>0</v>
      </c>
      <c r="Q70" s="686">
        <f t="shared" si="99"/>
        <v>0</v>
      </c>
      <c r="R70" s="686">
        <f t="shared" si="99"/>
        <v>0</v>
      </c>
      <c r="S70" s="686">
        <f t="shared" si="99"/>
        <v>0</v>
      </c>
      <c r="T70" s="686">
        <f t="shared" si="99"/>
        <v>0</v>
      </c>
      <c r="U70" s="686">
        <f t="shared" si="99"/>
        <v>0</v>
      </c>
      <c r="V70" s="686">
        <f t="shared" si="99"/>
        <v>0</v>
      </c>
      <c r="W70" s="686">
        <f t="shared" si="99"/>
        <v>0</v>
      </c>
      <c r="X70" s="686">
        <f t="shared" si="99"/>
        <v>0</v>
      </c>
      <c r="Y70" s="686">
        <f t="shared" si="99"/>
        <v>0</v>
      </c>
      <c r="Z70" s="686">
        <f t="shared" si="99"/>
        <v>0</v>
      </c>
      <c r="AA70" s="686">
        <f t="shared" si="99"/>
        <v>0</v>
      </c>
    </row>
    <row r="71" spans="1:48" s="35" customFormat="1" x14ac:dyDescent="0.3">
      <c r="B71" s="186" t="str">
        <f t="shared" si="95"/>
        <v>TTPHELC100</v>
      </c>
      <c r="C71" s="186"/>
      <c r="D71" s="187"/>
      <c r="E71" s="186"/>
      <c r="F71" s="189"/>
      <c r="G71" s="170"/>
      <c r="H71" s="190">
        <f>AE$5</f>
        <v>2020</v>
      </c>
      <c r="I71" s="191"/>
      <c r="J71" s="191"/>
      <c r="K71" s="192" t="s">
        <v>1064</v>
      </c>
      <c r="L71" s="191" t="s">
        <v>747</v>
      </c>
      <c r="M71" s="686">
        <f t="shared" ref="M71:AA71" si="100">M69*LOOKUP($AC64,$AF$3:$AN$3,$AF$5:$AN$5)</f>
        <v>0</v>
      </c>
      <c r="N71" s="686">
        <f t="shared" si="100"/>
        <v>0</v>
      </c>
      <c r="O71" s="686">
        <f t="shared" si="100"/>
        <v>0</v>
      </c>
      <c r="P71" s="686">
        <f t="shared" si="100"/>
        <v>0</v>
      </c>
      <c r="Q71" s="686">
        <f t="shared" si="100"/>
        <v>0</v>
      </c>
      <c r="R71" s="686">
        <f t="shared" si="100"/>
        <v>0</v>
      </c>
      <c r="S71" s="686">
        <f t="shared" si="100"/>
        <v>0</v>
      </c>
      <c r="T71" s="686">
        <f t="shared" si="100"/>
        <v>0</v>
      </c>
      <c r="U71" s="686">
        <f t="shared" si="100"/>
        <v>0</v>
      </c>
      <c r="V71" s="686">
        <f t="shared" si="100"/>
        <v>0</v>
      </c>
      <c r="W71" s="686">
        <f t="shared" si="100"/>
        <v>0</v>
      </c>
      <c r="X71" s="686">
        <f t="shared" si="100"/>
        <v>0</v>
      </c>
      <c r="Y71" s="686">
        <f t="shared" si="100"/>
        <v>0</v>
      </c>
      <c r="Z71" s="686">
        <f t="shared" si="100"/>
        <v>0</v>
      </c>
      <c r="AA71" s="686">
        <f t="shared" si="100"/>
        <v>0</v>
      </c>
    </row>
    <row r="72" spans="1:48" s="35" customFormat="1" x14ac:dyDescent="0.3">
      <c r="B72" s="186" t="str">
        <f t="shared" si="95"/>
        <v>TTPHELC100</v>
      </c>
      <c r="C72" s="186"/>
      <c r="D72" s="187"/>
      <c r="E72" s="186"/>
      <c r="F72" s="189"/>
      <c r="G72" s="170"/>
      <c r="H72" s="190">
        <f>AE$6</f>
        <v>2025</v>
      </c>
      <c r="I72" s="191"/>
      <c r="J72" s="191"/>
      <c r="K72" s="192" t="s">
        <v>1064</v>
      </c>
      <c r="L72" s="191" t="s">
        <v>747</v>
      </c>
      <c r="M72" s="686">
        <f t="shared" ref="M72:AA72" si="101">M69*LOOKUP($AC64,$AF$3:$AN$3,$AF$6:$AN$6)</f>
        <v>0</v>
      </c>
      <c r="N72" s="686">
        <f t="shared" si="101"/>
        <v>0</v>
      </c>
      <c r="O72" s="686">
        <f t="shared" si="101"/>
        <v>0</v>
      </c>
      <c r="P72" s="686">
        <f t="shared" si="101"/>
        <v>0</v>
      </c>
      <c r="Q72" s="686">
        <f t="shared" si="101"/>
        <v>0</v>
      </c>
      <c r="R72" s="686">
        <f t="shared" si="101"/>
        <v>0</v>
      </c>
      <c r="S72" s="686">
        <f t="shared" si="101"/>
        <v>0</v>
      </c>
      <c r="T72" s="686">
        <f t="shared" si="101"/>
        <v>0</v>
      </c>
      <c r="U72" s="686">
        <f t="shared" si="101"/>
        <v>0</v>
      </c>
      <c r="V72" s="686">
        <f t="shared" si="101"/>
        <v>0</v>
      </c>
      <c r="W72" s="686">
        <f t="shared" si="101"/>
        <v>0</v>
      </c>
      <c r="X72" s="686">
        <f t="shared" si="101"/>
        <v>0</v>
      </c>
      <c r="Y72" s="686">
        <f t="shared" si="101"/>
        <v>0</v>
      </c>
      <c r="Z72" s="686">
        <f t="shared" si="101"/>
        <v>0</v>
      </c>
      <c r="AA72" s="686">
        <f t="shared" si="101"/>
        <v>0</v>
      </c>
    </row>
    <row r="73" spans="1:48" s="35" customFormat="1" x14ac:dyDescent="0.3">
      <c r="B73" s="186" t="str">
        <f t="shared" si="95"/>
        <v>TTPHELC100</v>
      </c>
      <c r="C73" s="186"/>
      <c r="D73" s="187"/>
      <c r="E73" s="186"/>
      <c r="F73" s="189"/>
      <c r="G73" s="170"/>
      <c r="H73" s="190">
        <f>AE$7</f>
        <v>2030</v>
      </c>
      <c r="I73" s="191"/>
      <c r="J73" s="191"/>
      <c r="K73" s="192" t="s">
        <v>1064</v>
      </c>
      <c r="L73" s="191" t="s">
        <v>747</v>
      </c>
      <c r="M73" s="686">
        <f t="shared" ref="M73:AA73" si="102">M69*LOOKUP($AC64,$AF$3:$AN$3,$AF$7:$AN$7)</f>
        <v>0</v>
      </c>
      <c r="N73" s="686">
        <f t="shared" si="102"/>
        <v>0</v>
      </c>
      <c r="O73" s="686">
        <f t="shared" si="102"/>
        <v>0</v>
      </c>
      <c r="P73" s="686">
        <f t="shared" si="102"/>
        <v>0</v>
      </c>
      <c r="Q73" s="686">
        <f t="shared" si="102"/>
        <v>0</v>
      </c>
      <c r="R73" s="686">
        <f t="shared" si="102"/>
        <v>0</v>
      </c>
      <c r="S73" s="686">
        <f t="shared" si="102"/>
        <v>0</v>
      </c>
      <c r="T73" s="686">
        <f t="shared" si="102"/>
        <v>0</v>
      </c>
      <c r="U73" s="686">
        <f t="shared" si="102"/>
        <v>0</v>
      </c>
      <c r="V73" s="686">
        <f t="shared" si="102"/>
        <v>0</v>
      </c>
      <c r="W73" s="686">
        <f t="shared" si="102"/>
        <v>0</v>
      </c>
      <c r="X73" s="686">
        <f t="shared" si="102"/>
        <v>0</v>
      </c>
      <c r="Y73" s="686">
        <f t="shared" si="102"/>
        <v>0</v>
      </c>
      <c r="Z73" s="686">
        <f t="shared" si="102"/>
        <v>0</v>
      </c>
      <c r="AA73" s="686">
        <f t="shared" si="102"/>
        <v>0</v>
      </c>
    </row>
    <row r="74" spans="1:48" s="35" customFormat="1" x14ac:dyDescent="0.3">
      <c r="B74" s="186" t="str">
        <f t="shared" si="95"/>
        <v>TTPHELC100</v>
      </c>
      <c r="C74" s="186"/>
      <c r="D74" s="187"/>
      <c r="E74" s="186"/>
      <c r="F74" s="189"/>
      <c r="G74" s="170"/>
      <c r="H74" s="190">
        <f>AE$8</f>
        <v>2040</v>
      </c>
      <c r="I74" s="191"/>
      <c r="J74" s="191"/>
      <c r="K74" s="192" t="s">
        <v>1064</v>
      </c>
      <c r="L74" s="191" t="s">
        <v>747</v>
      </c>
      <c r="M74" s="686">
        <f t="shared" ref="M74:AA74" si="103">M69*LOOKUP($AC64,$AF$3:$AN$3,$AF$8:$AN$8)</f>
        <v>0</v>
      </c>
      <c r="N74" s="686">
        <f t="shared" si="103"/>
        <v>0</v>
      </c>
      <c r="O74" s="686">
        <f t="shared" si="103"/>
        <v>0</v>
      </c>
      <c r="P74" s="686">
        <f t="shared" si="103"/>
        <v>0</v>
      </c>
      <c r="Q74" s="686">
        <f t="shared" si="103"/>
        <v>0</v>
      </c>
      <c r="R74" s="686">
        <f t="shared" si="103"/>
        <v>0</v>
      </c>
      <c r="S74" s="686">
        <f t="shared" si="103"/>
        <v>0</v>
      </c>
      <c r="T74" s="686">
        <f t="shared" si="103"/>
        <v>0</v>
      </c>
      <c r="U74" s="686">
        <f t="shared" si="103"/>
        <v>0</v>
      </c>
      <c r="V74" s="686">
        <f t="shared" si="103"/>
        <v>0</v>
      </c>
      <c r="W74" s="686">
        <f t="shared" si="103"/>
        <v>0</v>
      </c>
      <c r="X74" s="686">
        <f t="shared" si="103"/>
        <v>0</v>
      </c>
      <c r="Y74" s="686">
        <f t="shared" si="103"/>
        <v>0</v>
      </c>
      <c r="Z74" s="686">
        <f t="shared" si="103"/>
        <v>0</v>
      </c>
      <c r="AA74" s="686">
        <f t="shared" si="103"/>
        <v>0</v>
      </c>
    </row>
    <row r="75" spans="1:48" s="35" customFormat="1" x14ac:dyDescent="0.3">
      <c r="B75" s="193" t="str">
        <f t="shared" si="95"/>
        <v>TTPHELC100</v>
      </c>
      <c r="C75" s="193"/>
      <c r="D75" s="194"/>
      <c r="E75" s="193"/>
      <c r="F75" s="195"/>
      <c r="G75" s="196"/>
      <c r="H75" s="197">
        <f>AE$9</f>
        <v>2050</v>
      </c>
      <c r="I75" s="198"/>
      <c r="J75" s="198"/>
      <c r="K75" s="199" t="s">
        <v>1064</v>
      </c>
      <c r="L75" s="198" t="s">
        <v>747</v>
      </c>
      <c r="M75" s="687">
        <f t="shared" ref="M75:AA75" si="104">M69*LOOKUP($AC64,$AF$3:$AN$3,$AF$9:$AN$9)</f>
        <v>0</v>
      </c>
      <c r="N75" s="687">
        <f t="shared" si="104"/>
        <v>0</v>
      </c>
      <c r="O75" s="687">
        <f t="shared" si="104"/>
        <v>0</v>
      </c>
      <c r="P75" s="687">
        <f t="shared" si="104"/>
        <v>0</v>
      </c>
      <c r="Q75" s="687">
        <f t="shared" si="104"/>
        <v>0</v>
      </c>
      <c r="R75" s="687">
        <f t="shared" si="104"/>
        <v>0</v>
      </c>
      <c r="S75" s="687">
        <f t="shared" si="104"/>
        <v>0</v>
      </c>
      <c r="T75" s="687">
        <f t="shared" si="104"/>
        <v>0</v>
      </c>
      <c r="U75" s="687">
        <f t="shared" si="104"/>
        <v>0</v>
      </c>
      <c r="V75" s="687">
        <f t="shared" si="104"/>
        <v>0</v>
      </c>
      <c r="W75" s="687">
        <f t="shared" si="104"/>
        <v>0</v>
      </c>
      <c r="X75" s="687">
        <f t="shared" si="104"/>
        <v>0</v>
      </c>
      <c r="Y75" s="687">
        <f t="shared" si="104"/>
        <v>0</v>
      </c>
      <c r="Z75" s="687">
        <f t="shared" si="104"/>
        <v>0</v>
      </c>
      <c r="AA75" s="687">
        <f t="shared" si="104"/>
        <v>0</v>
      </c>
    </row>
    <row r="77" spans="1:48" x14ac:dyDescent="0.3">
      <c r="AE77" s="92"/>
    </row>
    <row r="78" spans="1:48" s="558" customFormat="1" ht="16.5" customHeight="1" x14ac:dyDescent="0.3">
      <c r="B78" s="17" t="s">
        <v>1211</v>
      </c>
      <c r="C78" s="559"/>
      <c r="H78" s="370"/>
    </row>
    <row r="79" spans="1:48" s="558" customFormat="1" ht="16.5" customHeight="1" x14ac:dyDescent="0.3">
      <c r="B79" s="33"/>
      <c r="C79" s="33"/>
      <c r="H79" s="370"/>
    </row>
    <row r="80" spans="1:48" s="22" customFormat="1" x14ac:dyDescent="0.3">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3">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0" t="s">
        <v>85</v>
      </c>
      <c r="AW81" s="700" t="s">
        <v>421</v>
      </c>
      <c r="AX81" s="700" t="str">
        <f t="shared" ref="AX81:BL81" si="107">M$2</f>
        <v>Z01</v>
      </c>
      <c r="AY81" s="700" t="str">
        <f t="shared" si="107"/>
        <v>Z02</v>
      </c>
      <c r="AZ81" s="700" t="str">
        <f t="shared" si="107"/>
        <v>Z03</v>
      </c>
      <c r="BA81" s="700" t="str">
        <f t="shared" si="107"/>
        <v>Z04</v>
      </c>
      <c r="BB81" s="700" t="str">
        <f t="shared" si="107"/>
        <v>Z05</v>
      </c>
      <c r="BC81" s="700" t="str">
        <f t="shared" si="107"/>
        <v>Z06</v>
      </c>
      <c r="BD81" s="700" t="str">
        <f t="shared" si="107"/>
        <v>Z07</v>
      </c>
      <c r="BE81" s="700" t="str">
        <f t="shared" si="107"/>
        <v>Z08</v>
      </c>
      <c r="BF81" s="700" t="str">
        <f t="shared" si="107"/>
        <v>Z09</v>
      </c>
      <c r="BG81" s="700" t="str">
        <f t="shared" si="107"/>
        <v>Z10</v>
      </c>
      <c r="BH81" s="700" t="str">
        <f t="shared" si="107"/>
        <v>Z11</v>
      </c>
      <c r="BI81" s="700" t="str">
        <f t="shared" si="107"/>
        <v>Z12</v>
      </c>
      <c r="BJ81" s="700" t="str">
        <f t="shared" si="107"/>
        <v>Z13</v>
      </c>
      <c r="BK81" s="700" t="str">
        <f t="shared" si="107"/>
        <v>Z14</v>
      </c>
      <c r="BL81" s="700" t="str">
        <f t="shared" si="107"/>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4" t="str">
        <f>IF(AD83-SUM(AC10:AC11)&lt;0,"too small",IF(AD83-SUM(AC10:AC11)&gt;0.001,"Too big","ok"))</f>
        <v>ok</v>
      </c>
      <c r="AE82" s="618" t="str">
        <f t="shared" ref="AE82:AS82" si="108">IF(AE83-SUM(M10:M11)&lt;0,"too small",IF(AE83-SUM(M10:M11)&gt;0.001,"Too big","ok"))</f>
        <v>ok</v>
      </c>
      <c r="AF82" s="618" t="str">
        <f t="shared" si="108"/>
        <v>ok</v>
      </c>
      <c r="AG82" s="618" t="str">
        <f t="shared" si="108"/>
        <v>ok</v>
      </c>
      <c r="AH82" s="618" t="str">
        <f t="shared" si="108"/>
        <v>ok</v>
      </c>
      <c r="AI82" s="618" t="str">
        <f t="shared" si="108"/>
        <v>ok</v>
      </c>
      <c r="AJ82" s="618" t="str">
        <f t="shared" si="108"/>
        <v>ok</v>
      </c>
      <c r="AK82" s="618" t="str">
        <f t="shared" si="108"/>
        <v>ok</v>
      </c>
      <c r="AL82" s="618" t="str">
        <f t="shared" si="108"/>
        <v>ok</v>
      </c>
      <c r="AM82" s="618" t="str">
        <f t="shared" si="108"/>
        <v>ok</v>
      </c>
      <c r="AN82" s="618" t="str">
        <f t="shared" si="108"/>
        <v>ok</v>
      </c>
      <c r="AO82" s="618" t="str">
        <f t="shared" si="108"/>
        <v>ok</v>
      </c>
      <c r="AP82" s="618" t="str">
        <f t="shared" si="108"/>
        <v>ok</v>
      </c>
      <c r="AQ82" s="618" t="str">
        <f t="shared" si="108"/>
        <v>ok</v>
      </c>
      <c r="AR82" s="618" t="str">
        <f t="shared" si="108"/>
        <v>ok</v>
      </c>
      <c r="AS82" s="618" t="str">
        <f t="shared" si="108"/>
        <v>ok</v>
      </c>
      <c r="AV82" s="398" t="s">
        <v>103</v>
      </c>
      <c r="AW82" s="716">
        <f>SUM(AX82:BL82)</f>
        <v>0</v>
      </c>
      <c r="AX82" s="717">
        <f>SUM(AX83:AX242)</f>
        <v>0</v>
      </c>
      <c r="AY82" s="717">
        <f t="shared" ref="AY82" si="109">SUM(AY83:AY242)</f>
        <v>0</v>
      </c>
      <c r="AZ82" s="717">
        <f t="shared" ref="AZ82" si="110">SUM(AZ83:AZ242)</f>
        <v>0</v>
      </c>
      <c r="BA82" s="717">
        <f t="shared" ref="BA82" si="111">SUM(BA83:BA242)</f>
        <v>0</v>
      </c>
      <c r="BB82" s="717">
        <f t="shared" ref="BB82" si="112">SUM(BB83:BB242)</f>
        <v>0</v>
      </c>
      <c r="BC82" s="717">
        <f t="shared" ref="BC82" si="113">SUM(BC83:BC242)</f>
        <v>0</v>
      </c>
      <c r="BD82" s="717">
        <f t="shared" ref="BD82" si="114">SUM(BD83:BD242)</f>
        <v>0</v>
      </c>
      <c r="BE82" s="717">
        <f t="shared" ref="BE82" si="115">SUM(BE83:BE242)</f>
        <v>0</v>
      </c>
      <c r="BF82" s="717">
        <f t="shared" ref="BF82" si="116">SUM(BF83:BF242)</f>
        <v>0</v>
      </c>
      <c r="BG82" s="717">
        <f t="shared" ref="BG82" si="117">SUM(BG83:BG242)</f>
        <v>0</v>
      </c>
      <c r="BH82" s="717">
        <f t="shared" ref="BH82" si="118">SUM(BH83:BH242)</f>
        <v>0</v>
      </c>
      <c r="BI82" s="717">
        <f t="shared" ref="BI82" si="119">SUM(BI83:BI242)</f>
        <v>0</v>
      </c>
      <c r="BJ82" s="717">
        <f t="shared" ref="BJ82" si="120">SUM(BJ83:BJ242)</f>
        <v>0</v>
      </c>
      <c r="BK82" s="717">
        <f t="shared" ref="BK82" si="121">SUM(BK83:BK242)</f>
        <v>0</v>
      </c>
      <c r="BL82" s="717">
        <f t="shared" ref="BL82" si="122">SUM(BL83:BL242)</f>
        <v>0</v>
      </c>
    </row>
    <row r="83" spans="1:64" s="35" customFormat="1" x14ac:dyDescent="0.3">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7">
        <f>SUM(AE87:AE99)</f>
        <v>0</v>
      </c>
      <c r="AF83" s="517">
        <f t="shared" ref="AF83:AS83" si="124">SUM(AF87:AF99)</f>
        <v>0</v>
      </c>
      <c r="AG83" s="517">
        <f t="shared" si="124"/>
        <v>0</v>
      </c>
      <c r="AH83" s="517">
        <f t="shared" si="124"/>
        <v>0</v>
      </c>
      <c r="AI83" s="517">
        <f t="shared" si="124"/>
        <v>0</v>
      </c>
      <c r="AJ83" s="517">
        <f t="shared" si="124"/>
        <v>0</v>
      </c>
      <c r="AK83" s="517">
        <f t="shared" si="124"/>
        <v>0</v>
      </c>
      <c r="AL83" s="517">
        <f t="shared" si="124"/>
        <v>0</v>
      </c>
      <c r="AM83" s="517">
        <f t="shared" si="124"/>
        <v>0</v>
      </c>
      <c r="AN83" s="517">
        <f t="shared" si="124"/>
        <v>0</v>
      </c>
      <c r="AO83" s="517">
        <f t="shared" si="124"/>
        <v>0</v>
      </c>
      <c r="AP83" s="517">
        <f t="shared" si="124"/>
        <v>0</v>
      </c>
      <c r="AQ83" s="517">
        <f t="shared" si="124"/>
        <v>0</v>
      </c>
      <c r="AR83" s="517">
        <f t="shared" si="124"/>
        <v>0</v>
      </c>
      <c r="AS83" s="517">
        <f t="shared" si="124"/>
        <v>0</v>
      </c>
      <c r="AV83" s="699" t="str">
        <f>MID(E83,1,7)</f>
        <v>TRADSR</v>
      </c>
      <c r="AW83" s="567">
        <f>SUM(AX83:BL83)</f>
        <v>0</v>
      </c>
      <c r="AX83" s="567">
        <f>M88*M89/M85/1000</f>
        <v>0</v>
      </c>
      <c r="AY83" s="567">
        <f t="shared" ref="AY83" si="125">N88*N89/N85/1000</f>
        <v>0</v>
      </c>
      <c r="AZ83" s="567">
        <f t="shared" ref="AZ83" si="126">O88*O89/O85/1000</f>
        <v>0</v>
      </c>
      <c r="BA83" s="567">
        <f t="shared" ref="BA83" si="127">P88*P89/P85/1000</f>
        <v>0</v>
      </c>
      <c r="BB83" s="567">
        <f t="shared" ref="BB83" si="128">Q88*Q89/Q85/1000</f>
        <v>0</v>
      </c>
      <c r="BC83" s="567">
        <f t="shared" ref="BC83" si="129">R88*R89/R85/1000</f>
        <v>0</v>
      </c>
      <c r="BD83" s="567">
        <f t="shared" ref="BD83" si="130">S88*S89/S85/1000</f>
        <v>0</v>
      </c>
      <c r="BE83" s="567">
        <f t="shared" ref="BE83" si="131">T88*T89/T85/1000</f>
        <v>0</v>
      </c>
      <c r="BF83" s="567">
        <f t="shared" ref="BF83" si="132">U88*U89/U85/1000</f>
        <v>0</v>
      </c>
      <c r="BG83" s="567">
        <f t="shared" ref="BG83" si="133">V88*V89/V85/1000</f>
        <v>0</v>
      </c>
      <c r="BH83" s="567">
        <f t="shared" ref="BH83" si="134">W88*W89/W85/1000</f>
        <v>0</v>
      </c>
      <c r="BI83" s="567">
        <f t="shared" ref="BI83" si="135">X88*X89/X85/1000</f>
        <v>0</v>
      </c>
      <c r="BJ83" s="567">
        <f t="shared" ref="BJ83" si="136">Y88*Y89/Y85/1000</f>
        <v>0</v>
      </c>
      <c r="BK83" s="567">
        <f t="shared" ref="BK83" si="137">Z88*Z89/Z85/1000</f>
        <v>0</v>
      </c>
      <c r="BL83" s="567">
        <f t="shared" ref="BL83" si="138">AA88*AA89/AA85/1000</f>
        <v>0</v>
      </c>
    </row>
    <row r="84" spans="1:64" s="35" customFormat="1" x14ac:dyDescent="0.3">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7"/>
      <c r="AF84" s="517"/>
      <c r="AG84" s="517"/>
      <c r="AH84" s="517"/>
      <c r="AI84" s="517"/>
      <c r="AJ84" s="517"/>
      <c r="AK84" s="517"/>
      <c r="AL84" s="517"/>
      <c r="AM84" s="517"/>
      <c r="AN84" s="517"/>
      <c r="AO84" s="517"/>
      <c r="AP84" s="517"/>
      <c r="AQ84" s="517"/>
      <c r="AR84" s="517"/>
      <c r="AS84" s="517"/>
      <c r="AV84" s="699"/>
      <c r="AW84" s="567"/>
      <c r="AX84" s="567"/>
      <c r="AY84" s="567"/>
      <c r="AZ84" s="567"/>
      <c r="BA84" s="567"/>
      <c r="BB84" s="567"/>
      <c r="BC84" s="567"/>
      <c r="BD84" s="567"/>
      <c r="BE84" s="567"/>
      <c r="BF84" s="567"/>
      <c r="BG84" s="567"/>
      <c r="BH84" s="567"/>
      <c r="BI84" s="567"/>
      <c r="BJ84" s="567"/>
      <c r="BK84" s="567"/>
      <c r="BL84" s="567"/>
    </row>
    <row r="85" spans="1:64" s="35" customFormat="1" x14ac:dyDescent="0.3">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7"/>
      <c r="AF85" s="517"/>
      <c r="AG85" s="517"/>
      <c r="AH85" s="517"/>
      <c r="AI85" s="517"/>
      <c r="AJ85" s="517"/>
      <c r="AK85" s="517"/>
      <c r="AL85" s="517"/>
      <c r="AM85" s="517"/>
      <c r="AN85" s="517"/>
      <c r="AO85" s="517"/>
      <c r="AP85" s="517"/>
      <c r="AQ85" s="517"/>
      <c r="AR85" s="517"/>
      <c r="AS85" s="517"/>
      <c r="AV85" s="699" t="str">
        <f>MID(E85,1,7)</f>
        <v/>
      </c>
      <c r="AW85" s="567"/>
      <c r="AX85" s="567"/>
      <c r="AY85" s="567"/>
      <c r="AZ85" s="567"/>
      <c r="BA85" s="567"/>
      <c r="BB85" s="567"/>
      <c r="BC85" s="567"/>
      <c r="BD85" s="567"/>
      <c r="BE85" s="567"/>
      <c r="BF85" s="567"/>
      <c r="BG85" s="567"/>
      <c r="BH85" s="567"/>
      <c r="BI85" s="567"/>
      <c r="BJ85" s="567"/>
      <c r="BK85" s="567"/>
      <c r="BL85" s="567"/>
    </row>
    <row r="86" spans="1:64" s="35" customFormat="1" x14ac:dyDescent="0.3">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0" t="str">
        <f>IF(COUNTIF($AF$3:$AN$3,AC83)=1,"ok","MISSING")</f>
        <v>ok</v>
      </c>
      <c r="AV86" s="699" t="str">
        <f t="shared" ref="AV86:AV99" si="140">MID(E86,1,7)</f>
        <v/>
      </c>
      <c r="AW86" s="704"/>
      <c r="AX86" s="567"/>
      <c r="AY86" s="704"/>
      <c r="AZ86" s="704"/>
      <c r="BA86" s="704"/>
      <c r="BB86" s="704"/>
      <c r="BC86" s="704"/>
      <c r="BD86" s="704"/>
      <c r="BE86" s="704"/>
      <c r="BF86" s="704"/>
      <c r="BG86" s="704"/>
      <c r="BH86" s="704"/>
      <c r="BI86" s="704"/>
      <c r="BJ86" s="704"/>
      <c r="BK86" s="704"/>
      <c r="BL86" s="704"/>
    </row>
    <row r="87" spans="1:64" s="35" customFormat="1" x14ac:dyDescent="0.3">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5">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699" t="str">
        <f t="shared" si="140"/>
        <v/>
      </c>
      <c r="AX87" s="567"/>
    </row>
    <row r="88" spans="1:64" s="35" customFormat="1" x14ac:dyDescent="0.3">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699" t="str">
        <f t="shared" si="140"/>
        <v/>
      </c>
    </row>
    <row r="89" spans="1:64" s="35" customFormat="1" x14ac:dyDescent="0.3">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699" t="str">
        <f t="shared" si="140"/>
        <v/>
      </c>
    </row>
    <row r="90" spans="1:64" s="35" customFormat="1" x14ac:dyDescent="0.3">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699" t="str">
        <f t="shared" si="140"/>
        <v/>
      </c>
    </row>
    <row r="91" spans="1:64" s="35" customFormat="1" x14ac:dyDescent="0.3">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699" t="str">
        <f t="shared" si="140"/>
        <v/>
      </c>
    </row>
    <row r="92" spans="1:64" s="35" customFormat="1" x14ac:dyDescent="0.3">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699" t="str">
        <f t="shared" si="140"/>
        <v/>
      </c>
    </row>
    <row r="93" spans="1:64" s="35" customFormat="1" x14ac:dyDescent="0.3">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699" t="str">
        <f t="shared" si="140"/>
        <v/>
      </c>
    </row>
    <row r="94" spans="1:64" s="35" customFormat="1" x14ac:dyDescent="0.3">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699" t="str">
        <f t="shared" si="140"/>
        <v/>
      </c>
    </row>
    <row r="95" spans="1:64" s="35" customFormat="1" x14ac:dyDescent="0.3">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699" t="str">
        <f t="shared" si="140"/>
        <v/>
      </c>
    </row>
    <row r="96" spans="1:64" s="35" customFormat="1" x14ac:dyDescent="0.3">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699" t="str">
        <f t="shared" si="140"/>
        <v>TRAELR</v>
      </c>
      <c r="AW96" s="567">
        <f>SUM(AX96:BL96)</f>
        <v>0</v>
      </c>
      <c r="AX96" s="567">
        <f>M100*M101/M97/1000</f>
        <v>0</v>
      </c>
      <c r="AY96" s="567">
        <f t="shared" ref="AY96" si="151">N100*N101/N97/1000</f>
        <v>0</v>
      </c>
      <c r="AZ96" s="567">
        <f t="shared" ref="AZ96" si="152">O100*O101/O97/1000</f>
        <v>0</v>
      </c>
      <c r="BA96" s="567">
        <f t="shared" ref="BA96" si="153">P100*P101/P97/1000</f>
        <v>0</v>
      </c>
      <c r="BB96" s="567">
        <f t="shared" ref="BB96" si="154">Q100*Q101/Q97/1000</f>
        <v>0</v>
      </c>
      <c r="BC96" s="567">
        <f t="shared" ref="BC96" si="155">R100*R101/R97/1000</f>
        <v>0</v>
      </c>
      <c r="BD96" s="567">
        <f t="shared" ref="BD96" si="156">S100*S101/S97/1000</f>
        <v>0</v>
      </c>
      <c r="BE96" s="567">
        <f t="shared" ref="BE96" si="157">T100*T101/T97/1000</f>
        <v>0</v>
      </c>
      <c r="BF96" s="567">
        <f t="shared" ref="BF96" si="158">U100*U101/U97/1000</f>
        <v>0</v>
      </c>
      <c r="BG96" s="567">
        <f t="shared" ref="BG96" si="159">V100*V101/V97/1000</f>
        <v>0</v>
      </c>
      <c r="BH96" s="567">
        <f t="shared" ref="BH96" si="160">W100*W101/W97/1000</f>
        <v>0</v>
      </c>
      <c r="BI96" s="567">
        <f t="shared" ref="BI96" si="161">X100*X101/X97/1000</f>
        <v>0</v>
      </c>
      <c r="BJ96" s="567">
        <f t="shared" ref="BJ96" si="162">Y100*Y101/Y97/1000</f>
        <v>0</v>
      </c>
      <c r="BK96" s="567">
        <f t="shared" ref="BK96" si="163">Z100*Z101/Z97/1000</f>
        <v>0</v>
      </c>
      <c r="BL96" s="567">
        <f t="shared" ref="BL96" si="164">AA100*AA101/AA97/1000</f>
        <v>0</v>
      </c>
    </row>
    <row r="97" spans="1:64" s="35" customFormat="1" x14ac:dyDescent="0.3">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699" t="str">
        <f t="shared" si="140"/>
        <v/>
      </c>
      <c r="AW97" s="567"/>
      <c r="AX97" s="567"/>
      <c r="AY97" s="567"/>
      <c r="AZ97" s="567"/>
      <c r="BA97" s="567"/>
      <c r="BB97" s="567"/>
      <c r="BC97" s="567"/>
      <c r="BD97" s="567"/>
      <c r="BE97" s="567"/>
      <c r="BF97" s="567"/>
      <c r="BG97" s="567"/>
      <c r="BH97" s="567"/>
      <c r="BI97" s="567"/>
      <c r="BJ97" s="567"/>
      <c r="BK97" s="567"/>
      <c r="BL97" s="567"/>
    </row>
    <row r="98" spans="1:64" s="35" customFormat="1" x14ac:dyDescent="0.3">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0" t="str">
        <f>IF(COUNTIF($AF$3:$AN$3,AC96)=1,"ok","MISSING")</f>
        <v>ok</v>
      </c>
      <c r="AE98" s="36"/>
      <c r="AV98" s="699" t="str">
        <f t="shared" si="140"/>
        <v/>
      </c>
    </row>
    <row r="99" spans="1:64" s="35" customFormat="1" x14ac:dyDescent="0.3">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5">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699" t="str">
        <f t="shared" si="140"/>
        <v/>
      </c>
    </row>
    <row r="100" spans="1:64" s="35" customFormat="1" x14ac:dyDescent="0.3">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3">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3">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3">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3">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3">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3">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3">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3">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3">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8" customFormat="1" ht="16.5" customHeight="1" x14ac:dyDescent="0.3">
      <c r="B110" s="17" t="s">
        <v>1213</v>
      </c>
      <c r="C110" s="559"/>
      <c r="H110" s="370"/>
    </row>
    <row r="111" spans="1:64" s="558" customFormat="1" ht="16.5" customHeight="1" x14ac:dyDescent="0.3">
      <c r="B111" s="22"/>
      <c r="C111" s="22"/>
      <c r="H111" s="370"/>
    </row>
    <row r="112" spans="1:64" s="22" customFormat="1" x14ac:dyDescent="0.3">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3">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1"/>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0" t="s">
        <v>85</v>
      </c>
      <c r="AW113" s="700" t="s">
        <v>421</v>
      </c>
      <c r="AX113" s="700" t="str">
        <f t="shared" ref="AX113:BL113" si="177">M$2</f>
        <v>Z01</v>
      </c>
      <c r="AY113" s="700" t="str">
        <f t="shared" si="177"/>
        <v>Z02</v>
      </c>
      <c r="AZ113" s="700" t="str">
        <f t="shared" si="177"/>
        <v>Z03</v>
      </c>
      <c r="BA113" s="700" t="str">
        <f t="shared" si="177"/>
        <v>Z04</v>
      </c>
      <c r="BB113" s="700" t="str">
        <f t="shared" si="177"/>
        <v>Z05</v>
      </c>
      <c r="BC113" s="700" t="str">
        <f t="shared" si="177"/>
        <v>Z06</v>
      </c>
      <c r="BD113" s="700" t="str">
        <f t="shared" si="177"/>
        <v>Z07</v>
      </c>
      <c r="BE113" s="700" t="str">
        <f t="shared" si="177"/>
        <v>Z08</v>
      </c>
      <c r="BF113" s="700" t="str">
        <f t="shared" si="177"/>
        <v>Z09</v>
      </c>
      <c r="BG113" s="700" t="str">
        <f t="shared" si="177"/>
        <v>Z10</v>
      </c>
      <c r="BH113" s="700" t="str">
        <f t="shared" si="177"/>
        <v>Z11</v>
      </c>
      <c r="BI113" s="700" t="str">
        <f t="shared" si="177"/>
        <v>Z12</v>
      </c>
      <c r="BJ113" s="700" t="str">
        <f t="shared" si="177"/>
        <v>Z13</v>
      </c>
      <c r="BK113" s="700" t="str">
        <f t="shared" si="177"/>
        <v>Z14</v>
      </c>
      <c r="BL113" s="700" t="str">
        <f t="shared" si="177"/>
        <v>Z15</v>
      </c>
    </row>
    <row r="114" spans="1:64" s="22" customFormat="1" x14ac:dyDescent="0.3">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4" t="str">
        <f>IF(AD115-SUM(AC14:AC15)&lt;0,"too small",IF(AD115-SUM(AC14:AC15)&gt;0.001,"Too big","ok"))</f>
        <v>ok</v>
      </c>
      <c r="AE114" s="618" t="str">
        <f t="shared" ref="AE114:AS114" si="178">IF(AE115-SUM(M14:M15)&lt;0,"too small",IF(AE115-SUM(M14:M15)&gt;0.001,"Too big","ok"))</f>
        <v>ok</v>
      </c>
      <c r="AF114" s="618" t="str">
        <f t="shared" si="178"/>
        <v>ok</v>
      </c>
      <c r="AG114" s="618" t="str">
        <f t="shared" si="178"/>
        <v>ok</v>
      </c>
      <c r="AH114" s="618" t="str">
        <f t="shared" si="178"/>
        <v>ok</v>
      </c>
      <c r="AI114" s="618" t="str">
        <f t="shared" si="178"/>
        <v>ok</v>
      </c>
      <c r="AJ114" s="618" t="str">
        <f t="shared" si="178"/>
        <v>ok</v>
      </c>
      <c r="AK114" s="618" t="str">
        <f t="shared" si="178"/>
        <v>ok</v>
      </c>
      <c r="AL114" s="618" t="str">
        <f t="shared" si="178"/>
        <v>ok</v>
      </c>
      <c r="AM114" s="618" t="str">
        <f t="shared" si="178"/>
        <v>ok</v>
      </c>
      <c r="AN114" s="618" t="str">
        <f t="shared" si="178"/>
        <v>ok</v>
      </c>
      <c r="AO114" s="618" t="str">
        <f t="shared" si="178"/>
        <v>ok</v>
      </c>
      <c r="AP114" s="618" t="str">
        <f t="shared" si="178"/>
        <v>ok</v>
      </c>
      <c r="AQ114" s="618" t="str">
        <f t="shared" si="178"/>
        <v>ok</v>
      </c>
      <c r="AR114" s="618" t="str">
        <f t="shared" si="178"/>
        <v>ok</v>
      </c>
      <c r="AS114" s="618" t="str">
        <f t="shared" si="178"/>
        <v>ok</v>
      </c>
      <c r="AV114" s="398" t="s">
        <v>103</v>
      </c>
      <c r="AW114" s="716">
        <f>SUM(AX114:BL114)</f>
        <v>0</v>
      </c>
      <c r="AX114" s="717">
        <f t="shared" ref="AX114:BL114" si="179">SUM(AX115:AX176)</f>
        <v>0</v>
      </c>
      <c r="AY114" s="717">
        <f t="shared" si="179"/>
        <v>0</v>
      </c>
      <c r="AZ114" s="717">
        <f t="shared" si="179"/>
        <v>0</v>
      </c>
      <c r="BA114" s="717">
        <f t="shared" si="179"/>
        <v>0</v>
      </c>
      <c r="BB114" s="717">
        <f t="shared" si="179"/>
        <v>0</v>
      </c>
      <c r="BC114" s="717">
        <f t="shared" si="179"/>
        <v>0</v>
      </c>
      <c r="BD114" s="717">
        <f t="shared" si="179"/>
        <v>0</v>
      </c>
      <c r="BE114" s="717">
        <f t="shared" si="179"/>
        <v>0</v>
      </c>
      <c r="BF114" s="717">
        <f t="shared" si="179"/>
        <v>0</v>
      </c>
      <c r="BG114" s="717">
        <f t="shared" si="179"/>
        <v>0</v>
      </c>
      <c r="BH114" s="717">
        <f t="shared" si="179"/>
        <v>0</v>
      </c>
      <c r="BI114" s="717">
        <f t="shared" si="179"/>
        <v>0</v>
      </c>
      <c r="BJ114" s="717">
        <f t="shared" si="179"/>
        <v>0</v>
      </c>
      <c r="BK114" s="717">
        <f t="shared" si="179"/>
        <v>0</v>
      </c>
      <c r="BL114" s="717">
        <f t="shared" si="179"/>
        <v>0</v>
      </c>
    </row>
    <row r="115" spans="1:64" s="35" customFormat="1" x14ac:dyDescent="0.3">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1">
        <f>SUM(AE115:AS115)</f>
        <v>0</v>
      </c>
      <c r="AE115" s="516">
        <f>AE118</f>
        <v>0</v>
      </c>
      <c r="AF115" s="516">
        <f t="shared" ref="AF115:AS115" si="181">AF118</f>
        <v>0</v>
      </c>
      <c r="AG115" s="516">
        <f t="shared" si="181"/>
        <v>0</v>
      </c>
      <c r="AH115" s="516">
        <f t="shared" si="181"/>
        <v>0</v>
      </c>
      <c r="AI115" s="516">
        <f t="shared" si="181"/>
        <v>0</v>
      </c>
      <c r="AJ115" s="516">
        <f t="shared" si="181"/>
        <v>0</v>
      </c>
      <c r="AK115" s="516">
        <f t="shared" si="181"/>
        <v>0</v>
      </c>
      <c r="AL115" s="516">
        <f t="shared" si="181"/>
        <v>0</v>
      </c>
      <c r="AM115" s="516">
        <f t="shared" si="181"/>
        <v>0</v>
      </c>
      <c r="AN115" s="516">
        <f t="shared" si="181"/>
        <v>0</v>
      </c>
      <c r="AO115" s="516">
        <f t="shared" si="181"/>
        <v>0</v>
      </c>
      <c r="AP115" s="516">
        <f t="shared" si="181"/>
        <v>0</v>
      </c>
      <c r="AQ115" s="516">
        <f t="shared" si="181"/>
        <v>0</v>
      </c>
      <c r="AR115" s="516">
        <f t="shared" si="181"/>
        <v>0</v>
      </c>
      <c r="AS115" s="516">
        <f t="shared" si="181"/>
        <v>0</v>
      </c>
      <c r="AV115" s="699" t="str">
        <f t="shared" ref="AV115:AV138" si="182">MID(E115,1,7)</f>
        <v>TRAELR</v>
      </c>
      <c r="AW115" s="567">
        <f>SUM(AX115:BL115)</f>
        <v>0</v>
      </c>
      <c r="AX115" s="567">
        <f>M119*M120/M116/1000</f>
        <v>0</v>
      </c>
      <c r="AY115" s="567">
        <f t="shared" ref="AY115:BL115" si="183">N119*N120/N116/1000</f>
        <v>0</v>
      </c>
      <c r="AZ115" s="567">
        <f t="shared" si="183"/>
        <v>0</v>
      </c>
      <c r="BA115" s="567">
        <f t="shared" si="183"/>
        <v>0</v>
      </c>
      <c r="BB115" s="567">
        <f t="shared" si="183"/>
        <v>0</v>
      </c>
      <c r="BC115" s="567">
        <f t="shared" si="183"/>
        <v>0</v>
      </c>
      <c r="BD115" s="567">
        <f t="shared" si="183"/>
        <v>0</v>
      </c>
      <c r="BE115" s="567">
        <f t="shared" si="183"/>
        <v>0</v>
      </c>
      <c r="BF115" s="567">
        <f t="shared" si="183"/>
        <v>0</v>
      </c>
      <c r="BG115" s="567">
        <f t="shared" si="183"/>
        <v>0</v>
      </c>
      <c r="BH115" s="567">
        <f t="shared" si="183"/>
        <v>0</v>
      </c>
      <c r="BI115" s="567">
        <f t="shared" si="183"/>
        <v>0</v>
      </c>
      <c r="BJ115" s="567">
        <f t="shared" si="183"/>
        <v>0</v>
      </c>
      <c r="BK115" s="567">
        <f t="shared" si="183"/>
        <v>0</v>
      </c>
      <c r="BL115" s="567">
        <f t="shared" si="183"/>
        <v>0</v>
      </c>
    </row>
    <row r="116" spans="1:64" s="35" customFormat="1" x14ac:dyDescent="0.3">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1"/>
      <c r="AE116" s="516"/>
      <c r="AF116" s="516"/>
      <c r="AG116" s="516"/>
      <c r="AH116" s="516"/>
      <c r="AI116" s="516"/>
      <c r="AJ116" s="516"/>
      <c r="AK116" s="516"/>
      <c r="AL116" s="516"/>
      <c r="AM116" s="516"/>
      <c r="AN116" s="516"/>
      <c r="AO116" s="516"/>
      <c r="AP116" s="516"/>
      <c r="AQ116" s="516"/>
      <c r="AR116" s="516"/>
      <c r="AS116" s="516"/>
      <c r="AV116" s="699" t="str">
        <f t="shared" si="182"/>
        <v/>
      </c>
      <c r="AW116" s="567"/>
      <c r="AX116" s="567"/>
      <c r="AY116" s="567"/>
      <c r="AZ116" s="567"/>
      <c r="BA116" s="567"/>
      <c r="BB116" s="567"/>
      <c r="BC116" s="567"/>
      <c r="BD116" s="567"/>
      <c r="BE116" s="567"/>
      <c r="BF116" s="567"/>
      <c r="BG116" s="567"/>
      <c r="BH116" s="567"/>
      <c r="BI116" s="567"/>
      <c r="BJ116" s="567"/>
      <c r="BK116" s="567"/>
      <c r="BL116" s="567"/>
    </row>
    <row r="117" spans="1:64" s="35" customFormat="1" x14ac:dyDescent="0.3">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699" t="str">
        <f t="shared" si="182"/>
        <v/>
      </c>
      <c r="AW117" s="704"/>
      <c r="AX117" s="567"/>
      <c r="AY117" s="704"/>
      <c r="AZ117" s="704"/>
      <c r="BA117" s="704"/>
      <c r="BB117" s="704"/>
      <c r="BC117" s="704"/>
      <c r="BD117" s="704"/>
      <c r="BE117" s="704"/>
      <c r="BF117" s="704"/>
      <c r="BG117" s="704"/>
      <c r="BH117" s="704"/>
      <c r="BI117" s="704"/>
      <c r="BJ117" s="704"/>
      <c r="BK117" s="704"/>
      <c r="BL117" s="704"/>
    </row>
    <row r="118" spans="1:64" s="35" customFormat="1" x14ac:dyDescent="0.3">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1">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699" t="str">
        <f t="shared" si="182"/>
        <v/>
      </c>
      <c r="AX118" s="567"/>
    </row>
    <row r="119" spans="1:64" s="35" customFormat="1" x14ac:dyDescent="0.3">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699" t="str">
        <f t="shared" si="182"/>
        <v/>
      </c>
    </row>
    <row r="120" spans="1:64" s="35" customFormat="1" x14ac:dyDescent="0.3">
      <c r="B120" s="186" t="str">
        <f t="shared" si="184"/>
        <v>TTLRELC100</v>
      </c>
      <c r="C120" s="186"/>
      <c r="D120" s="187"/>
      <c r="E120" s="186"/>
      <c r="F120" s="189"/>
      <c r="G120" s="170"/>
      <c r="H120" s="190">
        <f>$L$3</f>
        <v>2019</v>
      </c>
      <c r="I120" s="191"/>
      <c r="J120" s="191"/>
      <c r="K120" s="192" t="s">
        <v>1064</v>
      </c>
      <c r="L120" s="191" t="s">
        <v>747</v>
      </c>
      <c r="M120" s="688">
        <f t="shared" ref="M120:AA120" si="187">IF(M119=0, 0, ROUNDUP((M14+M15)/M118/M119*1000, 8))</f>
        <v>0</v>
      </c>
      <c r="N120" s="688">
        <f t="shared" si="187"/>
        <v>0</v>
      </c>
      <c r="O120" s="688">
        <f t="shared" si="187"/>
        <v>0</v>
      </c>
      <c r="P120" s="688">
        <f t="shared" si="187"/>
        <v>0</v>
      </c>
      <c r="Q120" s="688">
        <f t="shared" si="187"/>
        <v>0</v>
      </c>
      <c r="R120" s="688">
        <f t="shared" si="187"/>
        <v>0</v>
      </c>
      <c r="S120" s="688">
        <f t="shared" si="187"/>
        <v>0</v>
      </c>
      <c r="T120" s="688">
        <f t="shared" si="187"/>
        <v>0</v>
      </c>
      <c r="U120" s="688">
        <f t="shared" si="187"/>
        <v>0</v>
      </c>
      <c r="V120" s="688">
        <f t="shared" si="187"/>
        <v>0</v>
      </c>
      <c r="W120" s="688">
        <f t="shared" si="187"/>
        <v>0</v>
      </c>
      <c r="X120" s="688">
        <f t="shared" si="187"/>
        <v>0</v>
      </c>
      <c r="Y120" s="688">
        <f t="shared" si="187"/>
        <v>0</v>
      </c>
      <c r="Z120" s="688">
        <f t="shared" si="187"/>
        <v>0</v>
      </c>
      <c r="AA120" s="688">
        <f t="shared" si="187"/>
        <v>0</v>
      </c>
      <c r="AV120" s="699" t="str">
        <f t="shared" si="182"/>
        <v/>
      </c>
    </row>
    <row r="121" spans="1:64" s="35" customFormat="1" x14ac:dyDescent="0.3">
      <c r="B121" s="186" t="str">
        <f t="shared" si="184"/>
        <v>TTLRELC100</v>
      </c>
      <c r="C121" s="186"/>
      <c r="D121" s="187"/>
      <c r="E121" s="186"/>
      <c r="F121" s="189"/>
      <c r="G121" s="170"/>
      <c r="H121" s="190">
        <f>AE$4</f>
        <v>2016</v>
      </c>
      <c r="I121" s="191"/>
      <c r="J121" s="191"/>
      <c r="K121" s="192" t="s">
        <v>1064</v>
      </c>
      <c r="L121" s="191" t="s">
        <v>747</v>
      </c>
      <c r="M121" s="686">
        <f t="shared" ref="M121:AA121" si="188">M120*LOOKUP($AC115,$AF$3:$AN$3,$AF$4:$AN$4)</f>
        <v>0</v>
      </c>
      <c r="N121" s="686">
        <f t="shared" si="188"/>
        <v>0</v>
      </c>
      <c r="O121" s="686">
        <f t="shared" si="188"/>
        <v>0</v>
      </c>
      <c r="P121" s="686">
        <f t="shared" si="188"/>
        <v>0</v>
      </c>
      <c r="Q121" s="686">
        <f t="shared" si="188"/>
        <v>0</v>
      </c>
      <c r="R121" s="686">
        <f t="shared" si="188"/>
        <v>0</v>
      </c>
      <c r="S121" s="686">
        <f t="shared" si="188"/>
        <v>0</v>
      </c>
      <c r="T121" s="686">
        <f t="shared" si="188"/>
        <v>0</v>
      </c>
      <c r="U121" s="686">
        <f t="shared" si="188"/>
        <v>0</v>
      </c>
      <c r="V121" s="686">
        <f t="shared" si="188"/>
        <v>0</v>
      </c>
      <c r="W121" s="686">
        <f t="shared" si="188"/>
        <v>0</v>
      </c>
      <c r="X121" s="686">
        <f t="shared" si="188"/>
        <v>0</v>
      </c>
      <c r="Y121" s="686">
        <f t="shared" si="188"/>
        <v>0</v>
      </c>
      <c r="Z121" s="686">
        <f t="shared" si="188"/>
        <v>0</v>
      </c>
      <c r="AA121" s="686">
        <f t="shared" si="188"/>
        <v>0</v>
      </c>
      <c r="AV121" s="699" t="str">
        <f t="shared" si="182"/>
        <v/>
      </c>
    </row>
    <row r="122" spans="1:64" s="35" customFormat="1" x14ac:dyDescent="0.3">
      <c r="B122" s="186" t="str">
        <f t="shared" si="184"/>
        <v>TTLRELC100</v>
      </c>
      <c r="C122" s="186"/>
      <c r="D122" s="187"/>
      <c r="E122" s="186"/>
      <c r="F122" s="189"/>
      <c r="G122" s="170"/>
      <c r="H122" s="190">
        <f>AE$5</f>
        <v>2020</v>
      </c>
      <c r="I122" s="191"/>
      <c r="J122" s="191"/>
      <c r="K122" s="192" t="s">
        <v>1064</v>
      </c>
      <c r="L122" s="191" t="s">
        <v>747</v>
      </c>
      <c r="M122" s="686">
        <f t="shared" ref="M122:AA122" si="189">M120*LOOKUP($AC115,$AF$3:$AN$3,$AF$5:$AN$5)</f>
        <v>0</v>
      </c>
      <c r="N122" s="686">
        <f t="shared" si="189"/>
        <v>0</v>
      </c>
      <c r="O122" s="686">
        <f t="shared" si="189"/>
        <v>0</v>
      </c>
      <c r="P122" s="686">
        <f t="shared" si="189"/>
        <v>0</v>
      </c>
      <c r="Q122" s="686">
        <f t="shared" si="189"/>
        <v>0</v>
      </c>
      <c r="R122" s="686">
        <f t="shared" si="189"/>
        <v>0</v>
      </c>
      <c r="S122" s="686">
        <f t="shared" si="189"/>
        <v>0</v>
      </c>
      <c r="T122" s="686">
        <f t="shared" si="189"/>
        <v>0</v>
      </c>
      <c r="U122" s="686">
        <f t="shared" si="189"/>
        <v>0</v>
      </c>
      <c r="V122" s="686">
        <f t="shared" si="189"/>
        <v>0</v>
      </c>
      <c r="W122" s="686">
        <f t="shared" si="189"/>
        <v>0</v>
      </c>
      <c r="X122" s="686">
        <f t="shared" si="189"/>
        <v>0</v>
      </c>
      <c r="Y122" s="686">
        <f t="shared" si="189"/>
        <v>0</v>
      </c>
      <c r="Z122" s="686">
        <f t="shared" si="189"/>
        <v>0</v>
      </c>
      <c r="AA122" s="686">
        <f t="shared" si="189"/>
        <v>0</v>
      </c>
      <c r="AV122" s="699" t="str">
        <f t="shared" si="182"/>
        <v/>
      </c>
    </row>
    <row r="123" spans="1:64" s="35" customFormat="1" x14ac:dyDescent="0.3">
      <c r="B123" s="186" t="str">
        <f t="shared" si="184"/>
        <v>TTLRELC100</v>
      </c>
      <c r="C123" s="186"/>
      <c r="D123" s="187"/>
      <c r="E123" s="186"/>
      <c r="F123" s="189"/>
      <c r="G123" s="170"/>
      <c r="H123" s="190">
        <f>AE$6</f>
        <v>2025</v>
      </c>
      <c r="I123" s="191"/>
      <c r="J123" s="191"/>
      <c r="K123" s="192" t="s">
        <v>1064</v>
      </c>
      <c r="L123" s="191" t="s">
        <v>747</v>
      </c>
      <c r="M123" s="686">
        <f t="shared" ref="M123:AA123" si="190">M120*LOOKUP($AC115,$AF$3:$AN$3,$AF$6:$AN$6)</f>
        <v>0</v>
      </c>
      <c r="N123" s="686">
        <f t="shared" si="190"/>
        <v>0</v>
      </c>
      <c r="O123" s="686">
        <f t="shared" si="190"/>
        <v>0</v>
      </c>
      <c r="P123" s="686">
        <f t="shared" si="190"/>
        <v>0</v>
      </c>
      <c r="Q123" s="686">
        <f t="shared" si="190"/>
        <v>0</v>
      </c>
      <c r="R123" s="686">
        <f t="shared" si="190"/>
        <v>0</v>
      </c>
      <c r="S123" s="686">
        <f t="shared" si="190"/>
        <v>0</v>
      </c>
      <c r="T123" s="686">
        <f t="shared" si="190"/>
        <v>0</v>
      </c>
      <c r="U123" s="686">
        <f t="shared" si="190"/>
        <v>0</v>
      </c>
      <c r="V123" s="686">
        <f t="shared" si="190"/>
        <v>0</v>
      </c>
      <c r="W123" s="686">
        <f t="shared" si="190"/>
        <v>0</v>
      </c>
      <c r="X123" s="686">
        <f t="shared" si="190"/>
        <v>0</v>
      </c>
      <c r="Y123" s="686">
        <f t="shared" si="190"/>
        <v>0</v>
      </c>
      <c r="Z123" s="686">
        <f t="shared" si="190"/>
        <v>0</v>
      </c>
      <c r="AA123" s="686">
        <f t="shared" si="190"/>
        <v>0</v>
      </c>
      <c r="AV123" s="699" t="str">
        <f t="shared" si="182"/>
        <v/>
      </c>
    </row>
    <row r="124" spans="1:64" s="35" customFormat="1" x14ac:dyDescent="0.3">
      <c r="B124" s="186" t="str">
        <f t="shared" si="184"/>
        <v>TTLRELC100</v>
      </c>
      <c r="C124" s="186"/>
      <c r="D124" s="187"/>
      <c r="E124" s="186"/>
      <c r="F124" s="189"/>
      <c r="G124" s="170"/>
      <c r="H124" s="190">
        <f>AE$7</f>
        <v>2030</v>
      </c>
      <c r="I124" s="191"/>
      <c r="J124" s="191"/>
      <c r="K124" s="192" t="s">
        <v>1064</v>
      </c>
      <c r="L124" s="191" t="s">
        <v>747</v>
      </c>
      <c r="M124" s="686">
        <f t="shared" ref="M124:AA124" si="191">M120*LOOKUP($AC115,$AF$3:$AN$3,$AF$7:$AN$7)</f>
        <v>0</v>
      </c>
      <c r="N124" s="686">
        <f t="shared" si="191"/>
        <v>0</v>
      </c>
      <c r="O124" s="686">
        <f t="shared" si="191"/>
        <v>0</v>
      </c>
      <c r="P124" s="686">
        <f t="shared" si="191"/>
        <v>0</v>
      </c>
      <c r="Q124" s="686">
        <f t="shared" si="191"/>
        <v>0</v>
      </c>
      <c r="R124" s="686">
        <f t="shared" si="191"/>
        <v>0</v>
      </c>
      <c r="S124" s="686">
        <f t="shared" si="191"/>
        <v>0</v>
      </c>
      <c r="T124" s="686">
        <f t="shared" si="191"/>
        <v>0</v>
      </c>
      <c r="U124" s="686">
        <f t="shared" si="191"/>
        <v>0</v>
      </c>
      <c r="V124" s="686">
        <f t="shared" si="191"/>
        <v>0</v>
      </c>
      <c r="W124" s="686">
        <f t="shared" si="191"/>
        <v>0</v>
      </c>
      <c r="X124" s="686">
        <f t="shared" si="191"/>
        <v>0</v>
      </c>
      <c r="Y124" s="686">
        <f t="shared" si="191"/>
        <v>0</v>
      </c>
      <c r="Z124" s="686">
        <f t="shared" si="191"/>
        <v>0</v>
      </c>
      <c r="AA124" s="686">
        <f t="shared" si="191"/>
        <v>0</v>
      </c>
      <c r="AV124" s="699" t="str">
        <f t="shared" si="182"/>
        <v/>
      </c>
    </row>
    <row r="125" spans="1:64" s="35" customFormat="1" x14ac:dyDescent="0.3">
      <c r="B125" s="186" t="str">
        <f t="shared" si="184"/>
        <v>TTLRELC100</v>
      </c>
      <c r="C125" s="186"/>
      <c r="D125" s="187"/>
      <c r="E125" s="186"/>
      <c r="F125" s="189"/>
      <c r="G125" s="170"/>
      <c r="H125" s="190">
        <f>AE$8</f>
        <v>2040</v>
      </c>
      <c r="I125" s="191"/>
      <c r="J125" s="191"/>
      <c r="K125" s="192" t="s">
        <v>1064</v>
      </c>
      <c r="L125" s="191" t="s">
        <v>747</v>
      </c>
      <c r="M125" s="686">
        <f t="shared" ref="M125:AA125" si="192">M120*LOOKUP($AC115,$AF$3:$AN$3,$AF$8:$AN$8)</f>
        <v>0</v>
      </c>
      <c r="N125" s="686">
        <f t="shared" si="192"/>
        <v>0</v>
      </c>
      <c r="O125" s="686">
        <f t="shared" si="192"/>
        <v>0</v>
      </c>
      <c r="P125" s="686">
        <f t="shared" si="192"/>
        <v>0</v>
      </c>
      <c r="Q125" s="686">
        <f t="shared" si="192"/>
        <v>0</v>
      </c>
      <c r="R125" s="686">
        <f t="shared" si="192"/>
        <v>0</v>
      </c>
      <c r="S125" s="686">
        <f t="shared" si="192"/>
        <v>0</v>
      </c>
      <c r="T125" s="686">
        <f t="shared" si="192"/>
        <v>0</v>
      </c>
      <c r="U125" s="686">
        <f t="shared" si="192"/>
        <v>0</v>
      </c>
      <c r="V125" s="686">
        <f t="shared" si="192"/>
        <v>0</v>
      </c>
      <c r="W125" s="686">
        <f t="shared" si="192"/>
        <v>0</v>
      </c>
      <c r="X125" s="686">
        <f t="shared" si="192"/>
        <v>0</v>
      </c>
      <c r="Y125" s="686">
        <f t="shared" si="192"/>
        <v>0</v>
      </c>
      <c r="Z125" s="686">
        <f t="shared" si="192"/>
        <v>0</v>
      </c>
      <c r="AA125" s="686">
        <f t="shared" si="192"/>
        <v>0</v>
      </c>
      <c r="AV125" s="699" t="str">
        <f t="shared" si="182"/>
        <v/>
      </c>
    </row>
    <row r="126" spans="1:64" s="35" customFormat="1" x14ac:dyDescent="0.3">
      <c r="B126" s="193" t="str">
        <f t="shared" si="184"/>
        <v>TTLRELC100</v>
      </c>
      <c r="C126" s="193"/>
      <c r="D126" s="194"/>
      <c r="E126" s="193"/>
      <c r="F126" s="195"/>
      <c r="G126" s="196"/>
      <c r="H126" s="197">
        <f>AE$9</f>
        <v>2050</v>
      </c>
      <c r="I126" s="198"/>
      <c r="J126" s="198"/>
      <c r="K126" s="199" t="s">
        <v>1064</v>
      </c>
      <c r="L126" s="198" t="s">
        <v>747</v>
      </c>
      <c r="M126" s="687">
        <f t="shared" ref="M126:AA126" si="193">M120*LOOKUP($AC115,$AF$3:$AN$3,$AF$9:$AN$9)</f>
        <v>0</v>
      </c>
      <c r="N126" s="687">
        <f t="shared" si="193"/>
        <v>0</v>
      </c>
      <c r="O126" s="687">
        <f t="shared" si="193"/>
        <v>0</v>
      </c>
      <c r="P126" s="687">
        <f t="shared" si="193"/>
        <v>0</v>
      </c>
      <c r="Q126" s="687">
        <f t="shared" si="193"/>
        <v>0</v>
      </c>
      <c r="R126" s="687">
        <f t="shared" si="193"/>
        <v>0</v>
      </c>
      <c r="S126" s="687">
        <f t="shared" si="193"/>
        <v>0</v>
      </c>
      <c r="T126" s="687">
        <f t="shared" si="193"/>
        <v>0</v>
      </c>
      <c r="U126" s="687">
        <f t="shared" si="193"/>
        <v>0</v>
      </c>
      <c r="V126" s="687">
        <f t="shared" si="193"/>
        <v>0</v>
      </c>
      <c r="W126" s="687">
        <f t="shared" si="193"/>
        <v>0</v>
      </c>
      <c r="X126" s="687">
        <f t="shared" si="193"/>
        <v>0</v>
      </c>
      <c r="Y126" s="687">
        <f t="shared" si="193"/>
        <v>0</v>
      </c>
      <c r="Z126" s="687">
        <f t="shared" si="193"/>
        <v>0</v>
      </c>
      <c r="AA126" s="687">
        <f t="shared" si="193"/>
        <v>0</v>
      </c>
      <c r="AV126" s="699" t="str">
        <f t="shared" si="182"/>
        <v/>
      </c>
    </row>
    <row r="127" spans="1:64" s="35" customFormat="1" x14ac:dyDescent="0.3">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4" t="str">
        <f>IF(AD130-SUM(AC16:AC17)&lt;0,"too small",IF(AD130-SUM(AC16:AC17)&gt;0.001,"Too big","ok"))</f>
        <v>ok</v>
      </c>
      <c r="AE127" s="618" t="str">
        <f t="shared" ref="AE127:AS127" si="195">IF(AE130-SUM(M16:M17)&lt;0,"too small",IF(AE130-SUM(M16:M17)&gt;0.001,"Too big","ok"))</f>
        <v>ok</v>
      </c>
      <c r="AF127" s="618" t="str">
        <f t="shared" si="195"/>
        <v>ok</v>
      </c>
      <c r="AG127" s="618" t="str">
        <f t="shared" si="195"/>
        <v>ok</v>
      </c>
      <c r="AH127" s="618" t="str">
        <f t="shared" si="195"/>
        <v>ok</v>
      </c>
      <c r="AI127" s="618" t="str">
        <f t="shared" si="195"/>
        <v>ok</v>
      </c>
      <c r="AJ127" s="618" t="str">
        <f t="shared" si="195"/>
        <v>ok</v>
      </c>
      <c r="AK127" s="618" t="str">
        <f t="shared" si="195"/>
        <v>ok</v>
      </c>
      <c r="AL127" s="618" t="str">
        <f t="shared" si="195"/>
        <v>ok</v>
      </c>
      <c r="AM127" s="618" t="str">
        <f t="shared" si="195"/>
        <v>ok</v>
      </c>
      <c r="AN127" s="618" t="str">
        <f t="shared" si="195"/>
        <v>ok</v>
      </c>
      <c r="AO127" s="618" t="str">
        <f t="shared" si="195"/>
        <v>ok</v>
      </c>
      <c r="AP127" s="618" t="str">
        <f t="shared" si="195"/>
        <v>ok</v>
      </c>
      <c r="AQ127" s="618" t="str">
        <f t="shared" si="195"/>
        <v>ok</v>
      </c>
      <c r="AR127" s="618" t="str">
        <f t="shared" si="195"/>
        <v>ok</v>
      </c>
      <c r="AS127" s="618" t="str">
        <f t="shared" si="195"/>
        <v>ok</v>
      </c>
      <c r="AV127" s="699" t="str">
        <f t="shared" si="182"/>
        <v>TRAELR</v>
      </c>
      <c r="AW127" s="567">
        <f>SUM(AX127:BL127)</f>
        <v>0</v>
      </c>
      <c r="AX127" s="567">
        <f>M131*M132/M128/1000</f>
        <v>0</v>
      </c>
      <c r="AY127" s="567">
        <f t="shared" ref="AY127" si="196">N131*N132/N128/1000</f>
        <v>0</v>
      </c>
      <c r="AZ127" s="567">
        <f t="shared" ref="AZ127" si="197">O131*O132/O128/1000</f>
        <v>0</v>
      </c>
      <c r="BA127" s="567">
        <f t="shared" ref="BA127" si="198">P131*P132/P128/1000</f>
        <v>0</v>
      </c>
      <c r="BB127" s="567">
        <f t="shared" ref="BB127" si="199">Q131*Q132/Q128/1000</f>
        <v>0</v>
      </c>
      <c r="BC127" s="567">
        <f t="shared" ref="BC127" si="200">R131*R132/R128/1000</f>
        <v>0</v>
      </c>
      <c r="BD127" s="567">
        <f t="shared" ref="BD127" si="201">S131*S132/S128/1000</f>
        <v>0</v>
      </c>
      <c r="BE127" s="567">
        <f t="shared" ref="BE127" si="202">T131*T132/T128/1000</f>
        <v>0</v>
      </c>
      <c r="BF127" s="567">
        <f t="shared" ref="BF127" si="203">U131*U132/U128/1000</f>
        <v>0</v>
      </c>
      <c r="BG127" s="567">
        <f t="shared" ref="BG127" si="204">V131*V132/V128/1000</f>
        <v>0</v>
      </c>
      <c r="BH127" s="567">
        <f t="shared" ref="BH127" si="205">W131*W132/W128/1000</f>
        <v>0</v>
      </c>
      <c r="BI127" s="567">
        <f t="shared" ref="BI127" si="206">X131*X132/X128/1000</f>
        <v>0</v>
      </c>
      <c r="BJ127" s="567">
        <f t="shared" ref="BJ127" si="207">Y131*Y132/Y128/1000</f>
        <v>0</v>
      </c>
      <c r="BK127" s="567">
        <f t="shared" ref="BK127" si="208">Z131*Z132/Z128/1000</f>
        <v>0</v>
      </c>
      <c r="BL127" s="567">
        <f t="shared" ref="BL127" si="209">AA131*AA132/AA128/1000</f>
        <v>0</v>
      </c>
    </row>
    <row r="128" spans="1:64" s="35" customFormat="1" x14ac:dyDescent="0.3">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2"/>
      <c r="AE128" s="618"/>
      <c r="AF128" s="618"/>
      <c r="AG128" s="618"/>
      <c r="AH128" s="618"/>
      <c r="AI128" s="618"/>
      <c r="AJ128" s="618"/>
      <c r="AK128" s="618"/>
      <c r="AL128" s="618"/>
      <c r="AM128" s="618"/>
      <c r="AN128" s="618"/>
      <c r="AO128" s="618"/>
      <c r="AP128" s="618"/>
      <c r="AQ128" s="618"/>
      <c r="AR128" s="618"/>
      <c r="AS128" s="618"/>
      <c r="AV128" s="699" t="str">
        <f t="shared" si="182"/>
        <v/>
      </c>
      <c r="AW128" s="567"/>
      <c r="AX128" s="567"/>
      <c r="AY128" s="567"/>
      <c r="AZ128" s="567"/>
      <c r="BA128" s="567"/>
      <c r="BB128" s="567"/>
      <c r="BC128" s="567"/>
      <c r="BD128" s="567"/>
      <c r="BE128" s="567"/>
      <c r="BF128" s="567"/>
      <c r="BG128" s="567"/>
      <c r="BH128" s="567"/>
      <c r="BI128" s="567"/>
      <c r="BJ128" s="567"/>
      <c r="BK128" s="567"/>
      <c r="BL128" s="567"/>
    </row>
    <row r="129" spans="1:48" s="35" customFormat="1" x14ac:dyDescent="0.3">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699" t="str">
        <f t="shared" si="182"/>
        <v/>
      </c>
    </row>
    <row r="130" spans="1:48" s="35" customFormat="1" x14ac:dyDescent="0.3">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1">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699" t="str">
        <f t="shared" si="182"/>
        <v/>
      </c>
    </row>
    <row r="131" spans="1:48" s="35" customFormat="1" x14ac:dyDescent="0.3">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699" t="str">
        <f t="shared" si="182"/>
        <v/>
      </c>
    </row>
    <row r="132" spans="1:48" s="35" customFormat="1" x14ac:dyDescent="0.3">
      <c r="B132" s="186" t="str">
        <f t="shared" si="210"/>
        <v>TTMEELC100</v>
      </c>
      <c r="C132" s="186"/>
      <c r="D132" s="187"/>
      <c r="E132" s="186"/>
      <c r="F132" s="189"/>
      <c r="G132" s="170"/>
      <c r="H132" s="190">
        <f>$L$3</f>
        <v>2019</v>
      </c>
      <c r="I132" s="191"/>
      <c r="J132" s="191"/>
      <c r="K132" s="192" t="s">
        <v>1064</v>
      </c>
      <c r="L132" s="191" t="s">
        <v>747</v>
      </c>
      <c r="M132" s="688">
        <f t="shared" ref="M132:AA132" si="213">IF(M131=0,0,ROUNDUP((M16+M17)/M130/M131*1000,8))</f>
        <v>0</v>
      </c>
      <c r="N132" s="688">
        <f t="shared" si="213"/>
        <v>0</v>
      </c>
      <c r="O132" s="688">
        <f t="shared" si="213"/>
        <v>0</v>
      </c>
      <c r="P132" s="688">
        <f t="shared" si="213"/>
        <v>0</v>
      </c>
      <c r="Q132" s="688">
        <f t="shared" si="213"/>
        <v>0</v>
      </c>
      <c r="R132" s="688">
        <f t="shared" si="213"/>
        <v>0</v>
      </c>
      <c r="S132" s="688">
        <f t="shared" si="213"/>
        <v>0</v>
      </c>
      <c r="T132" s="688">
        <f t="shared" si="213"/>
        <v>0</v>
      </c>
      <c r="U132" s="688">
        <f t="shared" si="213"/>
        <v>0</v>
      </c>
      <c r="V132" s="688">
        <f t="shared" si="213"/>
        <v>0</v>
      </c>
      <c r="W132" s="688">
        <f t="shared" si="213"/>
        <v>0</v>
      </c>
      <c r="X132" s="688">
        <f t="shared" si="213"/>
        <v>0</v>
      </c>
      <c r="Y132" s="688">
        <f t="shared" si="213"/>
        <v>0</v>
      </c>
      <c r="Z132" s="688">
        <f t="shared" si="213"/>
        <v>0</v>
      </c>
      <c r="AA132" s="688">
        <f t="shared" si="213"/>
        <v>0</v>
      </c>
      <c r="AV132" s="699" t="str">
        <f t="shared" si="182"/>
        <v/>
      </c>
    </row>
    <row r="133" spans="1:48" s="35" customFormat="1" x14ac:dyDescent="0.3">
      <c r="B133" s="186" t="str">
        <f t="shared" si="210"/>
        <v>TTMEELC100</v>
      </c>
      <c r="C133" s="186"/>
      <c r="D133" s="187"/>
      <c r="E133" s="186"/>
      <c r="F133" s="189"/>
      <c r="G133" s="170"/>
      <c r="H133" s="190">
        <f>AE$4</f>
        <v>2016</v>
      </c>
      <c r="I133" s="191"/>
      <c r="J133" s="191"/>
      <c r="K133" s="192" t="s">
        <v>1064</v>
      </c>
      <c r="L133" s="191" t="s">
        <v>747</v>
      </c>
      <c r="M133" s="686">
        <f t="shared" ref="M133:AA133" si="214">M132*LOOKUP($AC127,$AF$3:$AN$3,$AF$4:$AN$4)</f>
        <v>0</v>
      </c>
      <c r="N133" s="686">
        <f t="shared" si="214"/>
        <v>0</v>
      </c>
      <c r="O133" s="686">
        <f t="shared" si="214"/>
        <v>0</v>
      </c>
      <c r="P133" s="686">
        <f t="shared" si="214"/>
        <v>0</v>
      </c>
      <c r="Q133" s="686">
        <f t="shared" si="214"/>
        <v>0</v>
      </c>
      <c r="R133" s="686">
        <f t="shared" si="214"/>
        <v>0</v>
      </c>
      <c r="S133" s="686">
        <f t="shared" si="214"/>
        <v>0</v>
      </c>
      <c r="T133" s="686">
        <f t="shared" si="214"/>
        <v>0</v>
      </c>
      <c r="U133" s="686">
        <f t="shared" si="214"/>
        <v>0</v>
      </c>
      <c r="V133" s="686">
        <f t="shared" si="214"/>
        <v>0</v>
      </c>
      <c r="W133" s="686">
        <f t="shared" si="214"/>
        <v>0</v>
      </c>
      <c r="X133" s="686">
        <f t="shared" si="214"/>
        <v>0</v>
      </c>
      <c r="Y133" s="686">
        <f t="shared" si="214"/>
        <v>0</v>
      </c>
      <c r="Z133" s="686">
        <f t="shared" si="214"/>
        <v>0</v>
      </c>
      <c r="AA133" s="686">
        <f t="shared" si="214"/>
        <v>0</v>
      </c>
      <c r="AV133" s="699" t="str">
        <f t="shared" si="182"/>
        <v/>
      </c>
    </row>
    <row r="134" spans="1:48" s="35" customFormat="1" x14ac:dyDescent="0.3">
      <c r="B134" s="186" t="str">
        <f t="shared" si="210"/>
        <v>TTMEELC100</v>
      </c>
      <c r="C134" s="186"/>
      <c r="D134" s="187"/>
      <c r="E134" s="186"/>
      <c r="F134" s="189"/>
      <c r="G134" s="170"/>
      <c r="H134" s="190">
        <f>AE$5</f>
        <v>2020</v>
      </c>
      <c r="I134" s="191"/>
      <c r="J134" s="191"/>
      <c r="K134" s="192" t="s">
        <v>1064</v>
      </c>
      <c r="L134" s="191" t="s">
        <v>747</v>
      </c>
      <c r="M134" s="686">
        <f t="shared" ref="M134:AA134" si="215">M132*LOOKUP($AC127,$AF$3:$AN$3,$AF$5:$AN$5)</f>
        <v>0</v>
      </c>
      <c r="N134" s="686">
        <f t="shared" si="215"/>
        <v>0</v>
      </c>
      <c r="O134" s="686">
        <f t="shared" si="215"/>
        <v>0</v>
      </c>
      <c r="P134" s="686">
        <f t="shared" si="215"/>
        <v>0</v>
      </c>
      <c r="Q134" s="686">
        <f t="shared" si="215"/>
        <v>0</v>
      </c>
      <c r="R134" s="686">
        <f t="shared" si="215"/>
        <v>0</v>
      </c>
      <c r="S134" s="686">
        <f t="shared" si="215"/>
        <v>0</v>
      </c>
      <c r="T134" s="686">
        <f t="shared" si="215"/>
        <v>0</v>
      </c>
      <c r="U134" s="686">
        <f t="shared" si="215"/>
        <v>0</v>
      </c>
      <c r="V134" s="686">
        <f t="shared" si="215"/>
        <v>0</v>
      </c>
      <c r="W134" s="686">
        <f t="shared" si="215"/>
        <v>0</v>
      </c>
      <c r="X134" s="686">
        <f t="shared" si="215"/>
        <v>0</v>
      </c>
      <c r="Y134" s="686">
        <f t="shared" si="215"/>
        <v>0</v>
      </c>
      <c r="Z134" s="686">
        <f t="shared" si="215"/>
        <v>0</v>
      </c>
      <c r="AA134" s="686">
        <f t="shared" si="215"/>
        <v>0</v>
      </c>
      <c r="AV134" s="699" t="str">
        <f t="shared" si="182"/>
        <v/>
      </c>
    </row>
    <row r="135" spans="1:48" s="35" customFormat="1" x14ac:dyDescent="0.3">
      <c r="B135" s="186" t="str">
        <f t="shared" si="210"/>
        <v>TTMEELC100</v>
      </c>
      <c r="C135" s="186"/>
      <c r="D135" s="187"/>
      <c r="E135" s="186"/>
      <c r="F135" s="189"/>
      <c r="G135" s="170"/>
      <c r="H135" s="190">
        <f>AE$6</f>
        <v>2025</v>
      </c>
      <c r="I135" s="191"/>
      <c r="J135" s="191"/>
      <c r="K135" s="192" t="s">
        <v>1064</v>
      </c>
      <c r="L135" s="191" t="s">
        <v>747</v>
      </c>
      <c r="M135" s="686">
        <f t="shared" ref="M135:AA135" si="216">M132*LOOKUP($AC127,$AF$3:$AN$3,$AF$6:$AN$6)</f>
        <v>0</v>
      </c>
      <c r="N135" s="686">
        <f t="shared" si="216"/>
        <v>0</v>
      </c>
      <c r="O135" s="686">
        <f t="shared" si="216"/>
        <v>0</v>
      </c>
      <c r="P135" s="686">
        <f t="shared" si="216"/>
        <v>0</v>
      </c>
      <c r="Q135" s="686">
        <f t="shared" si="216"/>
        <v>0</v>
      </c>
      <c r="R135" s="686">
        <f t="shared" si="216"/>
        <v>0</v>
      </c>
      <c r="S135" s="686">
        <f t="shared" si="216"/>
        <v>0</v>
      </c>
      <c r="T135" s="686">
        <f t="shared" si="216"/>
        <v>0</v>
      </c>
      <c r="U135" s="686">
        <f t="shared" si="216"/>
        <v>0</v>
      </c>
      <c r="V135" s="686">
        <f t="shared" si="216"/>
        <v>0</v>
      </c>
      <c r="W135" s="686">
        <f t="shared" si="216"/>
        <v>0</v>
      </c>
      <c r="X135" s="686">
        <f t="shared" si="216"/>
        <v>0</v>
      </c>
      <c r="Y135" s="686">
        <f t="shared" si="216"/>
        <v>0</v>
      </c>
      <c r="Z135" s="686">
        <f t="shared" si="216"/>
        <v>0</v>
      </c>
      <c r="AA135" s="686">
        <f t="shared" si="216"/>
        <v>0</v>
      </c>
      <c r="AV135" s="699" t="str">
        <f t="shared" si="182"/>
        <v/>
      </c>
    </row>
    <row r="136" spans="1:48" s="35" customFormat="1" x14ac:dyDescent="0.3">
      <c r="B136" s="186" t="str">
        <f t="shared" si="210"/>
        <v>TTMEELC100</v>
      </c>
      <c r="C136" s="186"/>
      <c r="D136" s="187"/>
      <c r="E136" s="186"/>
      <c r="F136" s="189"/>
      <c r="G136" s="170"/>
      <c r="H136" s="190">
        <f>AE$7</f>
        <v>2030</v>
      </c>
      <c r="I136" s="191"/>
      <c r="J136" s="191"/>
      <c r="K136" s="192" t="s">
        <v>1064</v>
      </c>
      <c r="L136" s="191" t="s">
        <v>747</v>
      </c>
      <c r="M136" s="686">
        <f t="shared" ref="M136:AA136" si="217">M132*LOOKUP($AC127,$AF$3:$AN$3,$AF$7:$AN$7)</f>
        <v>0</v>
      </c>
      <c r="N136" s="686">
        <f t="shared" si="217"/>
        <v>0</v>
      </c>
      <c r="O136" s="686">
        <f t="shared" si="217"/>
        <v>0</v>
      </c>
      <c r="P136" s="686">
        <f t="shared" si="217"/>
        <v>0</v>
      </c>
      <c r="Q136" s="686">
        <f t="shared" si="217"/>
        <v>0</v>
      </c>
      <c r="R136" s="686">
        <f t="shared" si="217"/>
        <v>0</v>
      </c>
      <c r="S136" s="686">
        <f t="shared" si="217"/>
        <v>0</v>
      </c>
      <c r="T136" s="686">
        <f t="shared" si="217"/>
        <v>0</v>
      </c>
      <c r="U136" s="686">
        <f t="shared" si="217"/>
        <v>0</v>
      </c>
      <c r="V136" s="686">
        <f t="shared" si="217"/>
        <v>0</v>
      </c>
      <c r="W136" s="686">
        <f t="shared" si="217"/>
        <v>0</v>
      </c>
      <c r="X136" s="686">
        <f t="shared" si="217"/>
        <v>0</v>
      </c>
      <c r="Y136" s="686">
        <f t="shared" si="217"/>
        <v>0</v>
      </c>
      <c r="Z136" s="686">
        <f t="shared" si="217"/>
        <v>0</v>
      </c>
      <c r="AA136" s="686">
        <f t="shared" si="217"/>
        <v>0</v>
      </c>
      <c r="AV136" s="699" t="str">
        <f t="shared" si="182"/>
        <v/>
      </c>
    </row>
    <row r="137" spans="1:48" s="35" customFormat="1" x14ac:dyDescent="0.3">
      <c r="B137" s="186" t="str">
        <f t="shared" si="210"/>
        <v>TTMEELC100</v>
      </c>
      <c r="C137" s="186"/>
      <c r="D137" s="187"/>
      <c r="E137" s="186"/>
      <c r="F137" s="189"/>
      <c r="G137" s="170"/>
      <c r="H137" s="190">
        <f>AE$8</f>
        <v>2040</v>
      </c>
      <c r="I137" s="191"/>
      <c r="J137" s="191"/>
      <c r="K137" s="192" t="s">
        <v>1064</v>
      </c>
      <c r="L137" s="191" t="s">
        <v>747</v>
      </c>
      <c r="M137" s="686">
        <f t="shared" ref="M137:AA137" si="218">M132*LOOKUP($AC127,$AF$3:$AN$3,$AF$8:$AN$8)</f>
        <v>0</v>
      </c>
      <c r="N137" s="686">
        <f t="shared" si="218"/>
        <v>0</v>
      </c>
      <c r="O137" s="686">
        <f t="shared" si="218"/>
        <v>0</v>
      </c>
      <c r="P137" s="686">
        <f t="shared" si="218"/>
        <v>0</v>
      </c>
      <c r="Q137" s="686">
        <f t="shared" si="218"/>
        <v>0</v>
      </c>
      <c r="R137" s="686">
        <f t="shared" si="218"/>
        <v>0</v>
      </c>
      <c r="S137" s="686">
        <f t="shared" si="218"/>
        <v>0</v>
      </c>
      <c r="T137" s="686">
        <f t="shared" si="218"/>
        <v>0</v>
      </c>
      <c r="U137" s="686">
        <f t="shared" si="218"/>
        <v>0</v>
      </c>
      <c r="V137" s="686">
        <f t="shared" si="218"/>
        <v>0</v>
      </c>
      <c r="W137" s="686">
        <f t="shared" si="218"/>
        <v>0</v>
      </c>
      <c r="X137" s="686">
        <f t="shared" si="218"/>
        <v>0</v>
      </c>
      <c r="Y137" s="686">
        <f t="shared" si="218"/>
        <v>0</v>
      </c>
      <c r="Z137" s="686">
        <f t="shared" si="218"/>
        <v>0</v>
      </c>
      <c r="AA137" s="686">
        <f t="shared" si="218"/>
        <v>0</v>
      </c>
      <c r="AV137" s="699" t="str">
        <f t="shared" si="182"/>
        <v/>
      </c>
    </row>
    <row r="138" spans="1:48" s="35" customFormat="1" x14ac:dyDescent="0.3">
      <c r="B138" s="193" t="str">
        <f t="shared" si="210"/>
        <v>TTMEELC100</v>
      </c>
      <c r="C138" s="193"/>
      <c r="D138" s="194"/>
      <c r="E138" s="193"/>
      <c r="F138" s="195"/>
      <c r="G138" s="196"/>
      <c r="H138" s="197">
        <f>AE$9</f>
        <v>2050</v>
      </c>
      <c r="I138" s="198"/>
      <c r="J138" s="198"/>
      <c r="K138" s="199" t="s">
        <v>1064</v>
      </c>
      <c r="L138" s="198" t="s">
        <v>747</v>
      </c>
      <c r="M138" s="687">
        <f t="shared" ref="M138:AA138" si="219">M132*LOOKUP($AC127,$AF$3:$AN$3,$AF$9:$AN$9)</f>
        <v>0</v>
      </c>
      <c r="N138" s="687">
        <f t="shared" si="219"/>
        <v>0</v>
      </c>
      <c r="O138" s="687">
        <f t="shared" si="219"/>
        <v>0</v>
      </c>
      <c r="P138" s="687">
        <f t="shared" si="219"/>
        <v>0</v>
      </c>
      <c r="Q138" s="687">
        <f t="shared" si="219"/>
        <v>0</v>
      </c>
      <c r="R138" s="687">
        <f t="shared" si="219"/>
        <v>0</v>
      </c>
      <c r="S138" s="687">
        <f t="shared" si="219"/>
        <v>0</v>
      </c>
      <c r="T138" s="687">
        <f t="shared" si="219"/>
        <v>0</v>
      </c>
      <c r="U138" s="687">
        <f t="shared" si="219"/>
        <v>0</v>
      </c>
      <c r="V138" s="687">
        <f t="shared" si="219"/>
        <v>0</v>
      </c>
      <c r="W138" s="687">
        <f t="shared" si="219"/>
        <v>0</v>
      </c>
      <c r="X138" s="687">
        <f t="shared" si="219"/>
        <v>0</v>
      </c>
      <c r="Y138" s="687">
        <f t="shared" si="219"/>
        <v>0</v>
      </c>
      <c r="Z138" s="687">
        <f t="shared" si="219"/>
        <v>0</v>
      </c>
      <c r="AA138" s="687">
        <f t="shared" si="219"/>
        <v>0</v>
      </c>
      <c r="AV138" s="699" t="str">
        <f t="shared" si="182"/>
        <v/>
      </c>
    </row>
    <row r="139" spans="1:48" s="22" customFormat="1" x14ac:dyDescent="0.3">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3">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33203125" defaultRowHeight="14.4" x14ac:dyDescent="0.3"/>
  <cols>
    <col min="1" max="1" width="3.33203125" style="33" customWidth="1"/>
    <col min="2" max="2" width="31.6640625" style="33" customWidth="1"/>
    <col min="3" max="3" width="10.6640625" style="33" bestFit="1" customWidth="1"/>
    <col min="4" max="4" width="37.6640625" style="33" bestFit="1" customWidth="1"/>
    <col min="5" max="6" width="13.33203125" style="33" customWidth="1"/>
    <col min="7" max="7" width="11.6640625" style="33" customWidth="1"/>
    <col min="8" max="8" width="15.5546875" style="33" bestFit="1" customWidth="1"/>
    <col min="9" max="9" width="36.6640625" style="33" bestFit="1" customWidth="1"/>
    <col min="10" max="10" width="14.33203125" style="33" bestFit="1" customWidth="1"/>
    <col min="11" max="11" width="19.6640625" style="33" customWidth="1"/>
    <col min="12" max="12" width="23.44140625" style="33" customWidth="1"/>
    <col min="13" max="13" width="17.33203125" style="33" customWidth="1"/>
    <col min="14" max="15" width="13.5546875" style="33" customWidth="1"/>
    <col min="16" max="16" width="15.44140625" style="33" customWidth="1"/>
    <col min="17" max="19" width="13.5546875" style="33" customWidth="1"/>
    <col min="20" max="27" width="12.6640625" style="33" bestFit="1" customWidth="1"/>
    <col min="28" max="28" width="10.6640625" style="33" customWidth="1"/>
    <col min="29" max="44" width="2.6640625" style="33" customWidth="1"/>
    <col min="45" max="45" width="4.5546875" style="33" bestFit="1"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0" t="s">
        <v>85</v>
      </c>
      <c r="AW4" s="700" t="s">
        <v>421</v>
      </c>
      <c r="AX4" s="700" t="str">
        <f t="shared" ref="AX4:BL4" si="2">M$2</f>
        <v>Z01</v>
      </c>
      <c r="AY4" s="700" t="str">
        <f t="shared" si="2"/>
        <v>Z02</v>
      </c>
      <c r="AZ4" s="700" t="str">
        <f t="shared" si="2"/>
        <v>Z03</v>
      </c>
      <c r="BA4" s="700" t="str">
        <f t="shared" si="2"/>
        <v>Z04</v>
      </c>
      <c r="BB4" s="700" t="str">
        <f t="shared" si="2"/>
        <v>Z05</v>
      </c>
      <c r="BC4" s="700" t="str">
        <f t="shared" si="2"/>
        <v>Z06</v>
      </c>
      <c r="BD4" s="700" t="str">
        <f t="shared" si="2"/>
        <v>Z07</v>
      </c>
      <c r="BE4" s="700" t="str">
        <f t="shared" si="2"/>
        <v>Z08</v>
      </c>
      <c r="BF4" s="700" t="str">
        <f t="shared" si="2"/>
        <v>Z09</v>
      </c>
      <c r="BG4" s="700" t="str">
        <f t="shared" si="2"/>
        <v>Z10</v>
      </c>
      <c r="BH4" s="700" t="str">
        <f t="shared" si="2"/>
        <v>Z11</v>
      </c>
      <c r="BI4" s="700" t="str">
        <f t="shared" si="2"/>
        <v>Z12</v>
      </c>
      <c r="BJ4" s="700" t="str">
        <f t="shared" si="2"/>
        <v>Z13</v>
      </c>
      <c r="BK4" s="700" t="str">
        <f t="shared" si="2"/>
        <v>Z14</v>
      </c>
      <c r="BL4" s="700"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0">
        <f>AD5</f>
        <v>0.99</v>
      </c>
      <c r="AF5" s="610">
        <f>AE5</f>
        <v>0.99</v>
      </c>
      <c r="AV5" s="398" t="s">
        <v>103</v>
      </c>
      <c r="AW5" s="709">
        <f>SUM(AX5:BL5)</f>
        <v>0</v>
      </c>
      <c r="AX5" s="708">
        <f>SUM(AX6:AX22)</f>
        <v>0</v>
      </c>
      <c r="AY5" s="708">
        <f t="shared" ref="AY5:BL5" si="3">SUM(AY6:AY22)</f>
        <v>0</v>
      </c>
      <c r="AZ5" s="708">
        <f t="shared" si="3"/>
        <v>0</v>
      </c>
      <c r="BA5" s="708">
        <f t="shared" si="3"/>
        <v>0</v>
      </c>
      <c r="BB5" s="708">
        <f t="shared" si="3"/>
        <v>0</v>
      </c>
      <c r="BC5" s="708">
        <f t="shared" si="3"/>
        <v>0</v>
      </c>
      <c r="BD5" s="708">
        <f t="shared" si="3"/>
        <v>0</v>
      </c>
      <c r="BE5" s="708">
        <f t="shared" si="3"/>
        <v>0</v>
      </c>
      <c r="BF5" s="708">
        <f t="shared" si="3"/>
        <v>0</v>
      </c>
      <c r="BG5" s="708">
        <f t="shared" si="3"/>
        <v>0</v>
      </c>
      <c r="BH5" s="708">
        <f t="shared" si="3"/>
        <v>0</v>
      </c>
      <c r="BI5" s="708">
        <f t="shared" si="3"/>
        <v>0</v>
      </c>
      <c r="BJ5" s="708">
        <f t="shared" si="3"/>
        <v>0</v>
      </c>
      <c r="BK5" s="708">
        <f t="shared" si="3"/>
        <v>0</v>
      </c>
      <c r="BL5" s="708">
        <f t="shared" si="3"/>
        <v>0</v>
      </c>
    </row>
    <row r="6" spans="1:64" s="35" customFormat="1" x14ac:dyDescent="0.3">
      <c r="H6" s="36"/>
      <c r="AC6" s="38">
        <f>AC5+5</f>
        <v>2025</v>
      </c>
      <c r="AD6" s="67">
        <v>0.98</v>
      </c>
      <c r="AE6" s="610">
        <f t="shared" ref="AE6:AF6" si="4">AD6</f>
        <v>0.98</v>
      </c>
      <c r="AF6" s="610">
        <f t="shared" si="4"/>
        <v>0.98</v>
      </c>
      <c r="AV6" s="724" t="s">
        <v>987</v>
      </c>
      <c r="AW6" s="729">
        <f t="shared" ref="AW6:AW22" si="5">SUM(AX6:BL6)</f>
        <v>0</v>
      </c>
      <c r="AX6" s="722"/>
      <c r="AY6" s="722"/>
      <c r="AZ6" s="722"/>
      <c r="BA6" s="722"/>
      <c r="BB6" s="722"/>
      <c r="BC6" s="722"/>
      <c r="BD6" s="722"/>
      <c r="BE6" s="722"/>
      <c r="BF6" s="722"/>
      <c r="BG6" s="722"/>
      <c r="BH6" s="722"/>
      <c r="BI6" s="722"/>
      <c r="BJ6" s="722"/>
      <c r="BK6" s="722"/>
      <c r="BL6" s="722"/>
    </row>
    <row r="7" spans="1:64" x14ac:dyDescent="0.3">
      <c r="B7" s="34"/>
      <c r="G7" s="19"/>
      <c r="H7" s="19"/>
      <c r="K7" s="40" t="s">
        <v>1050</v>
      </c>
      <c r="L7" s="40"/>
      <c r="Q7" s="41"/>
      <c r="AC7" s="38">
        <f>AC6+5</f>
        <v>2030</v>
      </c>
      <c r="AD7" s="67">
        <v>0.95</v>
      </c>
      <c r="AE7" s="610">
        <f t="shared" ref="AE7:AF7" si="6">AD7</f>
        <v>0.95</v>
      </c>
      <c r="AF7" s="610">
        <f t="shared" si="6"/>
        <v>0.95</v>
      </c>
      <c r="AV7" s="724" t="s">
        <v>993</v>
      </c>
      <c r="AW7" s="729">
        <f t="shared" si="5"/>
        <v>0</v>
      </c>
      <c r="AX7" s="722"/>
      <c r="AY7" s="722"/>
      <c r="AZ7" s="722"/>
      <c r="BA7" s="722"/>
      <c r="BB7" s="722"/>
      <c r="BC7" s="722"/>
      <c r="BD7" s="722"/>
      <c r="BE7" s="722"/>
      <c r="BF7" s="722"/>
      <c r="BG7" s="722"/>
      <c r="BH7" s="722"/>
      <c r="BI7" s="722"/>
      <c r="BJ7" s="722"/>
      <c r="BK7" s="722"/>
      <c r="BL7" s="722"/>
    </row>
    <row r="8" spans="1:64" x14ac:dyDescent="0.3">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0">
        <f t="shared" ref="AE8:AF8" si="8">AD8</f>
        <v>0.9</v>
      </c>
      <c r="AF8" s="610">
        <f t="shared" si="8"/>
        <v>0.9</v>
      </c>
      <c r="AV8" s="724" t="s">
        <v>997</v>
      </c>
      <c r="AW8" s="729">
        <f t="shared" si="5"/>
        <v>0</v>
      </c>
      <c r="AX8" s="724"/>
      <c r="AY8" s="724"/>
      <c r="AZ8" s="724"/>
      <c r="BA8" s="724"/>
      <c r="BB8" s="724"/>
      <c r="BC8" s="724"/>
      <c r="BD8" s="724"/>
      <c r="BE8" s="724"/>
      <c r="BF8" s="724"/>
      <c r="BG8" s="724"/>
      <c r="BH8" s="724"/>
      <c r="BI8" s="724"/>
      <c r="BJ8" s="724"/>
      <c r="BK8" s="724"/>
      <c r="BL8" s="724"/>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0">
        <f t="shared" ref="AE9:AF9" si="9">AD9</f>
        <v>0.85</v>
      </c>
      <c r="AF9" s="610">
        <f t="shared" si="9"/>
        <v>0.85</v>
      </c>
      <c r="AV9" s="726" t="s">
        <v>999</v>
      </c>
      <c r="AW9" s="729">
        <f t="shared" si="5"/>
        <v>0</v>
      </c>
      <c r="AX9" s="725"/>
      <c r="AY9" s="725"/>
      <c r="AZ9" s="725"/>
      <c r="BA9" s="725"/>
      <c r="BB9" s="725"/>
      <c r="BC9" s="725"/>
      <c r="BD9" s="725"/>
      <c r="BE9" s="725"/>
      <c r="BF9" s="725"/>
      <c r="BG9" s="725"/>
      <c r="BH9" s="725"/>
      <c r="BI9" s="725"/>
      <c r="BJ9" s="725"/>
      <c r="BK9" s="725"/>
      <c r="BL9" s="725"/>
    </row>
    <row r="10" spans="1:64" x14ac:dyDescent="0.3">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7" t="s">
        <v>185</v>
      </c>
      <c r="AW10" s="729">
        <f t="shared" si="5"/>
        <v>0</v>
      </c>
      <c r="AX10" s="722"/>
      <c r="AY10" s="722"/>
      <c r="AZ10" s="722"/>
      <c r="BA10" s="722"/>
      <c r="BB10" s="722"/>
      <c r="BC10" s="722"/>
      <c r="BD10" s="722"/>
      <c r="BE10" s="722"/>
      <c r="BF10" s="722"/>
      <c r="BG10" s="722"/>
      <c r="BH10" s="722"/>
      <c r="BI10" s="722"/>
      <c r="BJ10" s="722"/>
      <c r="BK10" s="722"/>
      <c r="BL10" s="722"/>
    </row>
    <row r="11" spans="1:64" x14ac:dyDescent="0.3">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7" t="s">
        <v>682</v>
      </c>
      <c r="AW11" s="729">
        <f t="shared" si="5"/>
        <v>0</v>
      </c>
      <c r="AX11" s="730"/>
      <c r="AY11" s="730"/>
      <c r="AZ11" s="730"/>
      <c r="BA11" s="730"/>
      <c r="BB11" s="730"/>
      <c r="BC11" s="730"/>
      <c r="BD11" s="730"/>
      <c r="BE11" s="730"/>
      <c r="BF11" s="730"/>
      <c r="BG11" s="730"/>
      <c r="BH11" s="730"/>
      <c r="BI11" s="730"/>
      <c r="BJ11" s="730"/>
      <c r="BK11" s="730"/>
      <c r="BL11" s="730"/>
    </row>
    <row r="12" spans="1:64" x14ac:dyDescent="0.3">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8">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7" t="s">
        <v>1009</v>
      </c>
      <c r="AW12" s="729">
        <f t="shared" si="5"/>
        <v>0</v>
      </c>
      <c r="AX12" s="722"/>
      <c r="AY12" s="722"/>
      <c r="AZ12" s="722"/>
      <c r="BA12" s="722"/>
      <c r="BB12" s="722"/>
      <c r="BC12" s="722"/>
      <c r="BD12" s="722"/>
      <c r="BE12" s="722"/>
      <c r="BF12" s="722"/>
      <c r="BG12" s="722"/>
      <c r="BH12" s="722"/>
      <c r="BI12" s="722"/>
      <c r="BJ12" s="722"/>
      <c r="BK12" s="722"/>
      <c r="BL12" s="722"/>
    </row>
    <row r="13" spans="1:64" x14ac:dyDescent="0.3">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7" t="s">
        <v>1011</v>
      </c>
      <c r="AW13" s="729">
        <f t="shared" si="5"/>
        <v>0</v>
      </c>
      <c r="AX13" s="722"/>
      <c r="AY13" s="722"/>
      <c r="AZ13" s="722"/>
      <c r="BA13" s="722"/>
      <c r="BB13" s="722"/>
      <c r="BC13" s="722"/>
      <c r="BD13" s="722"/>
      <c r="BE13" s="722"/>
      <c r="BF13" s="722"/>
      <c r="BG13" s="722"/>
      <c r="BH13" s="722"/>
      <c r="BI13" s="722"/>
      <c r="BJ13" s="722"/>
      <c r="BK13" s="722"/>
      <c r="BL13" s="722"/>
    </row>
    <row r="14" spans="1:64" x14ac:dyDescent="0.3">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7" t="s">
        <v>1013</v>
      </c>
      <c r="AW14" s="729">
        <f t="shared" si="5"/>
        <v>0</v>
      </c>
      <c r="AX14" s="722"/>
      <c r="AY14" s="722"/>
      <c r="AZ14" s="722"/>
      <c r="BA14" s="722"/>
      <c r="BB14" s="722"/>
      <c r="BC14" s="722"/>
      <c r="BD14" s="722"/>
      <c r="BE14" s="722"/>
      <c r="BF14" s="722"/>
      <c r="BG14" s="722"/>
      <c r="BH14" s="722"/>
      <c r="BI14" s="722"/>
      <c r="BJ14" s="722"/>
      <c r="BK14" s="722"/>
      <c r="BL14" s="722"/>
    </row>
    <row r="15" spans="1:64" x14ac:dyDescent="0.3">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7" t="s">
        <v>1015</v>
      </c>
      <c r="AW15" s="729">
        <f t="shared" si="5"/>
        <v>0</v>
      </c>
      <c r="AX15" s="724"/>
      <c r="AY15" s="724"/>
      <c r="AZ15" s="724"/>
      <c r="BA15" s="724"/>
      <c r="BB15" s="724"/>
      <c r="BC15" s="724"/>
      <c r="BD15" s="724"/>
      <c r="BE15" s="724"/>
      <c r="BF15" s="724"/>
      <c r="BG15" s="724"/>
      <c r="BH15" s="724"/>
      <c r="BI15" s="724"/>
      <c r="BJ15" s="724"/>
      <c r="BK15" s="724"/>
      <c r="BL15" s="724"/>
    </row>
    <row r="16" spans="1:64" x14ac:dyDescent="0.3">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7" t="s">
        <v>1022</v>
      </c>
      <c r="AW16" s="729">
        <f t="shared" si="5"/>
        <v>0</v>
      </c>
      <c r="AX16" s="730">
        <f>AX28</f>
        <v>0</v>
      </c>
      <c r="AY16" s="724">
        <f t="shared" ref="AY16:BL16" si="10">AY28</f>
        <v>0</v>
      </c>
      <c r="AZ16" s="724">
        <f t="shared" si="10"/>
        <v>0</v>
      </c>
      <c r="BA16" s="724">
        <f t="shared" si="10"/>
        <v>0</v>
      </c>
      <c r="BB16" s="724">
        <f t="shared" si="10"/>
        <v>0</v>
      </c>
      <c r="BC16" s="724">
        <f t="shared" si="10"/>
        <v>0</v>
      </c>
      <c r="BD16" s="724">
        <f t="shared" si="10"/>
        <v>0</v>
      </c>
      <c r="BE16" s="724">
        <f t="shared" si="10"/>
        <v>0</v>
      </c>
      <c r="BF16" s="724">
        <f t="shared" si="10"/>
        <v>0</v>
      </c>
      <c r="BG16" s="724">
        <f t="shared" si="10"/>
        <v>0</v>
      </c>
      <c r="BH16" s="724">
        <f t="shared" si="10"/>
        <v>0</v>
      </c>
      <c r="BI16" s="724">
        <f t="shared" si="10"/>
        <v>0</v>
      </c>
      <c r="BJ16" s="724">
        <f t="shared" si="10"/>
        <v>0</v>
      </c>
      <c r="BK16" s="724">
        <f t="shared" si="10"/>
        <v>0</v>
      </c>
      <c r="BL16" s="724">
        <f t="shared" si="10"/>
        <v>0</v>
      </c>
    </row>
    <row r="17" spans="1:64" x14ac:dyDescent="0.3">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4" t="s">
        <v>680</v>
      </c>
      <c r="AW17" s="729">
        <f t="shared" si="5"/>
        <v>0</v>
      </c>
      <c r="AX17" s="730"/>
      <c r="AY17" s="722"/>
      <c r="AZ17" s="722"/>
      <c r="BA17" s="722"/>
      <c r="BB17" s="722"/>
      <c r="BC17" s="722"/>
      <c r="BD17" s="722"/>
      <c r="BE17" s="722"/>
      <c r="BF17" s="722"/>
      <c r="BG17" s="722"/>
      <c r="BH17" s="722"/>
      <c r="BI17" s="722"/>
      <c r="BJ17" s="722"/>
      <c r="BK17" s="722"/>
      <c r="BL17" s="722"/>
    </row>
    <row r="18" spans="1:64" x14ac:dyDescent="0.3">
      <c r="A18" s="44"/>
      <c r="B18" s="44"/>
      <c r="C18" s="44"/>
      <c r="D18" s="35"/>
      <c r="E18" s="35"/>
      <c r="F18" s="44"/>
      <c r="G18" s="35"/>
      <c r="H18" s="35"/>
      <c r="I18" s="35"/>
      <c r="J18" s="35"/>
      <c r="K18" s="436"/>
      <c r="L18" s="173" t="s">
        <v>228</v>
      </c>
      <c r="M18" s="165">
        <f>T_ACTFLO!E42</f>
        <v>0</v>
      </c>
      <c r="N18" s="165">
        <f>T_ACTFLO!F42</f>
        <v>0</v>
      </c>
      <c r="O18" s="165">
        <f>T_ACTFLO!G42</f>
        <v>0</v>
      </c>
      <c r="P18" s="165">
        <f>T_ACTFLO!H42</f>
        <v>0</v>
      </c>
      <c r="Q18" s="165">
        <f>T_ACTFLO!I42</f>
        <v>0</v>
      </c>
      <c r="R18" s="165">
        <f>T_ACTFLO!J42</f>
        <v>0</v>
      </c>
      <c r="S18" s="165">
        <f>T_ACTFLO!K42</f>
        <v>0</v>
      </c>
      <c r="T18" s="165">
        <f>T_ACTFLO!L42</f>
        <v>0</v>
      </c>
      <c r="U18" s="165">
        <f>T_ACTFLO!M42</f>
        <v>0</v>
      </c>
      <c r="V18" s="165">
        <f>T_ACTFLO!N42</f>
        <v>0</v>
      </c>
      <c r="W18" s="165">
        <f>T_ACTFLO!O42</f>
        <v>0</v>
      </c>
      <c r="X18" s="165">
        <f>T_ACTFLO!P42</f>
        <v>0</v>
      </c>
      <c r="Y18" s="165">
        <f>T_ACTFLO!Q42</f>
        <v>0</v>
      </c>
      <c r="Z18" s="165">
        <f>T_ACTFLO!R42</f>
        <v>0</v>
      </c>
      <c r="AA18" s="165">
        <f>T_ACTFLO!S42</f>
        <v>0</v>
      </c>
      <c r="AD18" s="35"/>
      <c r="AE18" s="35"/>
      <c r="AF18" s="35"/>
      <c r="AG18" s="35"/>
      <c r="AH18" s="35"/>
      <c r="AI18" s="35"/>
      <c r="AJ18" s="35"/>
      <c r="AO18" s="35"/>
      <c r="AP18" s="35"/>
      <c r="AQ18" s="35"/>
      <c r="AR18" s="35"/>
      <c r="AV18" s="724" t="s">
        <v>1028</v>
      </c>
      <c r="AW18" s="729">
        <f t="shared" si="5"/>
        <v>0</v>
      </c>
      <c r="AX18" s="730"/>
      <c r="AY18" s="724"/>
      <c r="AZ18" s="724"/>
      <c r="BA18" s="724"/>
      <c r="BB18" s="724"/>
      <c r="BC18" s="724"/>
      <c r="BD18" s="724"/>
      <c r="BE18" s="724"/>
      <c r="BF18" s="724"/>
      <c r="BG18" s="724"/>
      <c r="BH18" s="724"/>
      <c r="BI18" s="724"/>
      <c r="BJ18" s="724"/>
      <c r="BK18" s="724"/>
      <c r="BL18" s="724"/>
    </row>
    <row r="19" spans="1:64" x14ac:dyDescent="0.3">
      <c r="A19" s="44"/>
      <c r="B19" s="44"/>
      <c r="C19" s="44"/>
      <c r="D19" s="35"/>
      <c r="E19" s="35"/>
      <c r="F19" s="44"/>
      <c r="G19" s="35"/>
      <c r="H19" s="35"/>
      <c r="I19" s="35"/>
      <c r="J19" s="35"/>
      <c r="K19" s="436"/>
      <c r="L19" s="173" t="s">
        <v>232</v>
      </c>
      <c r="M19" s="165">
        <f>T_ACTFLO!E43</f>
        <v>0</v>
      </c>
      <c r="N19" s="165">
        <f>T_ACTFLO!F43</f>
        <v>0</v>
      </c>
      <c r="O19" s="165">
        <f>T_ACTFLO!G43</f>
        <v>0</v>
      </c>
      <c r="P19" s="165">
        <f>T_ACTFLO!H43</f>
        <v>0</v>
      </c>
      <c r="Q19" s="165">
        <f>T_ACTFLO!I43</f>
        <v>0</v>
      </c>
      <c r="R19" s="165">
        <f>T_ACTFLO!J43</f>
        <v>0</v>
      </c>
      <c r="S19" s="165">
        <f>T_ACTFLO!K43</f>
        <v>0</v>
      </c>
      <c r="T19" s="165">
        <f>T_ACTFLO!L43</f>
        <v>0</v>
      </c>
      <c r="U19" s="165">
        <f>T_ACTFLO!M43</f>
        <v>0</v>
      </c>
      <c r="V19" s="165">
        <f>T_ACTFLO!N43</f>
        <v>0</v>
      </c>
      <c r="W19" s="165">
        <f>T_ACTFLO!O43</f>
        <v>0</v>
      </c>
      <c r="X19" s="165">
        <f>T_ACTFLO!P43</f>
        <v>0</v>
      </c>
      <c r="Y19" s="165">
        <f>T_ACTFLO!Q43</f>
        <v>0</v>
      </c>
      <c r="Z19" s="165">
        <f>T_ACTFLO!R43</f>
        <v>0</v>
      </c>
      <c r="AA19" s="165">
        <f>T_ACTFLO!S43</f>
        <v>0</v>
      </c>
      <c r="AD19" s="35"/>
      <c r="AE19" s="35"/>
      <c r="AF19" s="35"/>
      <c r="AG19" s="35"/>
      <c r="AH19" s="35"/>
      <c r="AI19" s="35"/>
      <c r="AJ19" s="35"/>
      <c r="AO19" s="35"/>
      <c r="AP19" s="35"/>
      <c r="AQ19" s="35"/>
      <c r="AR19" s="35"/>
      <c r="AV19" s="724" t="s">
        <v>1030</v>
      </c>
      <c r="AW19" s="729">
        <f t="shared" si="5"/>
        <v>0</v>
      </c>
      <c r="AX19" s="730">
        <f>AX29</f>
        <v>0</v>
      </c>
      <c r="AY19" s="724">
        <f t="shared" ref="AY19:BL19" si="12">AY29</f>
        <v>0</v>
      </c>
      <c r="AZ19" s="724">
        <f t="shared" si="12"/>
        <v>0</v>
      </c>
      <c r="BA19" s="724">
        <f t="shared" si="12"/>
        <v>0</v>
      </c>
      <c r="BB19" s="724">
        <f t="shared" si="12"/>
        <v>0</v>
      </c>
      <c r="BC19" s="724">
        <f t="shared" si="12"/>
        <v>0</v>
      </c>
      <c r="BD19" s="724">
        <f t="shared" si="12"/>
        <v>0</v>
      </c>
      <c r="BE19" s="724">
        <f t="shared" si="12"/>
        <v>0</v>
      </c>
      <c r="BF19" s="724">
        <f t="shared" si="12"/>
        <v>0</v>
      </c>
      <c r="BG19" s="724">
        <f t="shared" si="12"/>
        <v>0</v>
      </c>
      <c r="BH19" s="724">
        <f t="shared" si="12"/>
        <v>0</v>
      </c>
      <c r="BI19" s="724">
        <f t="shared" si="12"/>
        <v>0</v>
      </c>
      <c r="BJ19" s="724">
        <f t="shared" si="12"/>
        <v>0</v>
      </c>
      <c r="BK19" s="724">
        <f t="shared" si="12"/>
        <v>0</v>
      </c>
      <c r="BL19" s="724">
        <f t="shared" si="12"/>
        <v>0</v>
      </c>
    </row>
    <row r="20" spans="1:64" x14ac:dyDescent="0.3">
      <c r="A20" s="44"/>
      <c r="B20" s="44"/>
      <c r="C20" s="44"/>
      <c r="D20" s="35"/>
      <c r="E20" s="35"/>
      <c r="F20" s="44"/>
      <c r="G20" s="35"/>
      <c r="H20" s="35"/>
      <c r="I20" s="35"/>
      <c r="J20" s="35"/>
      <c r="K20" s="436"/>
      <c r="L20" s="173" t="s">
        <v>230</v>
      </c>
      <c r="M20" s="165">
        <f>T_ACTFLO!E44</f>
        <v>0</v>
      </c>
      <c r="N20" s="165">
        <f>T_ACTFLO!F44</f>
        <v>0</v>
      </c>
      <c r="O20" s="165">
        <f>T_ACTFLO!G44</f>
        <v>0</v>
      </c>
      <c r="P20" s="165">
        <f>T_ACTFLO!H44</f>
        <v>0</v>
      </c>
      <c r="Q20" s="165">
        <f>T_ACTFLO!I44</f>
        <v>0</v>
      </c>
      <c r="R20" s="165">
        <f>T_ACTFLO!J44</f>
        <v>0</v>
      </c>
      <c r="S20" s="165">
        <f>T_ACTFLO!K44</f>
        <v>0</v>
      </c>
      <c r="T20" s="165">
        <f>T_ACTFLO!L44</f>
        <v>0</v>
      </c>
      <c r="U20" s="165">
        <f>T_ACTFLO!M44</f>
        <v>0</v>
      </c>
      <c r="V20" s="165">
        <f>T_ACTFLO!N44</f>
        <v>0</v>
      </c>
      <c r="W20" s="165">
        <f>T_ACTFLO!O44</f>
        <v>0</v>
      </c>
      <c r="X20" s="165">
        <f>T_ACTFLO!P44</f>
        <v>0</v>
      </c>
      <c r="Y20" s="165">
        <f>T_ACTFLO!Q44</f>
        <v>0</v>
      </c>
      <c r="Z20" s="165">
        <f>T_ACTFLO!R44</f>
        <v>0</v>
      </c>
      <c r="AA20" s="165">
        <f>T_ACTFLO!S44</f>
        <v>0</v>
      </c>
      <c r="AD20" s="35"/>
      <c r="AE20" s="35"/>
      <c r="AF20" s="35"/>
      <c r="AG20" s="35"/>
      <c r="AH20" s="35"/>
      <c r="AI20" s="35"/>
      <c r="AJ20" s="35"/>
      <c r="AO20" s="35"/>
      <c r="AP20" s="35"/>
      <c r="AQ20" s="35"/>
      <c r="AR20" s="35"/>
      <c r="AV20" s="724" t="s">
        <v>1032</v>
      </c>
      <c r="AW20" s="729">
        <f t="shared" si="5"/>
        <v>0</v>
      </c>
      <c r="AX20" s="722"/>
      <c r="AY20" s="722"/>
      <c r="AZ20" s="722"/>
      <c r="BA20" s="722"/>
      <c r="BB20" s="722"/>
      <c r="BC20" s="722"/>
      <c r="BD20" s="722"/>
      <c r="BE20" s="722"/>
      <c r="BF20" s="722"/>
      <c r="BG20" s="722"/>
      <c r="BH20" s="722"/>
      <c r="BI20" s="722"/>
      <c r="BJ20" s="722"/>
      <c r="BK20" s="722"/>
      <c r="BL20" s="722"/>
    </row>
    <row r="21" spans="1:64" x14ac:dyDescent="0.3">
      <c r="AV21" s="724" t="s">
        <v>1034</v>
      </c>
      <c r="AW21" s="729">
        <f t="shared" si="5"/>
        <v>0</v>
      </c>
      <c r="AX21" s="724"/>
      <c r="AY21" s="724"/>
      <c r="AZ21" s="724"/>
      <c r="BA21" s="724"/>
      <c r="BB21" s="724"/>
      <c r="BC21" s="724"/>
      <c r="BD21" s="724"/>
      <c r="BE21" s="724"/>
      <c r="BF21" s="724"/>
      <c r="BG21" s="724"/>
      <c r="BH21" s="724"/>
      <c r="BI21" s="724"/>
      <c r="BJ21" s="724"/>
      <c r="BK21" s="724"/>
      <c r="BL21" s="724"/>
    </row>
    <row r="22" spans="1:64" x14ac:dyDescent="0.3">
      <c r="B22" s="66"/>
      <c r="AV22" s="724" t="s">
        <v>1038</v>
      </c>
      <c r="AW22" s="729">
        <f t="shared" si="5"/>
        <v>0</v>
      </c>
      <c r="AX22" s="722"/>
      <c r="AY22" s="722"/>
      <c r="AZ22" s="722"/>
      <c r="BA22" s="722"/>
      <c r="BB22" s="722"/>
      <c r="BC22" s="722"/>
      <c r="BD22" s="722"/>
      <c r="BE22" s="722"/>
      <c r="BF22" s="722"/>
      <c r="BG22" s="722"/>
      <c r="BH22" s="722"/>
      <c r="BI22" s="722"/>
      <c r="BJ22" s="722"/>
      <c r="BK22" s="722"/>
      <c r="BL22" s="722"/>
    </row>
    <row r="23" spans="1:64" s="35" customFormat="1" ht="16.5" customHeight="1" x14ac:dyDescent="0.3">
      <c r="B23" s="32" t="s">
        <v>1216</v>
      </c>
      <c r="C23" s="26"/>
      <c r="H23" s="36"/>
    </row>
    <row r="24" spans="1:64" s="35" customFormat="1" ht="16.5" customHeight="1" x14ac:dyDescent="0.3">
      <c r="H24" s="36"/>
    </row>
    <row r="25" spans="1:64" s="22" customFormat="1" x14ac:dyDescent="0.3">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0" t="s">
        <v>85</v>
      </c>
      <c r="AW26" s="700" t="s">
        <v>421</v>
      </c>
      <c r="AX26" s="700" t="str">
        <f t="shared" ref="AX26:BL26" si="15">M$2</f>
        <v>Z01</v>
      </c>
      <c r="AY26" s="700" t="str">
        <f t="shared" si="15"/>
        <v>Z02</v>
      </c>
      <c r="AZ26" s="700" t="str">
        <f t="shared" si="15"/>
        <v>Z03</v>
      </c>
      <c r="BA26" s="700" t="str">
        <f t="shared" si="15"/>
        <v>Z04</v>
      </c>
      <c r="BB26" s="700" t="str">
        <f t="shared" si="15"/>
        <v>Z05</v>
      </c>
      <c r="BC26" s="700" t="str">
        <f t="shared" si="15"/>
        <v>Z06</v>
      </c>
      <c r="BD26" s="700" t="str">
        <f t="shared" si="15"/>
        <v>Z07</v>
      </c>
      <c r="BE26" s="700" t="str">
        <f t="shared" si="15"/>
        <v>Z08</v>
      </c>
      <c r="BF26" s="700" t="str">
        <f t="shared" si="15"/>
        <v>Z09</v>
      </c>
      <c r="BG26" s="700" t="str">
        <f t="shared" si="15"/>
        <v>Z10</v>
      </c>
      <c r="BH26" s="700" t="str">
        <f t="shared" si="15"/>
        <v>Z11</v>
      </c>
      <c r="BI26" s="700" t="str">
        <f t="shared" si="15"/>
        <v>Z12</v>
      </c>
      <c r="BJ26" s="700" t="str">
        <f t="shared" si="15"/>
        <v>Z13</v>
      </c>
      <c r="BK26" s="700" t="str">
        <f t="shared" si="15"/>
        <v>Z14</v>
      </c>
      <c r="BL26" s="700" t="str">
        <f t="shared" si="15"/>
        <v>Z15</v>
      </c>
    </row>
    <row r="27" spans="1:64"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4" t="str">
        <f>IF(AD28-SUM(M10:AA11)&lt;0,"too small",IF(AD28-SUM(M10:AA11)&gt;0.001,"Too big","ok"))</f>
        <v>ok</v>
      </c>
      <c r="AE27" s="618" t="str">
        <f t="shared" ref="AE27:AS27" si="16">IF(AE28-SUM(M10:M11)&lt;0,"too small",IF(AE28-SUM(M10:M11)&gt;0.001,"Too big","ok"))</f>
        <v>ok</v>
      </c>
      <c r="AF27" s="618" t="str">
        <f t="shared" si="16"/>
        <v>ok</v>
      </c>
      <c r="AG27" s="618" t="str">
        <f t="shared" si="16"/>
        <v>ok</v>
      </c>
      <c r="AH27" s="618" t="str">
        <f t="shared" si="16"/>
        <v>ok</v>
      </c>
      <c r="AI27" s="618" t="str">
        <f t="shared" si="16"/>
        <v>ok</v>
      </c>
      <c r="AJ27" s="618" t="str">
        <f t="shared" si="16"/>
        <v>ok</v>
      </c>
      <c r="AK27" s="618" t="str">
        <f t="shared" si="16"/>
        <v>ok</v>
      </c>
      <c r="AL27" s="618" t="str">
        <f t="shared" si="16"/>
        <v>ok</v>
      </c>
      <c r="AM27" s="618" t="str">
        <f t="shared" si="16"/>
        <v>ok</v>
      </c>
      <c r="AN27" s="618" t="str">
        <f t="shared" si="16"/>
        <v>ok</v>
      </c>
      <c r="AO27" s="618" t="str">
        <f t="shared" si="16"/>
        <v>ok</v>
      </c>
      <c r="AP27" s="618" t="str">
        <f t="shared" si="16"/>
        <v>ok</v>
      </c>
      <c r="AQ27" s="618" t="str">
        <f t="shared" si="16"/>
        <v>ok</v>
      </c>
      <c r="AR27" s="618" t="str">
        <f t="shared" si="16"/>
        <v>ok</v>
      </c>
      <c r="AS27" s="618" t="str">
        <f t="shared" si="16"/>
        <v>ok</v>
      </c>
      <c r="AV27" s="398" t="s">
        <v>103</v>
      </c>
      <c r="AW27" s="716">
        <f>SUM(AX27:BL27)</f>
        <v>0</v>
      </c>
      <c r="AX27" s="717">
        <f>SUM(AX28:AX158)</f>
        <v>0</v>
      </c>
      <c r="AY27" s="717">
        <f t="shared" ref="AY27:BL27" si="17">SUM(AY28:AY158)</f>
        <v>0</v>
      </c>
      <c r="AZ27" s="717">
        <f t="shared" si="17"/>
        <v>0</v>
      </c>
      <c r="BA27" s="717">
        <f t="shared" si="17"/>
        <v>0</v>
      </c>
      <c r="BB27" s="717">
        <f t="shared" si="17"/>
        <v>0</v>
      </c>
      <c r="BC27" s="717">
        <f t="shared" si="17"/>
        <v>0</v>
      </c>
      <c r="BD27" s="717">
        <f t="shared" si="17"/>
        <v>0</v>
      </c>
      <c r="BE27" s="717">
        <f t="shared" si="17"/>
        <v>0</v>
      </c>
      <c r="BF27" s="717">
        <f t="shared" si="17"/>
        <v>0</v>
      </c>
      <c r="BG27" s="717">
        <f t="shared" si="17"/>
        <v>0</v>
      </c>
      <c r="BH27" s="717">
        <f t="shared" si="17"/>
        <v>0</v>
      </c>
      <c r="BI27" s="717">
        <f t="shared" si="17"/>
        <v>0</v>
      </c>
      <c r="BJ27" s="717">
        <f t="shared" si="17"/>
        <v>0</v>
      </c>
      <c r="BK27" s="717">
        <f t="shared" si="17"/>
        <v>0</v>
      </c>
      <c r="BL27" s="717">
        <f t="shared" si="17"/>
        <v>0</v>
      </c>
    </row>
    <row r="28" spans="1:64" s="83" customFormat="1" x14ac:dyDescent="0.3">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7">
        <f>AE31</f>
        <v>0</v>
      </c>
      <c r="AF28" s="617">
        <f t="shared" ref="AF28:AS28" si="19">AF31</f>
        <v>0</v>
      </c>
      <c r="AG28" s="617">
        <f t="shared" si="19"/>
        <v>0</v>
      </c>
      <c r="AH28" s="617">
        <f t="shared" si="19"/>
        <v>0</v>
      </c>
      <c r="AI28" s="617">
        <f t="shared" si="19"/>
        <v>0</v>
      </c>
      <c r="AJ28" s="617">
        <f t="shared" si="19"/>
        <v>0</v>
      </c>
      <c r="AK28" s="617">
        <f t="shared" si="19"/>
        <v>0</v>
      </c>
      <c r="AL28" s="617">
        <f t="shared" si="19"/>
        <v>0</v>
      </c>
      <c r="AM28" s="617">
        <f t="shared" si="19"/>
        <v>0</v>
      </c>
      <c r="AN28" s="617">
        <f t="shared" si="19"/>
        <v>0</v>
      </c>
      <c r="AO28" s="617">
        <f t="shared" si="19"/>
        <v>0</v>
      </c>
      <c r="AP28" s="617">
        <f t="shared" si="19"/>
        <v>0</v>
      </c>
      <c r="AQ28" s="617">
        <f t="shared" si="19"/>
        <v>0</v>
      </c>
      <c r="AR28" s="617">
        <f t="shared" si="19"/>
        <v>0</v>
      </c>
      <c r="AS28" s="617">
        <f t="shared" si="19"/>
        <v>0</v>
      </c>
      <c r="AV28" s="699" t="str">
        <f>MID(E50,1,7)</f>
        <v>TRAHFO</v>
      </c>
      <c r="AW28" s="567">
        <f>SUM(AX28:BL28)</f>
        <v>0</v>
      </c>
      <c r="AX28" s="567">
        <f t="shared" ref="AX28:BL28" si="20">M$55*M$56*(1-M51)/M52/1000</f>
        <v>0</v>
      </c>
      <c r="AY28" s="567">
        <f t="shared" si="20"/>
        <v>0</v>
      </c>
      <c r="AZ28" s="567">
        <f t="shared" si="20"/>
        <v>0</v>
      </c>
      <c r="BA28" s="567">
        <f t="shared" si="20"/>
        <v>0</v>
      </c>
      <c r="BB28" s="567">
        <f t="shared" si="20"/>
        <v>0</v>
      </c>
      <c r="BC28" s="567">
        <f t="shared" si="20"/>
        <v>0</v>
      </c>
      <c r="BD28" s="567">
        <f t="shared" si="20"/>
        <v>0</v>
      </c>
      <c r="BE28" s="567">
        <f t="shared" si="20"/>
        <v>0</v>
      </c>
      <c r="BF28" s="567">
        <f t="shared" si="20"/>
        <v>0</v>
      </c>
      <c r="BG28" s="567">
        <f t="shared" si="20"/>
        <v>0</v>
      </c>
      <c r="BH28" s="567">
        <f t="shared" si="20"/>
        <v>0</v>
      </c>
      <c r="BI28" s="567">
        <f t="shared" si="20"/>
        <v>0</v>
      </c>
      <c r="BJ28" s="567">
        <f t="shared" si="20"/>
        <v>0</v>
      </c>
      <c r="BK28" s="567">
        <f t="shared" si="20"/>
        <v>0</v>
      </c>
      <c r="BL28" s="567">
        <f t="shared" si="20"/>
        <v>0</v>
      </c>
    </row>
    <row r="29" spans="1:64" s="83" customFormat="1" x14ac:dyDescent="0.3">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699" t="str">
        <f>MID(E51,1,7)</f>
        <v>TRALFO</v>
      </c>
      <c r="AW29" s="567">
        <f>SUM(AX29:BL29)</f>
        <v>0</v>
      </c>
      <c r="AX29" s="567">
        <f t="shared" ref="AX29:BL29" si="21">M$55*M$56*M51/M53/1000</f>
        <v>0</v>
      </c>
      <c r="AY29" s="567">
        <f t="shared" si="21"/>
        <v>0</v>
      </c>
      <c r="AZ29" s="567">
        <f t="shared" si="21"/>
        <v>0</v>
      </c>
      <c r="BA29" s="567">
        <f t="shared" si="21"/>
        <v>0</v>
      </c>
      <c r="BB29" s="567">
        <f t="shared" si="21"/>
        <v>0</v>
      </c>
      <c r="BC29" s="567">
        <f t="shared" si="21"/>
        <v>0</v>
      </c>
      <c r="BD29" s="567">
        <f t="shared" si="21"/>
        <v>0</v>
      </c>
      <c r="BE29" s="567">
        <f t="shared" si="21"/>
        <v>0</v>
      </c>
      <c r="BF29" s="567">
        <f t="shared" si="21"/>
        <v>0</v>
      </c>
      <c r="BG29" s="567">
        <f t="shared" si="21"/>
        <v>0</v>
      </c>
      <c r="BH29" s="567">
        <f t="shared" si="21"/>
        <v>0</v>
      </c>
      <c r="BI29" s="567">
        <f t="shared" si="21"/>
        <v>0</v>
      </c>
      <c r="BJ29" s="567">
        <f t="shared" si="21"/>
        <v>0</v>
      </c>
      <c r="BK29" s="567">
        <f t="shared" si="21"/>
        <v>0</v>
      </c>
      <c r="BL29" s="567">
        <f t="shared" si="21"/>
        <v>0</v>
      </c>
    </row>
    <row r="30" spans="1:64" s="35" customFormat="1" x14ac:dyDescent="0.3">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3">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3">
      <c r="B32" s="186" t="str">
        <f>B30</f>
        <v>TNA100</v>
      </c>
      <c r="C32" s="186"/>
      <c r="D32" s="186"/>
      <c r="E32" s="258"/>
      <c r="F32" s="538"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3">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3">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3">
      <c r="B35" s="186" t="str">
        <f t="shared" ref="B35:B41" si="23">B34</f>
        <v>TNA100</v>
      </c>
      <c r="C35" s="186"/>
      <c r="D35" s="187"/>
      <c r="E35" s="186"/>
      <c r="F35" s="189"/>
      <c r="G35" s="170"/>
      <c r="H35" s="190">
        <f>$L$3</f>
        <v>2019</v>
      </c>
      <c r="I35" s="191"/>
      <c r="J35" s="191"/>
      <c r="K35" s="192" t="s">
        <v>1064</v>
      </c>
      <c r="L35" s="191" t="s">
        <v>747</v>
      </c>
      <c r="M35" s="688">
        <f t="shared" ref="M35:AA35" si="24">IF(M34=0, 0, ROUNDUP((M10+M11)/M33/M34*1000, 8))</f>
        <v>0</v>
      </c>
      <c r="N35" s="688">
        <f t="shared" si="24"/>
        <v>0</v>
      </c>
      <c r="O35" s="688">
        <f t="shared" si="24"/>
        <v>0</v>
      </c>
      <c r="P35" s="688">
        <f t="shared" si="24"/>
        <v>0</v>
      </c>
      <c r="Q35" s="688">
        <f t="shared" si="24"/>
        <v>0</v>
      </c>
      <c r="R35" s="688">
        <f t="shared" si="24"/>
        <v>0</v>
      </c>
      <c r="S35" s="688">
        <f t="shared" si="24"/>
        <v>0</v>
      </c>
      <c r="T35" s="688">
        <f t="shared" si="24"/>
        <v>0</v>
      </c>
      <c r="U35" s="688">
        <f t="shared" si="24"/>
        <v>0</v>
      </c>
      <c r="V35" s="688">
        <f t="shared" si="24"/>
        <v>0</v>
      </c>
      <c r="W35" s="688">
        <f t="shared" si="24"/>
        <v>0</v>
      </c>
      <c r="X35" s="688">
        <f t="shared" si="24"/>
        <v>0</v>
      </c>
      <c r="Y35" s="688">
        <f t="shared" si="24"/>
        <v>0</v>
      </c>
      <c r="Z35" s="688">
        <f t="shared" si="24"/>
        <v>0</v>
      </c>
      <c r="AA35" s="688">
        <f t="shared" si="24"/>
        <v>0</v>
      </c>
      <c r="AD35" s="33"/>
      <c r="AE35" s="33"/>
      <c r="AF35" s="33"/>
      <c r="AG35" s="33"/>
      <c r="AH35" s="33"/>
      <c r="AI35" s="33"/>
      <c r="AJ35" s="33"/>
      <c r="AK35" s="33"/>
      <c r="AL35" s="33"/>
      <c r="AM35" s="33"/>
      <c r="AN35" s="33"/>
      <c r="AO35" s="33"/>
      <c r="AP35" s="33"/>
    </row>
    <row r="36" spans="1:47" s="35" customFormat="1" x14ac:dyDescent="0.3">
      <c r="B36" s="186" t="str">
        <f t="shared" si="23"/>
        <v>TNA100</v>
      </c>
      <c r="C36" s="186"/>
      <c r="D36" s="187"/>
      <c r="E36" s="186"/>
      <c r="F36" s="189"/>
      <c r="G36" s="170"/>
      <c r="H36" s="190">
        <f>AC$4</f>
        <v>2016</v>
      </c>
      <c r="I36" s="191"/>
      <c r="J36" s="191"/>
      <c r="K36" s="192" t="s">
        <v>1064</v>
      </c>
      <c r="L36" s="191" t="s">
        <v>747</v>
      </c>
      <c r="M36" s="686">
        <f t="shared" ref="M36:AA36" si="25">M$35*$AD4</f>
        <v>0</v>
      </c>
      <c r="N36" s="686">
        <f t="shared" si="25"/>
        <v>0</v>
      </c>
      <c r="O36" s="686">
        <f t="shared" si="25"/>
        <v>0</v>
      </c>
      <c r="P36" s="686">
        <f t="shared" si="25"/>
        <v>0</v>
      </c>
      <c r="Q36" s="686">
        <f t="shared" si="25"/>
        <v>0</v>
      </c>
      <c r="R36" s="686">
        <f t="shared" si="25"/>
        <v>0</v>
      </c>
      <c r="S36" s="686">
        <f t="shared" si="25"/>
        <v>0</v>
      </c>
      <c r="T36" s="686">
        <f t="shared" si="25"/>
        <v>0</v>
      </c>
      <c r="U36" s="686">
        <f t="shared" si="25"/>
        <v>0</v>
      </c>
      <c r="V36" s="686">
        <f t="shared" si="25"/>
        <v>0</v>
      </c>
      <c r="W36" s="686">
        <f t="shared" si="25"/>
        <v>0</v>
      </c>
      <c r="X36" s="686">
        <f t="shared" si="25"/>
        <v>0</v>
      </c>
      <c r="Y36" s="686">
        <f t="shared" si="25"/>
        <v>0</v>
      </c>
      <c r="Z36" s="686">
        <f t="shared" si="25"/>
        <v>0</v>
      </c>
      <c r="AA36" s="686">
        <f t="shared" si="25"/>
        <v>0</v>
      </c>
      <c r="AD36" s="33"/>
      <c r="AE36" s="33"/>
      <c r="AF36" s="33"/>
      <c r="AG36" s="33"/>
      <c r="AH36" s="33"/>
      <c r="AI36" s="33"/>
      <c r="AJ36" s="33"/>
      <c r="AK36" s="33"/>
      <c r="AL36" s="33"/>
      <c r="AM36" s="33"/>
      <c r="AN36" s="33"/>
      <c r="AO36" s="33"/>
      <c r="AP36" s="33"/>
    </row>
    <row r="37" spans="1:47" s="35" customFormat="1" x14ac:dyDescent="0.3">
      <c r="B37" s="186" t="str">
        <f t="shared" si="23"/>
        <v>TNA100</v>
      </c>
      <c r="C37" s="186"/>
      <c r="D37" s="187"/>
      <c r="E37" s="186"/>
      <c r="F37" s="189"/>
      <c r="G37" s="170"/>
      <c r="H37" s="190">
        <f>AC$5</f>
        <v>2020</v>
      </c>
      <c r="I37" s="191"/>
      <c r="J37" s="191"/>
      <c r="K37" s="192" t="s">
        <v>1064</v>
      </c>
      <c r="L37" s="191" t="s">
        <v>747</v>
      </c>
      <c r="M37" s="686">
        <f t="shared" ref="M37:AA37" si="26">M$35*$AD5</f>
        <v>0</v>
      </c>
      <c r="N37" s="686">
        <f t="shared" si="26"/>
        <v>0</v>
      </c>
      <c r="O37" s="686">
        <f t="shared" si="26"/>
        <v>0</v>
      </c>
      <c r="P37" s="686">
        <f t="shared" si="26"/>
        <v>0</v>
      </c>
      <c r="Q37" s="686">
        <f t="shared" si="26"/>
        <v>0</v>
      </c>
      <c r="R37" s="686">
        <f t="shared" si="26"/>
        <v>0</v>
      </c>
      <c r="S37" s="686">
        <f t="shared" si="26"/>
        <v>0</v>
      </c>
      <c r="T37" s="686">
        <f t="shared" si="26"/>
        <v>0</v>
      </c>
      <c r="U37" s="686">
        <f t="shared" si="26"/>
        <v>0</v>
      </c>
      <c r="V37" s="686">
        <f t="shared" si="26"/>
        <v>0</v>
      </c>
      <c r="W37" s="686">
        <f t="shared" si="26"/>
        <v>0</v>
      </c>
      <c r="X37" s="686">
        <f t="shared" si="26"/>
        <v>0</v>
      </c>
      <c r="Y37" s="686">
        <f t="shared" si="26"/>
        <v>0</v>
      </c>
      <c r="Z37" s="686">
        <f t="shared" si="26"/>
        <v>0</v>
      </c>
      <c r="AA37" s="686">
        <f t="shared" si="26"/>
        <v>0</v>
      </c>
      <c r="AD37" s="33"/>
      <c r="AE37" s="33"/>
      <c r="AF37" s="33"/>
      <c r="AG37" s="33"/>
      <c r="AH37" s="33"/>
      <c r="AI37" s="33"/>
      <c r="AJ37" s="33"/>
      <c r="AK37" s="33"/>
      <c r="AL37" s="33"/>
      <c r="AM37" s="33"/>
      <c r="AN37" s="33"/>
      <c r="AO37" s="33"/>
      <c r="AP37" s="33"/>
    </row>
    <row r="38" spans="1:47" s="35" customFormat="1" x14ac:dyDescent="0.3">
      <c r="B38" s="186" t="str">
        <f t="shared" si="23"/>
        <v>TNA100</v>
      </c>
      <c r="C38" s="186"/>
      <c r="D38" s="187"/>
      <c r="E38" s="186"/>
      <c r="F38" s="189"/>
      <c r="G38" s="170"/>
      <c r="H38" s="190">
        <f>AC$6</f>
        <v>2025</v>
      </c>
      <c r="I38" s="191"/>
      <c r="J38" s="191"/>
      <c r="K38" s="192" t="s">
        <v>1064</v>
      </c>
      <c r="L38" s="191" t="s">
        <v>747</v>
      </c>
      <c r="M38" s="686">
        <f t="shared" ref="M38:AA38" si="27">M$35*$AD6</f>
        <v>0</v>
      </c>
      <c r="N38" s="686">
        <f t="shared" si="27"/>
        <v>0</v>
      </c>
      <c r="O38" s="686">
        <f t="shared" si="27"/>
        <v>0</v>
      </c>
      <c r="P38" s="686">
        <f t="shared" si="27"/>
        <v>0</v>
      </c>
      <c r="Q38" s="686">
        <f t="shared" si="27"/>
        <v>0</v>
      </c>
      <c r="R38" s="686">
        <f t="shared" si="27"/>
        <v>0</v>
      </c>
      <c r="S38" s="686">
        <f t="shared" si="27"/>
        <v>0</v>
      </c>
      <c r="T38" s="686">
        <f t="shared" si="27"/>
        <v>0</v>
      </c>
      <c r="U38" s="686">
        <f t="shared" si="27"/>
        <v>0</v>
      </c>
      <c r="V38" s="686">
        <f t="shared" si="27"/>
        <v>0</v>
      </c>
      <c r="W38" s="686">
        <f t="shared" si="27"/>
        <v>0</v>
      </c>
      <c r="X38" s="686">
        <f t="shared" si="27"/>
        <v>0</v>
      </c>
      <c r="Y38" s="686">
        <f t="shared" si="27"/>
        <v>0</v>
      </c>
      <c r="Z38" s="686">
        <f t="shared" si="27"/>
        <v>0</v>
      </c>
      <c r="AA38" s="686">
        <f t="shared" si="27"/>
        <v>0</v>
      </c>
      <c r="AD38" s="33"/>
      <c r="AE38" s="33"/>
      <c r="AF38" s="33"/>
      <c r="AG38" s="33"/>
      <c r="AH38" s="33"/>
      <c r="AI38" s="33"/>
      <c r="AJ38" s="33"/>
      <c r="AK38" s="33"/>
      <c r="AL38" s="33"/>
      <c r="AM38" s="33"/>
      <c r="AN38" s="33"/>
      <c r="AO38" s="33"/>
      <c r="AP38" s="33"/>
    </row>
    <row r="39" spans="1:47" s="35" customFormat="1" x14ac:dyDescent="0.3">
      <c r="B39" s="186" t="str">
        <f t="shared" si="23"/>
        <v>TNA100</v>
      </c>
      <c r="C39" s="186"/>
      <c r="D39" s="187"/>
      <c r="E39" s="186"/>
      <c r="F39" s="189"/>
      <c r="G39" s="170"/>
      <c r="H39" s="190">
        <f>AC$7</f>
        <v>2030</v>
      </c>
      <c r="I39" s="191"/>
      <c r="J39" s="191"/>
      <c r="K39" s="192" t="s">
        <v>1064</v>
      </c>
      <c r="L39" s="191" t="s">
        <v>747</v>
      </c>
      <c r="M39" s="686">
        <f t="shared" ref="M39:AA39" si="28">M$35*$AD7</f>
        <v>0</v>
      </c>
      <c r="N39" s="686">
        <f t="shared" si="28"/>
        <v>0</v>
      </c>
      <c r="O39" s="686">
        <f t="shared" si="28"/>
        <v>0</v>
      </c>
      <c r="P39" s="686">
        <f t="shared" si="28"/>
        <v>0</v>
      </c>
      <c r="Q39" s="686">
        <f t="shared" si="28"/>
        <v>0</v>
      </c>
      <c r="R39" s="686">
        <f t="shared" si="28"/>
        <v>0</v>
      </c>
      <c r="S39" s="686">
        <f t="shared" si="28"/>
        <v>0</v>
      </c>
      <c r="T39" s="686">
        <f t="shared" si="28"/>
        <v>0</v>
      </c>
      <c r="U39" s="686">
        <f t="shared" si="28"/>
        <v>0</v>
      </c>
      <c r="V39" s="686">
        <f t="shared" si="28"/>
        <v>0</v>
      </c>
      <c r="W39" s="686">
        <f t="shared" si="28"/>
        <v>0</v>
      </c>
      <c r="X39" s="686">
        <f t="shared" si="28"/>
        <v>0</v>
      </c>
      <c r="Y39" s="686">
        <f t="shared" si="28"/>
        <v>0</v>
      </c>
      <c r="Z39" s="686">
        <f t="shared" si="28"/>
        <v>0</v>
      </c>
      <c r="AA39" s="686">
        <f t="shared" si="28"/>
        <v>0</v>
      </c>
      <c r="AD39" s="33"/>
      <c r="AE39" s="33"/>
      <c r="AF39" s="33"/>
      <c r="AG39" s="33"/>
      <c r="AH39" s="33"/>
      <c r="AI39" s="33"/>
      <c r="AJ39" s="33"/>
      <c r="AK39" s="33"/>
      <c r="AL39" s="33"/>
      <c r="AM39" s="33"/>
      <c r="AN39" s="33"/>
      <c r="AO39" s="33"/>
      <c r="AP39" s="33"/>
    </row>
    <row r="40" spans="1:47" s="35" customFormat="1" x14ac:dyDescent="0.3">
      <c r="B40" s="186" t="str">
        <f t="shared" si="23"/>
        <v>TNA100</v>
      </c>
      <c r="C40" s="186"/>
      <c r="D40" s="187"/>
      <c r="E40" s="186"/>
      <c r="F40" s="189"/>
      <c r="G40" s="170"/>
      <c r="H40" s="190">
        <f>AC$8</f>
        <v>2040</v>
      </c>
      <c r="I40" s="191"/>
      <c r="J40" s="191"/>
      <c r="K40" s="192" t="s">
        <v>1064</v>
      </c>
      <c r="L40" s="191" t="s">
        <v>747</v>
      </c>
      <c r="M40" s="686">
        <f t="shared" ref="M40:AA40" si="29">M$35*$AD8</f>
        <v>0</v>
      </c>
      <c r="N40" s="686">
        <f t="shared" si="29"/>
        <v>0</v>
      </c>
      <c r="O40" s="686">
        <f t="shared" si="29"/>
        <v>0</v>
      </c>
      <c r="P40" s="686">
        <f t="shared" si="29"/>
        <v>0</v>
      </c>
      <c r="Q40" s="686">
        <f t="shared" si="29"/>
        <v>0</v>
      </c>
      <c r="R40" s="686">
        <f t="shared" si="29"/>
        <v>0</v>
      </c>
      <c r="S40" s="686">
        <f t="shared" si="29"/>
        <v>0</v>
      </c>
      <c r="T40" s="686">
        <f t="shared" si="29"/>
        <v>0</v>
      </c>
      <c r="U40" s="686">
        <f t="shared" si="29"/>
        <v>0</v>
      </c>
      <c r="V40" s="686">
        <f t="shared" si="29"/>
        <v>0</v>
      </c>
      <c r="W40" s="686">
        <f t="shared" si="29"/>
        <v>0</v>
      </c>
      <c r="X40" s="686">
        <f t="shared" si="29"/>
        <v>0</v>
      </c>
      <c r="Y40" s="686">
        <f t="shared" si="29"/>
        <v>0</v>
      </c>
      <c r="Z40" s="686">
        <f t="shared" si="29"/>
        <v>0</v>
      </c>
      <c r="AA40" s="686">
        <f t="shared" si="29"/>
        <v>0</v>
      </c>
      <c r="AD40" s="33"/>
      <c r="AE40" s="33"/>
      <c r="AF40" s="33"/>
      <c r="AG40" s="33"/>
      <c r="AH40" s="33"/>
      <c r="AI40" s="33"/>
      <c r="AJ40" s="33"/>
      <c r="AK40" s="33"/>
      <c r="AL40" s="33"/>
      <c r="AM40" s="33"/>
      <c r="AN40" s="33"/>
      <c r="AO40" s="33"/>
      <c r="AP40" s="33"/>
    </row>
    <row r="41" spans="1:47" x14ac:dyDescent="0.3">
      <c r="A41" s="35"/>
      <c r="B41" s="193" t="str">
        <f t="shared" si="23"/>
        <v>TNA100</v>
      </c>
      <c r="C41" s="193"/>
      <c r="D41" s="194"/>
      <c r="E41" s="193"/>
      <c r="F41" s="195"/>
      <c r="G41" s="196"/>
      <c r="H41" s="197">
        <f>AC$9</f>
        <v>2050</v>
      </c>
      <c r="I41" s="198"/>
      <c r="J41" s="198"/>
      <c r="K41" s="199" t="s">
        <v>1064</v>
      </c>
      <c r="L41" s="198" t="s">
        <v>747</v>
      </c>
      <c r="M41" s="687">
        <f t="shared" ref="M41:AA41" si="30">M$35*$AD9</f>
        <v>0</v>
      </c>
      <c r="N41" s="687">
        <f t="shared" si="30"/>
        <v>0</v>
      </c>
      <c r="O41" s="687">
        <f t="shared" si="30"/>
        <v>0</v>
      </c>
      <c r="P41" s="687">
        <f t="shared" si="30"/>
        <v>0</v>
      </c>
      <c r="Q41" s="687">
        <f t="shared" si="30"/>
        <v>0</v>
      </c>
      <c r="R41" s="687">
        <f t="shared" si="30"/>
        <v>0</v>
      </c>
      <c r="S41" s="687">
        <f t="shared" si="30"/>
        <v>0</v>
      </c>
      <c r="T41" s="687">
        <f t="shared" si="30"/>
        <v>0</v>
      </c>
      <c r="U41" s="687">
        <f t="shared" si="30"/>
        <v>0</v>
      </c>
      <c r="V41" s="687">
        <f t="shared" si="30"/>
        <v>0</v>
      </c>
      <c r="W41" s="687">
        <f t="shared" si="30"/>
        <v>0</v>
      </c>
      <c r="X41" s="687">
        <f t="shared" si="30"/>
        <v>0</v>
      </c>
      <c r="Y41" s="687">
        <f t="shared" si="30"/>
        <v>0</v>
      </c>
      <c r="Z41" s="687">
        <f t="shared" si="30"/>
        <v>0</v>
      </c>
      <c r="AA41" s="687">
        <f t="shared" si="30"/>
        <v>0</v>
      </c>
      <c r="AB41" s="35"/>
      <c r="AC41" s="35"/>
      <c r="AQ41" s="35"/>
      <c r="AR41" s="35"/>
      <c r="AS41" s="35"/>
      <c r="AT41" s="35"/>
      <c r="AU41" s="35"/>
    </row>
    <row r="44" spans="1:47" s="35" customFormat="1" ht="16.5" customHeight="1" x14ac:dyDescent="0.3"/>
    <row r="45" spans="1:47" s="22" customFormat="1" x14ac:dyDescent="0.3">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3">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3">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3">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3">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4" t="str">
        <f>IF(AD50-SUM(M12:AA13)&lt;0,"too small",IF(AD50-SUM(M12:AA13)&gt;0.0001,"Too big","ok"))</f>
        <v>ok</v>
      </c>
      <c r="AE49" s="618" t="str">
        <f>IF(AE50-M12&lt;0,"too small",IF(AE50-M12&gt;0.00001,"Too big","ok"))</f>
        <v>ok</v>
      </c>
      <c r="AF49" s="618" t="str">
        <f t="shared" ref="AF49:AS49" si="33">IF(AF50-N12&lt;0,"too small",IF(AF50-N12&gt;0.001,"Too big","ok"))</f>
        <v>ok</v>
      </c>
      <c r="AG49" s="618" t="str">
        <f t="shared" si="33"/>
        <v>ok</v>
      </c>
      <c r="AH49" s="618" t="str">
        <f t="shared" si="33"/>
        <v>ok</v>
      </c>
      <c r="AI49" s="618" t="str">
        <f t="shared" si="33"/>
        <v>ok</v>
      </c>
      <c r="AJ49" s="618" t="str">
        <f t="shared" si="33"/>
        <v>ok</v>
      </c>
      <c r="AK49" s="618" t="str">
        <f t="shared" si="33"/>
        <v>ok</v>
      </c>
      <c r="AL49" s="618" t="str">
        <f t="shared" si="33"/>
        <v>ok</v>
      </c>
      <c r="AM49" s="618" t="str">
        <f t="shared" si="33"/>
        <v>ok</v>
      </c>
      <c r="AN49" s="618" t="str">
        <f t="shared" si="33"/>
        <v>ok</v>
      </c>
      <c r="AO49" s="618" t="str">
        <f t="shared" si="33"/>
        <v>ok</v>
      </c>
      <c r="AP49" s="618" t="str">
        <f t="shared" si="33"/>
        <v>ok</v>
      </c>
      <c r="AQ49" s="618" t="str">
        <f t="shared" si="33"/>
        <v>ok</v>
      </c>
      <c r="AR49" s="618" t="str">
        <f t="shared" si="33"/>
        <v>ok</v>
      </c>
      <c r="AS49" s="618" t="str">
        <f t="shared" si="33"/>
        <v>ok</v>
      </c>
      <c r="AT49" s="22"/>
      <c r="AU49" s="22"/>
    </row>
    <row r="50" spans="1:47" s="35" customFormat="1" x14ac:dyDescent="0.3">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5">
        <f>SUM(AE51:AE58)</f>
        <v>0</v>
      </c>
      <c r="AF50" s="617">
        <f t="shared" ref="AF50:AS50" si="35">SUM(AF51:AF58)</f>
        <v>0</v>
      </c>
      <c r="AG50" s="617">
        <f t="shared" si="35"/>
        <v>0</v>
      </c>
      <c r="AH50" s="617">
        <f t="shared" si="35"/>
        <v>0</v>
      </c>
      <c r="AI50" s="617">
        <f t="shared" si="35"/>
        <v>0</v>
      </c>
      <c r="AJ50" s="617">
        <f t="shared" si="35"/>
        <v>0</v>
      </c>
      <c r="AK50" s="617">
        <f t="shared" si="35"/>
        <v>0</v>
      </c>
      <c r="AL50" s="617">
        <f t="shared" si="35"/>
        <v>0</v>
      </c>
      <c r="AM50" s="617">
        <f t="shared" si="35"/>
        <v>0</v>
      </c>
      <c r="AN50" s="617">
        <f t="shared" si="35"/>
        <v>0</v>
      </c>
      <c r="AO50" s="617">
        <f t="shared" si="35"/>
        <v>0</v>
      </c>
      <c r="AP50" s="617">
        <f t="shared" si="35"/>
        <v>0</v>
      </c>
      <c r="AQ50" s="617">
        <f t="shared" si="35"/>
        <v>0</v>
      </c>
      <c r="AR50" s="617">
        <f t="shared" si="35"/>
        <v>0</v>
      </c>
      <c r="AS50" s="617">
        <f t="shared" si="35"/>
        <v>0</v>
      </c>
      <c r="AT50" s="83"/>
      <c r="AU50" s="83"/>
    </row>
    <row r="51" spans="1:47" s="35" customFormat="1" x14ac:dyDescent="0.3">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7"/>
      <c r="AF51" s="617"/>
      <c r="AG51" s="617"/>
      <c r="AH51" s="617"/>
      <c r="AI51" s="617"/>
      <c r="AJ51" s="617"/>
      <c r="AK51" s="617"/>
      <c r="AL51" s="617"/>
      <c r="AM51" s="617"/>
      <c r="AN51" s="617"/>
      <c r="AO51" s="617"/>
      <c r="AP51" s="617"/>
      <c r="AQ51" s="617"/>
      <c r="AR51" s="617"/>
      <c r="AS51" s="617"/>
      <c r="AT51" s="83"/>
      <c r="AU51" s="83"/>
    </row>
    <row r="52" spans="1:47" s="35" customFormat="1" x14ac:dyDescent="0.3">
      <c r="A52" s="22"/>
      <c r="B52" s="178" t="str">
        <f t="shared" ref="B52:B62" si="36">B51</f>
        <v>TNB100</v>
      </c>
      <c r="C52" s="186"/>
      <c r="D52" s="187"/>
      <c r="E52" s="258"/>
      <c r="F52" s="181" t="s">
        <v>443</v>
      </c>
      <c r="G52" s="170"/>
      <c r="H52" s="190"/>
      <c r="I52" s="191"/>
      <c r="J52" s="191"/>
      <c r="K52" s="186" t="s">
        <v>1125</v>
      </c>
      <c r="L52" s="191" t="s">
        <v>677</v>
      </c>
      <c r="M52" s="752">
        <f>T_CEFF!H314</f>
        <v>1.7000000000000001E-4</v>
      </c>
      <c r="N52" s="752">
        <f>T_CEFF!I314</f>
        <v>1.7000000000000001E-4</v>
      </c>
      <c r="O52" s="752">
        <f>T_CEFF!J314</f>
        <v>1.7000000000000001E-4</v>
      </c>
      <c r="P52" s="752">
        <f>T_CEFF!K314</f>
        <v>1.7000000000000001E-4</v>
      </c>
      <c r="Q52" s="752">
        <f>T_CEFF!L314</f>
        <v>1.7000000000000001E-4</v>
      </c>
      <c r="R52" s="752">
        <f>T_CEFF!M314</f>
        <v>1.7000000000000001E-4</v>
      </c>
      <c r="S52" s="752">
        <f>T_CEFF!N314</f>
        <v>1.7000000000000001E-4</v>
      </c>
      <c r="T52" s="752">
        <f>T_CEFF!O314</f>
        <v>1.7000000000000001E-4</v>
      </c>
      <c r="U52" s="752">
        <f>T_CEFF!P314</f>
        <v>1.7000000000000001E-4</v>
      </c>
      <c r="V52" s="752">
        <f>T_CEFF!Q314</f>
        <v>1.7000000000000001E-4</v>
      </c>
      <c r="W52" s="752">
        <f>T_CEFF!R314</f>
        <v>1.7000000000000001E-4</v>
      </c>
      <c r="X52" s="752">
        <f>T_CEFF!S314</f>
        <v>1.7000000000000001E-4</v>
      </c>
      <c r="Y52" s="752">
        <f>T_CEFF!T314</f>
        <v>1.7000000000000001E-4</v>
      </c>
      <c r="Z52" s="752">
        <f>T_CEFF!U314</f>
        <v>1.7000000000000001E-4</v>
      </c>
      <c r="AA52" s="752">
        <f>T_CEFF!V314</f>
        <v>1.7000000000000001E-4</v>
      </c>
      <c r="AE52" s="83"/>
      <c r="AF52" s="83"/>
      <c r="AG52" s="83"/>
      <c r="AH52" s="83"/>
      <c r="AI52" s="83"/>
      <c r="AJ52" s="83"/>
      <c r="AK52" s="83"/>
      <c r="AL52" s="83"/>
      <c r="AM52" s="83"/>
      <c r="AN52" s="83"/>
      <c r="AO52" s="83"/>
      <c r="AP52" s="83"/>
      <c r="AQ52" s="83"/>
      <c r="AR52" s="83"/>
      <c r="AS52" s="83"/>
    </row>
    <row r="53" spans="1:47" s="35" customFormat="1" x14ac:dyDescent="0.3">
      <c r="A53" s="22"/>
      <c r="B53" s="178" t="str">
        <f t="shared" si="36"/>
        <v>TNB100</v>
      </c>
      <c r="C53" s="186"/>
      <c r="D53" s="187"/>
      <c r="E53" s="258"/>
      <c r="F53" s="189" t="s">
        <v>654</v>
      </c>
      <c r="G53" s="170"/>
      <c r="H53" s="190"/>
      <c r="I53" s="191"/>
      <c r="J53" s="191"/>
      <c r="K53" s="186" t="s">
        <v>1125</v>
      </c>
      <c r="L53" s="191" t="s">
        <v>677</v>
      </c>
      <c r="M53" s="752">
        <f>T_CEFF!H314</f>
        <v>1.7000000000000001E-4</v>
      </c>
      <c r="N53" s="752">
        <f>T_CEFF!I314</f>
        <v>1.7000000000000001E-4</v>
      </c>
      <c r="O53" s="752">
        <f>T_CEFF!J314</f>
        <v>1.7000000000000001E-4</v>
      </c>
      <c r="P53" s="752">
        <f>T_CEFF!K314</f>
        <v>1.7000000000000001E-4</v>
      </c>
      <c r="Q53" s="752">
        <f>T_CEFF!L314</f>
        <v>1.7000000000000001E-4</v>
      </c>
      <c r="R53" s="752">
        <f>T_CEFF!M314</f>
        <v>1.7000000000000001E-4</v>
      </c>
      <c r="S53" s="752">
        <f>T_CEFF!N314</f>
        <v>1.7000000000000001E-4</v>
      </c>
      <c r="T53" s="752">
        <f>T_CEFF!O314</f>
        <v>1.7000000000000001E-4</v>
      </c>
      <c r="U53" s="752">
        <f>T_CEFF!P314</f>
        <v>1.7000000000000001E-4</v>
      </c>
      <c r="V53" s="752">
        <f>T_CEFF!Q314</f>
        <v>1.7000000000000001E-4</v>
      </c>
      <c r="W53" s="752">
        <f>T_CEFF!R314</f>
        <v>1.7000000000000001E-4</v>
      </c>
      <c r="X53" s="752">
        <f>T_CEFF!S314</f>
        <v>1.7000000000000001E-4</v>
      </c>
      <c r="Y53" s="752">
        <f>T_CEFF!T314</f>
        <v>1.7000000000000001E-4</v>
      </c>
      <c r="Z53" s="752">
        <f>T_CEFF!U314</f>
        <v>1.7000000000000001E-4</v>
      </c>
      <c r="AA53" s="752">
        <f>T_CEFF!V314</f>
        <v>1.7000000000000001E-4</v>
      </c>
    </row>
    <row r="54" spans="1:47" s="35" customFormat="1" x14ac:dyDescent="0.3">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3">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3">
      <c r="B56" s="178" t="str">
        <f t="shared" si="36"/>
        <v>TNB100</v>
      </c>
      <c r="C56" s="186"/>
      <c r="D56" s="187"/>
      <c r="E56" s="186"/>
      <c r="F56" s="189"/>
      <c r="G56" s="170"/>
      <c r="H56" s="190">
        <f>$L$3</f>
        <v>2019</v>
      </c>
      <c r="I56" s="191"/>
      <c r="J56" s="191"/>
      <c r="K56" s="192" t="s">
        <v>1064</v>
      </c>
      <c r="L56" s="191" t="s">
        <v>747</v>
      </c>
      <c r="M56" s="688">
        <f t="shared" ref="M56:AA56" si="39">IF(M55=0, 0, ROUNDUP((M12+M13)/M54/M55*1000, 9))</f>
        <v>0</v>
      </c>
      <c r="N56" s="688">
        <f t="shared" si="39"/>
        <v>0</v>
      </c>
      <c r="O56" s="688">
        <f t="shared" si="39"/>
        <v>0</v>
      </c>
      <c r="P56" s="688">
        <f t="shared" si="39"/>
        <v>0</v>
      </c>
      <c r="Q56" s="688">
        <f t="shared" si="39"/>
        <v>0</v>
      </c>
      <c r="R56" s="688">
        <f t="shared" si="39"/>
        <v>0</v>
      </c>
      <c r="S56" s="688">
        <f t="shared" si="39"/>
        <v>0</v>
      </c>
      <c r="T56" s="688">
        <f t="shared" si="39"/>
        <v>0</v>
      </c>
      <c r="U56" s="688">
        <f t="shared" si="39"/>
        <v>0</v>
      </c>
      <c r="V56" s="688">
        <f t="shared" si="39"/>
        <v>0</v>
      </c>
      <c r="W56" s="688">
        <f t="shared" si="39"/>
        <v>0</v>
      </c>
      <c r="X56" s="688">
        <f t="shared" si="39"/>
        <v>0</v>
      </c>
      <c r="Y56" s="688">
        <f t="shared" si="39"/>
        <v>0</v>
      </c>
      <c r="Z56" s="688">
        <f t="shared" si="39"/>
        <v>0</v>
      </c>
      <c r="AA56" s="688">
        <f t="shared" si="39"/>
        <v>0</v>
      </c>
      <c r="AD56" s="33"/>
      <c r="AE56" s="33"/>
      <c r="AF56" s="33"/>
      <c r="AG56" s="33"/>
      <c r="AH56" s="33"/>
      <c r="AI56" s="33"/>
      <c r="AJ56" s="33"/>
      <c r="AK56" s="33"/>
      <c r="AL56" s="33"/>
      <c r="AM56" s="33"/>
      <c r="AN56" s="33"/>
      <c r="AO56" s="33"/>
      <c r="AP56" s="33"/>
    </row>
    <row r="57" spans="1:47" s="35" customFormat="1" x14ac:dyDescent="0.3">
      <c r="B57" s="178" t="str">
        <f t="shared" si="36"/>
        <v>TNB100</v>
      </c>
      <c r="C57" s="186"/>
      <c r="D57" s="187"/>
      <c r="E57" s="186"/>
      <c r="F57" s="189"/>
      <c r="G57" s="170"/>
      <c r="H57" s="190">
        <f>AC$4</f>
        <v>2016</v>
      </c>
      <c r="I57" s="191"/>
      <c r="J57" s="191"/>
      <c r="K57" s="192" t="s">
        <v>1064</v>
      </c>
      <c r="L57" s="191" t="s">
        <v>747</v>
      </c>
      <c r="M57" s="686">
        <f t="shared" ref="M57:AA57" si="40">M$56*$AE4</f>
        <v>0</v>
      </c>
      <c r="N57" s="686">
        <f t="shared" si="40"/>
        <v>0</v>
      </c>
      <c r="O57" s="686">
        <f t="shared" si="40"/>
        <v>0</v>
      </c>
      <c r="P57" s="686">
        <f t="shared" si="40"/>
        <v>0</v>
      </c>
      <c r="Q57" s="686">
        <f t="shared" si="40"/>
        <v>0</v>
      </c>
      <c r="R57" s="686">
        <f t="shared" si="40"/>
        <v>0</v>
      </c>
      <c r="S57" s="686">
        <f t="shared" si="40"/>
        <v>0</v>
      </c>
      <c r="T57" s="686">
        <f t="shared" si="40"/>
        <v>0</v>
      </c>
      <c r="U57" s="686">
        <f t="shared" si="40"/>
        <v>0</v>
      </c>
      <c r="V57" s="686">
        <f t="shared" si="40"/>
        <v>0</v>
      </c>
      <c r="W57" s="686">
        <f t="shared" si="40"/>
        <v>0</v>
      </c>
      <c r="X57" s="686">
        <f t="shared" si="40"/>
        <v>0</v>
      </c>
      <c r="Y57" s="686">
        <f t="shared" si="40"/>
        <v>0</v>
      </c>
      <c r="Z57" s="686">
        <f t="shared" si="40"/>
        <v>0</v>
      </c>
      <c r="AA57" s="686">
        <f t="shared" si="40"/>
        <v>0</v>
      </c>
      <c r="AD57" s="33"/>
      <c r="AE57" s="33"/>
      <c r="AF57" s="33"/>
      <c r="AG57" s="33"/>
      <c r="AH57" s="33"/>
      <c r="AI57" s="33"/>
      <c r="AJ57" s="33"/>
      <c r="AK57" s="33"/>
      <c r="AL57" s="33"/>
      <c r="AM57" s="33"/>
      <c r="AN57" s="33"/>
      <c r="AO57" s="33"/>
      <c r="AP57" s="33"/>
    </row>
    <row r="58" spans="1:47" s="35" customFormat="1" x14ac:dyDescent="0.3">
      <c r="B58" s="178" t="str">
        <f t="shared" si="36"/>
        <v>TNB100</v>
      </c>
      <c r="C58" s="186"/>
      <c r="D58" s="187"/>
      <c r="E58" s="186"/>
      <c r="F58" s="189"/>
      <c r="G58" s="170"/>
      <c r="H58" s="190">
        <f>AC$5</f>
        <v>2020</v>
      </c>
      <c r="I58" s="191"/>
      <c r="J58" s="191"/>
      <c r="K58" s="192" t="s">
        <v>1064</v>
      </c>
      <c r="L58" s="191" t="s">
        <v>747</v>
      </c>
      <c r="M58" s="686">
        <f t="shared" ref="M58:AA58" si="41">M$56*$AE5</f>
        <v>0</v>
      </c>
      <c r="N58" s="686">
        <f t="shared" si="41"/>
        <v>0</v>
      </c>
      <c r="O58" s="686">
        <f t="shared" si="41"/>
        <v>0</v>
      </c>
      <c r="P58" s="686">
        <f t="shared" si="41"/>
        <v>0</v>
      </c>
      <c r="Q58" s="686">
        <f t="shared" si="41"/>
        <v>0</v>
      </c>
      <c r="R58" s="686">
        <f t="shared" si="41"/>
        <v>0</v>
      </c>
      <c r="S58" s="686">
        <f t="shared" si="41"/>
        <v>0</v>
      </c>
      <c r="T58" s="686">
        <f t="shared" si="41"/>
        <v>0</v>
      </c>
      <c r="U58" s="686">
        <f t="shared" si="41"/>
        <v>0</v>
      </c>
      <c r="V58" s="686">
        <f t="shared" si="41"/>
        <v>0</v>
      </c>
      <c r="W58" s="686">
        <f t="shared" si="41"/>
        <v>0</v>
      </c>
      <c r="X58" s="686">
        <f t="shared" si="41"/>
        <v>0</v>
      </c>
      <c r="Y58" s="686">
        <f t="shared" si="41"/>
        <v>0</v>
      </c>
      <c r="Z58" s="686">
        <f t="shared" si="41"/>
        <v>0</v>
      </c>
      <c r="AA58" s="686">
        <f t="shared" si="41"/>
        <v>0</v>
      </c>
      <c r="AC58" s="57"/>
      <c r="AD58" s="33"/>
      <c r="AE58" s="33"/>
      <c r="AF58" s="33"/>
      <c r="AG58" s="33"/>
      <c r="AH58" s="33"/>
      <c r="AI58" s="33"/>
      <c r="AJ58" s="33"/>
      <c r="AK58" s="33"/>
      <c r="AL58" s="33"/>
      <c r="AM58" s="33"/>
      <c r="AN58" s="33"/>
      <c r="AO58" s="33"/>
      <c r="AP58" s="33"/>
    </row>
    <row r="59" spans="1:47" s="35" customFormat="1" x14ac:dyDescent="0.3">
      <c r="B59" s="178" t="str">
        <f t="shared" si="36"/>
        <v>TNB100</v>
      </c>
      <c r="C59" s="186"/>
      <c r="D59" s="187"/>
      <c r="E59" s="186"/>
      <c r="F59" s="189"/>
      <c r="G59" s="170"/>
      <c r="H59" s="190">
        <f>AC$6</f>
        <v>2025</v>
      </c>
      <c r="I59" s="191"/>
      <c r="J59" s="191"/>
      <c r="K59" s="192" t="s">
        <v>1064</v>
      </c>
      <c r="L59" s="191" t="s">
        <v>747</v>
      </c>
      <c r="M59" s="686">
        <f t="shared" ref="M59:AA59" si="42">M$56*$AE6</f>
        <v>0</v>
      </c>
      <c r="N59" s="686">
        <f t="shared" si="42"/>
        <v>0</v>
      </c>
      <c r="O59" s="686">
        <f t="shared" si="42"/>
        <v>0</v>
      </c>
      <c r="P59" s="686">
        <f t="shared" si="42"/>
        <v>0</v>
      </c>
      <c r="Q59" s="686">
        <f t="shared" si="42"/>
        <v>0</v>
      </c>
      <c r="R59" s="686">
        <f t="shared" si="42"/>
        <v>0</v>
      </c>
      <c r="S59" s="686">
        <f t="shared" si="42"/>
        <v>0</v>
      </c>
      <c r="T59" s="686">
        <f t="shared" si="42"/>
        <v>0</v>
      </c>
      <c r="U59" s="686">
        <f t="shared" si="42"/>
        <v>0</v>
      </c>
      <c r="V59" s="686">
        <f t="shared" si="42"/>
        <v>0</v>
      </c>
      <c r="W59" s="686">
        <f t="shared" si="42"/>
        <v>0</v>
      </c>
      <c r="X59" s="686">
        <f t="shared" si="42"/>
        <v>0</v>
      </c>
      <c r="Y59" s="686">
        <f t="shared" si="42"/>
        <v>0</v>
      </c>
      <c r="Z59" s="686">
        <f t="shared" si="42"/>
        <v>0</v>
      </c>
      <c r="AA59" s="686">
        <f t="shared" si="42"/>
        <v>0</v>
      </c>
      <c r="AD59" s="33"/>
      <c r="AE59" s="33"/>
      <c r="AF59" s="33"/>
      <c r="AG59" s="33"/>
      <c r="AH59" s="33"/>
      <c r="AI59" s="33"/>
      <c r="AJ59" s="33"/>
      <c r="AK59" s="33"/>
      <c r="AL59" s="33"/>
      <c r="AM59" s="33"/>
      <c r="AN59" s="33"/>
      <c r="AO59" s="33"/>
      <c r="AP59" s="33"/>
    </row>
    <row r="60" spans="1:47" s="35" customFormat="1" x14ac:dyDescent="0.3">
      <c r="B60" s="178" t="str">
        <f t="shared" si="36"/>
        <v>TNB100</v>
      </c>
      <c r="C60" s="186"/>
      <c r="D60" s="187"/>
      <c r="E60" s="186"/>
      <c r="F60" s="189"/>
      <c r="G60" s="170"/>
      <c r="H60" s="190">
        <f>AC$7</f>
        <v>2030</v>
      </c>
      <c r="I60" s="191"/>
      <c r="J60" s="191"/>
      <c r="K60" s="192" t="s">
        <v>1064</v>
      </c>
      <c r="L60" s="191" t="s">
        <v>747</v>
      </c>
      <c r="M60" s="686">
        <f t="shared" ref="M60:AA60" si="43">M$56*$AE7</f>
        <v>0</v>
      </c>
      <c r="N60" s="686">
        <f t="shared" si="43"/>
        <v>0</v>
      </c>
      <c r="O60" s="686">
        <f t="shared" si="43"/>
        <v>0</v>
      </c>
      <c r="P60" s="686">
        <f t="shared" si="43"/>
        <v>0</v>
      </c>
      <c r="Q60" s="686">
        <f t="shared" si="43"/>
        <v>0</v>
      </c>
      <c r="R60" s="686">
        <f t="shared" si="43"/>
        <v>0</v>
      </c>
      <c r="S60" s="686">
        <f t="shared" si="43"/>
        <v>0</v>
      </c>
      <c r="T60" s="686">
        <f t="shared" si="43"/>
        <v>0</v>
      </c>
      <c r="U60" s="686">
        <f t="shared" si="43"/>
        <v>0</v>
      </c>
      <c r="V60" s="686">
        <f t="shared" si="43"/>
        <v>0</v>
      </c>
      <c r="W60" s="686">
        <f t="shared" si="43"/>
        <v>0</v>
      </c>
      <c r="X60" s="686">
        <f t="shared" si="43"/>
        <v>0</v>
      </c>
      <c r="Y60" s="686">
        <f t="shared" si="43"/>
        <v>0</v>
      </c>
      <c r="Z60" s="686">
        <f t="shared" si="43"/>
        <v>0</v>
      </c>
      <c r="AA60" s="686">
        <f t="shared" si="43"/>
        <v>0</v>
      </c>
      <c r="AD60" s="33"/>
      <c r="AE60" s="33"/>
      <c r="AF60" s="33"/>
      <c r="AG60" s="33"/>
      <c r="AH60" s="33"/>
      <c r="AI60" s="33"/>
      <c r="AJ60" s="33"/>
      <c r="AK60" s="33"/>
      <c r="AL60" s="33"/>
      <c r="AM60" s="33"/>
      <c r="AN60" s="33"/>
      <c r="AO60" s="33"/>
      <c r="AP60" s="33"/>
    </row>
    <row r="61" spans="1:47" s="35" customFormat="1" x14ac:dyDescent="0.3">
      <c r="B61" s="178" t="str">
        <f t="shared" si="36"/>
        <v>TNB100</v>
      </c>
      <c r="C61" s="186"/>
      <c r="D61" s="187"/>
      <c r="E61" s="186"/>
      <c r="F61" s="189"/>
      <c r="G61" s="170"/>
      <c r="H61" s="190">
        <f>AC$8</f>
        <v>2040</v>
      </c>
      <c r="I61" s="191"/>
      <c r="J61" s="191"/>
      <c r="K61" s="192" t="s">
        <v>1064</v>
      </c>
      <c r="L61" s="191" t="s">
        <v>747</v>
      </c>
      <c r="M61" s="686">
        <f t="shared" ref="M61:AA61" si="44">M$56*$AE8</f>
        <v>0</v>
      </c>
      <c r="N61" s="686">
        <f t="shared" si="44"/>
        <v>0</v>
      </c>
      <c r="O61" s="686">
        <f t="shared" si="44"/>
        <v>0</v>
      </c>
      <c r="P61" s="686">
        <f t="shared" si="44"/>
        <v>0</v>
      </c>
      <c r="Q61" s="686">
        <f t="shared" si="44"/>
        <v>0</v>
      </c>
      <c r="R61" s="686">
        <f t="shared" si="44"/>
        <v>0</v>
      </c>
      <c r="S61" s="686">
        <f t="shared" si="44"/>
        <v>0</v>
      </c>
      <c r="T61" s="686">
        <f t="shared" si="44"/>
        <v>0</v>
      </c>
      <c r="U61" s="686">
        <f t="shared" si="44"/>
        <v>0</v>
      </c>
      <c r="V61" s="686">
        <f t="shared" si="44"/>
        <v>0</v>
      </c>
      <c r="W61" s="686">
        <f t="shared" si="44"/>
        <v>0</v>
      </c>
      <c r="X61" s="686">
        <f t="shared" si="44"/>
        <v>0</v>
      </c>
      <c r="Y61" s="686">
        <f t="shared" si="44"/>
        <v>0</v>
      </c>
      <c r="Z61" s="686">
        <f t="shared" si="44"/>
        <v>0</v>
      </c>
      <c r="AA61" s="686">
        <f t="shared" si="44"/>
        <v>0</v>
      </c>
      <c r="AD61" s="33"/>
      <c r="AE61" s="33"/>
      <c r="AF61" s="33"/>
      <c r="AG61" s="33"/>
      <c r="AH61" s="33"/>
      <c r="AI61" s="33"/>
      <c r="AJ61" s="33"/>
      <c r="AK61" s="33"/>
      <c r="AL61" s="33"/>
      <c r="AM61" s="33"/>
      <c r="AN61" s="33"/>
      <c r="AO61" s="33"/>
      <c r="AP61" s="33"/>
    </row>
    <row r="62" spans="1:47" s="35" customFormat="1" x14ac:dyDescent="0.3">
      <c r="A62" s="33"/>
      <c r="B62" s="204" t="str">
        <f t="shared" si="36"/>
        <v>TNB100</v>
      </c>
      <c r="C62" s="193"/>
      <c r="D62" s="194"/>
      <c r="E62" s="193"/>
      <c r="F62" s="195"/>
      <c r="G62" s="196"/>
      <c r="H62" s="197">
        <f>AC$9</f>
        <v>2050</v>
      </c>
      <c r="I62" s="198"/>
      <c r="J62" s="198"/>
      <c r="K62" s="199" t="s">
        <v>1064</v>
      </c>
      <c r="L62" s="198" t="s">
        <v>747</v>
      </c>
      <c r="M62" s="687">
        <f t="shared" ref="M62:AA62" si="45">M$56*$AE9</f>
        <v>0</v>
      </c>
      <c r="N62" s="687">
        <f t="shared" si="45"/>
        <v>0</v>
      </c>
      <c r="O62" s="687">
        <f t="shared" si="45"/>
        <v>0</v>
      </c>
      <c r="P62" s="687">
        <f t="shared" si="45"/>
        <v>0</v>
      </c>
      <c r="Q62" s="687">
        <f t="shared" si="45"/>
        <v>0</v>
      </c>
      <c r="R62" s="687">
        <f t="shared" si="45"/>
        <v>0</v>
      </c>
      <c r="S62" s="687">
        <f t="shared" si="45"/>
        <v>0</v>
      </c>
      <c r="T62" s="687">
        <f t="shared" si="45"/>
        <v>0</v>
      </c>
      <c r="U62" s="687">
        <f t="shared" si="45"/>
        <v>0</v>
      </c>
      <c r="V62" s="687">
        <f t="shared" si="45"/>
        <v>0</v>
      </c>
      <c r="W62" s="687">
        <f t="shared" si="45"/>
        <v>0</v>
      </c>
      <c r="X62" s="687">
        <f t="shared" si="45"/>
        <v>0</v>
      </c>
      <c r="Y62" s="687">
        <f t="shared" si="45"/>
        <v>0</v>
      </c>
      <c r="Z62" s="687">
        <f t="shared" si="45"/>
        <v>0</v>
      </c>
      <c r="AA62" s="687">
        <f t="shared" si="45"/>
        <v>0</v>
      </c>
      <c r="AD62" s="33"/>
      <c r="AE62" s="33"/>
      <c r="AF62" s="33"/>
      <c r="AG62" s="33"/>
      <c r="AH62" s="33"/>
      <c r="AI62" s="33"/>
      <c r="AJ62" s="33"/>
      <c r="AK62" s="33"/>
      <c r="AL62" s="33"/>
      <c r="AM62" s="33"/>
      <c r="AN62" s="33"/>
      <c r="AO62" s="33"/>
      <c r="AP62" s="33"/>
    </row>
    <row r="64" spans="1:47" x14ac:dyDescent="0.3">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3">
      <c r="B65" s="471"/>
    </row>
    <row r="66" spans="1:45" s="35" customFormat="1" ht="16.5" customHeight="1" x14ac:dyDescent="0.3">
      <c r="B66" s="32" t="s">
        <v>1218</v>
      </c>
      <c r="C66" s="26"/>
      <c r="H66" s="36"/>
    </row>
    <row r="67" spans="1:45" s="35" customFormat="1" ht="16.5" customHeight="1" x14ac:dyDescent="0.3">
      <c r="H67" s="36"/>
    </row>
    <row r="68" spans="1:45" s="22" customFormat="1" x14ac:dyDescent="0.3">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2" x14ac:dyDescent="0.3">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3">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4" t="str">
        <f>IF(AD71-SUM(M14:AA15)&lt;0,"too small",IF(AD71-SUM(M14:AA15)&gt;0.001,"Too big","ok"))</f>
        <v>ok</v>
      </c>
      <c r="AE70" s="618" t="str">
        <f t="shared" ref="AE70:AS70" si="48">IF(AE71-SUM(M14:M15)&lt;0,"too small",IF(AE71-SUM(M14:M15)&gt;0.001,"Too big","ok"))</f>
        <v>ok</v>
      </c>
      <c r="AF70" s="618" t="str">
        <f t="shared" si="48"/>
        <v>ok</v>
      </c>
      <c r="AG70" s="618" t="str">
        <f t="shared" si="48"/>
        <v>ok</v>
      </c>
      <c r="AH70" s="618" t="str">
        <f t="shared" si="48"/>
        <v>ok</v>
      </c>
      <c r="AI70" s="618" t="str">
        <f t="shared" si="48"/>
        <v>ok</v>
      </c>
      <c r="AJ70" s="618" t="str">
        <f t="shared" si="48"/>
        <v>ok</v>
      </c>
      <c r="AK70" s="618" t="str">
        <f t="shared" si="48"/>
        <v>ok</v>
      </c>
      <c r="AL70" s="618" t="str">
        <f t="shared" si="48"/>
        <v>ok</v>
      </c>
      <c r="AM70" s="618" t="str">
        <f t="shared" si="48"/>
        <v>ok</v>
      </c>
      <c r="AN70" s="618" t="str">
        <f t="shared" si="48"/>
        <v>ok</v>
      </c>
      <c r="AO70" s="618" t="str">
        <f t="shared" si="48"/>
        <v>ok</v>
      </c>
      <c r="AP70" s="618" t="str">
        <f t="shared" si="48"/>
        <v>ok</v>
      </c>
      <c r="AQ70" s="618" t="str">
        <f t="shared" si="48"/>
        <v>ok</v>
      </c>
      <c r="AR70" s="618" t="str">
        <f t="shared" si="48"/>
        <v>ok</v>
      </c>
      <c r="AS70" s="618" t="str">
        <f t="shared" si="48"/>
        <v>ok</v>
      </c>
    </row>
    <row r="71" spans="1:45" s="83" customFormat="1" x14ac:dyDescent="0.3">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7">
        <f>AE74</f>
        <v>0</v>
      </c>
      <c r="AF71" s="617">
        <f t="shared" ref="AF71:AS71" si="50">AF74</f>
        <v>0</v>
      </c>
      <c r="AG71" s="617">
        <f t="shared" si="50"/>
        <v>0</v>
      </c>
      <c r="AH71" s="617">
        <f t="shared" si="50"/>
        <v>0</v>
      </c>
      <c r="AI71" s="617">
        <f t="shared" si="50"/>
        <v>0</v>
      </c>
      <c r="AJ71" s="617">
        <f t="shared" si="50"/>
        <v>0</v>
      </c>
      <c r="AK71" s="617">
        <f t="shared" si="50"/>
        <v>0</v>
      </c>
      <c r="AL71" s="617">
        <f t="shared" si="50"/>
        <v>0</v>
      </c>
      <c r="AM71" s="617">
        <f t="shared" si="50"/>
        <v>0</v>
      </c>
      <c r="AN71" s="617">
        <f t="shared" si="50"/>
        <v>0</v>
      </c>
      <c r="AO71" s="617">
        <f t="shared" si="50"/>
        <v>0</v>
      </c>
      <c r="AP71" s="617">
        <f t="shared" si="50"/>
        <v>0</v>
      </c>
      <c r="AQ71" s="617">
        <f t="shared" si="50"/>
        <v>0</v>
      </c>
      <c r="AR71" s="617">
        <f t="shared" si="50"/>
        <v>0</v>
      </c>
      <c r="AS71" s="617">
        <f t="shared" si="50"/>
        <v>0</v>
      </c>
    </row>
    <row r="72" spans="1:45" s="35" customFormat="1" x14ac:dyDescent="0.3">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3">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3">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3">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3">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3">
      <c r="B77" s="186" t="str">
        <f t="shared" si="51"/>
        <v>TNCDST100</v>
      </c>
      <c r="C77" s="186"/>
      <c r="D77" s="187"/>
      <c r="E77" s="186"/>
      <c r="F77" s="189"/>
      <c r="G77" s="170"/>
      <c r="H77" s="190">
        <f>$L$3</f>
        <v>2019</v>
      </c>
      <c r="I77" s="191"/>
      <c r="J77" s="191"/>
      <c r="K77" s="192" t="s">
        <v>1064</v>
      </c>
      <c r="L77" s="191" t="s">
        <v>747</v>
      </c>
      <c r="M77" s="688">
        <f t="shared" ref="M77:AA77" si="54">IF(M76=0, 0, ROUNDUP((M14+M15)/M75/M76*1000, 8))</f>
        <v>0</v>
      </c>
      <c r="N77" s="688">
        <f t="shared" si="54"/>
        <v>0</v>
      </c>
      <c r="O77" s="688">
        <f t="shared" si="54"/>
        <v>0</v>
      </c>
      <c r="P77" s="688">
        <f t="shared" si="54"/>
        <v>0</v>
      </c>
      <c r="Q77" s="688">
        <f t="shared" si="54"/>
        <v>0</v>
      </c>
      <c r="R77" s="688">
        <f t="shared" si="54"/>
        <v>0</v>
      </c>
      <c r="S77" s="688">
        <f t="shared" si="54"/>
        <v>0</v>
      </c>
      <c r="T77" s="688">
        <f t="shared" si="54"/>
        <v>0</v>
      </c>
      <c r="U77" s="688">
        <f t="shared" si="54"/>
        <v>0</v>
      </c>
      <c r="V77" s="688">
        <f t="shared" si="54"/>
        <v>0</v>
      </c>
      <c r="W77" s="688">
        <f t="shared" si="54"/>
        <v>0</v>
      </c>
      <c r="X77" s="688">
        <f t="shared" si="54"/>
        <v>0</v>
      </c>
      <c r="Y77" s="688">
        <f t="shared" si="54"/>
        <v>0</v>
      </c>
      <c r="Z77" s="688">
        <f t="shared" si="54"/>
        <v>0</v>
      </c>
      <c r="AA77" s="688">
        <f t="shared" si="54"/>
        <v>0</v>
      </c>
      <c r="AC77" s="57"/>
      <c r="AD77" s="33"/>
      <c r="AE77" s="33"/>
      <c r="AF77" s="33"/>
      <c r="AG77" s="33"/>
      <c r="AH77" s="33"/>
      <c r="AI77" s="33"/>
      <c r="AJ77" s="33"/>
      <c r="AK77" s="33"/>
      <c r="AL77" s="33"/>
      <c r="AM77" s="33"/>
      <c r="AN77" s="33"/>
      <c r="AO77" s="33"/>
      <c r="AP77" s="33"/>
    </row>
    <row r="78" spans="1:45" s="35" customFormat="1" x14ac:dyDescent="0.3">
      <c r="B78" s="186" t="str">
        <f t="shared" si="51"/>
        <v>TNCDST100</v>
      </c>
      <c r="C78" s="186"/>
      <c r="D78" s="187"/>
      <c r="E78" s="186"/>
      <c r="F78" s="189"/>
      <c r="G78" s="170"/>
      <c r="H78" s="190">
        <f>AC$4</f>
        <v>2016</v>
      </c>
      <c r="I78" s="191"/>
      <c r="J78" s="191"/>
      <c r="K78" s="192" t="s">
        <v>1064</v>
      </c>
      <c r="L78" s="191" t="s">
        <v>747</v>
      </c>
      <c r="M78" s="686">
        <f t="shared" ref="M78:AA78" si="55">M$77*$AF4</f>
        <v>0</v>
      </c>
      <c r="N78" s="686">
        <f t="shared" si="55"/>
        <v>0</v>
      </c>
      <c r="O78" s="686">
        <f t="shared" si="55"/>
        <v>0</v>
      </c>
      <c r="P78" s="686">
        <f t="shared" si="55"/>
        <v>0</v>
      </c>
      <c r="Q78" s="686">
        <f t="shared" si="55"/>
        <v>0</v>
      </c>
      <c r="R78" s="686">
        <f t="shared" si="55"/>
        <v>0</v>
      </c>
      <c r="S78" s="686">
        <f t="shared" si="55"/>
        <v>0</v>
      </c>
      <c r="T78" s="686">
        <f t="shared" si="55"/>
        <v>0</v>
      </c>
      <c r="U78" s="686">
        <f t="shared" si="55"/>
        <v>0</v>
      </c>
      <c r="V78" s="686">
        <f t="shared" si="55"/>
        <v>0</v>
      </c>
      <c r="W78" s="686">
        <f t="shared" si="55"/>
        <v>0</v>
      </c>
      <c r="X78" s="686">
        <f t="shared" si="55"/>
        <v>0</v>
      </c>
      <c r="Y78" s="686">
        <f t="shared" si="55"/>
        <v>0</v>
      </c>
      <c r="Z78" s="686">
        <f t="shared" si="55"/>
        <v>0</v>
      </c>
      <c r="AA78" s="686">
        <f t="shared" si="55"/>
        <v>0</v>
      </c>
      <c r="AD78" s="33"/>
      <c r="AE78" s="33"/>
      <c r="AF78" s="33"/>
      <c r="AG78" s="33"/>
      <c r="AH78" s="33"/>
      <c r="AI78" s="33"/>
      <c r="AJ78" s="33"/>
      <c r="AK78" s="33"/>
      <c r="AL78" s="33"/>
      <c r="AM78" s="33"/>
      <c r="AN78" s="33"/>
      <c r="AO78" s="33"/>
      <c r="AP78" s="33"/>
    </row>
    <row r="79" spans="1:45" s="35" customFormat="1" x14ac:dyDescent="0.3">
      <c r="B79" s="186" t="str">
        <f t="shared" si="51"/>
        <v>TNCDST100</v>
      </c>
      <c r="C79" s="186"/>
      <c r="D79" s="187"/>
      <c r="E79" s="186"/>
      <c r="F79" s="189"/>
      <c r="G79" s="170"/>
      <c r="H79" s="190">
        <f>AC$5</f>
        <v>2020</v>
      </c>
      <c r="I79" s="191"/>
      <c r="J79" s="191"/>
      <c r="K79" s="192" t="s">
        <v>1064</v>
      </c>
      <c r="L79" s="191" t="s">
        <v>747</v>
      </c>
      <c r="M79" s="686">
        <f t="shared" ref="M79:AA79" si="56">M$77*$AF5</f>
        <v>0</v>
      </c>
      <c r="N79" s="686">
        <f t="shared" si="56"/>
        <v>0</v>
      </c>
      <c r="O79" s="686">
        <f t="shared" si="56"/>
        <v>0</v>
      </c>
      <c r="P79" s="686">
        <f t="shared" si="56"/>
        <v>0</v>
      </c>
      <c r="Q79" s="686">
        <f t="shared" si="56"/>
        <v>0</v>
      </c>
      <c r="R79" s="686">
        <f t="shared" si="56"/>
        <v>0</v>
      </c>
      <c r="S79" s="686">
        <f t="shared" si="56"/>
        <v>0</v>
      </c>
      <c r="T79" s="686">
        <f t="shared" si="56"/>
        <v>0</v>
      </c>
      <c r="U79" s="686">
        <f t="shared" si="56"/>
        <v>0</v>
      </c>
      <c r="V79" s="686">
        <f t="shared" si="56"/>
        <v>0</v>
      </c>
      <c r="W79" s="686">
        <f t="shared" si="56"/>
        <v>0</v>
      </c>
      <c r="X79" s="686">
        <f t="shared" si="56"/>
        <v>0</v>
      </c>
      <c r="Y79" s="686">
        <f t="shared" si="56"/>
        <v>0</v>
      </c>
      <c r="Z79" s="686">
        <f t="shared" si="56"/>
        <v>0</v>
      </c>
      <c r="AA79" s="686">
        <f t="shared" si="56"/>
        <v>0</v>
      </c>
      <c r="AD79" s="33"/>
      <c r="AE79" s="33"/>
      <c r="AF79" s="33"/>
      <c r="AG79" s="33"/>
      <c r="AH79" s="33"/>
      <c r="AI79" s="33"/>
      <c r="AJ79" s="33"/>
      <c r="AK79" s="33"/>
      <c r="AL79" s="33"/>
      <c r="AM79" s="33"/>
      <c r="AN79" s="33"/>
      <c r="AO79" s="33"/>
      <c r="AP79" s="33"/>
    </row>
    <row r="80" spans="1:45" s="35" customFormat="1" x14ac:dyDescent="0.3">
      <c r="B80" s="186" t="str">
        <f t="shared" si="51"/>
        <v>TNCDST100</v>
      </c>
      <c r="C80" s="186"/>
      <c r="D80" s="187"/>
      <c r="E80" s="186"/>
      <c r="F80" s="189"/>
      <c r="G80" s="170"/>
      <c r="H80" s="190">
        <f>AC$6</f>
        <v>2025</v>
      </c>
      <c r="I80" s="191"/>
      <c r="J80" s="191"/>
      <c r="K80" s="192" t="s">
        <v>1064</v>
      </c>
      <c r="L80" s="191" t="s">
        <v>747</v>
      </c>
      <c r="M80" s="686">
        <f t="shared" ref="M80:AA80" si="57">M$77*$AF6</f>
        <v>0</v>
      </c>
      <c r="N80" s="686">
        <f t="shared" si="57"/>
        <v>0</v>
      </c>
      <c r="O80" s="686">
        <f t="shared" si="57"/>
        <v>0</v>
      </c>
      <c r="P80" s="686">
        <f t="shared" si="57"/>
        <v>0</v>
      </c>
      <c r="Q80" s="686">
        <f t="shared" si="57"/>
        <v>0</v>
      </c>
      <c r="R80" s="686">
        <f t="shared" si="57"/>
        <v>0</v>
      </c>
      <c r="S80" s="686">
        <f t="shared" si="57"/>
        <v>0</v>
      </c>
      <c r="T80" s="686">
        <f t="shared" si="57"/>
        <v>0</v>
      </c>
      <c r="U80" s="686">
        <f t="shared" si="57"/>
        <v>0</v>
      </c>
      <c r="V80" s="686">
        <f t="shared" si="57"/>
        <v>0</v>
      </c>
      <c r="W80" s="686">
        <f t="shared" si="57"/>
        <v>0</v>
      </c>
      <c r="X80" s="686">
        <f t="shared" si="57"/>
        <v>0</v>
      </c>
      <c r="Y80" s="686">
        <f t="shared" si="57"/>
        <v>0</v>
      </c>
      <c r="Z80" s="686">
        <f t="shared" si="57"/>
        <v>0</v>
      </c>
      <c r="AA80" s="686">
        <f t="shared" si="57"/>
        <v>0</v>
      </c>
      <c r="AD80" s="33"/>
      <c r="AE80" s="33"/>
      <c r="AF80" s="33"/>
      <c r="AG80" s="33"/>
      <c r="AH80" s="33"/>
      <c r="AI80" s="33"/>
      <c r="AJ80" s="33"/>
      <c r="AK80" s="33"/>
      <c r="AL80" s="33"/>
      <c r="AM80" s="33"/>
      <c r="AN80" s="33"/>
      <c r="AO80" s="33"/>
      <c r="AP80" s="33"/>
    </row>
    <row r="81" spans="2:42" s="35" customFormat="1" x14ac:dyDescent="0.3">
      <c r="B81" s="186" t="str">
        <f t="shared" si="51"/>
        <v>TNCDST100</v>
      </c>
      <c r="C81" s="186"/>
      <c r="D81" s="187"/>
      <c r="E81" s="186"/>
      <c r="F81" s="189"/>
      <c r="G81" s="170"/>
      <c r="H81" s="190">
        <f>AC$7</f>
        <v>2030</v>
      </c>
      <c r="I81" s="191"/>
      <c r="J81" s="191"/>
      <c r="K81" s="192" t="s">
        <v>1064</v>
      </c>
      <c r="L81" s="191" t="s">
        <v>747</v>
      </c>
      <c r="M81" s="686">
        <f t="shared" ref="M81:AA81" si="58">M$77*$AF7</f>
        <v>0</v>
      </c>
      <c r="N81" s="686">
        <f t="shared" si="58"/>
        <v>0</v>
      </c>
      <c r="O81" s="686">
        <f t="shared" si="58"/>
        <v>0</v>
      </c>
      <c r="P81" s="686">
        <f t="shared" si="58"/>
        <v>0</v>
      </c>
      <c r="Q81" s="686">
        <f t="shared" si="58"/>
        <v>0</v>
      </c>
      <c r="R81" s="686">
        <f t="shared" si="58"/>
        <v>0</v>
      </c>
      <c r="S81" s="686">
        <f t="shared" si="58"/>
        <v>0</v>
      </c>
      <c r="T81" s="686">
        <f t="shared" si="58"/>
        <v>0</v>
      </c>
      <c r="U81" s="686">
        <f t="shared" si="58"/>
        <v>0</v>
      </c>
      <c r="V81" s="686">
        <f t="shared" si="58"/>
        <v>0</v>
      </c>
      <c r="W81" s="686">
        <f t="shared" si="58"/>
        <v>0</v>
      </c>
      <c r="X81" s="686">
        <f t="shared" si="58"/>
        <v>0</v>
      </c>
      <c r="Y81" s="686">
        <f t="shared" si="58"/>
        <v>0</v>
      </c>
      <c r="Z81" s="686">
        <f t="shared" si="58"/>
        <v>0</v>
      </c>
      <c r="AA81" s="686">
        <f t="shared" si="58"/>
        <v>0</v>
      </c>
      <c r="AD81" s="33"/>
      <c r="AE81" s="33"/>
      <c r="AF81" s="33"/>
      <c r="AG81" s="33"/>
      <c r="AH81" s="33"/>
      <c r="AI81" s="33"/>
      <c r="AJ81" s="33"/>
      <c r="AK81" s="33"/>
      <c r="AL81" s="33"/>
      <c r="AM81" s="33"/>
      <c r="AN81" s="33"/>
      <c r="AO81" s="33"/>
      <c r="AP81" s="33"/>
    </row>
    <row r="82" spans="2:42" x14ac:dyDescent="0.3">
      <c r="B82" s="186" t="str">
        <f t="shared" si="51"/>
        <v>TNCDST100</v>
      </c>
      <c r="C82" s="186"/>
      <c r="D82" s="187"/>
      <c r="E82" s="186"/>
      <c r="F82" s="189"/>
      <c r="G82" s="170"/>
      <c r="H82" s="190">
        <f>AC$8</f>
        <v>2040</v>
      </c>
      <c r="I82" s="191"/>
      <c r="J82" s="191"/>
      <c r="K82" s="192" t="s">
        <v>1064</v>
      </c>
      <c r="L82" s="191" t="s">
        <v>747</v>
      </c>
      <c r="M82" s="686">
        <f t="shared" ref="M82:AA82" si="59">M$77*$AF8</f>
        <v>0</v>
      </c>
      <c r="N82" s="686">
        <f t="shared" si="59"/>
        <v>0</v>
      </c>
      <c r="O82" s="686">
        <f t="shared" si="59"/>
        <v>0</v>
      </c>
      <c r="P82" s="686">
        <f t="shared" si="59"/>
        <v>0</v>
      </c>
      <c r="Q82" s="686">
        <f t="shared" si="59"/>
        <v>0</v>
      </c>
      <c r="R82" s="686">
        <f t="shared" si="59"/>
        <v>0</v>
      </c>
      <c r="S82" s="686">
        <f t="shared" si="59"/>
        <v>0</v>
      </c>
      <c r="T82" s="686">
        <f t="shared" si="59"/>
        <v>0</v>
      </c>
      <c r="U82" s="686">
        <f t="shared" si="59"/>
        <v>0</v>
      </c>
      <c r="V82" s="686">
        <f t="shared" si="59"/>
        <v>0</v>
      </c>
      <c r="W82" s="686">
        <f t="shared" si="59"/>
        <v>0</v>
      </c>
      <c r="X82" s="686">
        <f t="shared" si="59"/>
        <v>0</v>
      </c>
      <c r="Y82" s="686">
        <f t="shared" si="59"/>
        <v>0</v>
      </c>
      <c r="Z82" s="686">
        <f t="shared" si="59"/>
        <v>0</v>
      </c>
      <c r="AA82" s="686">
        <f t="shared" si="59"/>
        <v>0</v>
      </c>
    </row>
    <row r="83" spans="2:42" x14ac:dyDescent="0.3">
      <c r="B83" s="193" t="str">
        <f t="shared" si="51"/>
        <v>TNCDST100</v>
      </c>
      <c r="C83" s="193"/>
      <c r="D83" s="194"/>
      <c r="E83" s="193"/>
      <c r="F83" s="195"/>
      <c r="G83" s="196"/>
      <c r="H83" s="197">
        <f>AC$9</f>
        <v>2050</v>
      </c>
      <c r="I83" s="198"/>
      <c r="J83" s="198"/>
      <c r="K83" s="199" t="s">
        <v>1064</v>
      </c>
      <c r="L83" s="198" t="s">
        <v>747</v>
      </c>
      <c r="M83" s="687">
        <f t="shared" ref="M83:AA83" si="60">M$77*$AF9</f>
        <v>0</v>
      </c>
      <c r="N83" s="687">
        <f t="shared" si="60"/>
        <v>0</v>
      </c>
      <c r="O83" s="687">
        <f t="shared" si="60"/>
        <v>0</v>
      </c>
      <c r="P83" s="687">
        <f t="shared" si="60"/>
        <v>0</v>
      </c>
      <c r="Q83" s="687">
        <f t="shared" si="60"/>
        <v>0</v>
      </c>
      <c r="R83" s="687">
        <f t="shared" si="60"/>
        <v>0</v>
      </c>
      <c r="S83" s="687">
        <f t="shared" si="60"/>
        <v>0</v>
      </c>
      <c r="T83" s="687">
        <f t="shared" si="60"/>
        <v>0</v>
      </c>
      <c r="U83" s="687">
        <f t="shared" si="60"/>
        <v>0</v>
      </c>
      <c r="V83" s="687">
        <f t="shared" si="60"/>
        <v>0</v>
      </c>
      <c r="W83" s="687">
        <f t="shared" si="60"/>
        <v>0</v>
      </c>
      <c r="X83" s="687">
        <f t="shared" si="60"/>
        <v>0</v>
      </c>
      <c r="Y83" s="687">
        <f t="shared" si="60"/>
        <v>0</v>
      </c>
      <c r="Z83" s="687">
        <f t="shared" si="60"/>
        <v>0</v>
      </c>
      <c r="AA83" s="687">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33203125" defaultRowHeight="14.4" x14ac:dyDescent="0.3"/>
  <cols>
    <col min="1" max="1" width="9.33203125" style="35"/>
    <col min="2" max="2" width="18.6640625" style="35" customWidth="1"/>
    <col min="3" max="3" width="15.33203125" style="35" customWidth="1"/>
    <col min="4" max="4" width="46.44140625" style="35" customWidth="1"/>
    <col min="5" max="5" width="11.33203125" style="35" bestFit="1" customWidth="1"/>
    <col min="6" max="6" width="13.33203125" style="35" bestFit="1" customWidth="1"/>
    <col min="7" max="9" width="15.5546875" style="35" bestFit="1" customWidth="1"/>
    <col min="10" max="10" width="39.33203125" style="35" customWidth="1"/>
    <col min="11" max="11" width="16.5546875" style="35" customWidth="1"/>
    <col min="12" max="12" width="20" style="35" customWidth="1"/>
    <col min="13" max="13" width="19.33203125" style="70" bestFit="1" customWidth="1"/>
    <col min="14" max="28" width="11.6640625" style="35" customWidth="1"/>
    <col min="29" max="29" width="9.33203125" style="35"/>
    <col min="30" max="30" width="24.33203125" style="35" bestFit="1" customWidth="1"/>
    <col min="31" max="31" width="9.6640625" style="35" bestFit="1" customWidth="1"/>
    <col min="32" max="16384" width="9.33203125" style="35"/>
  </cols>
  <sheetData>
    <row r="1" spans="1:46" x14ac:dyDescent="0.3">
      <c r="M1" s="120" t="s">
        <v>1110</v>
      </c>
    </row>
    <row r="2" spans="1:46" ht="19.5" customHeight="1" x14ac:dyDescent="0.3">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3">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3">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4">
        <v>0.15</v>
      </c>
      <c r="AI8" s="554">
        <v>0.15</v>
      </c>
      <c r="AJ8" s="554">
        <v>0.15</v>
      </c>
      <c r="AK8" s="554">
        <v>0.15</v>
      </c>
      <c r="AL8" s="554">
        <v>0.15</v>
      </c>
      <c r="AM8" s="554">
        <v>0.15</v>
      </c>
      <c r="AN8" s="554">
        <v>0.15</v>
      </c>
      <c r="AO8" s="554">
        <v>0.15</v>
      </c>
      <c r="AP8" s="554">
        <v>0.15</v>
      </c>
      <c r="AQ8" s="67">
        <v>0.01</v>
      </c>
      <c r="AR8" s="67">
        <v>0.01</v>
      </c>
      <c r="AS8" s="67">
        <v>0.01</v>
      </c>
      <c r="AT8" s="35"/>
    </row>
    <row r="9" spans="1:46"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3">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49">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3">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49">
        <f t="shared" si="3"/>
        <v>0</v>
      </c>
      <c r="AG11" s="35"/>
      <c r="AH11" s="35"/>
      <c r="AI11" s="35"/>
      <c r="AJ11" s="35"/>
      <c r="AK11" s="35"/>
      <c r="AL11" s="35"/>
      <c r="AM11" s="35"/>
      <c r="AN11" s="35"/>
      <c r="AO11" s="35"/>
      <c r="AP11" s="35"/>
      <c r="AQ11" s="35"/>
      <c r="AR11" s="35"/>
      <c r="AS11" s="35"/>
      <c r="AT11" s="35"/>
    </row>
    <row r="12" spans="1:46" s="33" customFormat="1" x14ac:dyDescent="0.3">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49">
        <f t="shared" si="3"/>
        <v>0</v>
      </c>
      <c r="AF12" s="35"/>
      <c r="AG12" s="35"/>
      <c r="AH12" s="35"/>
      <c r="AI12" s="35"/>
      <c r="AJ12" s="35"/>
      <c r="AK12" s="35"/>
      <c r="AL12" s="35"/>
      <c r="AM12" s="35"/>
      <c r="AN12" s="35"/>
      <c r="AO12" s="35"/>
      <c r="AP12" s="35"/>
      <c r="AQ12" s="35"/>
      <c r="AR12" s="35"/>
      <c r="AS12" s="35"/>
    </row>
    <row r="13" spans="1:46" s="33" customFormat="1" x14ac:dyDescent="0.3">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49">
        <f t="shared" si="3"/>
        <v>0</v>
      </c>
      <c r="AF13" s="35"/>
      <c r="AG13" s="35"/>
      <c r="AH13" s="35"/>
      <c r="AI13" s="35"/>
      <c r="AJ13" s="35"/>
      <c r="AK13" s="35"/>
      <c r="AL13" s="35"/>
      <c r="AM13" s="35"/>
      <c r="AN13" s="35"/>
      <c r="AO13" s="35"/>
      <c r="AP13" s="35"/>
      <c r="AQ13" s="35"/>
      <c r="AR13" s="35"/>
      <c r="AS13" s="35"/>
    </row>
    <row r="14" spans="1:46" s="33" customFormat="1" x14ac:dyDescent="0.3">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49">
        <f t="shared" si="3"/>
        <v>0</v>
      </c>
      <c r="AF14" s="35"/>
      <c r="AG14" s="35"/>
      <c r="AH14" s="35"/>
      <c r="AI14" s="35"/>
      <c r="AJ14" s="35"/>
      <c r="AK14" s="35"/>
      <c r="AL14" s="35"/>
      <c r="AM14" s="35"/>
      <c r="AN14" s="35"/>
      <c r="AO14" s="35"/>
      <c r="AQ14" s="35"/>
      <c r="AR14" s="35"/>
      <c r="AS14" s="35"/>
    </row>
    <row r="15" spans="1:46" s="33" customFormat="1" x14ac:dyDescent="0.3">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49">
        <f t="shared" si="3"/>
        <v>0</v>
      </c>
      <c r="AF15" s="35"/>
      <c r="AG15" s="35"/>
      <c r="AH15" s="35"/>
      <c r="AI15" s="35"/>
      <c r="AJ15" s="35"/>
      <c r="AK15" s="35"/>
      <c r="AL15" s="35"/>
      <c r="AM15" s="35"/>
      <c r="AN15" s="35"/>
      <c r="AQ15" s="35"/>
      <c r="AR15" s="35"/>
      <c r="AS15" s="35"/>
    </row>
    <row r="16" spans="1:46" s="33" customFormat="1" x14ac:dyDescent="0.3">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49">
        <f t="shared" si="3"/>
        <v>0</v>
      </c>
      <c r="AF16" s="35"/>
      <c r="AG16" s="35"/>
      <c r="AH16" s="35"/>
      <c r="AI16" s="35"/>
      <c r="AJ16" s="35"/>
      <c r="AK16" s="35"/>
      <c r="AL16" s="35"/>
      <c r="AM16" s="35"/>
      <c r="AN16" s="35"/>
      <c r="AQ16" s="35"/>
      <c r="AR16" s="35"/>
      <c r="AS16" s="35"/>
    </row>
    <row r="17" spans="1:45" s="33" customFormat="1" x14ac:dyDescent="0.3">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49">
        <f t="shared" si="3"/>
        <v>0</v>
      </c>
      <c r="AF17" s="35"/>
      <c r="AG17" s="35"/>
      <c r="AH17" s="35"/>
      <c r="AI17" s="35"/>
      <c r="AJ17" s="35"/>
      <c r="AK17" s="35"/>
      <c r="AL17" s="35"/>
      <c r="AM17" s="35"/>
      <c r="AN17" s="35"/>
      <c r="AQ17" s="35"/>
      <c r="AR17" s="35"/>
      <c r="AS17" s="35"/>
    </row>
    <row r="18" spans="1:45" s="33" customFormat="1" x14ac:dyDescent="0.3">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49">
        <f t="shared" si="3"/>
        <v>0</v>
      </c>
      <c r="AF18" s="35"/>
      <c r="AG18" s="35"/>
      <c r="AH18" s="35"/>
      <c r="AI18" s="35"/>
      <c r="AJ18" s="35"/>
      <c r="AK18" s="35"/>
      <c r="AL18" s="35"/>
      <c r="AM18" s="35"/>
      <c r="AN18" s="35"/>
      <c r="AQ18" s="35"/>
      <c r="AR18" s="35"/>
      <c r="AS18" s="35"/>
    </row>
    <row r="19" spans="1:45" s="33" customFormat="1" x14ac:dyDescent="0.3">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3">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3">
      <c r="A21" s="44"/>
      <c r="B21" s="44"/>
      <c r="C21" s="44"/>
      <c r="D21" s="35"/>
      <c r="E21" s="35"/>
      <c r="F21" s="44"/>
      <c r="G21" s="44"/>
      <c r="H21" s="44"/>
      <c r="I21" s="44"/>
      <c r="J21" s="44"/>
      <c r="K21" s="44"/>
      <c r="L21" s="330"/>
      <c r="M21" s="191" t="s">
        <v>1171</v>
      </c>
      <c r="N21" s="166">
        <f>T_ACTFLO!E30</f>
        <v>0</v>
      </c>
      <c r="O21" s="166">
        <f>T_ACTFLO!F30</f>
        <v>0</v>
      </c>
      <c r="P21" s="166">
        <f>T_ACTFLO!G30</f>
        <v>0</v>
      </c>
      <c r="Q21" s="166">
        <f>T_ACTFLO!H30</f>
        <v>0</v>
      </c>
      <c r="R21" s="166">
        <f>T_ACTFLO!I30</f>
        <v>0</v>
      </c>
      <c r="S21" s="166">
        <f>T_ACTFLO!J30</f>
        <v>0</v>
      </c>
      <c r="T21" s="166">
        <f>T_ACTFLO!K30</f>
        <v>0</v>
      </c>
      <c r="U21" s="166">
        <f>T_ACTFLO!L30</f>
        <v>0</v>
      </c>
      <c r="V21" s="166">
        <f>T_ACTFLO!M30</f>
        <v>0</v>
      </c>
      <c r="W21" s="166">
        <f>T_ACTFLO!N30</f>
        <v>0</v>
      </c>
      <c r="X21" s="166">
        <f>T_ACTFLO!O30</f>
        <v>0</v>
      </c>
      <c r="Y21" s="166">
        <f>T_ACTFLO!P30</f>
        <v>0</v>
      </c>
      <c r="Z21" s="166">
        <f>T_ACTFLO!Q30</f>
        <v>0</v>
      </c>
      <c r="AA21" s="166">
        <f>T_ACTFLO!R30</f>
        <v>0</v>
      </c>
      <c r="AB21" s="166">
        <f>T_ACTFLO!S30</f>
        <v>0</v>
      </c>
      <c r="AC21" s="44"/>
      <c r="AE21" s="35"/>
      <c r="AF21" s="35"/>
      <c r="AG21" s="35"/>
      <c r="AH21" s="35"/>
      <c r="AI21" s="35"/>
      <c r="AJ21" s="35"/>
      <c r="AK21" s="35"/>
      <c r="AP21" s="35"/>
      <c r="AQ21" s="35"/>
      <c r="AR21" s="35"/>
      <c r="AS21" s="35"/>
    </row>
    <row r="22" spans="1:45" s="33" customFormat="1" x14ac:dyDescent="0.3">
      <c r="A22" s="44"/>
      <c r="B22" s="44"/>
      <c r="C22" s="44"/>
      <c r="D22" s="35"/>
      <c r="E22" s="35"/>
      <c r="F22" s="44"/>
      <c r="G22" s="44"/>
      <c r="H22" s="44"/>
      <c r="I22" s="44"/>
      <c r="J22" s="44"/>
      <c r="K22" s="44"/>
      <c r="L22" s="330"/>
      <c r="M22" s="191" t="s">
        <v>1172</v>
      </c>
      <c r="N22" s="166">
        <f>T_ACTFLO!E31</f>
        <v>0</v>
      </c>
      <c r="O22" s="166">
        <f>T_ACTFLO!F31</f>
        <v>0</v>
      </c>
      <c r="P22" s="166">
        <f>T_ACTFLO!G31</f>
        <v>0</v>
      </c>
      <c r="Q22" s="166">
        <f>T_ACTFLO!H31</f>
        <v>0</v>
      </c>
      <c r="R22" s="166">
        <f>T_ACTFLO!I31</f>
        <v>0</v>
      </c>
      <c r="S22" s="166">
        <f>T_ACTFLO!J31</f>
        <v>0</v>
      </c>
      <c r="T22" s="166">
        <f>T_ACTFLO!K31</f>
        <v>0</v>
      </c>
      <c r="U22" s="166">
        <f>T_ACTFLO!L31</f>
        <v>0</v>
      </c>
      <c r="V22" s="166">
        <f>T_ACTFLO!M31</f>
        <v>0</v>
      </c>
      <c r="W22" s="166">
        <f>T_ACTFLO!N31</f>
        <v>0</v>
      </c>
      <c r="X22" s="166">
        <f>T_ACTFLO!O31</f>
        <v>0</v>
      </c>
      <c r="Y22" s="166">
        <f>T_ACTFLO!P31</f>
        <v>0</v>
      </c>
      <c r="Z22" s="166">
        <f>T_ACTFLO!Q31</f>
        <v>0</v>
      </c>
      <c r="AA22" s="166">
        <f>T_ACTFLO!R31</f>
        <v>0</v>
      </c>
      <c r="AB22" s="166">
        <f>T_ACTFLO!S31</f>
        <v>0</v>
      </c>
      <c r="AC22" s="44"/>
      <c r="AE22" s="35"/>
      <c r="AF22" s="35"/>
      <c r="AG22" s="35"/>
      <c r="AH22" s="35"/>
      <c r="AI22" s="35"/>
      <c r="AJ22" s="35"/>
      <c r="AK22" s="35"/>
      <c r="AP22" s="35"/>
      <c r="AQ22" s="35"/>
      <c r="AR22" s="35"/>
      <c r="AS22" s="35"/>
    </row>
    <row r="23" spans="1:45" s="33" customFormat="1" x14ac:dyDescent="0.3">
      <c r="A23" s="44"/>
      <c r="B23" s="44"/>
      <c r="C23" s="44"/>
      <c r="D23" s="35"/>
      <c r="E23" s="35"/>
      <c r="F23" s="44"/>
      <c r="G23" s="44"/>
      <c r="H23" s="35"/>
      <c r="I23" s="35"/>
      <c r="J23" s="35"/>
      <c r="K23" s="35"/>
      <c r="L23" s="35"/>
      <c r="M23" s="191" t="s">
        <v>500</v>
      </c>
      <c r="N23" s="166">
        <f>T_ACTFLO!E33</f>
        <v>0.10390000000000001</v>
      </c>
      <c r="O23" s="166">
        <f>T_ACTFLO!F33</f>
        <v>0</v>
      </c>
      <c r="P23" s="166">
        <f>T_ACTFLO!G33</f>
        <v>0</v>
      </c>
      <c r="Q23" s="166">
        <f>T_ACTFLO!H33</f>
        <v>0</v>
      </c>
      <c r="R23" s="166">
        <f>T_ACTFLO!I33</f>
        <v>0</v>
      </c>
      <c r="S23" s="166">
        <f>T_ACTFLO!J33</f>
        <v>0</v>
      </c>
      <c r="T23" s="166">
        <f>T_ACTFLO!K33</f>
        <v>0</v>
      </c>
      <c r="U23" s="166">
        <f>T_ACTFLO!L33</f>
        <v>0</v>
      </c>
      <c r="V23" s="166">
        <f>T_ACTFLO!M33</f>
        <v>0</v>
      </c>
      <c r="W23" s="166">
        <f>T_ACTFLO!N33</f>
        <v>0</v>
      </c>
      <c r="X23" s="166">
        <f>T_ACTFLO!O33</f>
        <v>0</v>
      </c>
      <c r="Y23" s="166">
        <f>T_ACTFLO!P33</f>
        <v>0</v>
      </c>
      <c r="Z23" s="166">
        <f>T_ACTFLO!Q33</f>
        <v>0</v>
      </c>
      <c r="AA23" s="166">
        <f>T_ACTFLO!R33</f>
        <v>0</v>
      </c>
      <c r="AB23" s="166">
        <f>T_ACTFLO!S33</f>
        <v>0</v>
      </c>
      <c r="AE23" s="35"/>
      <c r="AF23" s="35"/>
      <c r="AG23" s="35"/>
      <c r="AH23" s="35"/>
      <c r="AI23" s="35"/>
      <c r="AJ23" s="35"/>
      <c r="AK23" s="35"/>
      <c r="AP23" s="35"/>
      <c r="AQ23" s="35"/>
      <c r="AR23" s="35"/>
      <c r="AS23" s="35"/>
    </row>
    <row r="24" spans="1:45" s="33" customFormat="1" x14ac:dyDescent="0.3">
      <c r="A24" s="44"/>
      <c r="B24" s="44"/>
      <c r="C24" s="44"/>
      <c r="D24" s="35"/>
      <c r="E24" s="35"/>
      <c r="F24" s="44"/>
      <c r="G24" s="44"/>
      <c r="H24" s="35"/>
      <c r="I24" s="35"/>
      <c r="J24" s="35"/>
      <c r="K24" s="35"/>
      <c r="L24" s="35"/>
      <c r="M24" s="191" t="s">
        <v>503</v>
      </c>
      <c r="N24" s="166">
        <f>T_ACTFLO!E34</f>
        <v>0</v>
      </c>
      <c r="O24" s="166">
        <f>T_ACTFLO!F34</f>
        <v>0</v>
      </c>
      <c r="P24" s="166">
        <f>T_ACTFLO!G34</f>
        <v>0</v>
      </c>
      <c r="Q24" s="166">
        <f>T_ACTFLO!H34</f>
        <v>0</v>
      </c>
      <c r="R24" s="166">
        <f>T_ACTFLO!I34</f>
        <v>0</v>
      </c>
      <c r="S24" s="166">
        <f>T_ACTFLO!J34</f>
        <v>0</v>
      </c>
      <c r="T24" s="166">
        <f>T_ACTFLO!K34</f>
        <v>0</v>
      </c>
      <c r="U24" s="166">
        <f>T_ACTFLO!L34</f>
        <v>0</v>
      </c>
      <c r="V24" s="166">
        <f>T_ACTFLO!M34</f>
        <v>0</v>
      </c>
      <c r="W24" s="166">
        <f>T_ACTFLO!N34</f>
        <v>0</v>
      </c>
      <c r="X24" s="166">
        <f>T_ACTFLO!O34</f>
        <v>0</v>
      </c>
      <c r="Y24" s="166">
        <f>T_ACTFLO!P34</f>
        <v>0</v>
      </c>
      <c r="Z24" s="166">
        <f>T_ACTFLO!Q34</f>
        <v>0</v>
      </c>
      <c r="AA24" s="166">
        <f>T_ACTFLO!R34</f>
        <v>0</v>
      </c>
      <c r="AB24" s="166">
        <f>T_ACTFLO!S34</f>
        <v>0</v>
      </c>
      <c r="AE24" s="35"/>
      <c r="AF24" s="35"/>
      <c r="AG24" s="35"/>
      <c r="AH24" s="35"/>
      <c r="AI24" s="35"/>
      <c r="AJ24" s="35"/>
      <c r="AK24" s="35"/>
      <c r="AP24" s="35"/>
      <c r="AQ24" s="35"/>
      <c r="AR24" s="35"/>
      <c r="AS24" s="35"/>
    </row>
    <row r="25" spans="1:45" s="33" customFormat="1" x14ac:dyDescent="0.3">
      <c r="A25" s="44"/>
      <c r="B25" s="44"/>
      <c r="C25" s="44"/>
      <c r="D25" s="35"/>
      <c r="E25" s="35"/>
      <c r="F25" s="44"/>
      <c r="G25" s="44"/>
      <c r="H25" s="35"/>
      <c r="I25" s="35"/>
      <c r="J25" s="35"/>
      <c r="K25" s="35"/>
      <c r="L25" s="35"/>
      <c r="M25" s="191" t="s">
        <v>505</v>
      </c>
      <c r="N25" s="166">
        <f>T_ACTFLO!E35</f>
        <v>0</v>
      </c>
      <c r="O25" s="166">
        <f>T_ACTFLO!F35</f>
        <v>0</v>
      </c>
      <c r="P25" s="166">
        <f>T_ACTFLO!G35</f>
        <v>0</v>
      </c>
      <c r="Q25" s="166">
        <f>T_ACTFLO!H35</f>
        <v>0</v>
      </c>
      <c r="R25" s="166">
        <f>T_ACTFLO!I35</f>
        <v>0</v>
      </c>
      <c r="S25" s="166">
        <f>T_ACTFLO!J35</f>
        <v>0</v>
      </c>
      <c r="T25" s="166">
        <f>T_ACTFLO!K35</f>
        <v>0</v>
      </c>
      <c r="U25" s="166">
        <f>T_ACTFLO!L35</f>
        <v>0</v>
      </c>
      <c r="V25" s="166">
        <f>T_ACTFLO!M35</f>
        <v>0</v>
      </c>
      <c r="W25" s="166">
        <f>T_ACTFLO!N35</f>
        <v>0</v>
      </c>
      <c r="X25" s="166">
        <f>T_ACTFLO!O35</f>
        <v>0</v>
      </c>
      <c r="Y25" s="166">
        <f>T_ACTFLO!P35</f>
        <v>0</v>
      </c>
      <c r="Z25" s="166">
        <f>T_ACTFLO!Q35</f>
        <v>0</v>
      </c>
      <c r="AA25" s="166">
        <f>T_ACTFLO!R35</f>
        <v>0</v>
      </c>
      <c r="AB25" s="166">
        <f>T_ACTFLO!S35</f>
        <v>0</v>
      </c>
      <c r="AE25" s="35"/>
      <c r="AF25" s="35"/>
      <c r="AG25" s="35"/>
      <c r="AH25" s="35"/>
      <c r="AI25" s="35"/>
      <c r="AJ25" s="35"/>
      <c r="AK25" s="35"/>
      <c r="AP25" s="35"/>
      <c r="AQ25" s="35"/>
      <c r="AR25" s="35"/>
      <c r="AS25" s="35"/>
    </row>
    <row r="26" spans="1:45"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3">
      <c r="A27" s="44"/>
      <c r="B27" s="44"/>
      <c r="C27" s="44"/>
      <c r="D27" s="44"/>
      <c r="E27" s="44"/>
      <c r="F27" s="44"/>
      <c r="G27" s="44"/>
      <c r="J27" s="172"/>
      <c r="K27" s="172"/>
      <c r="L27" s="172"/>
      <c r="M27" s="175" t="str">
        <f>STAT_TRA_Shares!B7</f>
        <v>% of biogas in CNG</v>
      </c>
      <c r="N27" s="151">
        <f>STAT_TRA_Shares!C7</f>
        <v>0.95</v>
      </c>
      <c r="O27" s="151">
        <f t="shared" ref="O27:AB33" si="5">$N27</f>
        <v>0.95</v>
      </c>
      <c r="P27" s="151">
        <f t="shared" si="5"/>
        <v>0.95</v>
      </c>
      <c r="Q27" s="151">
        <f t="shared" si="5"/>
        <v>0.95</v>
      </c>
      <c r="R27" s="151">
        <f t="shared" si="5"/>
        <v>0.95</v>
      </c>
      <c r="S27" s="151">
        <f t="shared" si="5"/>
        <v>0.95</v>
      </c>
      <c r="T27" s="151">
        <f t="shared" si="5"/>
        <v>0.95</v>
      </c>
      <c r="U27" s="151">
        <f t="shared" si="5"/>
        <v>0.95</v>
      </c>
      <c r="V27" s="151">
        <f t="shared" si="5"/>
        <v>0.95</v>
      </c>
      <c r="W27" s="151">
        <f t="shared" si="5"/>
        <v>0.95</v>
      </c>
      <c r="X27" s="151">
        <f t="shared" si="5"/>
        <v>0.95</v>
      </c>
      <c r="Y27" s="151">
        <f t="shared" si="5"/>
        <v>0.95</v>
      </c>
      <c r="Z27" s="151">
        <f t="shared" si="5"/>
        <v>0.95</v>
      </c>
      <c r="AA27" s="151">
        <f t="shared" si="5"/>
        <v>0.95</v>
      </c>
      <c r="AB27" s="151">
        <f t="shared" si="5"/>
        <v>0.95</v>
      </c>
      <c r="AE27" s="35"/>
      <c r="AF27" s="35"/>
      <c r="AG27" s="35"/>
      <c r="AH27" s="35"/>
      <c r="AI27" s="35"/>
    </row>
    <row r="28" spans="1:45" s="33" customFormat="1" x14ac:dyDescent="0.3">
      <c r="A28" s="44"/>
      <c r="B28" s="44"/>
      <c r="C28" s="44"/>
      <c r="D28" s="44"/>
      <c r="E28" s="44"/>
      <c r="F28" s="44"/>
      <c r="G28" s="44"/>
      <c r="J28" s="172"/>
      <c r="K28" s="172"/>
      <c r="L28" s="172"/>
      <c r="M28" s="175" t="str">
        <f>STAT_TRA_Shares!B9</f>
        <v>% of HVO in diesel</v>
      </c>
      <c r="N28" s="152">
        <f>STAT_TRA_Shares!C9</f>
        <v>0.17499999999999999</v>
      </c>
      <c r="O28" s="152">
        <f t="shared" si="5"/>
        <v>0.17499999999999999</v>
      </c>
      <c r="P28" s="152">
        <f t="shared" si="5"/>
        <v>0.17499999999999999</v>
      </c>
      <c r="Q28" s="152">
        <f t="shared" si="5"/>
        <v>0.17499999999999999</v>
      </c>
      <c r="R28" s="152">
        <f t="shared" si="5"/>
        <v>0.17499999999999999</v>
      </c>
      <c r="S28" s="152">
        <f t="shared" si="5"/>
        <v>0.17499999999999999</v>
      </c>
      <c r="T28" s="152">
        <f t="shared" si="5"/>
        <v>0.17499999999999999</v>
      </c>
      <c r="U28" s="152">
        <f t="shared" si="5"/>
        <v>0.17499999999999999</v>
      </c>
      <c r="V28" s="152">
        <f t="shared" si="5"/>
        <v>0.17499999999999999</v>
      </c>
      <c r="W28" s="152">
        <f t="shared" si="5"/>
        <v>0.17499999999999999</v>
      </c>
      <c r="X28" s="152">
        <f t="shared" si="5"/>
        <v>0.17499999999999999</v>
      </c>
      <c r="Y28" s="152">
        <f t="shared" si="5"/>
        <v>0.17499999999999999</v>
      </c>
      <c r="Z28" s="152">
        <f t="shared" si="5"/>
        <v>0.17499999999999999</v>
      </c>
      <c r="AA28" s="152">
        <f t="shared" si="5"/>
        <v>0.17499999999999999</v>
      </c>
      <c r="AB28" s="152">
        <f t="shared" si="5"/>
        <v>0.17499999999999999</v>
      </c>
      <c r="AD28" s="76"/>
      <c r="AE28" s="35"/>
      <c r="AF28" s="35"/>
      <c r="AG28" s="35"/>
      <c r="AH28" s="35"/>
      <c r="AI28" s="35"/>
    </row>
    <row r="29" spans="1:45" s="33" customFormat="1" x14ac:dyDescent="0.3">
      <c r="A29" s="44"/>
      <c r="B29" s="44"/>
      <c r="C29" s="44"/>
      <c r="D29" s="44"/>
      <c r="E29" s="44"/>
      <c r="F29" s="44"/>
      <c r="G29" s="44"/>
      <c r="J29" s="172"/>
      <c r="K29" s="172"/>
      <c r="L29" s="172"/>
      <c r="M29" s="175" t="str">
        <f>STAT_TRA_Shares!B10</f>
        <v>% of low-blend bioethanol in gasoline</v>
      </c>
      <c r="N29" s="151">
        <f>STAT_TRA_Shares!C10</f>
        <v>5.0999999999999997E-2</v>
      </c>
      <c r="O29" s="151">
        <f t="shared" si="5"/>
        <v>5.0999999999999997E-2</v>
      </c>
      <c r="P29" s="151">
        <f t="shared" si="5"/>
        <v>5.0999999999999997E-2</v>
      </c>
      <c r="Q29" s="151">
        <f t="shared" si="5"/>
        <v>5.0999999999999997E-2</v>
      </c>
      <c r="R29" s="151">
        <f t="shared" si="5"/>
        <v>5.0999999999999997E-2</v>
      </c>
      <c r="S29" s="151">
        <f t="shared" si="5"/>
        <v>5.0999999999999997E-2</v>
      </c>
      <c r="T29" s="151">
        <f t="shared" si="5"/>
        <v>5.0999999999999997E-2</v>
      </c>
      <c r="U29" s="151">
        <f t="shared" si="5"/>
        <v>5.0999999999999997E-2</v>
      </c>
      <c r="V29" s="151">
        <f t="shared" si="5"/>
        <v>5.0999999999999997E-2</v>
      </c>
      <c r="W29" s="151">
        <f t="shared" si="5"/>
        <v>5.0999999999999997E-2</v>
      </c>
      <c r="X29" s="151">
        <f t="shared" si="5"/>
        <v>5.0999999999999997E-2</v>
      </c>
      <c r="Y29" s="151">
        <f t="shared" si="5"/>
        <v>5.0999999999999997E-2</v>
      </c>
      <c r="Z29" s="151">
        <f t="shared" si="5"/>
        <v>5.0999999999999997E-2</v>
      </c>
      <c r="AA29" s="151">
        <f t="shared" si="5"/>
        <v>5.0999999999999997E-2</v>
      </c>
      <c r="AB29" s="151">
        <f t="shared" si="5"/>
        <v>5.0999999999999997E-2</v>
      </c>
      <c r="AD29" s="35"/>
      <c r="AE29" s="35"/>
      <c r="AF29" s="35"/>
      <c r="AG29" s="35"/>
      <c r="AH29" s="35"/>
      <c r="AI29" s="35"/>
    </row>
    <row r="30" spans="1:45" s="33" customFormat="1" x14ac:dyDescent="0.3">
      <c r="A30" s="44"/>
      <c r="B30" s="44"/>
      <c r="C30" s="44"/>
      <c r="D30" s="44"/>
      <c r="E30" s="44"/>
      <c r="F30" s="44"/>
      <c r="G30" s="44"/>
      <c r="J30" s="172"/>
      <c r="K30" s="172"/>
      <c r="L30" s="172"/>
      <c r="M30" s="175" t="str">
        <f>STAT_TRA_Shares!B12</f>
        <v>% of bioethanol in E85 (TRAETH)</v>
      </c>
      <c r="N30" s="151">
        <f>STAT_TRA_Shares!C12</f>
        <v>0.82</v>
      </c>
      <c r="O30" s="151">
        <f t="shared" si="5"/>
        <v>0.82</v>
      </c>
      <c r="P30" s="151">
        <f t="shared" si="5"/>
        <v>0.82</v>
      </c>
      <c r="Q30" s="151">
        <f t="shared" si="5"/>
        <v>0.82</v>
      </c>
      <c r="R30" s="151">
        <f t="shared" si="5"/>
        <v>0.82</v>
      </c>
      <c r="S30" s="151">
        <f t="shared" si="5"/>
        <v>0.82</v>
      </c>
      <c r="T30" s="151">
        <f t="shared" si="5"/>
        <v>0.82</v>
      </c>
      <c r="U30" s="151">
        <f t="shared" si="5"/>
        <v>0.82</v>
      </c>
      <c r="V30" s="151">
        <f t="shared" si="5"/>
        <v>0.82</v>
      </c>
      <c r="W30" s="151">
        <f t="shared" si="5"/>
        <v>0.82</v>
      </c>
      <c r="X30" s="151">
        <f t="shared" si="5"/>
        <v>0.82</v>
      </c>
      <c r="Y30" s="151">
        <f t="shared" si="5"/>
        <v>0.82</v>
      </c>
      <c r="Z30" s="151">
        <f t="shared" si="5"/>
        <v>0.82</v>
      </c>
      <c r="AA30" s="151">
        <f t="shared" si="5"/>
        <v>0.82</v>
      </c>
      <c r="AB30" s="151">
        <f t="shared" si="5"/>
        <v>0.82</v>
      </c>
      <c r="AD30" s="76"/>
    </row>
    <row r="31" spans="1:45" s="33" customFormat="1" x14ac:dyDescent="0.3">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3">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3">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3">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3">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3">
      <c r="A36" s="44"/>
      <c r="B36" s="44"/>
      <c r="C36" s="44"/>
      <c r="D36" s="44"/>
      <c r="E36" s="44"/>
      <c r="F36" s="44"/>
      <c r="G36" s="44"/>
      <c r="H36" s="44"/>
      <c r="I36" s="44"/>
      <c r="J36" s="44"/>
      <c r="K36" s="44"/>
      <c r="L36" s="44"/>
      <c r="M36" s="473" t="s">
        <v>1151</v>
      </c>
      <c r="N36" s="481">
        <v>0</v>
      </c>
      <c r="O36" s="481">
        <f>N36</f>
        <v>0</v>
      </c>
      <c r="P36" s="481">
        <f>O36</f>
        <v>0</v>
      </c>
      <c r="Q36" s="481">
        <f t="shared" ref="Q36:AB37" si="6">P36</f>
        <v>0</v>
      </c>
      <c r="R36" s="481">
        <f t="shared" si="6"/>
        <v>0</v>
      </c>
      <c r="S36" s="481">
        <f t="shared" si="6"/>
        <v>0</v>
      </c>
      <c r="T36" s="481">
        <f t="shared" si="6"/>
        <v>0</v>
      </c>
      <c r="U36" s="481">
        <f t="shared" si="6"/>
        <v>0</v>
      </c>
      <c r="V36" s="481">
        <f t="shared" si="6"/>
        <v>0</v>
      </c>
      <c r="W36" s="481">
        <f t="shared" si="6"/>
        <v>0</v>
      </c>
      <c r="X36" s="481">
        <f t="shared" si="6"/>
        <v>0</v>
      </c>
      <c r="Y36" s="481">
        <f t="shared" si="6"/>
        <v>0</v>
      </c>
      <c r="Z36" s="481">
        <f t="shared" si="6"/>
        <v>0</v>
      </c>
      <c r="AA36" s="481">
        <f t="shared" si="6"/>
        <v>0</v>
      </c>
      <c r="AB36" s="481">
        <f t="shared" si="6"/>
        <v>0</v>
      </c>
      <c r="AC36" s="44"/>
      <c r="AD36" s="44"/>
      <c r="AF36" s="77"/>
      <c r="AG36" s="77"/>
      <c r="AH36" s="77"/>
      <c r="AI36" s="77"/>
      <c r="AJ36" s="77"/>
      <c r="AK36" s="77"/>
      <c r="AL36" s="77"/>
      <c r="AM36" s="77"/>
      <c r="AN36" s="77"/>
      <c r="AO36" s="77"/>
      <c r="AP36" s="77"/>
      <c r="AQ36" s="77"/>
      <c r="AR36" s="77"/>
      <c r="AS36" s="77"/>
    </row>
    <row r="37" spans="1:46" x14ac:dyDescent="0.3">
      <c r="B37" s="26" t="s">
        <v>1220</v>
      </c>
      <c r="C37" s="26"/>
      <c r="D37" s="26"/>
      <c r="I37" s="36"/>
      <c r="M37" s="473" t="s">
        <v>1153</v>
      </c>
      <c r="N37" s="481">
        <v>0</v>
      </c>
      <c r="O37" s="481">
        <f>N37</f>
        <v>0</v>
      </c>
      <c r="P37" s="481">
        <f t="shared" ref="P37" si="7">O37</f>
        <v>0</v>
      </c>
      <c r="Q37" s="481">
        <f t="shared" si="6"/>
        <v>0</v>
      </c>
      <c r="R37" s="481">
        <f t="shared" si="6"/>
        <v>0</v>
      </c>
      <c r="S37" s="481">
        <f t="shared" si="6"/>
        <v>0</v>
      </c>
      <c r="T37" s="481">
        <f t="shared" si="6"/>
        <v>0</v>
      </c>
      <c r="U37" s="481">
        <f t="shared" si="6"/>
        <v>0</v>
      </c>
      <c r="V37" s="481">
        <f t="shared" si="6"/>
        <v>0</v>
      </c>
      <c r="W37" s="481">
        <f t="shared" si="6"/>
        <v>0</v>
      </c>
      <c r="X37" s="481">
        <f t="shared" si="6"/>
        <v>0</v>
      </c>
      <c r="Y37" s="481">
        <f t="shared" si="6"/>
        <v>0</v>
      </c>
      <c r="Z37" s="481">
        <f t="shared" si="6"/>
        <v>0</v>
      </c>
      <c r="AA37" s="481">
        <f t="shared" si="6"/>
        <v>0</v>
      </c>
      <c r="AB37" s="481">
        <f t="shared" si="6"/>
        <v>0</v>
      </c>
      <c r="AE37" s="49"/>
    </row>
    <row r="38" spans="1:46" x14ac:dyDescent="0.3">
      <c r="I38" s="36"/>
      <c r="M38" s="473"/>
      <c r="N38" s="473"/>
      <c r="O38" s="473"/>
      <c r="P38" s="473"/>
      <c r="Q38" s="473"/>
      <c r="R38" s="473"/>
      <c r="S38" s="473"/>
      <c r="T38" s="473"/>
      <c r="U38" s="473"/>
      <c r="V38" s="473"/>
      <c r="W38" s="473"/>
      <c r="X38" s="473"/>
      <c r="Y38" s="473"/>
      <c r="Z38" s="473"/>
      <c r="AA38" s="473"/>
      <c r="AB38" s="473"/>
      <c r="AE38" s="49"/>
    </row>
    <row r="39" spans="1:46" s="22" customFormat="1" x14ac:dyDescent="0.3">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3">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3">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4" t="str">
        <f>IF(AE46-AD16&lt;0,"too small",IF(AE46-AD16&gt;0.001,"Too big","ok"))</f>
        <v>ok</v>
      </c>
      <c r="AF41" s="618" t="str">
        <f>IF(AF46-N16&lt;0,"too small",IF(AF46-N16&gt;0.001,"Too big","ok"))</f>
        <v>ok</v>
      </c>
      <c r="AG41" s="618" t="str">
        <f t="shared" ref="AG41:AT41" si="10">IF(AG46-O16&lt;0,"too small",IF(AG46-O16&gt;0.001,"Too big","ok"))</f>
        <v>ok</v>
      </c>
      <c r="AH41" s="618" t="str">
        <f t="shared" si="10"/>
        <v>ok</v>
      </c>
      <c r="AI41" s="618" t="str">
        <f t="shared" si="10"/>
        <v>ok</v>
      </c>
      <c r="AJ41" s="618" t="str">
        <f t="shared" si="10"/>
        <v>ok</v>
      </c>
      <c r="AK41" s="618" t="str">
        <f t="shared" si="10"/>
        <v>ok</v>
      </c>
      <c r="AL41" s="618" t="str">
        <f t="shared" si="10"/>
        <v>ok</v>
      </c>
      <c r="AM41" s="618" t="str">
        <f t="shared" si="10"/>
        <v>ok</v>
      </c>
      <c r="AN41" s="618" t="str">
        <f t="shared" si="10"/>
        <v>ok</v>
      </c>
      <c r="AO41" s="618" t="str">
        <f t="shared" si="10"/>
        <v>ok</v>
      </c>
      <c r="AP41" s="618" t="str">
        <f t="shared" si="10"/>
        <v>ok</v>
      </c>
      <c r="AQ41" s="618" t="str">
        <f t="shared" si="10"/>
        <v>ok</v>
      </c>
      <c r="AR41" s="618" t="str">
        <f t="shared" si="10"/>
        <v>ok</v>
      </c>
      <c r="AS41" s="618" t="str">
        <f t="shared" si="10"/>
        <v>ok</v>
      </c>
      <c r="AT41" s="618" t="str">
        <f t="shared" si="10"/>
        <v>ok</v>
      </c>
    </row>
    <row r="42" spans="1:46" x14ac:dyDescent="0.3">
      <c r="A42" s="22"/>
      <c r="B42" s="178" t="str">
        <f>C42</f>
        <v>TLEFELC900</v>
      </c>
      <c r="C42" s="178" t="s">
        <v>558</v>
      </c>
      <c r="D42" s="179" t="s">
        <v>870</v>
      </c>
      <c r="E42" s="180" t="s">
        <v>682</v>
      </c>
      <c r="F42" s="182"/>
      <c r="G42" s="181"/>
      <c r="H42" s="182"/>
      <c r="I42" s="183"/>
      <c r="J42" s="184"/>
      <c r="K42" s="184"/>
      <c r="L42" s="203" t="s">
        <v>1106</v>
      </c>
      <c r="M42" s="184" t="s">
        <v>1124</v>
      </c>
      <c r="N42" s="566">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3">
      <c r="A43" s="22"/>
      <c r="B43" s="178" t="str">
        <f>B42</f>
        <v>TLEFELC900</v>
      </c>
      <c r="C43" s="178"/>
      <c r="D43" s="179"/>
      <c r="E43" s="178"/>
      <c r="F43" s="182"/>
      <c r="G43" s="173" t="s">
        <v>633</v>
      </c>
      <c r="H43" s="182"/>
      <c r="I43" s="183"/>
      <c r="J43" s="184"/>
      <c r="K43" s="184"/>
      <c r="L43" s="184" t="s">
        <v>1125</v>
      </c>
      <c r="M43" s="184" t="s">
        <v>677</v>
      </c>
      <c r="N43" s="629">
        <f>T_CEFF!H226</f>
        <v>3.0303</v>
      </c>
      <c r="O43" s="629">
        <f>T_CEFF!I226</f>
        <v>3.0303</v>
      </c>
      <c r="P43" s="629">
        <f>T_CEFF!J226</f>
        <v>3.0303</v>
      </c>
      <c r="Q43" s="629">
        <f>T_CEFF!K226</f>
        <v>3.0303</v>
      </c>
      <c r="R43" s="629">
        <f>T_CEFF!L226</f>
        <v>3.0303</v>
      </c>
      <c r="S43" s="629">
        <f>T_CEFF!M226</f>
        <v>3.0303</v>
      </c>
      <c r="T43" s="629">
        <f>T_CEFF!N226</f>
        <v>3.0303</v>
      </c>
      <c r="U43" s="629">
        <f>T_CEFF!O226</f>
        <v>3.0303</v>
      </c>
      <c r="V43" s="629">
        <f>T_CEFF!P226</f>
        <v>3.0303</v>
      </c>
      <c r="W43" s="629">
        <f>T_CEFF!Q226</f>
        <v>3.0303</v>
      </c>
      <c r="X43" s="629">
        <f>T_CEFF!R226</f>
        <v>3.0303</v>
      </c>
      <c r="Y43" s="629">
        <f>T_CEFF!S226</f>
        <v>3.0303</v>
      </c>
      <c r="Z43" s="629">
        <f>T_CEFF!T226</f>
        <v>3.0303</v>
      </c>
      <c r="AA43" s="629">
        <f>T_CEFF!U226</f>
        <v>3.0303</v>
      </c>
      <c r="AB43" s="629">
        <f>T_CEFF!V226</f>
        <v>3.0303</v>
      </c>
      <c r="AD43" s="83" t="str">
        <f>IF(COUNTIF($AG$4:$AS$4,AD42)=1,"ok","MISSING")</f>
        <v>ok</v>
      </c>
    </row>
    <row r="44" spans="1:46" x14ac:dyDescent="0.3">
      <c r="A44" s="22"/>
      <c r="B44" s="178" t="str">
        <f>B43</f>
        <v>TLEFELC900</v>
      </c>
      <c r="C44" s="178"/>
      <c r="D44" s="179"/>
      <c r="E44" s="178"/>
      <c r="F44" s="182"/>
      <c r="G44" s="181"/>
      <c r="H44" s="182"/>
      <c r="I44" s="183"/>
      <c r="J44" s="184"/>
      <c r="K44" s="184" t="s">
        <v>748</v>
      </c>
      <c r="L44" s="184" t="s">
        <v>1127</v>
      </c>
      <c r="M44" s="184" t="s">
        <v>1174</v>
      </c>
      <c r="N44" s="628">
        <f>N21</f>
        <v>0</v>
      </c>
      <c r="O44" s="628">
        <f t="shared" ref="O44:AB44" si="12">O21</f>
        <v>0</v>
      </c>
      <c r="P44" s="628">
        <f t="shared" si="12"/>
        <v>0</v>
      </c>
      <c r="Q44" s="628">
        <f t="shared" si="12"/>
        <v>0</v>
      </c>
      <c r="R44" s="628">
        <f t="shared" si="12"/>
        <v>0</v>
      </c>
      <c r="S44" s="628">
        <f t="shared" si="12"/>
        <v>0</v>
      </c>
      <c r="T44" s="628">
        <f t="shared" si="12"/>
        <v>0</v>
      </c>
      <c r="U44" s="628">
        <f t="shared" si="12"/>
        <v>0</v>
      </c>
      <c r="V44" s="628">
        <f t="shared" si="12"/>
        <v>0</v>
      </c>
      <c r="W44" s="628">
        <f t="shared" si="12"/>
        <v>0</v>
      </c>
      <c r="X44" s="628">
        <f t="shared" si="12"/>
        <v>0</v>
      </c>
      <c r="Y44" s="628">
        <f t="shared" si="12"/>
        <v>0</v>
      </c>
      <c r="Z44" s="628">
        <f t="shared" si="12"/>
        <v>0</v>
      </c>
      <c r="AA44" s="628">
        <f t="shared" si="12"/>
        <v>0</v>
      </c>
      <c r="AB44" s="628">
        <f t="shared" si="12"/>
        <v>0</v>
      </c>
    </row>
    <row r="45" spans="1:46" x14ac:dyDescent="0.3">
      <c r="A45" s="22"/>
      <c r="B45" s="178" t="str">
        <f t="shared" ref="B45:B52" si="13">B44</f>
        <v>TLEFELC900</v>
      </c>
      <c r="C45" s="178"/>
      <c r="D45" s="179"/>
      <c r="E45" s="178"/>
      <c r="F45" s="182"/>
      <c r="G45" s="181"/>
      <c r="H45" s="182"/>
      <c r="I45" s="183"/>
      <c r="J45" s="184"/>
      <c r="K45" s="184"/>
      <c r="L45" s="203" t="s">
        <v>1129</v>
      </c>
      <c r="M45" s="184" t="s">
        <v>1130</v>
      </c>
      <c r="N45" s="629">
        <f>T_NCAP_AF!D265*(1+N36)</f>
        <v>0</v>
      </c>
      <c r="O45" s="629">
        <f>T_NCAP_AF!E265*(1+O36)</f>
        <v>0</v>
      </c>
      <c r="P45" s="629">
        <f>T_NCAP_AF!F265*(1+P36)</f>
        <v>0</v>
      </c>
      <c r="Q45" s="629">
        <f>T_NCAP_AF!G265*(1+Q36)</f>
        <v>0</v>
      </c>
      <c r="R45" s="629">
        <f>T_NCAP_AF!H265*(1+R36)</f>
        <v>0</v>
      </c>
      <c r="S45" s="629">
        <f>T_NCAP_AF!I265*(1+S36)</f>
        <v>0</v>
      </c>
      <c r="T45" s="629">
        <f>T_NCAP_AF!J265*(1+T36)</f>
        <v>0</v>
      </c>
      <c r="U45" s="629">
        <f>T_NCAP_AF!K265*(1+U36)</f>
        <v>0</v>
      </c>
      <c r="V45" s="629">
        <f>T_NCAP_AF!L265*(1+V36)</f>
        <v>0</v>
      </c>
      <c r="W45" s="629">
        <f>T_NCAP_AF!M265*(1+W36)</f>
        <v>0</v>
      </c>
      <c r="X45" s="629">
        <f>T_NCAP_AF!N265*(1+X36)</f>
        <v>0</v>
      </c>
      <c r="Y45" s="629">
        <f>T_NCAP_AF!O265*(1+Y36)</f>
        <v>0</v>
      </c>
      <c r="Z45" s="629">
        <f>T_NCAP_AF!P265*(1+Z36)</f>
        <v>0</v>
      </c>
      <c r="AA45" s="629">
        <f>T_NCAP_AF!Q265*(1+AA36)</f>
        <v>0</v>
      </c>
      <c r="AB45" s="629">
        <f>T_NCAP_AF!R265*(1+AB36)</f>
        <v>0</v>
      </c>
    </row>
    <row r="46" spans="1:46" x14ac:dyDescent="0.3">
      <c r="A46" s="22"/>
      <c r="B46" s="178" t="str">
        <f>B45</f>
        <v>TLEFELC900</v>
      </c>
      <c r="C46" s="178"/>
      <c r="D46" s="179"/>
      <c r="E46" s="178"/>
      <c r="F46" s="182"/>
      <c r="G46" s="181"/>
      <c r="H46" s="182"/>
      <c r="I46" s="183">
        <f>$M$3</f>
        <v>2019</v>
      </c>
      <c r="J46" s="184"/>
      <c r="K46" s="184"/>
      <c r="L46" s="203" t="s">
        <v>1064</v>
      </c>
      <c r="M46" s="184" t="s">
        <v>747</v>
      </c>
      <c r="N46" s="693">
        <f>'T_Stock_TOTAL_&amp;_City'!D155*(1+N37)</f>
        <v>0</v>
      </c>
      <c r="O46" s="693">
        <f>'T_Stock_TOTAL_&amp;_City'!E155*(1+O37)</f>
        <v>0</v>
      </c>
      <c r="P46" s="693">
        <f>'T_Stock_TOTAL_&amp;_City'!F155*(1+P37)</f>
        <v>0</v>
      </c>
      <c r="Q46" s="693">
        <f>'T_Stock_TOTAL_&amp;_City'!G155*(1+Q37)</f>
        <v>0</v>
      </c>
      <c r="R46" s="693">
        <f>'T_Stock_TOTAL_&amp;_City'!H155*(1+R37)</f>
        <v>0</v>
      </c>
      <c r="S46" s="693">
        <f>'T_Stock_TOTAL_&amp;_City'!I155*(1+S37)</f>
        <v>0</v>
      </c>
      <c r="T46" s="693">
        <f>'T_Stock_TOTAL_&amp;_City'!J155*(1+T37)</f>
        <v>0</v>
      </c>
      <c r="U46" s="693">
        <f>'T_Stock_TOTAL_&amp;_City'!K155*(1+U37)</f>
        <v>0</v>
      </c>
      <c r="V46" s="693">
        <f>'T_Stock_TOTAL_&amp;_City'!L155*(1+V37)</f>
        <v>0</v>
      </c>
      <c r="W46" s="693">
        <f>'T_Stock_TOTAL_&amp;_City'!M155*(1+W37)</f>
        <v>0</v>
      </c>
      <c r="X46" s="693">
        <f>'T_Stock_TOTAL_&amp;_City'!N155*(1+X37)</f>
        <v>0</v>
      </c>
      <c r="Y46" s="693">
        <f>'T_Stock_TOTAL_&amp;_City'!O155*(1+Y37)</f>
        <v>0</v>
      </c>
      <c r="Z46" s="693">
        <f>'T_Stock_TOTAL_&amp;_City'!P155*(1+Z37)</f>
        <v>0</v>
      </c>
      <c r="AA46" s="693">
        <f>'T_Stock_TOTAL_&amp;_City'!Q155*(1+AA37)</f>
        <v>0</v>
      </c>
      <c r="AB46" s="693">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3">
      <c r="A47" s="22"/>
      <c r="B47" s="178" t="str">
        <f t="shared" si="13"/>
        <v>TLEFELC900</v>
      </c>
      <c r="C47" s="178"/>
      <c r="D47" s="179"/>
      <c r="E47" s="178"/>
      <c r="F47" s="182"/>
      <c r="G47" s="181"/>
      <c r="H47" s="182"/>
      <c r="I47" s="183">
        <f>AF$5</f>
        <v>2016</v>
      </c>
      <c r="J47" s="184"/>
      <c r="K47" s="184"/>
      <c r="L47" s="203" t="s">
        <v>1064</v>
      </c>
      <c r="M47" s="184" t="s">
        <v>747</v>
      </c>
      <c r="N47" s="693">
        <f t="shared" ref="N47:AB47" si="15">N$46*LOOKUP($AD$42,$AG$4:$AS$4,$AG5:$AS5)</f>
        <v>0</v>
      </c>
      <c r="O47" s="693">
        <f t="shared" si="15"/>
        <v>0</v>
      </c>
      <c r="P47" s="693">
        <f t="shared" si="15"/>
        <v>0</v>
      </c>
      <c r="Q47" s="693">
        <f t="shared" si="15"/>
        <v>0</v>
      </c>
      <c r="R47" s="693">
        <f t="shared" si="15"/>
        <v>0</v>
      </c>
      <c r="S47" s="693">
        <f t="shared" si="15"/>
        <v>0</v>
      </c>
      <c r="T47" s="693">
        <f t="shared" si="15"/>
        <v>0</v>
      </c>
      <c r="U47" s="693">
        <f t="shared" si="15"/>
        <v>0</v>
      </c>
      <c r="V47" s="693">
        <f t="shared" si="15"/>
        <v>0</v>
      </c>
      <c r="W47" s="693">
        <f t="shared" si="15"/>
        <v>0</v>
      </c>
      <c r="X47" s="693">
        <f t="shared" si="15"/>
        <v>0</v>
      </c>
      <c r="Y47" s="693">
        <f t="shared" si="15"/>
        <v>0</v>
      </c>
      <c r="Z47" s="693">
        <f t="shared" si="15"/>
        <v>0</v>
      </c>
      <c r="AA47" s="693">
        <f t="shared" si="15"/>
        <v>0</v>
      </c>
      <c r="AB47" s="693">
        <f t="shared" si="15"/>
        <v>0</v>
      </c>
    </row>
    <row r="48" spans="1:46" x14ac:dyDescent="0.3">
      <c r="A48" s="22"/>
      <c r="B48" s="178" t="str">
        <f t="shared" si="13"/>
        <v>TLEFELC900</v>
      </c>
      <c r="C48" s="178"/>
      <c r="D48" s="179"/>
      <c r="E48" s="178"/>
      <c r="F48" s="182"/>
      <c r="G48" s="181"/>
      <c r="H48" s="182"/>
      <c r="I48" s="183">
        <f>AF$6</f>
        <v>2020</v>
      </c>
      <c r="J48" s="184"/>
      <c r="K48" s="184"/>
      <c r="L48" s="203" t="s">
        <v>1064</v>
      </c>
      <c r="M48" s="184" t="s">
        <v>747</v>
      </c>
      <c r="N48" s="693">
        <f t="shared" ref="N48:AB48" si="16">N$46*LOOKUP($AD$42,$AG$4:$AS$4,$AG6:$AS6)</f>
        <v>0</v>
      </c>
      <c r="O48" s="693">
        <f t="shared" si="16"/>
        <v>0</v>
      </c>
      <c r="P48" s="693">
        <f t="shared" si="16"/>
        <v>0</v>
      </c>
      <c r="Q48" s="693">
        <f t="shared" si="16"/>
        <v>0</v>
      </c>
      <c r="R48" s="693">
        <f t="shared" si="16"/>
        <v>0</v>
      </c>
      <c r="S48" s="693">
        <f t="shared" si="16"/>
        <v>0</v>
      </c>
      <c r="T48" s="693">
        <f t="shared" si="16"/>
        <v>0</v>
      </c>
      <c r="U48" s="693">
        <f t="shared" si="16"/>
        <v>0</v>
      </c>
      <c r="V48" s="693">
        <f t="shared" si="16"/>
        <v>0</v>
      </c>
      <c r="W48" s="693">
        <f t="shared" si="16"/>
        <v>0</v>
      </c>
      <c r="X48" s="693">
        <f t="shared" si="16"/>
        <v>0</v>
      </c>
      <c r="Y48" s="693">
        <f t="shared" si="16"/>
        <v>0</v>
      </c>
      <c r="Z48" s="693">
        <f t="shared" si="16"/>
        <v>0</v>
      </c>
      <c r="AA48" s="693">
        <f t="shared" si="16"/>
        <v>0</v>
      </c>
      <c r="AB48" s="693">
        <f t="shared" si="16"/>
        <v>0</v>
      </c>
    </row>
    <row r="49" spans="1:46" x14ac:dyDescent="0.3">
      <c r="A49" s="22"/>
      <c r="B49" s="178" t="str">
        <f t="shared" si="13"/>
        <v>TLEFELC900</v>
      </c>
      <c r="C49" s="178"/>
      <c r="D49" s="179"/>
      <c r="E49" s="178"/>
      <c r="F49" s="182"/>
      <c r="G49" s="181"/>
      <c r="H49" s="182"/>
      <c r="I49" s="183">
        <f>AF$7</f>
        <v>2025</v>
      </c>
      <c r="J49" s="184"/>
      <c r="K49" s="184"/>
      <c r="L49" s="203" t="s">
        <v>1064</v>
      </c>
      <c r="M49" s="184" t="s">
        <v>747</v>
      </c>
      <c r="N49" s="693">
        <f t="shared" ref="N49:AB49" si="17">N$46*LOOKUP($AD$42,$AG$4:$AS$4,$AG7:$AS7)</f>
        <v>0</v>
      </c>
      <c r="O49" s="693">
        <f t="shared" si="17"/>
        <v>0</v>
      </c>
      <c r="P49" s="693">
        <f t="shared" si="17"/>
        <v>0</v>
      </c>
      <c r="Q49" s="693">
        <f t="shared" si="17"/>
        <v>0</v>
      </c>
      <c r="R49" s="693">
        <f t="shared" si="17"/>
        <v>0</v>
      </c>
      <c r="S49" s="693">
        <f t="shared" si="17"/>
        <v>0</v>
      </c>
      <c r="T49" s="693">
        <f t="shared" si="17"/>
        <v>0</v>
      </c>
      <c r="U49" s="693">
        <f t="shared" si="17"/>
        <v>0</v>
      </c>
      <c r="V49" s="693">
        <f t="shared" si="17"/>
        <v>0</v>
      </c>
      <c r="W49" s="693">
        <f t="shared" si="17"/>
        <v>0</v>
      </c>
      <c r="X49" s="693">
        <f t="shared" si="17"/>
        <v>0</v>
      </c>
      <c r="Y49" s="693">
        <f t="shared" si="17"/>
        <v>0</v>
      </c>
      <c r="Z49" s="693">
        <f t="shared" si="17"/>
        <v>0</v>
      </c>
      <c r="AA49" s="693">
        <f t="shared" si="17"/>
        <v>0</v>
      </c>
      <c r="AB49" s="693">
        <f t="shared" si="17"/>
        <v>0</v>
      </c>
    </row>
    <row r="50" spans="1:46" x14ac:dyDescent="0.3">
      <c r="A50" s="22"/>
      <c r="B50" s="178" t="str">
        <f t="shared" si="13"/>
        <v>TLEFELC900</v>
      </c>
      <c r="C50" s="178"/>
      <c r="D50" s="179"/>
      <c r="E50" s="178"/>
      <c r="F50" s="182"/>
      <c r="G50" s="181"/>
      <c r="H50" s="182"/>
      <c r="I50" s="183">
        <f>AF$8</f>
        <v>2030</v>
      </c>
      <c r="J50" s="184"/>
      <c r="K50" s="184"/>
      <c r="L50" s="203" t="s">
        <v>1064</v>
      </c>
      <c r="M50" s="184" t="s">
        <v>747</v>
      </c>
      <c r="N50" s="693">
        <f t="shared" ref="N50:AB50" si="18">N$46*LOOKUP($AD$42,$AG$4:$AS$4,$AG8:$AS8)</f>
        <v>0</v>
      </c>
      <c r="O50" s="693">
        <f t="shared" si="18"/>
        <v>0</v>
      </c>
      <c r="P50" s="693">
        <f t="shared" si="18"/>
        <v>0</v>
      </c>
      <c r="Q50" s="693">
        <f t="shared" si="18"/>
        <v>0</v>
      </c>
      <c r="R50" s="693">
        <f t="shared" si="18"/>
        <v>0</v>
      </c>
      <c r="S50" s="693">
        <f t="shared" si="18"/>
        <v>0</v>
      </c>
      <c r="T50" s="693">
        <f t="shared" si="18"/>
        <v>0</v>
      </c>
      <c r="U50" s="693">
        <f t="shared" si="18"/>
        <v>0</v>
      </c>
      <c r="V50" s="693">
        <f t="shared" si="18"/>
        <v>0</v>
      </c>
      <c r="W50" s="693">
        <f t="shared" si="18"/>
        <v>0</v>
      </c>
      <c r="X50" s="693">
        <f t="shared" si="18"/>
        <v>0</v>
      </c>
      <c r="Y50" s="693">
        <f t="shared" si="18"/>
        <v>0</v>
      </c>
      <c r="Z50" s="693">
        <f t="shared" si="18"/>
        <v>0</v>
      </c>
      <c r="AA50" s="693">
        <f t="shared" si="18"/>
        <v>0</v>
      </c>
      <c r="AB50" s="693">
        <f t="shared" si="18"/>
        <v>0</v>
      </c>
    </row>
    <row r="51" spans="1:46" x14ac:dyDescent="0.3">
      <c r="A51" s="22"/>
      <c r="B51" s="178" t="str">
        <f t="shared" si="13"/>
        <v>TLEFELC900</v>
      </c>
      <c r="C51" s="178"/>
      <c r="D51" s="179"/>
      <c r="E51" s="178"/>
      <c r="F51" s="182"/>
      <c r="G51" s="181"/>
      <c r="H51" s="182"/>
      <c r="I51" s="183">
        <f>AF$9</f>
        <v>2040</v>
      </c>
      <c r="J51" s="184"/>
      <c r="K51" s="184"/>
      <c r="L51" s="203" t="s">
        <v>1064</v>
      </c>
      <c r="M51" s="184" t="s">
        <v>747</v>
      </c>
      <c r="N51" s="693">
        <f t="shared" ref="N51:AB51" si="19">N$46*LOOKUP($AD$42,$AG$4:$AS$4,$AG9:$AS9)</f>
        <v>0</v>
      </c>
      <c r="O51" s="693">
        <f t="shared" si="19"/>
        <v>0</v>
      </c>
      <c r="P51" s="693">
        <f t="shared" si="19"/>
        <v>0</v>
      </c>
      <c r="Q51" s="693">
        <f t="shared" si="19"/>
        <v>0</v>
      </c>
      <c r="R51" s="693">
        <f t="shared" si="19"/>
        <v>0</v>
      </c>
      <c r="S51" s="693">
        <f t="shared" si="19"/>
        <v>0</v>
      </c>
      <c r="T51" s="693">
        <f t="shared" si="19"/>
        <v>0</v>
      </c>
      <c r="U51" s="693">
        <f t="shared" si="19"/>
        <v>0</v>
      </c>
      <c r="V51" s="693">
        <f t="shared" si="19"/>
        <v>0</v>
      </c>
      <c r="W51" s="693">
        <f t="shared" si="19"/>
        <v>0</v>
      </c>
      <c r="X51" s="693">
        <f t="shared" si="19"/>
        <v>0</v>
      </c>
      <c r="Y51" s="693">
        <f t="shared" si="19"/>
        <v>0</v>
      </c>
      <c r="Z51" s="693">
        <f t="shared" si="19"/>
        <v>0</v>
      </c>
      <c r="AA51" s="693">
        <f t="shared" si="19"/>
        <v>0</v>
      </c>
      <c r="AB51" s="693">
        <f t="shared" si="19"/>
        <v>0</v>
      </c>
    </row>
    <row r="52" spans="1:46" x14ac:dyDescent="0.3">
      <c r="A52" s="22"/>
      <c r="B52" s="204" t="str">
        <f t="shared" si="13"/>
        <v>TLEFELC900</v>
      </c>
      <c r="C52" s="204"/>
      <c r="D52" s="205"/>
      <c r="E52" s="204"/>
      <c r="F52" s="206"/>
      <c r="G52" s="207"/>
      <c r="H52" s="206"/>
      <c r="I52" s="208">
        <f>AF$10</f>
        <v>2050</v>
      </c>
      <c r="J52" s="209"/>
      <c r="K52" s="209"/>
      <c r="L52" s="210" t="s">
        <v>1064</v>
      </c>
      <c r="M52" s="209" t="s">
        <v>747</v>
      </c>
      <c r="N52" s="694">
        <f t="shared" ref="N52:AB52" si="20">N$46*LOOKUP($AD$42,$AG$4:$AS$4,$AG10:$AS10)</f>
        <v>0</v>
      </c>
      <c r="O52" s="694">
        <f t="shared" si="20"/>
        <v>0</v>
      </c>
      <c r="P52" s="694">
        <f t="shared" si="20"/>
        <v>0</v>
      </c>
      <c r="Q52" s="694">
        <f t="shared" si="20"/>
        <v>0</v>
      </c>
      <c r="R52" s="694">
        <f t="shared" si="20"/>
        <v>0</v>
      </c>
      <c r="S52" s="694">
        <f t="shared" si="20"/>
        <v>0</v>
      </c>
      <c r="T52" s="694">
        <f t="shared" si="20"/>
        <v>0</v>
      </c>
      <c r="U52" s="694">
        <f t="shared" si="20"/>
        <v>0</v>
      </c>
      <c r="V52" s="694">
        <f t="shared" si="20"/>
        <v>0</v>
      </c>
      <c r="W52" s="694">
        <f t="shared" si="20"/>
        <v>0</v>
      </c>
      <c r="X52" s="694">
        <f t="shared" si="20"/>
        <v>0</v>
      </c>
      <c r="Y52" s="694">
        <f t="shared" si="20"/>
        <v>0</v>
      </c>
      <c r="Z52" s="694">
        <f t="shared" si="20"/>
        <v>0</v>
      </c>
      <c r="AA52" s="694">
        <f t="shared" si="20"/>
        <v>0</v>
      </c>
      <c r="AB52" s="694">
        <f t="shared" si="20"/>
        <v>0</v>
      </c>
      <c r="AD52" s="400"/>
    </row>
    <row r="53" spans="1:46" x14ac:dyDescent="0.3">
      <c r="A53" s="22"/>
      <c r="B53" s="178" t="str">
        <f>C53</f>
        <v>TYNF900</v>
      </c>
      <c r="C53" s="178" t="s">
        <v>167</v>
      </c>
      <c r="D53" s="179" t="s">
        <v>900</v>
      </c>
      <c r="E53" s="407" t="s">
        <v>680</v>
      </c>
      <c r="F53" s="182"/>
      <c r="G53" s="181"/>
      <c r="H53" s="182"/>
      <c r="I53" s="183"/>
      <c r="J53" s="184"/>
      <c r="K53" s="184"/>
      <c r="L53" s="203" t="s">
        <v>1106</v>
      </c>
      <c r="M53" s="184" t="s">
        <v>1124</v>
      </c>
      <c r="N53" s="566">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4" t="str">
        <f>IF(AE57-AD18&lt;0,"too small",IF(AE57-AD18&gt;0.001,"Too big","ok"))</f>
        <v>ok</v>
      </c>
      <c r="AF53" s="618" t="str">
        <f>IF(AF57-N18&lt;0,"too small",IF(AF57-N18&gt;0.001,"Too big","ok"))</f>
        <v>ok</v>
      </c>
      <c r="AG53" s="618" t="str">
        <f t="shared" ref="AG53:AT53" si="22">IF(AG57-O18&lt;0,"too small",IF(AG57-O18&gt;0.001,"Too big","ok"))</f>
        <v>ok</v>
      </c>
      <c r="AH53" s="618" t="str">
        <f t="shared" si="22"/>
        <v>ok</v>
      </c>
      <c r="AI53" s="618" t="str">
        <f t="shared" si="22"/>
        <v>ok</v>
      </c>
      <c r="AJ53" s="618" t="str">
        <f t="shared" si="22"/>
        <v>ok</v>
      </c>
      <c r="AK53" s="618" t="str">
        <f t="shared" si="22"/>
        <v>ok</v>
      </c>
      <c r="AL53" s="618" t="str">
        <f t="shared" si="22"/>
        <v>ok</v>
      </c>
      <c r="AM53" s="618" t="str">
        <f t="shared" si="22"/>
        <v>ok</v>
      </c>
      <c r="AN53" s="618" t="str">
        <f t="shared" si="22"/>
        <v>ok</v>
      </c>
      <c r="AO53" s="618" t="str">
        <f t="shared" si="22"/>
        <v>ok</v>
      </c>
      <c r="AP53" s="618" t="str">
        <f t="shared" si="22"/>
        <v>ok</v>
      </c>
      <c r="AQ53" s="618" t="str">
        <f t="shared" si="22"/>
        <v>ok</v>
      </c>
      <c r="AR53" s="618" t="str">
        <f t="shared" si="22"/>
        <v>ok</v>
      </c>
      <c r="AS53" s="618" t="str">
        <f t="shared" si="22"/>
        <v>ok</v>
      </c>
      <c r="AT53" s="618" t="str">
        <f t="shared" si="22"/>
        <v>ok</v>
      </c>
    </row>
    <row r="54" spans="1:46" x14ac:dyDescent="0.3">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3">
      <c r="A55" s="22"/>
      <c r="B55" s="178" t="str">
        <f>B54</f>
        <v>TYNF900</v>
      </c>
      <c r="C55" s="178"/>
      <c r="D55" s="179"/>
      <c r="E55" s="178"/>
      <c r="F55" s="182"/>
      <c r="G55" s="181"/>
      <c r="H55" s="182"/>
      <c r="I55" s="183"/>
      <c r="J55" s="184"/>
      <c r="K55" s="184" t="s">
        <v>748</v>
      </c>
      <c r="L55" s="184" t="s">
        <v>1127</v>
      </c>
      <c r="M55" s="184" t="s">
        <v>1174</v>
      </c>
      <c r="N55" s="628">
        <f>N22</f>
        <v>0</v>
      </c>
      <c r="O55" s="628">
        <f t="shared" ref="O55:AB55" si="24">O22</f>
        <v>0</v>
      </c>
      <c r="P55" s="628">
        <f t="shared" si="24"/>
        <v>0</v>
      </c>
      <c r="Q55" s="628">
        <f t="shared" si="24"/>
        <v>0</v>
      </c>
      <c r="R55" s="628">
        <f t="shared" si="24"/>
        <v>0</v>
      </c>
      <c r="S55" s="628">
        <f t="shared" si="24"/>
        <v>0</v>
      </c>
      <c r="T55" s="628">
        <f t="shared" si="24"/>
        <v>0</v>
      </c>
      <c r="U55" s="628">
        <f t="shared" si="24"/>
        <v>0</v>
      </c>
      <c r="V55" s="628">
        <f t="shared" si="24"/>
        <v>0</v>
      </c>
      <c r="W55" s="628">
        <f t="shared" si="24"/>
        <v>0</v>
      </c>
      <c r="X55" s="628">
        <f t="shared" si="24"/>
        <v>0</v>
      </c>
      <c r="Y55" s="628">
        <f t="shared" si="24"/>
        <v>0</v>
      </c>
      <c r="Z55" s="628">
        <f t="shared" si="24"/>
        <v>0</v>
      </c>
      <c r="AA55" s="628">
        <f t="shared" si="24"/>
        <v>0</v>
      </c>
      <c r="AB55" s="628">
        <f t="shared" si="24"/>
        <v>0</v>
      </c>
    </row>
    <row r="56" spans="1:46" x14ac:dyDescent="0.3">
      <c r="A56" s="22"/>
      <c r="B56" s="178" t="str">
        <f t="shared" ref="B56:B63" si="25">B55</f>
        <v>TYNF900</v>
      </c>
      <c r="C56" s="178"/>
      <c r="D56" s="179"/>
      <c r="E56" s="178"/>
      <c r="F56" s="182"/>
      <c r="G56" s="181"/>
      <c r="H56" s="182"/>
      <c r="I56" s="183"/>
      <c r="J56" s="184"/>
      <c r="K56" s="184"/>
      <c r="L56" s="203" t="s">
        <v>1129</v>
      </c>
      <c r="M56" s="184" t="s">
        <v>1130</v>
      </c>
      <c r="N56" s="629">
        <f>T_NCAP_AF!D338*(1+N36)</f>
        <v>0</v>
      </c>
      <c r="O56" s="629">
        <f>T_NCAP_AF!E338*(1+O36)</f>
        <v>0</v>
      </c>
      <c r="P56" s="629">
        <f>T_NCAP_AF!F338*(1+P36)</f>
        <v>0</v>
      </c>
      <c r="Q56" s="629">
        <f>T_NCAP_AF!G338*(1+Q36)</f>
        <v>0</v>
      </c>
      <c r="R56" s="629">
        <f>T_NCAP_AF!H338*(1+R36)</f>
        <v>0</v>
      </c>
      <c r="S56" s="629">
        <f>T_NCAP_AF!I338*(1+S36)</f>
        <v>0</v>
      </c>
      <c r="T56" s="629">
        <f>T_NCAP_AF!J338*(1+T36)</f>
        <v>0</v>
      </c>
      <c r="U56" s="629">
        <f>T_NCAP_AF!K338*(1+U36)</f>
        <v>0</v>
      </c>
      <c r="V56" s="629">
        <f>T_NCAP_AF!L338*(1+V36)</f>
        <v>0</v>
      </c>
      <c r="W56" s="629">
        <f>T_NCAP_AF!M338*(1+W36)</f>
        <v>0</v>
      </c>
      <c r="X56" s="629">
        <f>T_NCAP_AF!N338*(1+X36)</f>
        <v>0</v>
      </c>
      <c r="Y56" s="629">
        <f>T_NCAP_AF!O338*(1+Y36)</f>
        <v>0</v>
      </c>
      <c r="Z56" s="629">
        <f>T_NCAP_AF!P338*(1+Z36)</f>
        <v>0</v>
      </c>
      <c r="AA56" s="629">
        <f>T_NCAP_AF!Q338*(1+AA36)</f>
        <v>0</v>
      </c>
      <c r="AB56" s="629">
        <f>T_NCAP_AF!R338*(1+AB36)</f>
        <v>0</v>
      </c>
    </row>
    <row r="57" spans="1:46" x14ac:dyDescent="0.3">
      <c r="A57" s="22"/>
      <c r="B57" s="178" t="str">
        <f>B56</f>
        <v>TYNF900</v>
      </c>
      <c r="C57" s="178"/>
      <c r="D57" s="179"/>
      <c r="E57" s="178"/>
      <c r="F57" s="182"/>
      <c r="G57" s="181"/>
      <c r="H57" s="182"/>
      <c r="I57" s="183">
        <f>$M$3</f>
        <v>2019</v>
      </c>
      <c r="J57" s="184"/>
      <c r="K57" s="184"/>
      <c r="L57" s="203" t="s">
        <v>1064</v>
      </c>
      <c r="M57" s="184" t="s">
        <v>747</v>
      </c>
      <c r="N57" s="693">
        <f>'T_Stock_TOTAL_&amp;_City'!D145*(1+N37)</f>
        <v>0</v>
      </c>
      <c r="O57" s="693">
        <f>'T_Stock_TOTAL_&amp;_City'!E145*(1+O37)</f>
        <v>0</v>
      </c>
      <c r="P57" s="693">
        <f>'T_Stock_TOTAL_&amp;_City'!F145*(1+P37)</f>
        <v>0</v>
      </c>
      <c r="Q57" s="693">
        <f>'T_Stock_TOTAL_&amp;_City'!G145*(1+Q37)</f>
        <v>0</v>
      </c>
      <c r="R57" s="693">
        <f>'T_Stock_TOTAL_&amp;_City'!H145*(1+R37)</f>
        <v>0</v>
      </c>
      <c r="S57" s="693">
        <f>'T_Stock_TOTAL_&amp;_City'!I145*(1+S37)</f>
        <v>0</v>
      </c>
      <c r="T57" s="693">
        <f>'T_Stock_TOTAL_&amp;_City'!J145*(1+T37)</f>
        <v>0</v>
      </c>
      <c r="U57" s="693">
        <f>'T_Stock_TOTAL_&amp;_City'!K145*(1+U37)</f>
        <v>0</v>
      </c>
      <c r="V57" s="693">
        <f>'T_Stock_TOTAL_&amp;_City'!L145*(1+V37)</f>
        <v>0</v>
      </c>
      <c r="W57" s="693">
        <f>'T_Stock_TOTAL_&amp;_City'!M145*(1+W37)</f>
        <v>0</v>
      </c>
      <c r="X57" s="693">
        <f>'T_Stock_TOTAL_&amp;_City'!N145*(1+X37)</f>
        <v>0</v>
      </c>
      <c r="Y57" s="693">
        <f>'T_Stock_TOTAL_&amp;_City'!O145*(1+Y37)</f>
        <v>0</v>
      </c>
      <c r="Z57" s="693">
        <f>'T_Stock_TOTAL_&amp;_City'!P145*(1+Z37)</f>
        <v>0</v>
      </c>
      <c r="AA57" s="693">
        <f>'T_Stock_TOTAL_&amp;_City'!Q145*(1+AA37)</f>
        <v>0</v>
      </c>
      <c r="AB57" s="693">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3">
      <c r="A58" s="22"/>
      <c r="B58" s="178" t="str">
        <f t="shared" si="25"/>
        <v>TYNF900</v>
      </c>
      <c r="C58" s="178"/>
      <c r="D58" s="179"/>
      <c r="E58" s="178"/>
      <c r="F58" s="182"/>
      <c r="G58" s="181"/>
      <c r="H58" s="182"/>
      <c r="I58" s="183">
        <f>AF$5</f>
        <v>2016</v>
      </c>
      <c r="J58" s="184"/>
      <c r="K58" s="184"/>
      <c r="L58" s="203" t="s">
        <v>1064</v>
      </c>
      <c r="M58" s="184" t="s">
        <v>747</v>
      </c>
      <c r="N58" s="693">
        <f t="shared" ref="N58:AB58" si="27">N$57*LOOKUP($AD$53,$AG$4:$AS$4,$AG5:$AS5)</f>
        <v>0</v>
      </c>
      <c r="O58" s="693">
        <f t="shared" si="27"/>
        <v>0</v>
      </c>
      <c r="P58" s="693">
        <f t="shared" si="27"/>
        <v>0</v>
      </c>
      <c r="Q58" s="693">
        <f t="shared" si="27"/>
        <v>0</v>
      </c>
      <c r="R58" s="693">
        <f t="shared" si="27"/>
        <v>0</v>
      </c>
      <c r="S58" s="693">
        <f t="shared" si="27"/>
        <v>0</v>
      </c>
      <c r="T58" s="693">
        <f t="shared" si="27"/>
        <v>0</v>
      </c>
      <c r="U58" s="693">
        <f t="shared" si="27"/>
        <v>0</v>
      </c>
      <c r="V58" s="693">
        <f t="shared" si="27"/>
        <v>0</v>
      </c>
      <c r="W58" s="693">
        <f t="shared" si="27"/>
        <v>0</v>
      </c>
      <c r="X58" s="693">
        <f t="shared" si="27"/>
        <v>0</v>
      </c>
      <c r="Y58" s="693">
        <f t="shared" si="27"/>
        <v>0</v>
      </c>
      <c r="Z58" s="693">
        <f t="shared" si="27"/>
        <v>0</v>
      </c>
      <c r="AA58" s="693">
        <f t="shared" si="27"/>
        <v>0</v>
      </c>
      <c r="AB58" s="693">
        <f t="shared" si="27"/>
        <v>0</v>
      </c>
    </row>
    <row r="59" spans="1:46" x14ac:dyDescent="0.3">
      <c r="A59" s="22"/>
      <c r="B59" s="178" t="str">
        <f t="shared" si="25"/>
        <v>TYNF900</v>
      </c>
      <c r="C59" s="178"/>
      <c r="D59" s="179"/>
      <c r="E59" s="178"/>
      <c r="F59" s="182"/>
      <c r="G59" s="181"/>
      <c r="H59" s="182"/>
      <c r="I59" s="183">
        <f>AF$6</f>
        <v>2020</v>
      </c>
      <c r="J59" s="184"/>
      <c r="K59" s="184"/>
      <c r="L59" s="203" t="s">
        <v>1064</v>
      </c>
      <c r="M59" s="184" t="s">
        <v>747</v>
      </c>
      <c r="N59" s="693">
        <f t="shared" ref="N59:AB59" si="28">N$57*LOOKUP($AD$53,$AG$4:$AS$4,$AG6:$AS6)</f>
        <v>0</v>
      </c>
      <c r="O59" s="693">
        <f t="shared" si="28"/>
        <v>0</v>
      </c>
      <c r="P59" s="693">
        <f t="shared" si="28"/>
        <v>0</v>
      </c>
      <c r="Q59" s="693">
        <f t="shared" si="28"/>
        <v>0</v>
      </c>
      <c r="R59" s="693">
        <f t="shared" si="28"/>
        <v>0</v>
      </c>
      <c r="S59" s="693">
        <f t="shared" si="28"/>
        <v>0</v>
      </c>
      <c r="T59" s="693">
        <f t="shared" si="28"/>
        <v>0</v>
      </c>
      <c r="U59" s="693">
        <f t="shared" si="28"/>
        <v>0</v>
      </c>
      <c r="V59" s="693">
        <f t="shared" si="28"/>
        <v>0</v>
      </c>
      <c r="W59" s="693">
        <f t="shared" si="28"/>
        <v>0</v>
      </c>
      <c r="X59" s="693">
        <f t="shared" si="28"/>
        <v>0</v>
      </c>
      <c r="Y59" s="693">
        <f t="shared" si="28"/>
        <v>0</v>
      </c>
      <c r="Z59" s="693">
        <f t="shared" si="28"/>
        <v>0</v>
      </c>
      <c r="AA59" s="693">
        <f t="shared" si="28"/>
        <v>0</v>
      </c>
      <c r="AB59" s="693">
        <f t="shared" si="28"/>
        <v>0</v>
      </c>
    </row>
    <row r="60" spans="1:46" x14ac:dyDescent="0.3">
      <c r="A60" s="22"/>
      <c r="B60" s="178" t="str">
        <f t="shared" si="25"/>
        <v>TYNF900</v>
      </c>
      <c r="C60" s="178"/>
      <c r="D60" s="179"/>
      <c r="E60" s="178"/>
      <c r="F60" s="182"/>
      <c r="G60" s="181"/>
      <c r="H60" s="182"/>
      <c r="I60" s="183">
        <f>AF$7</f>
        <v>2025</v>
      </c>
      <c r="J60" s="184"/>
      <c r="K60" s="184"/>
      <c r="L60" s="203" t="s">
        <v>1064</v>
      </c>
      <c r="M60" s="184" t="s">
        <v>747</v>
      </c>
      <c r="N60" s="693">
        <f t="shared" ref="N60:AB60" si="29">N$57*LOOKUP($AD$53,$AG$4:$AS$4,$AG7:$AS7)</f>
        <v>0</v>
      </c>
      <c r="O60" s="693">
        <f t="shared" si="29"/>
        <v>0</v>
      </c>
      <c r="P60" s="693">
        <f t="shared" si="29"/>
        <v>0</v>
      </c>
      <c r="Q60" s="693">
        <f t="shared" si="29"/>
        <v>0</v>
      </c>
      <c r="R60" s="693">
        <f t="shared" si="29"/>
        <v>0</v>
      </c>
      <c r="S60" s="693">
        <f t="shared" si="29"/>
        <v>0</v>
      </c>
      <c r="T60" s="693">
        <f t="shared" si="29"/>
        <v>0</v>
      </c>
      <c r="U60" s="693">
        <f t="shared" si="29"/>
        <v>0</v>
      </c>
      <c r="V60" s="693">
        <f t="shared" si="29"/>
        <v>0</v>
      </c>
      <c r="W60" s="693">
        <f t="shared" si="29"/>
        <v>0</v>
      </c>
      <c r="X60" s="693">
        <f t="shared" si="29"/>
        <v>0</v>
      </c>
      <c r="Y60" s="693">
        <f t="shared" si="29"/>
        <v>0</v>
      </c>
      <c r="Z60" s="693">
        <f t="shared" si="29"/>
        <v>0</v>
      </c>
      <c r="AA60" s="693">
        <f t="shared" si="29"/>
        <v>0</v>
      </c>
      <c r="AB60" s="693">
        <f t="shared" si="29"/>
        <v>0</v>
      </c>
    </row>
    <row r="61" spans="1:46" x14ac:dyDescent="0.3">
      <c r="A61" s="22"/>
      <c r="B61" s="178" t="str">
        <f t="shared" si="25"/>
        <v>TYNF900</v>
      </c>
      <c r="C61" s="178"/>
      <c r="D61" s="179"/>
      <c r="E61" s="178"/>
      <c r="F61" s="182"/>
      <c r="G61" s="181"/>
      <c r="H61" s="182"/>
      <c r="I61" s="183">
        <f>AF$8</f>
        <v>2030</v>
      </c>
      <c r="J61" s="184"/>
      <c r="K61" s="184"/>
      <c r="L61" s="203" t="s">
        <v>1064</v>
      </c>
      <c r="M61" s="184" t="s">
        <v>747</v>
      </c>
      <c r="N61" s="693">
        <f t="shared" ref="N61:AB61" si="30">N$57*LOOKUP($AD$53,$AG$4:$AS$4,$AG8:$AS8)</f>
        <v>0</v>
      </c>
      <c r="O61" s="693">
        <f t="shared" si="30"/>
        <v>0</v>
      </c>
      <c r="P61" s="693">
        <f t="shared" si="30"/>
        <v>0</v>
      </c>
      <c r="Q61" s="693">
        <f t="shared" si="30"/>
        <v>0</v>
      </c>
      <c r="R61" s="693">
        <f t="shared" si="30"/>
        <v>0</v>
      </c>
      <c r="S61" s="693">
        <f t="shared" si="30"/>
        <v>0</v>
      </c>
      <c r="T61" s="693">
        <f t="shared" si="30"/>
        <v>0</v>
      </c>
      <c r="U61" s="693">
        <f t="shared" si="30"/>
        <v>0</v>
      </c>
      <c r="V61" s="693">
        <f t="shared" si="30"/>
        <v>0</v>
      </c>
      <c r="W61" s="693">
        <f t="shared" si="30"/>
        <v>0</v>
      </c>
      <c r="X61" s="693">
        <f t="shared" si="30"/>
        <v>0</v>
      </c>
      <c r="Y61" s="693">
        <f t="shared" si="30"/>
        <v>0</v>
      </c>
      <c r="Z61" s="693">
        <f t="shared" si="30"/>
        <v>0</v>
      </c>
      <c r="AA61" s="693">
        <f t="shared" si="30"/>
        <v>0</v>
      </c>
      <c r="AB61" s="693">
        <f t="shared" si="30"/>
        <v>0</v>
      </c>
    </row>
    <row r="62" spans="1:46" x14ac:dyDescent="0.3">
      <c r="A62" s="22"/>
      <c r="B62" s="178" t="str">
        <f t="shared" si="25"/>
        <v>TYNF900</v>
      </c>
      <c r="C62" s="178"/>
      <c r="D62" s="179"/>
      <c r="E62" s="178"/>
      <c r="F62" s="182"/>
      <c r="G62" s="181"/>
      <c r="H62" s="182"/>
      <c r="I62" s="183">
        <f>AF$9</f>
        <v>2040</v>
      </c>
      <c r="J62" s="184"/>
      <c r="K62" s="184"/>
      <c r="L62" s="203" t="s">
        <v>1064</v>
      </c>
      <c r="M62" s="184" t="s">
        <v>747</v>
      </c>
      <c r="N62" s="693">
        <f t="shared" ref="N62:AB62" si="31">N$57*LOOKUP($AD$53,$AG$4:$AS$4,$AG9:$AS9)</f>
        <v>0</v>
      </c>
      <c r="O62" s="693">
        <f t="shared" si="31"/>
        <v>0</v>
      </c>
      <c r="P62" s="693">
        <f t="shared" si="31"/>
        <v>0</v>
      </c>
      <c r="Q62" s="693">
        <f t="shared" si="31"/>
        <v>0</v>
      </c>
      <c r="R62" s="693">
        <f t="shared" si="31"/>
        <v>0</v>
      </c>
      <c r="S62" s="693">
        <f t="shared" si="31"/>
        <v>0</v>
      </c>
      <c r="T62" s="693">
        <f t="shared" si="31"/>
        <v>0</v>
      </c>
      <c r="U62" s="693">
        <f t="shared" si="31"/>
        <v>0</v>
      </c>
      <c r="V62" s="693">
        <f t="shared" si="31"/>
        <v>0</v>
      </c>
      <c r="W62" s="693">
        <f t="shared" si="31"/>
        <v>0</v>
      </c>
      <c r="X62" s="693">
        <f t="shared" si="31"/>
        <v>0</v>
      </c>
      <c r="Y62" s="693">
        <f t="shared" si="31"/>
        <v>0</v>
      </c>
      <c r="Z62" s="693">
        <f t="shared" si="31"/>
        <v>0</v>
      </c>
      <c r="AA62" s="693">
        <f t="shared" si="31"/>
        <v>0</v>
      </c>
      <c r="AB62" s="693">
        <f t="shared" si="31"/>
        <v>0</v>
      </c>
    </row>
    <row r="63" spans="1:46" x14ac:dyDescent="0.3">
      <c r="A63" s="22"/>
      <c r="B63" s="204" t="str">
        <f t="shared" si="25"/>
        <v>TYNF900</v>
      </c>
      <c r="C63" s="204"/>
      <c r="D63" s="205"/>
      <c r="E63" s="204"/>
      <c r="F63" s="206"/>
      <c r="G63" s="207"/>
      <c r="H63" s="206"/>
      <c r="I63" s="208">
        <f>AF$10</f>
        <v>2050</v>
      </c>
      <c r="J63" s="209"/>
      <c r="K63" s="209"/>
      <c r="L63" s="210" t="s">
        <v>1064</v>
      </c>
      <c r="M63" s="209" t="s">
        <v>747</v>
      </c>
      <c r="N63" s="694">
        <f t="shared" ref="N63:AB63" si="32">N$57*LOOKUP($AD$53,$AG$4:$AS$4,$AG10:$AS10)</f>
        <v>0</v>
      </c>
      <c r="O63" s="694">
        <f t="shared" si="32"/>
        <v>0</v>
      </c>
      <c r="P63" s="694">
        <f t="shared" si="32"/>
        <v>0</v>
      </c>
      <c r="Q63" s="694">
        <f t="shared" si="32"/>
        <v>0</v>
      </c>
      <c r="R63" s="694">
        <f t="shared" si="32"/>
        <v>0</v>
      </c>
      <c r="S63" s="694">
        <f t="shared" si="32"/>
        <v>0</v>
      </c>
      <c r="T63" s="694">
        <f t="shared" si="32"/>
        <v>0</v>
      </c>
      <c r="U63" s="694">
        <f t="shared" si="32"/>
        <v>0</v>
      </c>
      <c r="V63" s="694">
        <f t="shared" si="32"/>
        <v>0</v>
      </c>
      <c r="W63" s="694">
        <f t="shared" si="32"/>
        <v>0</v>
      </c>
      <c r="X63" s="694">
        <f t="shared" si="32"/>
        <v>0</v>
      </c>
      <c r="Y63" s="694">
        <f t="shared" si="32"/>
        <v>0</v>
      </c>
      <c r="Z63" s="694">
        <f t="shared" si="32"/>
        <v>0</v>
      </c>
      <c r="AA63" s="694">
        <f t="shared" si="32"/>
        <v>0</v>
      </c>
      <c r="AB63" s="694">
        <f t="shared" si="32"/>
        <v>0</v>
      </c>
      <c r="AD63" s="400"/>
    </row>
    <row r="64" spans="1:46" x14ac:dyDescent="0.3">
      <c r="A64" s="22"/>
      <c r="B64" s="178" t="str">
        <f>C64</f>
        <v>TYEF900</v>
      </c>
      <c r="C64" s="178" t="s">
        <v>166</v>
      </c>
      <c r="D64" s="179" t="s">
        <v>896</v>
      </c>
      <c r="E64" s="180"/>
      <c r="F64" s="182"/>
      <c r="G64" s="173" t="s">
        <v>509</v>
      </c>
      <c r="H64" s="182"/>
      <c r="I64" s="183"/>
      <c r="J64" s="184"/>
      <c r="K64" s="184"/>
      <c r="L64" s="203" t="s">
        <v>1106</v>
      </c>
      <c r="M64" s="184" t="s">
        <v>1124</v>
      </c>
      <c r="N64" s="566">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4" t="str">
        <f>IF(AE70-AD17&lt;0,"too small",IF(AE70-AD17&gt;0.001,"Too big","ok"))</f>
        <v>ok</v>
      </c>
      <c r="AF64" s="618" t="str">
        <f>IF(AF70-N17&lt;0,"too small",IF(AF70-N17&gt;0.001,"Too big","ok"))</f>
        <v>ok</v>
      </c>
      <c r="AG64" s="618" t="str">
        <f t="shared" ref="AG64:AT64" si="34">IF(AG70-O17&lt;0,"too small",IF(AG70-O17&gt;0.001,"Too big","ok"))</f>
        <v>ok</v>
      </c>
      <c r="AH64" s="618" t="str">
        <f t="shared" si="34"/>
        <v>ok</v>
      </c>
      <c r="AI64" s="618" t="str">
        <f t="shared" si="34"/>
        <v>ok</v>
      </c>
      <c r="AJ64" s="618" t="str">
        <f t="shared" si="34"/>
        <v>ok</v>
      </c>
      <c r="AK64" s="618" t="str">
        <f t="shared" si="34"/>
        <v>ok</v>
      </c>
      <c r="AL64" s="618" t="str">
        <f t="shared" si="34"/>
        <v>ok</v>
      </c>
      <c r="AM64" s="618" t="str">
        <f t="shared" si="34"/>
        <v>ok</v>
      </c>
      <c r="AN64" s="618" t="str">
        <f t="shared" si="34"/>
        <v>ok</v>
      </c>
      <c r="AO64" s="618" t="str">
        <f t="shared" si="34"/>
        <v>ok</v>
      </c>
      <c r="AP64" s="618" t="str">
        <f t="shared" si="34"/>
        <v>ok</v>
      </c>
      <c r="AQ64" s="618" t="str">
        <f t="shared" si="34"/>
        <v>ok</v>
      </c>
      <c r="AR64" s="618" t="str">
        <f t="shared" si="34"/>
        <v>ok</v>
      </c>
      <c r="AS64" s="618" t="str">
        <f t="shared" si="34"/>
        <v>ok</v>
      </c>
      <c r="AT64" s="618" t="str">
        <f t="shared" si="34"/>
        <v>ok</v>
      </c>
    </row>
    <row r="65" spans="1:52" x14ac:dyDescent="0.3">
      <c r="A65" s="22"/>
      <c r="B65" s="178" t="str">
        <f>B64</f>
        <v>TYEF900</v>
      </c>
      <c r="C65" s="178"/>
      <c r="D65" s="179"/>
      <c r="E65" s="178" t="s">
        <v>682</v>
      </c>
      <c r="F65" s="182"/>
      <c r="G65" s="173"/>
      <c r="H65" s="182"/>
      <c r="I65" s="183"/>
      <c r="J65" s="184"/>
      <c r="K65" s="184"/>
      <c r="L65" s="184" t="s">
        <v>1125</v>
      </c>
      <c r="M65" s="184" t="s">
        <v>677</v>
      </c>
      <c r="N65" s="629">
        <f>T_CEFF!H293</f>
        <v>4.5454499999999998</v>
      </c>
      <c r="O65" s="629">
        <f>T_CEFF!I293</f>
        <v>4.5454499999999998</v>
      </c>
      <c r="P65" s="629">
        <f>T_CEFF!J293</f>
        <v>4.5454499999999998</v>
      </c>
      <c r="Q65" s="629">
        <f>T_CEFF!K293</f>
        <v>4.5454499999999998</v>
      </c>
      <c r="R65" s="629">
        <f>T_CEFF!L293</f>
        <v>4.5454499999999998</v>
      </c>
      <c r="S65" s="629">
        <f>T_CEFF!M293</f>
        <v>4.5454499999999998</v>
      </c>
      <c r="T65" s="629">
        <f>T_CEFF!N293</f>
        <v>4.5454499999999998</v>
      </c>
      <c r="U65" s="629">
        <f>T_CEFF!O293</f>
        <v>4.5454499999999998</v>
      </c>
      <c r="V65" s="629">
        <f>T_CEFF!P293</f>
        <v>4.5454499999999998</v>
      </c>
      <c r="W65" s="629">
        <f>T_CEFF!Q293</f>
        <v>4.5454499999999998</v>
      </c>
      <c r="X65" s="629">
        <f>T_CEFF!R293</f>
        <v>4.5454499999999998</v>
      </c>
      <c r="Y65" s="629">
        <f>T_CEFF!S293</f>
        <v>4.5454499999999998</v>
      </c>
      <c r="Z65" s="629">
        <f>T_CEFF!T293</f>
        <v>4.5454499999999998</v>
      </c>
      <c r="AA65" s="629">
        <f>T_CEFF!U293</f>
        <v>4.5454499999999998</v>
      </c>
      <c r="AB65" s="629">
        <f>T_CEFF!V293</f>
        <v>4.5454499999999998</v>
      </c>
      <c r="AD65" s="83" t="str">
        <f>IF(COUNTIF($AG$4:$AS$4,AD64)=1,"ok","MISSING")</f>
        <v>ok</v>
      </c>
    </row>
    <row r="66" spans="1:52" x14ac:dyDescent="0.3">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3">
      <c r="A67" s="22"/>
      <c r="B67" s="178" t="str">
        <f t="shared" ref="B67:B76" si="36">B66</f>
        <v>TYEF900</v>
      </c>
      <c r="C67" s="178"/>
      <c r="D67" s="179"/>
      <c r="E67" s="178" t="s">
        <v>682</v>
      </c>
      <c r="F67" s="182"/>
      <c r="G67" s="173"/>
      <c r="H67" s="182"/>
      <c r="I67" s="183"/>
      <c r="J67" s="184" t="s">
        <v>1156</v>
      </c>
      <c r="K67" s="184"/>
      <c r="L67" s="184" t="s">
        <v>1175</v>
      </c>
      <c r="M67" s="184"/>
      <c r="N67" s="628">
        <v>0.3</v>
      </c>
      <c r="O67" s="628">
        <v>0.3</v>
      </c>
      <c r="P67" s="628">
        <v>0.3</v>
      </c>
      <c r="Q67" s="628">
        <v>0.3</v>
      </c>
      <c r="R67" s="628">
        <v>0.3</v>
      </c>
      <c r="S67" s="628">
        <v>0.3</v>
      </c>
      <c r="T67" s="628">
        <v>0.3</v>
      </c>
      <c r="U67" s="628">
        <v>0.3</v>
      </c>
      <c r="V67" s="628">
        <v>0.3</v>
      </c>
      <c r="W67" s="628">
        <v>0.3</v>
      </c>
      <c r="X67" s="628">
        <v>0.3</v>
      </c>
      <c r="Y67" s="628">
        <v>0.3</v>
      </c>
      <c r="Z67" s="628">
        <v>0.3</v>
      </c>
      <c r="AA67" s="628">
        <v>0.3</v>
      </c>
      <c r="AB67" s="628">
        <v>0.3</v>
      </c>
      <c r="AD67" s="83"/>
    </row>
    <row r="68" spans="1:52" x14ac:dyDescent="0.3">
      <c r="A68" s="22"/>
      <c r="B68" s="178" t="str">
        <f t="shared" si="36"/>
        <v>TYEF900</v>
      </c>
      <c r="C68" s="178"/>
      <c r="D68" s="179"/>
      <c r="E68" s="178"/>
      <c r="F68" s="182"/>
      <c r="G68" s="181"/>
      <c r="H68" s="182"/>
      <c r="I68" s="183"/>
      <c r="J68" s="184"/>
      <c r="K68" s="184" t="s">
        <v>748</v>
      </c>
      <c r="L68" s="184" t="s">
        <v>1127</v>
      </c>
      <c r="M68" s="184" t="s">
        <v>1174</v>
      </c>
      <c r="N68" s="628">
        <f>N22</f>
        <v>0</v>
      </c>
      <c r="O68" s="628">
        <f t="shared" ref="O68:AB68" si="37">O22</f>
        <v>0</v>
      </c>
      <c r="P68" s="628">
        <f t="shared" si="37"/>
        <v>0</v>
      </c>
      <c r="Q68" s="628">
        <f t="shared" si="37"/>
        <v>0</v>
      </c>
      <c r="R68" s="628">
        <f t="shared" si="37"/>
        <v>0</v>
      </c>
      <c r="S68" s="628">
        <f t="shared" si="37"/>
        <v>0</v>
      </c>
      <c r="T68" s="628">
        <f t="shared" si="37"/>
        <v>0</v>
      </c>
      <c r="U68" s="628">
        <f t="shared" si="37"/>
        <v>0</v>
      </c>
      <c r="V68" s="628">
        <f t="shared" si="37"/>
        <v>0</v>
      </c>
      <c r="W68" s="628">
        <f t="shared" si="37"/>
        <v>0</v>
      </c>
      <c r="X68" s="628">
        <f t="shared" si="37"/>
        <v>0</v>
      </c>
      <c r="Y68" s="628">
        <f t="shared" si="37"/>
        <v>0</v>
      </c>
      <c r="Z68" s="628">
        <f t="shared" si="37"/>
        <v>0</v>
      </c>
      <c r="AA68" s="628">
        <f t="shared" si="37"/>
        <v>0</v>
      </c>
      <c r="AB68" s="628">
        <f t="shared" si="37"/>
        <v>0</v>
      </c>
    </row>
    <row r="69" spans="1:52" x14ac:dyDescent="0.3">
      <c r="A69" s="22"/>
      <c r="B69" s="178" t="str">
        <f t="shared" si="36"/>
        <v>TYEF900</v>
      </c>
      <c r="C69" s="178"/>
      <c r="D69" s="179"/>
      <c r="E69" s="178"/>
      <c r="F69" s="182"/>
      <c r="G69" s="181"/>
      <c r="H69" s="182"/>
      <c r="I69" s="183"/>
      <c r="J69" s="184"/>
      <c r="K69" s="184"/>
      <c r="L69" s="203" t="s">
        <v>1129</v>
      </c>
      <c r="M69" s="184" t="s">
        <v>1130</v>
      </c>
      <c r="N69" s="629">
        <f>T_NCAP_AF!D329*(1+N36)</f>
        <v>0</v>
      </c>
      <c r="O69" s="629">
        <f>T_NCAP_AF!E329*(1+O36)</f>
        <v>0</v>
      </c>
      <c r="P69" s="629">
        <f>T_NCAP_AF!F329*(1+P36)</f>
        <v>0</v>
      </c>
      <c r="Q69" s="629">
        <f>T_NCAP_AF!G329*(1+Q36)</f>
        <v>0</v>
      </c>
      <c r="R69" s="629">
        <f>T_NCAP_AF!H329*(1+R36)</f>
        <v>0</v>
      </c>
      <c r="S69" s="629">
        <f>T_NCAP_AF!I329*(1+S36)</f>
        <v>0</v>
      </c>
      <c r="T69" s="629">
        <f>T_NCAP_AF!J329*(1+T36)</f>
        <v>0</v>
      </c>
      <c r="U69" s="629">
        <f>T_NCAP_AF!K329*(1+U36)</f>
        <v>0</v>
      </c>
      <c r="V69" s="629">
        <f>T_NCAP_AF!L329*(1+V36)</f>
        <v>0</v>
      </c>
      <c r="W69" s="629">
        <f>T_NCAP_AF!M329*(1+W36)</f>
        <v>0</v>
      </c>
      <c r="X69" s="629">
        <f>T_NCAP_AF!N329*(1+X36)</f>
        <v>0</v>
      </c>
      <c r="Y69" s="629">
        <f>T_NCAP_AF!O329*(1+Y36)</f>
        <v>0</v>
      </c>
      <c r="Z69" s="629">
        <f>T_NCAP_AF!P329*(1+Z36)</f>
        <v>0</v>
      </c>
      <c r="AA69" s="629">
        <f>T_NCAP_AF!Q329*(1+AA36)</f>
        <v>0</v>
      </c>
      <c r="AB69" s="629">
        <f>T_NCAP_AF!R329*(1+AB36)</f>
        <v>0</v>
      </c>
    </row>
    <row r="70" spans="1:52" x14ac:dyDescent="0.3">
      <c r="A70" s="22"/>
      <c r="B70" s="178" t="str">
        <f t="shared" si="36"/>
        <v>TYEF900</v>
      </c>
      <c r="C70" s="178"/>
      <c r="D70" s="179"/>
      <c r="E70" s="178"/>
      <c r="F70" s="182"/>
      <c r="G70" s="181"/>
      <c r="H70" s="182"/>
      <c r="I70" s="183">
        <f>$M$3</f>
        <v>2019</v>
      </c>
      <c r="J70" s="184"/>
      <c r="K70" s="184"/>
      <c r="L70" s="203" t="s">
        <v>1064</v>
      </c>
      <c r="M70" s="184" t="s">
        <v>747</v>
      </c>
      <c r="N70" s="693">
        <f>'T_Stock_TOTAL_&amp;_City'!D144*(1+N37)</f>
        <v>0</v>
      </c>
      <c r="O70" s="693">
        <f>'T_Stock_TOTAL_&amp;_City'!E144*(1+O37)</f>
        <v>0</v>
      </c>
      <c r="P70" s="693">
        <f>'T_Stock_TOTAL_&amp;_City'!F144*(1+P37)</f>
        <v>0</v>
      </c>
      <c r="Q70" s="693">
        <f>'T_Stock_TOTAL_&amp;_City'!G144*(1+Q37)</f>
        <v>0</v>
      </c>
      <c r="R70" s="693">
        <f>'T_Stock_TOTAL_&amp;_City'!H144*(1+R37)</f>
        <v>0</v>
      </c>
      <c r="S70" s="693">
        <f>'T_Stock_TOTAL_&amp;_City'!I144*(1+S37)</f>
        <v>0</v>
      </c>
      <c r="T70" s="693">
        <f>'T_Stock_TOTAL_&amp;_City'!J144*(1+T37)</f>
        <v>0</v>
      </c>
      <c r="U70" s="693">
        <f>'T_Stock_TOTAL_&amp;_City'!K144*(1+U37)</f>
        <v>0</v>
      </c>
      <c r="V70" s="693">
        <f>'T_Stock_TOTAL_&amp;_City'!L144*(1+V37)</f>
        <v>0</v>
      </c>
      <c r="W70" s="693">
        <f>'T_Stock_TOTAL_&amp;_City'!M144*(1+W37)</f>
        <v>0</v>
      </c>
      <c r="X70" s="693">
        <f>'T_Stock_TOTAL_&amp;_City'!N144*(1+X37)</f>
        <v>0</v>
      </c>
      <c r="Y70" s="693">
        <f>'T_Stock_TOTAL_&amp;_City'!O144*(1+Y37)</f>
        <v>0</v>
      </c>
      <c r="Z70" s="693">
        <f>'T_Stock_TOTAL_&amp;_City'!P144*(1+Z37)</f>
        <v>0</v>
      </c>
      <c r="AA70" s="693">
        <f>'T_Stock_TOTAL_&amp;_City'!Q144*(1+AA37)</f>
        <v>0</v>
      </c>
      <c r="AB70" s="693">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3">
      <c r="A71" s="22"/>
      <c r="B71" s="178" t="str">
        <f t="shared" si="36"/>
        <v>TYEF900</v>
      </c>
      <c r="C71" s="178"/>
      <c r="D71" s="179"/>
      <c r="E71" s="178"/>
      <c r="F71" s="182"/>
      <c r="G71" s="181"/>
      <c r="H71" s="182"/>
      <c r="I71" s="183">
        <f>AF$5</f>
        <v>2016</v>
      </c>
      <c r="J71" s="184"/>
      <c r="K71" s="184"/>
      <c r="L71" s="203" t="s">
        <v>1064</v>
      </c>
      <c r="M71" s="184" t="s">
        <v>747</v>
      </c>
      <c r="N71" s="693">
        <f t="shared" ref="N71:AB71" si="52">N$70*LOOKUP($AD$64,$AG$4:$AS$4,$AG18:$AS18)</f>
        <v>0</v>
      </c>
      <c r="O71" s="693">
        <f t="shared" si="52"/>
        <v>0</v>
      </c>
      <c r="P71" s="693">
        <f t="shared" si="52"/>
        <v>0</v>
      </c>
      <c r="Q71" s="693">
        <f t="shared" si="52"/>
        <v>0</v>
      </c>
      <c r="R71" s="693">
        <f t="shared" si="52"/>
        <v>0</v>
      </c>
      <c r="S71" s="693">
        <f t="shared" si="52"/>
        <v>0</v>
      </c>
      <c r="T71" s="693">
        <f t="shared" si="52"/>
        <v>0</v>
      </c>
      <c r="U71" s="693">
        <f t="shared" si="52"/>
        <v>0</v>
      </c>
      <c r="V71" s="693">
        <f t="shared" si="52"/>
        <v>0</v>
      </c>
      <c r="W71" s="693">
        <f t="shared" si="52"/>
        <v>0</v>
      </c>
      <c r="X71" s="693">
        <f t="shared" si="52"/>
        <v>0</v>
      </c>
      <c r="Y71" s="693">
        <f t="shared" si="52"/>
        <v>0</v>
      </c>
      <c r="Z71" s="693">
        <f t="shared" si="52"/>
        <v>0</v>
      </c>
      <c r="AA71" s="693">
        <f t="shared" si="52"/>
        <v>0</v>
      </c>
      <c r="AB71" s="693">
        <f t="shared" si="52"/>
        <v>0</v>
      </c>
    </row>
    <row r="72" spans="1:52" x14ac:dyDescent="0.3">
      <c r="A72" s="22"/>
      <c r="B72" s="178" t="str">
        <f t="shared" si="36"/>
        <v>TYEF900</v>
      </c>
      <c r="C72" s="178"/>
      <c r="D72" s="179"/>
      <c r="E72" s="178"/>
      <c r="F72" s="182"/>
      <c r="G72" s="181"/>
      <c r="H72" s="182"/>
      <c r="I72" s="183">
        <f>AF$6</f>
        <v>2020</v>
      </c>
      <c r="J72" s="184"/>
      <c r="K72" s="184"/>
      <c r="L72" s="203" t="s">
        <v>1064</v>
      </c>
      <c r="M72" s="184" t="s">
        <v>747</v>
      </c>
      <c r="N72" s="693">
        <f t="shared" ref="N72:AB72" si="53">N$70*LOOKUP($AD$64,$AG$4:$AS$4,$AF19:$AR19)</f>
        <v>0</v>
      </c>
      <c r="O72" s="693">
        <f t="shared" si="53"/>
        <v>0</v>
      </c>
      <c r="P72" s="693">
        <f t="shared" si="53"/>
        <v>0</v>
      </c>
      <c r="Q72" s="693">
        <f t="shared" si="53"/>
        <v>0</v>
      </c>
      <c r="R72" s="693">
        <f t="shared" si="53"/>
        <v>0</v>
      </c>
      <c r="S72" s="693">
        <f t="shared" si="53"/>
        <v>0</v>
      </c>
      <c r="T72" s="693">
        <f t="shared" si="53"/>
        <v>0</v>
      </c>
      <c r="U72" s="693">
        <f t="shared" si="53"/>
        <v>0</v>
      </c>
      <c r="V72" s="693">
        <f t="shared" si="53"/>
        <v>0</v>
      </c>
      <c r="W72" s="693">
        <f t="shared" si="53"/>
        <v>0</v>
      </c>
      <c r="X72" s="693">
        <f t="shared" si="53"/>
        <v>0</v>
      </c>
      <c r="Y72" s="693">
        <f t="shared" si="53"/>
        <v>0</v>
      </c>
      <c r="Z72" s="693">
        <f t="shared" si="53"/>
        <v>0</v>
      </c>
      <c r="AA72" s="693">
        <f t="shared" si="53"/>
        <v>0</v>
      </c>
      <c r="AB72" s="693">
        <f t="shared" si="53"/>
        <v>0</v>
      </c>
    </row>
    <row r="73" spans="1:52" x14ac:dyDescent="0.3">
      <c r="A73" s="22"/>
      <c r="B73" s="178" t="str">
        <f t="shared" si="36"/>
        <v>TYEF900</v>
      </c>
      <c r="C73" s="178"/>
      <c r="D73" s="179"/>
      <c r="E73" s="178"/>
      <c r="F73" s="182"/>
      <c r="G73" s="181"/>
      <c r="H73" s="182"/>
      <c r="I73" s="183">
        <f>AF$7</f>
        <v>2025</v>
      </c>
      <c r="J73" s="184"/>
      <c r="K73" s="184"/>
      <c r="L73" s="203" t="s">
        <v>1064</v>
      </c>
      <c r="M73" s="184" t="s">
        <v>747</v>
      </c>
      <c r="N73" s="693">
        <f t="shared" ref="N73:AB73" si="54">N$70*LOOKUP($AD$64,$AG$4:$AS$4,$AF20:$AR20)</f>
        <v>0</v>
      </c>
      <c r="O73" s="693">
        <f t="shared" si="54"/>
        <v>0</v>
      </c>
      <c r="P73" s="693">
        <f t="shared" si="54"/>
        <v>0</v>
      </c>
      <c r="Q73" s="693">
        <f t="shared" si="54"/>
        <v>0</v>
      </c>
      <c r="R73" s="693">
        <f t="shared" si="54"/>
        <v>0</v>
      </c>
      <c r="S73" s="693">
        <f t="shared" si="54"/>
        <v>0</v>
      </c>
      <c r="T73" s="693">
        <f t="shared" si="54"/>
        <v>0</v>
      </c>
      <c r="U73" s="693">
        <f t="shared" si="54"/>
        <v>0</v>
      </c>
      <c r="V73" s="693">
        <f t="shared" si="54"/>
        <v>0</v>
      </c>
      <c r="W73" s="693">
        <f t="shared" si="54"/>
        <v>0</v>
      </c>
      <c r="X73" s="693">
        <f t="shared" si="54"/>
        <v>0</v>
      </c>
      <c r="Y73" s="693">
        <f t="shared" si="54"/>
        <v>0</v>
      </c>
      <c r="Z73" s="693">
        <f t="shared" si="54"/>
        <v>0</v>
      </c>
      <c r="AA73" s="693">
        <f t="shared" si="54"/>
        <v>0</v>
      </c>
      <c r="AB73" s="693">
        <f t="shared" si="54"/>
        <v>0</v>
      </c>
    </row>
    <row r="74" spans="1:52" x14ac:dyDescent="0.3">
      <c r="A74" s="22"/>
      <c r="B74" s="178" t="str">
        <f t="shared" si="36"/>
        <v>TYEF900</v>
      </c>
      <c r="C74" s="178"/>
      <c r="D74" s="179"/>
      <c r="E74" s="178"/>
      <c r="F74" s="182"/>
      <c r="G74" s="181"/>
      <c r="H74" s="182"/>
      <c r="I74" s="183">
        <f>AF$8</f>
        <v>2030</v>
      </c>
      <c r="J74" s="184"/>
      <c r="K74" s="184"/>
      <c r="L74" s="203" t="s">
        <v>1064</v>
      </c>
      <c r="M74" s="184" t="s">
        <v>747</v>
      </c>
      <c r="N74" s="693">
        <f t="shared" ref="N74:AB74" si="55">N$70*LOOKUP($AD$64,$AG$4:$AS$4,$AF21:$AR21)</f>
        <v>0</v>
      </c>
      <c r="O74" s="693">
        <f t="shared" si="55"/>
        <v>0</v>
      </c>
      <c r="P74" s="693">
        <f t="shared" si="55"/>
        <v>0</v>
      </c>
      <c r="Q74" s="693">
        <f t="shared" si="55"/>
        <v>0</v>
      </c>
      <c r="R74" s="693">
        <f t="shared" si="55"/>
        <v>0</v>
      </c>
      <c r="S74" s="693">
        <f t="shared" si="55"/>
        <v>0</v>
      </c>
      <c r="T74" s="693">
        <f t="shared" si="55"/>
        <v>0</v>
      </c>
      <c r="U74" s="693">
        <f t="shared" si="55"/>
        <v>0</v>
      </c>
      <c r="V74" s="693">
        <f t="shared" si="55"/>
        <v>0</v>
      </c>
      <c r="W74" s="693">
        <f t="shared" si="55"/>
        <v>0</v>
      </c>
      <c r="X74" s="693">
        <f t="shared" si="55"/>
        <v>0</v>
      </c>
      <c r="Y74" s="693">
        <f t="shared" si="55"/>
        <v>0</v>
      </c>
      <c r="Z74" s="693">
        <f t="shared" si="55"/>
        <v>0</v>
      </c>
      <c r="AA74" s="693">
        <f t="shared" si="55"/>
        <v>0</v>
      </c>
      <c r="AB74" s="693">
        <f t="shared" si="55"/>
        <v>0</v>
      </c>
    </row>
    <row r="75" spans="1:52" x14ac:dyDescent="0.3">
      <c r="A75" s="22"/>
      <c r="B75" s="178" t="str">
        <f t="shared" si="36"/>
        <v>TYEF900</v>
      </c>
      <c r="C75" s="178"/>
      <c r="D75" s="179"/>
      <c r="E75" s="178"/>
      <c r="F75" s="182"/>
      <c r="G75" s="181"/>
      <c r="H75" s="182"/>
      <c r="I75" s="183">
        <f>AF$9</f>
        <v>2040</v>
      </c>
      <c r="J75" s="184"/>
      <c r="K75" s="184"/>
      <c r="L75" s="203" t="s">
        <v>1064</v>
      </c>
      <c r="M75" s="184" t="s">
        <v>747</v>
      </c>
      <c r="N75" s="693">
        <f t="shared" ref="N75:AB75" si="56">N$70*LOOKUP($AD$64,$AG$4:$AS$4,$AF22:$AR22)</f>
        <v>0</v>
      </c>
      <c r="O75" s="693">
        <f t="shared" si="56"/>
        <v>0</v>
      </c>
      <c r="P75" s="693">
        <f t="shared" si="56"/>
        <v>0</v>
      </c>
      <c r="Q75" s="693">
        <f t="shared" si="56"/>
        <v>0</v>
      </c>
      <c r="R75" s="693">
        <f t="shared" si="56"/>
        <v>0</v>
      </c>
      <c r="S75" s="693">
        <f t="shared" si="56"/>
        <v>0</v>
      </c>
      <c r="T75" s="693">
        <f t="shared" si="56"/>
        <v>0</v>
      </c>
      <c r="U75" s="693">
        <f t="shared" si="56"/>
        <v>0</v>
      </c>
      <c r="V75" s="693">
        <f t="shared" si="56"/>
        <v>0</v>
      </c>
      <c r="W75" s="693">
        <f t="shared" si="56"/>
        <v>0</v>
      </c>
      <c r="X75" s="693">
        <f t="shared" si="56"/>
        <v>0</v>
      </c>
      <c r="Y75" s="693">
        <f t="shared" si="56"/>
        <v>0</v>
      </c>
      <c r="Z75" s="693">
        <f t="shared" si="56"/>
        <v>0</v>
      </c>
      <c r="AA75" s="693">
        <f t="shared" si="56"/>
        <v>0</v>
      </c>
      <c r="AB75" s="693">
        <f t="shared" si="56"/>
        <v>0</v>
      </c>
    </row>
    <row r="76" spans="1:52" x14ac:dyDescent="0.3">
      <c r="A76" s="22"/>
      <c r="B76" s="204" t="str">
        <f t="shared" si="36"/>
        <v>TYEF900</v>
      </c>
      <c r="C76" s="204"/>
      <c r="D76" s="205"/>
      <c r="E76" s="204"/>
      <c r="F76" s="206"/>
      <c r="G76" s="207"/>
      <c r="H76" s="206"/>
      <c r="I76" s="208">
        <f>AF$10</f>
        <v>2050</v>
      </c>
      <c r="J76" s="209"/>
      <c r="K76" s="209"/>
      <c r="L76" s="210" t="s">
        <v>1064</v>
      </c>
      <c r="M76" s="209" t="s">
        <v>747</v>
      </c>
      <c r="N76" s="694">
        <f t="shared" ref="N76:AB76" si="57">N$70*LOOKUP($AD$64,$AG$4:$AS$4,$AF23:$AR23)</f>
        <v>0</v>
      </c>
      <c r="O76" s="694">
        <f t="shared" si="57"/>
        <v>0</v>
      </c>
      <c r="P76" s="694">
        <f t="shared" si="57"/>
        <v>0</v>
      </c>
      <c r="Q76" s="694">
        <f t="shared" si="57"/>
        <v>0</v>
      </c>
      <c r="R76" s="694">
        <f t="shared" si="57"/>
        <v>0</v>
      </c>
      <c r="S76" s="694">
        <f t="shared" si="57"/>
        <v>0</v>
      </c>
      <c r="T76" s="694">
        <f t="shared" si="57"/>
        <v>0</v>
      </c>
      <c r="U76" s="694">
        <f t="shared" si="57"/>
        <v>0</v>
      </c>
      <c r="V76" s="694">
        <f t="shared" si="57"/>
        <v>0</v>
      </c>
      <c r="W76" s="694">
        <f t="shared" si="57"/>
        <v>0</v>
      </c>
      <c r="X76" s="694">
        <f t="shared" si="57"/>
        <v>0</v>
      </c>
      <c r="Y76" s="694">
        <f t="shared" si="57"/>
        <v>0</v>
      </c>
      <c r="Z76" s="694">
        <f t="shared" si="57"/>
        <v>0</v>
      </c>
      <c r="AA76" s="694">
        <f t="shared" si="57"/>
        <v>0</v>
      </c>
      <c r="AB76" s="694">
        <f t="shared" si="57"/>
        <v>0</v>
      </c>
    </row>
    <row r="77" spans="1:52" s="22" customFormat="1" x14ac:dyDescent="0.3">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3">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3">
      <c r="A79" s="35"/>
      <c r="B79" s="35"/>
      <c r="C79" s="50"/>
      <c r="D79" s="50"/>
      <c r="E79" s="35"/>
      <c r="F79" s="35"/>
      <c r="G79" s="35"/>
      <c r="H79" s="41"/>
      <c r="I79" s="51"/>
      <c r="J79" s="41"/>
      <c r="K79" s="41"/>
      <c r="L79" s="40"/>
      <c r="M79" s="473" t="s">
        <v>1151</v>
      </c>
      <c r="N79" s="481">
        <v>0</v>
      </c>
      <c r="O79" s="481">
        <f>N79</f>
        <v>0</v>
      </c>
      <c r="P79" s="481">
        <f>O79</f>
        <v>0</v>
      </c>
      <c r="Q79" s="481">
        <f t="shared" ref="Q79:AB79" si="58">P79</f>
        <v>0</v>
      </c>
      <c r="R79" s="481">
        <f t="shared" si="58"/>
        <v>0</v>
      </c>
      <c r="S79" s="481">
        <f t="shared" si="58"/>
        <v>0</v>
      </c>
      <c r="T79" s="481">
        <f t="shared" si="58"/>
        <v>0</v>
      </c>
      <c r="U79" s="481">
        <f t="shared" si="58"/>
        <v>0</v>
      </c>
      <c r="V79" s="481">
        <f t="shared" si="58"/>
        <v>0</v>
      </c>
      <c r="W79" s="481">
        <f t="shared" si="58"/>
        <v>0</v>
      </c>
      <c r="X79" s="481">
        <f t="shared" si="58"/>
        <v>0</v>
      </c>
      <c r="Y79" s="481">
        <f t="shared" si="58"/>
        <v>0</v>
      </c>
      <c r="Z79" s="481">
        <f t="shared" si="58"/>
        <v>0</v>
      </c>
      <c r="AA79" s="481">
        <f t="shared" si="58"/>
        <v>0</v>
      </c>
      <c r="AB79" s="481">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3">
      <c r="A80" s="35"/>
      <c r="B80" s="32" t="s">
        <v>1221</v>
      </c>
      <c r="C80" s="88"/>
      <c r="D80" s="26"/>
      <c r="E80" s="35"/>
      <c r="F80" s="35"/>
      <c r="G80" s="35"/>
      <c r="H80" s="35"/>
      <c r="I80" s="36"/>
      <c r="J80" s="35"/>
      <c r="K80" s="35"/>
      <c r="L80" s="35"/>
      <c r="M80" s="473" t="s">
        <v>1153</v>
      </c>
      <c r="N80" s="481">
        <v>0</v>
      </c>
      <c r="O80" s="481">
        <f>N80</f>
        <v>0</v>
      </c>
      <c r="P80" s="481">
        <f t="shared" ref="P80:AB80" si="59">O80</f>
        <v>0</v>
      </c>
      <c r="Q80" s="481">
        <f t="shared" si="59"/>
        <v>0</v>
      </c>
      <c r="R80" s="481">
        <f t="shared" si="59"/>
        <v>0</v>
      </c>
      <c r="S80" s="481">
        <f t="shared" si="59"/>
        <v>0</v>
      </c>
      <c r="T80" s="481">
        <f t="shared" si="59"/>
        <v>0</v>
      </c>
      <c r="U80" s="481">
        <f t="shared" si="59"/>
        <v>0</v>
      </c>
      <c r="V80" s="481">
        <f t="shared" si="59"/>
        <v>0</v>
      </c>
      <c r="W80" s="481">
        <f t="shared" si="59"/>
        <v>0</v>
      </c>
      <c r="X80" s="481">
        <f t="shared" si="59"/>
        <v>0</v>
      </c>
      <c r="Y80" s="481">
        <f t="shared" si="59"/>
        <v>0</v>
      </c>
      <c r="Z80" s="481">
        <f t="shared" si="59"/>
        <v>0</v>
      </c>
      <c r="AA80" s="481">
        <f t="shared" si="59"/>
        <v>0</v>
      </c>
      <c r="AB80" s="481">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3">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3">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3">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1"/>
      <c r="AE83" s="551" t="str">
        <f t="shared" ref="AE83:AT83" si="61">AE40</f>
        <v>TOTAL</v>
      </c>
      <c r="AF83" s="551" t="str">
        <f t="shared" si="61"/>
        <v>Z01</v>
      </c>
      <c r="AG83" s="551" t="str">
        <f t="shared" si="61"/>
        <v>Z02</v>
      </c>
      <c r="AH83" s="551" t="str">
        <f t="shared" si="61"/>
        <v>Z03</v>
      </c>
      <c r="AI83" s="551" t="str">
        <f t="shared" si="61"/>
        <v>Z04</v>
      </c>
      <c r="AJ83" s="551" t="str">
        <f t="shared" si="61"/>
        <v>Z05</v>
      </c>
      <c r="AK83" s="551" t="str">
        <f t="shared" si="61"/>
        <v>Z06</v>
      </c>
      <c r="AL83" s="551" t="str">
        <f t="shared" si="61"/>
        <v>Z07</v>
      </c>
      <c r="AM83" s="551" t="str">
        <f t="shared" si="61"/>
        <v>Z08</v>
      </c>
      <c r="AN83" s="551" t="str">
        <f t="shared" si="61"/>
        <v>Z09</v>
      </c>
      <c r="AO83" s="551" t="str">
        <f t="shared" si="61"/>
        <v>Z10</v>
      </c>
      <c r="AP83" s="551" t="str">
        <f t="shared" si="61"/>
        <v>Z11</v>
      </c>
      <c r="AQ83" s="551" t="str">
        <f t="shared" si="61"/>
        <v>Z12</v>
      </c>
      <c r="AR83" s="551" t="str">
        <f t="shared" si="61"/>
        <v>Z13</v>
      </c>
      <c r="AS83" s="551" t="str">
        <f t="shared" si="61"/>
        <v>Z14</v>
      </c>
      <c r="AT83" s="551" t="str">
        <f t="shared" si="61"/>
        <v>Z15</v>
      </c>
      <c r="AU83" s="82"/>
      <c r="AV83" s="82"/>
      <c r="AW83" s="82"/>
      <c r="AX83" s="82"/>
      <c r="AY83" s="82"/>
      <c r="AZ83" s="82"/>
    </row>
    <row r="84" spans="1:52" s="82" customFormat="1" x14ac:dyDescent="0.3">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4" t="str">
        <f>IF(AE85-SUM(N10:AB11)&lt;0,"too small",IF(AE85-SUM(N10:AB11)&gt;0.05,"Too big","ok"))</f>
        <v>ok</v>
      </c>
      <c r="AF84" s="618" t="str">
        <f t="shared" ref="AF84:AT84" si="62">IF(AF85-SUM(N10:N11)&lt;0,"too small",IF(AF85-SUM(N10:N11)&gt;0.05,"Too big","ok"))</f>
        <v>ok</v>
      </c>
      <c r="AG84" s="618" t="str">
        <f t="shared" si="62"/>
        <v>ok</v>
      </c>
      <c r="AH84" s="618" t="str">
        <f t="shared" si="62"/>
        <v>ok</v>
      </c>
      <c r="AI84" s="618" t="str">
        <f t="shared" si="62"/>
        <v>ok</v>
      </c>
      <c r="AJ84" s="618" t="str">
        <f t="shared" si="62"/>
        <v>ok</v>
      </c>
      <c r="AK84" s="618" t="str">
        <f t="shared" si="62"/>
        <v>ok</v>
      </c>
      <c r="AL84" s="618" t="str">
        <f t="shared" si="62"/>
        <v>ok</v>
      </c>
      <c r="AM84" s="618" t="str">
        <f t="shared" si="62"/>
        <v>ok</v>
      </c>
      <c r="AN84" s="618" t="str">
        <f t="shared" si="62"/>
        <v>ok</v>
      </c>
      <c r="AO84" s="618" t="str">
        <f t="shared" si="62"/>
        <v>ok</v>
      </c>
      <c r="AP84" s="618" t="str">
        <f t="shared" si="62"/>
        <v>ok</v>
      </c>
      <c r="AQ84" s="618" t="str">
        <f t="shared" si="62"/>
        <v>ok</v>
      </c>
      <c r="AR84" s="618" t="str">
        <f t="shared" si="62"/>
        <v>ok</v>
      </c>
      <c r="AS84" s="618" t="str">
        <f t="shared" si="62"/>
        <v>ok</v>
      </c>
      <c r="AT84" s="618" t="str">
        <f t="shared" si="62"/>
        <v>ok</v>
      </c>
      <c r="AU84" s="22"/>
      <c r="AV84" s="22"/>
      <c r="AW84" s="22"/>
      <c r="AX84" s="22"/>
      <c r="AY84" s="22"/>
      <c r="AZ84" s="22"/>
    </row>
    <row r="85" spans="1:52" s="22" customFormat="1" x14ac:dyDescent="0.3">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1">
        <f>SUM(AF85:AT85)</f>
        <v>0</v>
      </c>
      <c r="AF85" s="585">
        <f>SUM(AF89:AF218)</f>
        <v>0</v>
      </c>
      <c r="AG85" s="585">
        <f t="shared" ref="AG85:AT85" si="64">SUM(AG89:AG218)</f>
        <v>0</v>
      </c>
      <c r="AH85" s="585">
        <f t="shared" si="64"/>
        <v>0</v>
      </c>
      <c r="AI85" s="585">
        <f t="shared" si="64"/>
        <v>0</v>
      </c>
      <c r="AJ85" s="585">
        <f t="shared" si="64"/>
        <v>0</v>
      </c>
      <c r="AK85" s="585">
        <f t="shared" si="64"/>
        <v>0</v>
      </c>
      <c r="AL85" s="585">
        <f t="shared" si="64"/>
        <v>0</v>
      </c>
      <c r="AM85" s="585">
        <f t="shared" si="64"/>
        <v>0</v>
      </c>
      <c r="AN85" s="585">
        <f t="shared" si="64"/>
        <v>0</v>
      </c>
      <c r="AO85" s="585">
        <f t="shared" si="64"/>
        <v>0</v>
      </c>
      <c r="AP85" s="585">
        <f t="shared" si="64"/>
        <v>0</v>
      </c>
      <c r="AQ85" s="585">
        <f t="shared" si="64"/>
        <v>0</v>
      </c>
      <c r="AR85" s="585">
        <f t="shared" si="64"/>
        <v>0</v>
      </c>
      <c r="AS85" s="585">
        <f t="shared" si="64"/>
        <v>0</v>
      </c>
      <c r="AT85" s="585">
        <f t="shared" si="64"/>
        <v>0</v>
      </c>
      <c r="AU85" s="83"/>
      <c r="AV85" s="83"/>
      <c r="AW85" s="83"/>
      <c r="AX85" s="83"/>
      <c r="AY85" s="83"/>
      <c r="AZ85" s="83"/>
    </row>
    <row r="86" spans="1:52" s="83" customFormat="1" x14ac:dyDescent="0.3">
      <c r="B86" s="178" t="str">
        <f>B85</f>
        <v>TFLEBDL900</v>
      </c>
      <c r="C86" s="178"/>
      <c r="D86" s="179"/>
      <c r="E86" s="178"/>
      <c r="F86" s="182"/>
      <c r="G86" s="173" t="s">
        <v>636</v>
      </c>
      <c r="H86" s="182"/>
      <c r="I86" s="183"/>
      <c r="J86" s="184"/>
      <c r="K86" s="184"/>
      <c r="L86" s="184" t="s">
        <v>1125</v>
      </c>
      <c r="M86" s="184" t="s">
        <v>677</v>
      </c>
      <c r="N86" s="675">
        <f>T_CEFF!H227</f>
        <v>0.53476000000000001</v>
      </c>
      <c r="O86" s="675">
        <f>T_CEFF!I227</f>
        <v>0.53476000000000001</v>
      </c>
      <c r="P86" s="675">
        <f>T_CEFF!J227</f>
        <v>0.53476000000000001</v>
      </c>
      <c r="Q86" s="675">
        <f>T_CEFF!K227</f>
        <v>0.53476000000000001</v>
      </c>
      <c r="R86" s="675">
        <f>T_CEFF!L227</f>
        <v>0.53476000000000001</v>
      </c>
      <c r="S86" s="675">
        <f>T_CEFF!M227</f>
        <v>0.53476000000000001</v>
      </c>
      <c r="T86" s="675">
        <f>T_CEFF!N227</f>
        <v>0.53476000000000001</v>
      </c>
      <c r="U86" s="675">
        <f>T_CEFF!O227</f>
        <v>0.53476000000000001</v>
      </c>
      <c r="V86" s="675">
        <f>T_CEFF!P227</f>
        <v>0.53476000000000001</v>
      </c>
      <c r="W86" s="675">
        <f>T_CEFF!Q227</f>
        <v>0.53476000000000001</v>
      </c>
      <c r="X86" s="675">
        <f>T_CEFF!R227</f>
        <v>0.53476000000000001</v>
      </c>
      <c r="Y86" s="675">
        <f>T_CEFF!S227</f>
        <v>0.53476000000000001</v>
      </c>
      <c r="Z86" s="675">
        <f>T_CEFF!T227</f>
        <v>0.53476000000000001</v>
      </c>
      <c r="AA86" s="675">
        <f>T_CEFF!U227</f>
        <v>0.53476000000000001</v>
      </c>
      <c r="AB86" s="675">
        <f>T_CEFF!V227</f>
        <v>0.53476000000000001</v>
      </c>
      <c r="AD86" s="66" t="str">
        <f>IF(COUNTIF($AH$4:$AQ$4,AD85)=1,"ok","MISSING")</f>
        <v>ok</v>
      </c>
      <c r="AE86" s="362"/>
      <c r="AF86" s="89"/>
    </row>
    <row r="87" spans="1:52" s="83" customFormat="1" x14ac:dyDescent="0.3">
      <c r="B87" s="178" t="str">
        <f t="shared" ref="B87:B96" si="65">B86</f>
        <v>TFLEBDL900</v>
      </c>
      <c r="C87" s="178"/>
      <c r="D87" s="179"/>
      <c r="E87" s="178"/>
      <c r="F87" s="182"/>
      <c r="G87" s="173" t="s">
        <v>639</v>
      </c>
      <c r="H87" s="182"/>
      <c r="I87" s="183"/>
      <c r="J87" s="184"/>
      <c r="K87" s="184"/>
      <c r="L87" s="184" t="s">
        <v>1125</v>
      </c>
      <c r="M87" s="184" t="s">
        <v>677</v>
      </c>
      <c r="N87" s="675">
        <f>T_CEFF!H228</f>
        <v>0.46948000000000001</v>
      </c>
      <c r="O87" s="675">
        <f>T_CEFF!I228</f>
        <v>0.46948000000000001</v>
      </c>
      <c r="P87" s="675">
        <f>T_CEFF!J228</f>
        <v>0.46948000000000001</v>
      </c>
      <c r="Q87" s="675">
        <f>T_CEFF!K228</f>
        <v>0.46948000000000001</v>
      </c>
      <c r="R87" s="675">
        <f>T_CEFF!L228</f>
        <v>0.46948000000000001</v>
      </c>
      <c r="S87" s="675">
        <f>T_CEFF!M228</f>
        <v>0.46948000000000001</v>
      </c>
      <c r="T87" s="675">
        <f>T_CEFF!N228</f>
        <v>0.46948000000000001</v>
      </c>
      <c r="U87" s="675">
        <f>T_CEFF!O228</f>
        <v>0.46948000000000001</v>
      </c>
      <c r="V87" s="675">
        <f>T_CEFF!P228</f>
        <v>0.46948000000000001</v>
      </c>
      <c r="W87" s="675">
        <f>T_CEFF!Q228</f>
        <v>0.46948000000000001</v>
      </c>
      <c r="X87" s="675">
        <f>T_CEFF!R228</f>
        <v>0.46948000000000001</v>
      </c>
      <c r="Y87" s="675">
        <f>T_CEFF!S228</f>
        <v>0.46948000000000001</v>
      </c>
      <c r="Z87" s="675">
        <f>T_CEFF!T228</f>
        <v>0.46948000000000001</v>
      </c>
      <c r="AA87" s="675">
        <f>T_CEFF!U228</f>
        <v>0.46948000000000001</v>
      </c>
      <c r="AB87" s="675">
        <f>T_CEFF!V228</f>
        <v>0.46948000000000001</v>
      </c>
    </row>
    <row r="88" spans="1:52" s="83" customFormat="1" x14ac:dyDescent="0.3">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3">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1">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3">
      <c r="B90" s="178" t="str">
        <f>B89</f>
        <v>TFLEBDL900</v>
      </c>
      <c r="C90" s="178"/>
      <c r="D90" s="179"/>
      <c r="E90" s="178"/>
      <c r="F90" s="182"/>
      <c r="G90" s="181"/>
      <c r="H90" s="182"/>
      <c r="I90" s="183">
        <f>$M$3</f>
        <v>2019</v>
      </c>
      <c r="J90" s="184"/>
      <c r="K90" s="184"/>
      <c r="L90" s="203" t="s">
        <v>1064</v>
      </c>
      <c r="M90" s="184" t="s">
        <v>747</v>
      </c>
      <c r="N90" s="693">
        <f>LOOKUP($C$85, 'T_Stock_TOTAL_&amp;_City'!$C$90:$C$100, 'T_Stock_TOTAL_&amp;_City'!D$90:D$100)*(1+N80)</f>
        <v>0</v>
      </c>
      <c r="O90" s="693">
        <f>LOOKUP($C$85, 'T_Stock_TOTAL_&amp;_City'!$C$90:$C$100, 'T_Stock_TOTAL_&amp;_City'!E$90:E$100)*(1+O80)</f>
        <v>0</v>
      </c>
      <c r="P90" s="693">
        <f>LOOKUP($C$85, 'T_Stock_TOTAL_&amp;_City'!$C$90:$C$100, 'T_Stock_TOTAL_&amp;_City'!F$90:F$100)*(1+P80)</f>
        <v>0</v>
      </c>
      <c r="Q90" s="693">
        <f>LOOKUP($C$85, 'T_Stock_TOTAL_&amp;_City'!$C$90:$C$100, 'T_Stock_TOTAL_&amp;_City'!G$90:G$100)*(1+Q80)</f>
        <v>0</v>
      </c>
      <c r="R90" s="693">
        <f>LOOKUP($C$85, 'T_Stock_TOTAL_&amp;_City'!$C$90:$C$100, 'T_Stock_TOTAL_&amp;_City'!H$90:H$100)*(1+R80)</f>
        <v>0</v>
      </c>
      <c r="S90" s="693">
        <f>LOOKUP($C$85, 'T_Stock_TOTAL_&amp;_City'!$C$90:$C$100, 'T_Stock_TOTAL_&amp;_City'!I$90:I$100)*(1+S80)</f>
        <v>0</v>
      </c>
      <c r="T90" s="693">
        <f>LOOKUP($C$85, 'T_Stock_TOTAL_&amp;_City'!$C$90:$C$100, 'T_Stock_TOTAL_&amp;_City'!J$90:J$100)*(1+T80)</f>
        <v>0</v>
      </c>
      <c r="U90" s="693">
        <f>LOOKUP($C$85, 'T_Stock_TOTAL_&amp;_City'!$C$90:$C$100, 'T_Stock_TOTAL_&amp;_City'!K$90:K$100)*(1+U80)</f>
        <v>0</v>
      </c>
      <c r="V90" s="693">
        <f>LOOKUP($C$85, 'T_Stock_TOTAL_&amp;_City'!$C$90:$C$100, 'T_Stock_TOTAL_&amp;_City'!L$90:L$100)*(1+V80)</f>
        <v>0</v>
      </c>
      <c r="W90" s="693">
        <f>LOOKUP($C$85, 'T_Stock_TOTAL_&amp;_City'!$C$90:$C$100, 'T_Stock_TOTAL_&amp;_City'!M$90:M$100)*(1+W80)</f>
        <v>0</v>
      </c>
      <c r="X90" s="693">
        <f>LOOKUP($C$85, 'T_Stock_TOTAL_&amp;_City'!$C$90:$C$100, 'T_Stock_TOTAL_&amp;_City'!N$90:N$100)*(1+X80)</f>
        <v>0</v>
      </c>
      <c r="Y90" s="693">
        <f>LOOKUP($C$85, 'T_Stock_TOTAL_&amp;_City'!$C$90:$C$100, 'T_Stock_TOTAL_&amp;_City'!O$90:O$100)*(1+Y80)</f>
        <v>0</v>
      </c>
      <c r="Z90" s="693">
        <f>LOOKUP($C$85, 'T_Stock_TOTAL_&amp;_City'!$C$90:$C$100, 'T_Stock_TOTAL_&amp;_City'!P$90:P$100)*(1+Z80)</f>
        <v>0</v>
      </c>
      <c r="AA90" s="693">
        <f>LOOKUP($C$85, 'T_Stock_TOTAL_&amp;_City'!$C$90:$C$100, 'T_Stock_TOTAL_&amp;_City'!Q$90:Q$100)*(1+AA80)</f>
        <v>0</v>
      </c>
      <c r="AB90" s="693">
        <f>LOOKUP($C$85, 'T_Stock_TOTAL_&amp;_City'!$C$90:$C$100, 'T_Stock_TOTAL_&amp;_City'!R$90:R$100)*(1+AB80)</f>
        <v>0</v>
      </c>
    </row>
    <row r="91" spans="1:52" s="83" customFormat="1" x14ac:dyDescent="0.3">
      <c r="B91" s="178" t="str">
        <f t="shared" si="65"/>
        <v>TFLEBDL900</v>
      </c>
      <c r="C91" s="178"/>
      <c r="D91" s="179"/>
      <c r="E91" s="178"/>
      <c r="F91" s="182"/>
      <c r="G91" s="181"/>
      <c r="H91" s="182"/>
      <c r="I91" s="183">
        <f>AF$5</f>
        <v>2016</v>
      </c>
      <c r="J91" s="184"/>
      <c r="K91" s="184"/>
      <c r="L91" s="203" t="s">
        <v>1064</v>
      </c>
      <c r="M91" s="184" t="s">
        <v>747</v>
      </c>
      <c r="N91" s="693">
        <f t="shared" ref="N91:AB91" si="68">N90*LOOKUP($AD85,$AH$4:$AQ$4,$AH$5:$AQ$5)</f>
        <v>0</v>
      </c>
      <c r="O91" s="693">
        <f t="shared" si="68"/>
        <v>0</v>
      </c>
      <c r="P91" s="693">
        <f t="shared" si="68"/>
        <v>0</v>
      </c>
      <c r="Q91" s="693">
        <f t="shared" si="68"/>
        <v>0</v>
      </c>
      <c r="R91" s="693">
        <f t="shared" si="68"/>
        <v>0</v>
      </c>
      <c r="S91" s="693">
        <f t="shared" si="68"/>
        <v>0</v>
      </c>
      <c r="T91" s="693">
        <f t="shared" si="68"/>
        <v>0</v>
      </c>
      <c r="U91" s="693">
        <f t="shared" si="68"/>
        <v>0</v>
      </c>
      <c r="V91" s="693">
        <f t="shared" si="68"/>
        <v>0</v>
      </c>
      <c r="W91" s="693">
        <f t="shared" si="68"/>
        <v>0</v>
      </c>
      <c r="X91" s="693">
        <f t="shared" si="68"/>
        <v>0</v>
      </c>
      <c r="Y91" s="693">
        <f t="shared" si="68"/>
        <v>0</v>
      </c>
      <c r="Z91" s="693">
        <f t="shared" si="68"/>
        <v>0</v>
      </c>
      <c r="AA91" s="693">
        <f t="shared" si="68"/>
        <v>0</v>
      </c>
      <c r="AB91" s="693">
        <f t="shared" si="68"/>
        <v>0</v>
      </c>
    </row>
    <row r="92" spans="1:52" s="83" customFormat="1" x14ac:dyDescent="0.3">
      <c r="B92" s="178" t="str">
        <f t="shared" si="65"/>
        <v>TFLEBDL900</v>
      </c>
      <c r="C92" s="178"/>
      <c r="D92" s="179"/>
      <c r="E92" s="178"/>
      <c r="F92" s="182"/>
      <c r="G92" s="181"/>
      <c r="H92" s="182"/>
      <c r="I92" s="183">
        <f>AF$6</f>
        <v>2020</v>
      </c>
      <c r="J92" s="184"/>
      <c r="K92" s="184"/>
      <c r="L92" s="203" t="s">
        <v>1064</v>
      </c>
      <c r="M92" s="184" t="s">
        <v>747</v>
      </c>
      <c r="N92" s="693">
        <f t="shared" ref="N92:AB92" si="69">N90*LOOKUP($AD85,$AH$4:$AQ$4,$AH$6:$AQ$6)</f>
        <v>0</v>
      </c>
      <c r="O92" s="693">
        <f t="shared" si="69"/>
        <v>0</v>
      </c>
      <c r="P92" s="693">
        <f t="shared" si="69"/>
        <v>0</v>
      </c>
      <c r="Q92" s="693">
        <f t="shared" si="69"/>
        <v>0</v>
      </c>
      <c r="R92" s="693">
        <f t="shared" si="69"/>
        <v>0</v>
      </c>
      <c r="S92" s="693">
        <f t="shared" si="69"/>
        <v>0</v>
      </c>
      <c r="T92" s="693">
        <f t="shared" si="69"/>
        <v>0</v>
      </c>
      <c r="U92" s="693">
        <f t="shared" si="69"/>
        <v>0</v>
      </c>
      <c r="V92" s="693">
        <f t="shared" si="69"/>
        <v>0</v>
      </c>
      <c r="W92" s="693">
        <f t="shared" si="69"/>
        <v>0</v>
      </c>
      <c r="X92" s="693">
        <f t="shared" si="69"/>
        <v>0</v>
      </c>
      <c r="Y92" s="693">
        <f t="shared" si="69"/>
        <v>0</v>
      </c>
      <c r="Z92" s="693">
        <f t="shared" si="69"/>
        <v>0</v>
      </c>
      <c r="AA92" s="693">
        <f t="shared" si="69"/>
        <v>0</v>
      </c>
      <c r="AB92" s="693">
        <f t="shared" si="69"/>
        <v>0</v>
      </c>
    </row>
    <row r="93" spans="1:52" s="83" customFormat="1" x14ac:dyDescent="0.3">
      <c r="B93" s="178" t="str">
        <f t="shared" si="65"/>
        <v>TFLEBDL900</v>
      </c>
      <c r="C93" s="178"/>
      <c r="D93" s="179"/>
      <c r="E93" s="178"/>
      <c r="F93" s="182"/>
      <c r="G93" s="181"/>
      <c r="H93" s="182"/>
      <c r="I93" s="183">
        <f>AF$7</f>
        <v>2025</v>
      </c>
      <c r="J93" s="184"/>
      <c r="K93" s="184"/>
      <c r="L93" s="203" t="s">
        <v>1064</v>
      </c>
      <c r="M93" s="184" t="s">
        <v>747</v>
      </c>
      <c r="N93" s="693">
        <f t="shared" ref="N93:AB93" si="70">N90*LOOKUP($AD85,$AH$4:$AQ$4,$AH$7:$AQ$7)</f>
        <v>0</v>
      </c>
      <c r="O93" s="693">
        <f t="shared" si="70"/>
        <v>0</v>
      </c>
      <c r="P93" s="693">
        <f t="shared" si="70"/>
        <v>0</v>
      </c>
      <c r="Q93" s="693">
        <f t="shared" si="70"/>
        <v>0</v>
      </c>
      <c r="R93" s="693">
        <f t="shared" si="70"/>
        <v>0</v>
      </c>
      <c r="S93" s="693">
        <f t="shared" si="70"/>
        <v>0</v>
      </c>
      <c r="T93" s="693">
        <f t="shared" si="70"/>
        <v>0</v>
      </c>
      <c r="U93" s="693">
        <f t="shared" si="70"/>
        <v>0</v>
      </c>
      <c r="V93" s="693">
        <f t="shared" si="70"/>
        <v>0</v>
      </c>
      <c r="W93" s="693">
        <f t="shared" si="70"/>
        <v>0</v>
      </c>
      <c r="X93" s="693">
        <f t="shared" si="70"/>
        <v>0</v>
      </c>
      <c r="Y93" s="693">
        <f t="shared" si="70"/>
        <v>0</v>
      </c>
      <c r="Z93" s="693">
        <f t="shared" si="70"/>
        <v>0</v>
      </c>
      <c r="AA93" s="693">
        <f t="shared" si="70"/>
        <v>0</v>
      </c>
      <c r="AB93" s="693">
        <f t="shared" si="70"/>
        <v>0</v>
      </c>
    </row>
    <row r="94" spans="1:52" s="83" customFormat="1" x14ac:dyDescent="0.3">
      <c r="B94" s="178" t="str">
        <f t="shared" si="65"/>
        <v>TFLEBDL900</v>
      </c>
      <c r="C94" s="178"/>
      <c r="D94" s="179"/>
      <c r="E94" s="178"/>
      <c r="F94" s="182"/>
      <c r="G94" s="181"/>
      <c r="H94" s="182"/>
      <c r="I94" s="183">
        <f>AF$8</f>
        <v>2030</v>
      </c>
      <c r="J94" s="184"/>
      <c r="K94" s="184"/>
      <c r="L94" s="203" t="s">
        <v>1064</v>
      </c>
      <c r="M94" s="184" t="s">
        <v>747</v>
      </c>
      <c r="N94" s="693">
        <f t="shared" ref="N94:AB94" si="71">N90*LOOKUP($AD85,$AH$4:$AQ$4,$AH$8:$AQ$8)</f>
        <v>0</v>
      </c>
      <c r="O94" s="693">
        <f t="shared" si="71"/>
        <v>0</v>
      </c>
      <c r="P94" s="693">
        <f t="shared" si="71"/>
        <v>0</v>
      </c>
      <c r="Q94" s="693">
        <f t="shared" si="71"/>
        <v>0</v>
      </c>
      <c r="R94" s="693">
        <f t="shared" si="71"/>
        <v>0</v>
      </c>
      <c r="S94" s="693">
        <f t="shared" si="71"/>
        <v>0</v>
      </c>
      <c r="T94" s="693">
        <f t="shared" si="71"/>
        <v>0</v>
      </c>
      <c r="U94" s="693">
        <f t="shared" si="71"/>
        <v>0</v>
      </c>
      <c r="V94" s="693">
        <f t="shared" si="71"/>
        <v>0</v>
      </c>
      <c r="W94" s="693">
        <f t="shared" si="71"/>
        <v>0</v>
      </c>
      <c r="X94" s="693">
        <f t="shared" si="71"/>
        <v>0</v>
      </c>
      <c r="Y94" s="693">
        <f t="shared" si="71"/>
        <v>0</v>
      </c>
      <c r="Z94" s="693">
        <f t="shared" si="71"/>
        <v>0</v>
      </c>
      <c r="AA94" s="693">
        <f t="shared" si="71"/>
        <v>0</v>
      </c>
      <c r="AB94" s="693">
        <f t="shared" si="71"/>
        <v>0</v>
      </c>
    </row>
    <row r="95" spans="1:52" s="83" customFormat="1" x14ac:dyDescent="0.3">
      <c r="B95" s="178" t="str">
        <f t="shared" si="65"/>
        <v>TFLEBDL900</v>
      </c>
      <c r="C95" s="178"/>
      <c r="D95" s="179"/>
      <c r="E95" s="178"/>
      <c r="F95" s="182"/>
      <c r="G95" s="181"/>
      <c r="H95" s="182"/>
      <c r="I95" s="183">
        <f>AF$9</f>
        <v>2040</v>
      </c>
      <c r="J95" s="184"/>
      <c r="K95" s="184"/>
      <c r="L95" s="203" t="s">
        <v>1064</v>
      </c>
      <c r="M95" s="184" t="s">
        <v>747</v>
      </c>
      <c r="N95" s="693">
        <f t="shared" ref="N95:AB95" si="72">N90*LOOKUP($AD85,$AH$4:$AQ$4,$AH$9:$AQ$9)</f>
        <v>0</v>
      </c>
      <c r="O95" s="693">
        <f t="shared" si="72"/>
        <v>0</v>
      </c>
      <c r="P95" s="693">
        <f t="shared" si="72"/>
        <v>0</v>
      </c>
      <c r="Q95" s="693">
        <f t="shared" si="72"/>
        <v>0</v>
      </c>
      <c r="R95" s="693">
        <f t="shared" si="72"/>
        <v>0</v>
      </c>
      <c r="S95" s="693">
        <f t="shared" si="72"/>
        <v>0</v>
      </c>
      <c r="T95" s="693">
        <f t="shared" si="72"/>
        <v>0</v>
      </c>
      <c r="U95" s="693">
        <f t="shared" si="72"/>
        <v>0</v>
      </c>
      <c r="V95" s="693">
        <f t="shared" si="72"/>
        <v>0</v>
      </c>
      <c r="W95" s="693">
        <f t="shared" si="72"/>
        <v>0</v>
      </c>
      <c r="X95" s="693">
        <f t="shared" si="72"/>
        <v>0</v>
      </c>
      <c r="Y95" s="693">
        <f t="shared" si="72"/>
        <v>0</v>
      </c>
      <c r="Z95" s="693">
        <f t="shared" si="72"/>
        <v>0</v>
      </c>
      <c r="AA95" s="693">
        <f t="shared" si="72"/>
        <v>0</v>
      </c>
      <c r="AB95" s="693">
        <f t="shared" si="72"/>
        <v>0</v>
      </c>
    </row>
    <row r="96" spans="1:52" s="83" customFormat="1" x14ac:dyDescent="0.3">
      <c r="B96" s="204" t="str">
        <f t="shared" si="65"/>
        <v>TFLEBDL900</v>
      </c>
      <c r="C96" s="204"/>
      <c r="D96" s="205"/>
      <c r="E96" s="204"/>
      <c r="F96" s="206"/>
      <c r="G96" s="207"/>
      <c r="H96" s="206"/>
      <c r="I96" s="208">
        <f>AF$10</f>
        <v>2050</v>
      </c>
      <c r="J96" s="209"/>
      <c r="K96" s="209"/>
      <c r="L96" s="210" t="s">
        <v>1064</v>
      </c>
      <c r="M96" s="209" t="s">
        <v>747</v>
      </c>
      <c r="N96" s="694">
        <f t="shared" ref="N96:AB96" si="73">N90*LOOKUP($AD85,$AH$4:$AQ$4,$AH$10:$AQ$10)</f>
        <v>0</v>
      </c>
      <c r="O96" s="694">
        <f t="shared" si="73"/>
        <v>0</v>
      </c>
      <c r="P96" s="694">
        <f t="shared" si="73"/>
        <v>0</v>
      </c>
      <c r="Q96" s="694">
        <f t="shared" si="73"/>
        <v>0</v>
      </c>
      <c r="R96" s="694">
        <f t="shared" si="73"/>
        <v>0</v>
      </c>
      <c r="S96" s="694">
        <f t="shared" si="73"/>
        <v>0</v>
      </c>
      <c r="T96" s="694">
        <f t="shared" si="73"/>
        <v>0</v>
      </c>
      <c r="U96" s="694">
        <f t="shared" si="73"/>
        <v>0</v>
      </c>
      <c r="V96" s="694">
        <f t="shared" si="73"/>
        <v>0</v>
      </c>
      <c r="W96" s="694">
        <f t="shared" si="73"/>
        <v>0</v>
      </c>
      <c r="X96" s="694">
        <f t="shared" si="73"/>
        <v>0</v>
      </c>
      <c r="Y96" s="694">
        <f t="shared" si="73"/>
        <v>0</v>
      </c>
      <c r="Z96" s="694">
        <f t="shared" si="73"/>
        <v>0</v>
      </c>
      <c r="AA96" s="694">
        <f t="shared" si="73"/>
        <v>0</v>
      </c>
      <c r="AB96" s="694">
        <f t="shared" si="73"/>
        <v>0</v>
      </c>
      <c r="AD96" s="409"/>
    </row>
    <row r="97" spans="1:46" s="83" customFormat="1" x14ac:dyDescent="0.3">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3">
      <c r="A98" s="82"/>
      <c r="B98" s="178" t="str">
        <f>B97</f>
        <v>TFLEDST900</v>
      </c>
      <c r="C98" s="178"/>
      <c r="D98" s="179"/>
      <c r="E98" s="407" t="s">
        <v>987</v>
      </c>
      <c r="F98" s="182"/>
      <c r="G98" s="181"/>
      <c r="H98" s="182"/>
      <c r="I98" s="183"/>
      <c r="J98" s="184" t="s">
        <v>1222</v>
      </c>
      <c r="K98" s="184"/>
      <c r="L98" s="203" t="s">
        <v>101</v>
      </c>
      <c r="M98" s="184"/>
      <c r="N98" s="390">
        <f>N$28</f>
        <v>0.17499999999999999</v>
      </c>
      <c r="O98" s="390">
        <f t="shared" ref="O98:AB98" si="75">O$28</f>
        <v>0.17499999999999999</v>
      </c>
      <c r="P98" s="390">
        <f t="shared" si="75"/>
        <v>0.17499999999999999</v>
      </c>
      <c r="Q98" s="390">
        <f t="shared" si="75"/>
        <v>0.17499999999999999</v>
      </c>
      <c r="R98" s="390">
        <f t="shared" si="75"/>
        <v>0.17499999999999999</v>
      </c>
      <c r="S98" s="390">
        <f t="shared" si="75"/>
        <v>0.17499999999999999</v>
      </c>
      <c r="T98" s="390">
        <f t="shared" si="75"/>
        <v>0.17499999999999999</v>
      </c>
      <c r="U98" s="390">
        <f t="shared" si="75"/>
        <v>0.17499999999999999</v>
      </c>
      <c r="V98" s="390">
        <f t="shared" si="75"/>
        <v>0.17499999999999999</v>
      </c>
      <c r="W98" s="390">
        <f t="shared" si="75"/>
        <v>0.17499999999999999</v>
      </c>
      <c r="X98" s="390">
        <f t="shared" si="75"/>
        <v>0.17499999999999999</v>
      </c>
      <c r="Y98" s="390">
        <f t="shared" si="75"/>
        <v>0.17499999999999999</v>
      </c>
      <c r="Z98" s="390">
        <f t="shared" si="75"/>
        <v>0.17499999999999999</v>
      </c>
      <c r="AA98" s="390">
        <f t="shared" si="75"/>
        <v>0.17499999999999999</v>
      </c>
      <c r="AB98" s="390">
        <f t="shared" si="75"/>
        <v>0.17499999999999999</v>
      </c>
      <c r="AD98" s="66" t="str">
        <f>IF(COUNTIF($AH$4:$AQ$4,AD97)=1,"ok","MISSING")</f>
        <v>ok</v>
      </c>
      <c r="AE98" s="362"/>
      <c r="AF98" s="89"/>
    </row>
    <row r="99" spans="1:46" s="83" customFormat="1" x14ac:dyDescent="0.3">
      <c r="B99" s="178" t="str">
        <f t="shared" ref="B99:B109" si="76">B98</f>
        <v>TFLEDST900</v>
      </c>
      <c r="C99" s="178"/>
      <c r="D99" s="179"/>
      <c r="E99" s="178"/>
      <c r="F99" s="182"/>
      <c r="G99" s="173" t="s">
        <v>636</v>
      </c>
      <c r="H99" s="182"/>
      <c r="I99" s="183"/>
      <c r="J99" s="184"/>
      <c r="K99" s="184"/>
      <c r="L99" s="184" t="s">
        <v>1125</v>
      </c>
      <c r="M99" s="184" t="s">
        <v>677</v>
      </c>
      <c r="N99" s="675">
        <f>T_CEFF!H229</f>
        <v>0.53476000000000001</v>
      </c>
      <c r="O99" s="675">
        <f>T_CEFF!I229</f>
        <v>0.53476000000000001</v>
      </c>
      <c r="P99" s="675">
        <f>T_CEFF!J229</f>
        <v>0.53476000000000001</v>
      </c>
      <c r="Q99" s="675">
        <f>T_CEFF!K229</f>
        <v>0.53476000000000001</v>
      </c>
      <c r="R99" s="675">
        <f>T_CEFF!L229</f>
        <v>0.53476000000000001</v>
      </c>
      <c r="S99" s="675">
        <f>T_CEFF!M229</f>
        <v>0.53476000000000001</v>
      </c>
      <c r="T99" s="675">
        <f>T_CEFF!N229</f>
        <v>0.53476000000000001</v>
      </c>
      <c r="U99" s="675">
        <f>T_CEFF!O229</f>
        <v>0.53476000000000001</v>
      </c>
      <c r="V99" s="675">
        <f>T_CEFF!P229</f>
        <v>0.53476000000000001</v>
      </c>
      <c r="W99" s="675">
        <f>T_CEFF!Q229</f>
        <v>0.53476000000000001</v>
      </c>
      <c r="X99" s="675">
        <f>T_CEFF!R229</f>
        <v>0.53476000000000001</v>
      </c>
      <c r="Y99" s="675">
        <f>T_CEFF!S229</f>
        <v>0.53476000000000001</v>
      </c>
      <c r="Z99" s="675">
        <f>T_CEFF!T229</f>
        <v>0.53476000000000001</v>
      </c>
      <c r="AA99" s="675">
        <f>T_CEFF!U229</f>
        <v>0.53476000000000001</v>
      </c>
      <c r="AB99" s="675">
        <f>T_CEFF!V229</f>
        <v>0.53476000000000001</v>
      </c>
    </row>
    <row r="100" spans="1:46" s="83" customFormat="1" x14ac:dyDescent="0.3">
      <c r="B100" s="178" t="str">
        <f t="shared" si="76"/>
        <v>TFLEDST900</v>
      </c>
      <c r="C100" s="178"/>
      <c r="D100" s="179"/>
      <c r="E100" s="178"/>
      <c r="F100" s="182"/>
      <c r="G100" s="173" t="s">
        <v>639</v>
      </c>
      <c r="H100" s="182"/>
      <c r="I100" s="183"/>
      <c r="J100" s="184"/>
      <c r="K100" s="184"/>
      <c r="L100" s="184" t="s">
        <v>1125</v>
      </c>
      <c r="M100" s="184" t="s">
        <v>677</v>
      </c>
      <c r="N100" s="675">
        <f>T_CEFF!H230</f>
        <v>0.46948000000000001</v>
      </c>
      <c r="O100" s="675">
        <f>T_CEFF!I230</f>
        <v>0.46948000000000001</v>
      </c>
      <c r="P100" s="675">
        <f>T_CEFF!J230</f>
        <v>0.46948000000000001</v>
      </c>
      <c r="Q100" s="675">
        <f>T_CEFF!K230</f>
        <v>0.46948000000000001</v>
      </c>
      <c r="R100" s="675">
        <f>T_CEFF!L230</f>
        <v>0.46948000000000001</v>
      </c>
      <c r="S100" s="675">
        <f>T_CEFF!M230</f>
        <v>0.46948000000000001</v>
      </c>
      <c r="T100" s="675">
        <f>T_CEFF!N230</f>
        <v>0.46948000000000001</v>
      </c>
      <c r="U100" s="675">
        <f>T_CEFF!O230</f>
        <v>0.46948000000000001</v>
      </c>
      <c r="V100" s="675">
        <f>T_CEFF!P230</f>
        <v>0.46948000000000001</v>
      </c>
      <c r="W100" s="675">
        <f>T_CEFF!Q230</f>
        <v>0.46948000000000001</v>
      </c>
      <c r="X100" s="675">
        <f>T_CEFF!R230</f>
        <v>0.46948000000000001</v>
      </c>
      <c r="Y100" s="675">
        <f>T_CEFF!S230</f>
        <v>0.46948000000000001</v>
      </c>
      <c r="Z100" s="675">
        <f>T_CEFF!T230</f>
        <v>0.46948000000000001</v>
      </c>
      <c r="AA100" s="675">
        <f>T_CEFF!U230</f>
        <v>0.46948000000000001</v>
      </c>
      <c r="AB100" s="675">
        <f>T_CEFF!V230</f>
        <v>0.46948000000000001</v>
      </c>
    </row>
    <row r="101" spans="1:46" s="83" customFormat="1" x14ac:dyDescent="0.3">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3">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1">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3">
      <c r="B103" s="178" t="str">
        <f>B102</f>
        <v>TFLEDST900</v>
      </c>
      <c r="C103" s="178"/>
      <c r="D103" s="179"/>
      <c r="E103" s="178"/>
      <c r="F103" s="182"/>
      <c r="G103" s="181"/>
      <c r="H103" s="182"/>
      <c r="I103" s="183">
        <f>$M$3</f>
        <v>2019</v>
      </c>
      <c r="J103" s="184"/>
      <c r="K103" s="184"/>
      <c r="L103" s="203" t="s">
        <v>1064</v>
      </c>
      <c r="M103" s="184" t="s">
        <v>747</v>
      </c>
      <c r="N103" s="693">
        <f>LOOKUP($C$97, 'T_Stock_TOTAL_&amp;_City'!$C$90:$C$100, 'T_Stock_TOTAL_&amp;_City'!D$90:D$100)*(1+N80)</f>
        <v>0</v>
      </c>
      <c r="O103" s="693">
        <f>LOOKUP($C$97, 'T_Stock_TOTAL_&amp;_City'!$C$90:$C$100, 'T_Stock_TOTAL_&amp;_City'!E$90:E$100)*(1+O80)</f>
        <v>0</v>
      </c>
      <c r="P103" s="693">
        <f>LOOKUP($C$97, 'T_Stock_TOTAL_&amp;_City'!$C$90:$C$100, 'T_Stock_TOTAL_&amp;_City'!F$90:F$100)*(1+P80)</f>
        <v>0</v>
      </c>
      <c r="Q103" s="693">
        <f>LOOKUP($C$97, 'T_Stock_TOTAL_&amp;_City'!$C$90:$C$100, 'T_Stock_TOTAL_&amp;_City'!G$90:G$100)*(1+Q80)</f>
        <v>0</v>
      </c>
      <c r="R103" s="693">
        <f>LOOKUP($C$97, 'T_Stock_TOTAL_&amp;_City'!$C$90:$C$100, 'T_Stock_TOTAL_&amp;_City'!H$90:H$100)*(1+R80)</f>
        <v>0</v>
      </c>
      <c r="S103" s="693">
        <f>LOOKUP($C$97, 'T_Stock_TOTAL_&amp;_City'!$C$90:$C$100, 'T_Stock_TOTAL_&amp;_City'!I$90:I$100)*(1+S80)</f>
        <v>0</v>
      </c>
      <c r="T103" s="693">
        <f>LOOKUP($C$97, 'T_Stock_TOTAL_&amp;_City'!$C$90:$C$100, 'T_Stock_TOTAL_&amp;_City'!J$90:J$100)*(1+T80)</f>
        <v>0</v>
      </c>
      <c r="U103" s="693">
        <f>LOOKUP($C$97, 'T_Stock_TOTAL_&amp;_City'!$C$90:$C$100, 'T_Stock_TOTAL_&amp;_City'!K$90:K$100)*(1+U80)</f>
        <v>0</v>
      </c>
      <c r="V103" s="693">
        <f>LOOKUP($C$97, 'T_Stock_TOTAL_&amp;_City'!$C$90:$C$100, 'T_Stock_TOTAL_&amp;_City'!L$90:L$100)*(1+V80)</f>
        <v>0</v>
      </c>
      <c r="W103" s="693">
        <f>LOOKUP($C$97, 'T_Stock_TOTAL_&amp;_City'!$C$90:$C$100, 'T_Stock_TOTAL_&amp;_City'!M$90:M$100)*(1+W80)</f>
        <v>0</v>
      </c>
      <c r="X103" s="693">
        <f>LOOKUP($C$97, 'T_Stock_TOTAL_&amp;_City'!$C$90:$C$100, 'T_Stock_TOTAL_&amp;_City'!N$90:N$100)*(1+X80)</f>
        <v>0</v>
      </c>
      <c r="Y103" s="693">
        <f>LOOKUP($C$97, 'T_Stock_TOTAL_&amp;_City'!$C$90:$C$100, 'T_Stock_TOTAL_&amp;_City'!O$90:O$100)*(1+Y80)</f>
        <v>0</v>
      </c>
      <c r="Z103" s="693">
        <f>LOOKUP($C$97, 'T_Stock_TOTAL_&amp;_City'!$C$90:$C$100, 'T_Stock_TOTAL_&amp;_City'!P$90:P$100)*(1+Z80)</f>
        <v>0</v>
      </c>
      <c r="AA103" s="693">
        <f>LOOKUP($C$97, 'T_Stock_TOTAL_&amp;_City'!$C$90:$C$100, 'T_Stock_TOTAL_&amp;_City'!Q$90:Q$100)*(1+AA80)</f>
        <v>0</v>
      </c>
      <c r="AB103" s="693">
        <f>LOOKUP($C$97, 'T_Stock_TOTAL_&amp;_City'!$C$90:$C$100, 'T_Stock_TOTAL_&amp;_City'!R$90:R$100)*(1+AB80)</f>
        <v>0</v>
      </c>
    </row>
    <row r="104" spans="1:46" s="83" customFormat="1" x14ac:dyDescent="0.3">
      <c r="B104" s="178" t="str">
        <f t="shared" si="76"/>
        <v>TFLEDST900</v>
      </c>
      <c r="C104" s="178"/>
      <c r="D104" s="179"/>
      <c r="E104" s="178"/>
      <c r="F104" s="182"/>
      <c r="G104" s="181"/>
      <c r="H104" s="182"/>
      <c r="I104" s="183">
        <f>AF$5</f>
        <v>2016</v>
      </c>
      <c r="J104" s="184"/>
      <c r="K104" s="184"/>
      <c r="L104" s="203" t="s">
        <v>1064</v>
      </c>
      <c r="M104" s="184" t="s">
        <v>747</v>
      </c>
      <c r="N104" s="693">
        <f t="shared" ref="N104:AB104" si="79">N103*LOOKUP($AD97,$AH$4:$AQ$4,$AH$5:$AQ$5)</f>
        <v>0</v>
      </c>
      <c r="O104" s="693">
        <f t="shared" si="79"/>
        <v>0</v>
      </c>
      <c r="P104" s="693">
        <f t="shared" si="79"/>
        <v>0</v>
      </c>
      <c r="Q104" s="693">
        <f t="shared" si="79"/>
        <v>0</v>
      </c>
      <c r="R104" s="693">
        <f t="shared" si="79"/>
        <v>0</v>
      </c>
      <c r="S104" s="693">
        <f t="shared" si="79"/>
        <v>0</v>
      </c>
      <c r="T104" s="693">
        <f t="shared" si="79"/>
        <v>0</v>
      </c>
      <c r="U104" s="693">
        <f t="shared" si="79"/>
        <v>0</v>
      </c>
      <c r="V104" s="693">
        <f t="shared" si="79"/>
        <v>0</v>
      </c>
      <c r="W104" s="693">
        <f t="shared" si="79"/>
        <v>0</v>
      </c>
      <c r="X104" s="693">
        <f t="shared" si="79"/>
        <v>0</v>
      </c>
      <c r="Y104" s="693">
        <f t="shared" si="79"/>
        <v>0</v>
      </c>
      <c r="Z104" s="693">
        <f t="shared" si="79"/>
        <v>0</v>
      </c>
      <c r="AA104" s="693">
        <f t="shared" si="79"/>
        <v>0</v>
      </c>
      <c r="AB104" s="693">
        <f t="shared" si="79"/>
        <v>0</v>
      </c>
    </row>
    <row r="105" spans="1:46" s="83" customFormat="1" x14ac:dyDescent="0.3">
      <c r="B105" s="178" t="str">
        <f t="shared" si="76"/>
        <v>TFLEDST900</v>
      </c>
      <c r="C105" s="178"/>
      <c r="D105" s="179"/>
      <c r="E105" s="178"/>
      <c r="F105" s="182"/>
      <c r="G105" s="181"/>
      <c r="H105" s="182"/>
      <c r="I105" s="183">
        <f>AF$6</f>
        <v>2020</v>
      </c>
      <c r="J105" s="184"/>
      <c r="K105" s="184"/>
      <c r="L105" s="203" t="s">
        <v>1064</v>
      </c>
      <c r="M105" s="184" t="s">
        <v>747</v>
      </c>
      <c r="N105" s="693">
        <f t="shared" ref="N105:AB105" si="80">N103*LOOKUP($AD97,$AH$4:$AQ$4,$AH$6:$AQ$6)</f>
        <v>0</v>
      </c>
      <c r="O105" s="693">
        <f t="shared" si="80"/>
        <v>0</v>
      </c>
      <c r="P105" s="693">
        <f t="shared" si="80"/>
        <v>0</v>
      </c>
      <c r="Q105" s="693">
        <f t="shared" si="80"/>
        <v>0</v>
      </c>
      <c r="R105" s="693">
        <f t="shared" si="80"/>
        <v>0</v>
      </c>
      <c r="S105" s="693">
        <f t="shared" si="80"/>
        <v>0</v>
      </c>
      <c r="T105" s="693">
        <f t="shared" si="80"/>
        <v>0</v>
      </c>
      <c r="U105" s="693">
        <f t="shared" si="80"/>
        <v>0</v>
      </c>
      <c r="V105" s="693">
        <f t="shared" si="80"/>
        <v>0</v>
      </c>
      <c r="W105" s="693">
        <f t="shared" si="80"/>
        <v>0</v>
      </c>
      <c r="X105" s="693">
        <f t="shared" si="80"/>
        <v>0</v>
      </c>
      <c r="Y105" s="693">
        <f t="shared" si="80"/>
        <v>0</v>
      </c>
      <c r="Z105" s="693">
        <f t="shared" si="80"/>
        <v>0</v>
      </c>
      <c r="AA105" s="693">
        <f t="shared" si="80"/>
        <v>0</v>
      </c>
      <c r="AB105" s="693">
        <f t="shared" si="80"/>
        <v>0</v>
      </c>
    </row>
    <row r="106" spans="1:46" s="83" customFormat="1" x14ac:dyDescent="0.3">
      <c r="B106" s="178" t="str">
        <f t="shared" si="76"/>
        <v>TFLEDST900</v>
      </c>
      <c r="C106" s="178"/>
      <c r="D106" s="179"/>
      <c r="E106" s="178"/>
      <c r="F106" s="182"/>
      <c r="G106" s="181"/>
      <c r="H106" s="182"/>
      <c r="I106" s="183">
        <f>AF$7</f>
        <v>2025</v>
      </c>
      <c r="J106" s="184"/>
      <c r="K106" s="184"/>
      <c r="L106" s="203" t="s">
        <v>1064</v>
      </c>
      <c r="M106" s="184" t="s">
        <v>747</v>
      </c>
      <c r="N106" s="693">
        <f t="shared" ref="N106:AB106" si="81">N103*LOOKUP($AD97,$AH$4:$AQ$4,$AH$7:$AQ$7)</f>
        <v>0</v>
      </c>
      <c r="O106" s="693">
        <f t="shared" si="81"/>
        <v>0</v>
      </c>
      <c r="P106" s="693">
        <f t="shared" si="81"/>
        <v>0</v>
      </c>
      <c r="Q106" s="693">
        <f t="shared" si="81"/>
        <v>0</v>
      </c>
      <c r="R106" s="693">
        <f t="shared" si="81"/>
        <v>0</v>
      </c>
      <c r="S106" s="693">
        <f t="shared" si="81"/>
        <v>0</v>
      </c>
      <c r="T106" s="693">
        <f t="shared" si="81"/>
        <v>0</v>
      </c>
      <c r="U106" s="693">
        <f t="shared" si="81"/>
        <v>0</v>
      </c>
      <c r="V106" s="693">
        <f t="shared" si="81"/>
        <v>0</v>
      </c>
      <c r="W106" s="693">
        <f t="shared" si="81"/>
        <v>0</v>
      </c>
      <c r="X106" s="693">
        <f t="shared" si="81"/>
        <v>0</v>
      </c>
      <c r="Y106" s="693">
        <f t="shared" si="81"/>
        <v>0</v>
      </c>
      <c r="Z106" s="693">
        <f t="shared" si="81"/>
        <v>0</v>
      </c>
      <c r="AA106" s="693">
        <f t="shared" si="81"/>
        <v>0</v>
      </c>
      <c r="AB106" s="693">
        <f t="shared" si="81"/>
        <v>0</v>
      </c>
    </row>
    <row r="107" spans="1:46" s="83" customFormat="1" x14ac:dyDescent="0.3">
      <c r="B107" s="178" t="str">
        <f t="shared" si="76"/>
        <v>TFLEDST900</v>
      </c>
      <c r="C107" s="178"/>
      <c r="D107" s="179"/>
      <c r="E107" s="178"/>
      <c r="F107" s="182"/>
      <c r="G107" s="181"/>
      <c r="H107" s="182"/>
      <c r="I107" s="183">
        <f>AF$8</f>
        <v>2030</v>
      </c>
      <c r="J107" s="184"/>
      <c r="K107" s="184"/>
      <c r="L107" s="203" t="s">
        <v>1064</v>
      </c>
      <c r="M107" s="184" t="s">
        <v>747</v>
      </c>
      <c r="N107" s="693">
        <f t="shared" ref="N107:AB107" si="82">N103*LOOKUP($AD97,$AH$4:$AQ$4,$AH$8:$AQ$8)</f>
        <v>0</v>
      </c>
      <c r="O107" s="693">
        <f t="shared" si="82"/>
        <v>0</v>
      </c>
      <c r="P107" s="693">
        <f t="shared" si="82"/>
        <v>0</v>
      </c>
      <c r="Q107" s="693">
        <f t="shared" si="82"/>
        <v>0</v>
      </c>
      <c r="R107" s="693">
        <f t="shared" si="82"/>
        <v>0</v>
      </c>
      <c r="S107" s="693">
        <f t="shared" si="82"/>
        <v>0</v>
      </c>
      <c r="T107" s="693">
        <f t="shared" si="82"/>
        <v>0</v>
      </c>
      <c r="U107" s="693">
        <f t="shared" si="82"/>
        <v>0</v>
      </c>
      <c r="V107" s="693">
        <f t="shared" si="82"/>
        <v>0</v>
      </c>
      <c r="W107" s="693">
        <f t="shared" si="82"/>
        <v>0</v>
      </c>
      <c r="X107" s="693">
        <f t="shared" si="82"/>
        <v>0</v>
      </c>
      <c r="Y107" s="693">
        <f t="shared" si="82"/>
        <v>0</v>
      </c>
      <c r="Z107" s="693">
        <f t="shared" si="82"/>
        <v>0</v>
      </c>
      <c r="AA107" s="693">
        <f t="shared" si="82"/>
        <v>0</v>
      </c>
      <c r="AB107" s="693">
        <f t="shared" si="82"/>
        <v>0</v>
      </c>
    </row>
    <row r="108" spans="1:46" s="83" customFormat="1" x14ac:dyDescent="0.3">
      <c r="B108" s="178" t="str">
        <f t="shared" si="76"/>
        <v>TFLEDST900</v>
      </c>
      <c r="C108" s="178"/>
      <c r="D108" s="179"/>
      <c r="E108" s="178"/>
      <c r="F108" s="182"/>
      <c r="G108" s="181"/>
      <c r="H108" s="182"/>
      <c r="I108" s="183">
        <f>AF$9</f>
        <v>2040</v>
      </c>
      <c r="J108" s="184"/>
      <c r="K108" s="184"/>
      <c r="L108" s="203" t="s">
        <v>1064</v>
      </c>
      <c r="M108" s="184" t="s">
        <v>747</v>
      </c>
      <c r="N108" s="693">
        <f t="shared" ref="N108:AB108" si="83">N103*LOOKUP($AD97,$AH$4:$AQ$4,$AH$9:$AQ$9)</f>
        <v>0</v>
      </c>
      <c r="O108" s="693">
        <f t="shared" si="83"/>
        <v>0</v>
      </c>
      <c r="P108" s="693">
        <f t="shared" si="83"/>
        <v>0</v>
      </c>
      <c r="Q108" s="693">
        <f t="shared" si="83"/>
        <v>0</v>
      </c>
      <c r="R108" s="693">
        <f t="shared" si="83"/>
        <v>0</v>
      </c>
      <c r="S108" s="693">
        <f t="shared" si="83"/>
        <v>0</v>
      </c>
      <c r="T108" s="693">
        <f t="shared" si="83"/>
        <v>0</v>
      </c>
      <c r="U108" s="693">
        <f t="shared" si="83"/>
        <v>0</v>
      </c>
      <c r="V108" s="693">
        <f t="shared" si="83"/>
        <v>0</v>
      </c>
      <c r="W108" s="693">
        <f t="shared" si="83"/>
        <v>0</v>
      </c>
      <c r="X108" s="693">
        <f t="shared" si="83"/>
        <v>0</v>
      </c>
      <c r="Y108" s="693">
        <f t="shared" si="83"/>
        <v>0</v>
      </c>
      <c r="Z108" s="693">
        <f t="shared" si="83"/>
        <v>0</v>
      </c>
      <c r="AA108" s="693">
        <f t="shared" si="83"/>
        <v>0</v>
      </c>
      <c r="AB108" s="693">
        <f t="shared" si="83"/>
        <v>0</v>
      </c>
    </row>
    <row r="109" spans="1:46" s="83" customFormat="1" x14ac:dyDescent="0.3">
      <c r="B109" s="204" t="str">
        <f t="shared" si="76"/>
        <v>TFLEDST900</v>
      </c>
      <c r="C109" s="204"/>
      <c r="D109" s="205"/>
      <c r="E109" s="204"/>
      <c r="F109" s="206"/>
      <c r="G109" s="207"/>
      <c r="H109" s="206"/>
      <c r="I109" s="208">
        <f>AF$10</f>
        <v>2050</v>
      </c>
      <c r="J109" s="209"/>
      <c r="K109" s="209"/>
      <c r="L109" s="210" t="s">
        <v>1064</v>
      </c>
      <c r="M109" s="209" t="s">
        <v>747</v>
      </c>
      <c r="N109" s="694">
        <f t="shared" ref="N109:AB109" si="84">N103*LOOKUP($AD97,$AH$4:$AQ$4,$AH$10:$AQ$10)</f>
        <v>0</v>
      </c>
      <c r="O109" s="694">
        <f t="shared" si="84"/>
        <v>0</v>
      </c>
      <c r="P109" s="694">
        <f t="shared" si="84"/>
        <v>0</v>
      </c>
      <c r="Q109" s="694">
        <f t="shared" si="84"/>
        <v>0</v>
      </c>
      <c r="R109" s="694">
        <f t="shared" si="84"/>
        <v>0</v>
      </c>
      <c r="S109" s="694">
        <f t="shared" si="84"/>
        <v>0</v>
      </c>
      <c r="T109" s="694">
        <f t="shared" si="84"/>
        <v>0</v>
      </c>
      <c r="U109" s="694">
        <f t="shared" si="84"/>
        <v>0</v>
      </c>
      <c r="V109" s="694">
        <f t="shared" si="84"/>
        <v>0</v>
      </c>
      <c r="W109" s="694">
        <f t="shared" si="84"/>
        <v>0</v>
      </c>
      <c r="X109" s="694">
        <f t="shared" si="84"/>
        <v>0</v>
      </c>
      <c r="Y109" s="694">
        <f t="shared" si="84"/>
        <v>0</v>
      </c>
      <c r="Z109" s="694">
        <f t="shared" si="84"/>
        <v>0</v>
      </c>
      <c r="AA109" s="694">
        <f t="shared" si="84"/>
        <v>0</v>
      </c>
      <c r="AB109" s="694">
        <f t="shared" si="84"/>
        <v>0</v>
      </c>
    </row>
    <row r="110" spans="1:46" s="83" customFormat="1" x14ac:dyDescent="0.3">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3">
      <c r="A111" s="82"/>
      <c r="B111" s="178" t="str">
        <f>B110</f>
        <v>TFLEELC900</v>
      </c>
      <c r="C111" s="178"/>
      <c r="D111" s="179"/>
      <c r="E111" s="178"/>
      <c r="F111" s="182"/>
      <c r="G111" s="173" t="s">
        <v>636</v>
      </c>
      <c r="H111" s="182"/>
      <c r="I111" s="183"/>
      <c r="J111" s="184"/>
      <c r="K111" s="184"/>
      <c r="L111" s="184" t="s">
        <v>1125</v>
      </c>
      <c r="M111" s="184" t="s">
        <v>677</v>
      </c>
      <c r="N111" s="675">
        <f>T_CEFF!H231</f>
        <v>1.2987</v>
      </c>
      <c r="O111" s="675">
        <f>T_CEFF!I231</f>
        <v>1.2987</v>
      </c>
      <c r="P111" s="675">
        <f>T_CEFF!J231</f>
        <v>1.2987</v>
      </c>
      <c r="Q111" s="675">
        <f>T_CEFF!K231</f>
        <v>1.2987</v>
      </c>
      <c r="R111" s="675">
        <f>T_CEFF!L231</f>
        <v>1.2987</v>
      </c>
      <c r="S111" s="675">
        <f>T_CEFF!M231</f>
        <v>1.2987</v>
      </c>
      <c r="T111" s="675">
        <f>T_CEFF!N231</f>
        <v>1.2987</v>
      </c>
      <c r="U111" s="675">
        <f>T_CEFF!O231</f>
        <v>1.2987</v>
      </c>
      <c r="V111" s="675">
        <f>T_CEFF!P231</f>
        <v>1.2987</v>
      </c>
      <c r="W111" s="675">
        <f>T_CEFF!Q231</f>
        <v>1.2987</v>
      </c>
      <c r="X111" s="675">
        <f>T_CEFF!R231</f>
        <v>1.2987</v>
      </c>
      <c r="Y111" s="675">
        <f>T_CEFF!S231</f>
        <v>1.2987</v>
      </c>
      <c r="Z111" s="675">
        <f>T_CEFF!T231</f>
        <v>1.2987</v>
      </c>
      <c r="AA111" s="675">
        <f>T_CEFF!U231</f>
        <v>1.2987</v>
      </c>
      <c r="AB111" s="675">
        <f>T_CEFF!V231</f>
        <v>1.2987</v>
      </c>
      <c r="AD111" s="66" t="str">
        <f>IF(COUNTIF($AH$4:$AQ$4,AD110)=1,"ok","MISSING")</f>
        <v>ok</v>
      </c>
    </row>
    <row r="112" spans="1:46" s="83" customFormat="1" x14ac:dyDescent="0.3">
      <c r="A112" s="82"/>
      <c r="B112" s="178" t="str">
        <f t="shared" ref="B112:B121" si="86">B111</f>
        <v>TFLEELC900</v>
      </c>
      <c r="C112" s="178"/>
      <c r="D112" s="179"/>
      <c r="E112" s="178"/>
      <c r="F112" s="182"/>
      <c r="G112" s="173" t="s">
        <v>639</v>
      </c>
      <c r="H112" s="182"/>
      <c r="I112" s="183"/>
      <c r="J112" s="184"/>
      <c r="K112" s="184"/>
      <c r="L112" s="184" t="s">
        <v>1125</v>
      </c>
      <c r="M112" s="184" t="s">
        <v>677</v>
      </c>
      <c r="N112" s="675">
        <f>T_CEFF!H232</f>
        <v>1.6129</v>
      </c>
      <c r="O112" s="675">
        <f>T_CEFF!I232</f>
        <v>1.6129</v>
      </c>
      <c r="P112" s="675">
        <f>T_CEFF!J232</f>
        <v>1.6129</v>
      </c>
      <c r="Q112" s="675">
        <f>T_CEFF!K232</f>
        <v>1.6129</v>
      </c>
      <c r="R112" s="675">
        <f>T_CEFF!L232</f>
        <v>1.6129</v>
      </c>
      <c r="S112" s="675">
        <f>T_CEFF!M232</f>
        <v>1.6129</v>
      </c>
      <c r="T112" s="675">
        <f>T_CEFF!N232</f>
        <v>1.6129</v>
      </c>
      <c r="U112" s="675">
        <f>T_CEFF!O232</f>
        <v>1.6129</v>
      </c>
      <c r="V112" s="675">
        <f>T_CEFF!P232</f>
        <v>1.6129</v>
      </c>
      <c r="W112" s="675">
        <f>T_CEFF!Q232</f>
        <v>1.6129</v>
      </c>
      <c r="X112" s="675">
        <f>T_CEFF!R232</f>
        <v>1.6129</v>
      </c>
      <c r="Y112" s="675">
        <f>T_CEFF!S232</f>
        <v>1.6129</v>
      </c>
      <c r="Z112" s="675">
        <f>T_CEFF!T232</f>
        <v>1.6129</v>
      </c>
      <c r="AA112" s="675">
        <f>T_CEFF!U232</f>
        <v>1.6129</v>
      </c>
      <c r="AB112" s="675">
        <f>T_CEFF!V232</f>
        <v>1.6129</v>
      </c>
    </row>
    <row r="113" spans="1:46" s="83" customFormat="1" x14ac:dyDescent="0.3">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3">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1">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3">
      <c r="A115" s="82"/>
      <c r="B115" s="178" t="str">
        <f>B114</f>
        <v>TFLEELC900</v>
      </c>
      <c r="C115" s="178"/>
      <c r="D115" s="179"/>
      <c r="E115" s="178"/>
      <c r="F115" s="182"/>
      <c r="G115" s="181"/>
      <c r="H115" s="182"/>
      <c r="I115" s="183">
        <f>$M$3</f>
        <v>2019</v>
      </c>
      <c r="J115" s="184"/>
      <c r="K115" s="184"/>
      <c r="L115" s="203" t="s">
        <v>1064</v>
      </c>
      <c r="M115" s="184" t="s">
        <v>747</v>
      </c>
      <c r="N115" s="693">
        <f>LOOKUP($C$110, 'T_Stock_TOTAL_&amp;_City'!$C$90:$C$100, 'T_Stock_TOTAL_&amp;_City'!D$90:D$100)*(1+N80)</f>
        <v>0</v>
      </c>
      <c r="O115" s="693">
        <f>LOOKUP($C$110, 'T_Stock_TOTAL_&amp;_City'!$C$90:$C$100, 'T_Stock_TOTAL_&amp;_City'!E$90:E$100)*(1+O80)</f>
        <v>0</v>
      </c>
      <c r="P115" s="693">
        <f>LOOKUP($C$110, 'T_Stock_TOTAL_&amp;_City'!$C$90:$C$100, 'T_Stock_TOTAL_&amp;_City'!F$90:F$100)*(1+P80)</f>
        <v>0</v>
      </c>
      <c r="Q115" s="693">
        <f>LOOKUP($C$110, 'T_Stock_TOTAL_&amp;_City'!$C$90:$C$100, 'T_Stock_TOTAL_&amp;_City'!G$90:G$100)*(1+Q80)</f>
        <v>0</v>
      </c>
      <c r="R115" s="693">
        <f>LOOKUP($C$110, 'T_Stock_TOTAL_&amp;_City'!$C$90:$C$100, 'T_Stock_TOTAL_&amp;_City'!H$90:H$100)*(1+R80)</f>
        <v>0</v>
      </c>
      <c r="S115" s="693">
        <f>LOOKUP($C$110, 'T_Stock_TOTAL_&amp;_City'!$C$90:$C$100, 'T_Stock_TOTAL_&amp;_City'!I$90:I$100)*(1+S80)</f>
        <v>0</v>
      </c>
      <c r="T115" s="693">
        <f>LOOKUP($C$110, 'T_Stock_TOTAL_&amp;_City'!$C$90:$C$100, 'T_Stock_TOTAL_&amp;_City'!J$90:J$100)*(1+T80)</f>
        <v>0</v>
      </c>
      <c r="U115" s="693">
        <f>LOOKUP($C$110, 'T_Stock_TOTAL_&amp;_City'!$C$90:$C$100, 'T_Stock_TOTAL_&amp;_City'!K$90:K$100)*(1+U80)</f>
        <v>0</v>
      </c>
      <c r="V115" s="693">
        <f>LOOKUP($C$110, 'T_Stock_TOTAL_&amp;_City'!$C$90:$C$100, 'T_Stock_TOTAL_&amp;_City'!L$90:L$100)*(1+V80)</f>
        <v>0</v>
      </c>
      <c r="W115" s="693">
        <f>LOOKUP($C$110, 'T_Stock_TOTAL_&amp;_City'!$C$90:$C$100, 'T_Stock_TOTAL_&amp;_City'!M$90:M$100)*(1+W80)</f>
        <v>0</v>
      </c>
      <c r="X115" s="693">
        <f>LOOKUP($C$110, 'T_Stock_TOTAL_&amp;_City'!$C$90:$C$100, 'T_Stock_TOTAL_&amp;_City'!N$90:N$100)*(1+X80)</f>
        <v>0</v>
      </c>
      <c r="Y115" s="693">
        <f>LOOKUP($C$110, 'T_Stock_TOTAL_&amp;_City'!$C$90:$C$100, 'T_Stock_TOTAL_&amp;_City'!O$90:O$100)*(1+Y80)</f>
        <v>0</v>
      </c>
      <c r="Z115" s="693">
        <f>LOOKUP($C$110, 'T_Stock_TOTAL_&amp;_City'!$C$90:$C$100, 'T_Stock_TOTAL_&amp;_City'!P$90:P$100)*(1+Z80)</f>
        <v>0</v>
      </c>
      <c r="AA115" s="693">
        <f>LOOKUP($C$110, 'T_Stock_TOTAL_&amp;_City'!$C$90:$C$100, 'T_Stock_TOTAL_&amp;_City'!Q$90:Q$100)*(1+AA80)</f>
        <v>0</v>
      </c>
      <c r="AB115" s="693">
        <f>LOOKUP($C$110, 'T_Stock_TOTAL_&amp;_City'!$C$90:$C$100, 'T_Stock_TOTAL_&amp;_City'!R$90:R$100)*(1+AB80)</f>
        <v>0</v>
      </c>
    </row>
    <row r="116" spans="1:46" s="83" customFormat="1" x14ac:dyDescent="0.3">
      <c r="A116" s="82"/>
      <c r="B116" s="178" t="str">
        <f t="shared" si="86"/>
        <v>TFLEELC900</v>
      </c>
      <c r="C116" s="178"/>
      <c r="D116" s="179"/>
      <c r="E116" s="178"/>
      <c r="F116" s="182"/>
      <c r="G116" s="181"/>
      <c r="H116" s="182"/>
      <c r="I116" s="183">
        <f>AF$5</f>
        <v>2016</v>
      </c>
      <c r="J116" s="184"/>
      <c r="K116" s="184"/>
      <c r="L116" s="203" t="s">
        <v>1064</v>
      </c>
      <c r="M116" s="184" t="s">
        <v>747</v>
      </c>
      <c r="N116" s="693">
        <f t="shared" ref="N116:AB116" si="89">N115*LOOKUP($AD110,$AH$4:$AQ$4,$AH$5:$AQ$5)</f>
        <v>0</v>
      </c>
      <c r="O116" s="693">
        <f t="shared" si="89"/>
        <v>0</v>
      </c>
      <c r="P116" s="693">
        <f t="shared" si="89"/>
        <v>0</v>
      </c>
      <c r="Q116" s="693">
        <f t="shared" si="89"/>
        <v>0</v>
      </c>
      <c r="R116" s="693">
        <f t="shared" si="89"/>
        <v>0</v>
      </c>
      <c r="S116" s="693">
        <f t="shared" si="89"/>
        <v>0</v>
      </c>
      <c r="T116" s="693">
        <f t="shared" si="89"/>
        <v>0</v>
      </c>
      <c r="U116" s="693">
        <f t="shared" si="89"/>
        <v>0</v>
      </c>
      <c r="V116" s="693">
        <f t="shared" si="89"/>
        <v>0</v>
      </c>
      <c r="W116" s="693">
        <f t="shared" si="89"/>
        <v>0</v>
      </c>
      <c r="X116" s="693">
        <f t="shared" si="89"/>
        <v>0</v>
      </c>
      <c r="Y116" s="693">
        <f t="shared" si="89"/>
        <v>0</v>
      </c>
      <c r="Z116" s="693">
        <f t="shared" si="89"/>
        <v>0</v>
      </c>
      <c r="AA116" s="693">
        <f t="shared" si="89"/>
        <v>0</v>
      </c>
      <c r="AB116" s="693">
        <f t="shared" si="89"/>
        <v>0</v>
      </c>
    </row>
    <row r="117" spans="1:46" s="83" customFormat="1" x14ac:dyDescent="0.3">
      <c r="A117" s="82"/>
      <c r="B117" s="178" t="str">
        <f t="shared" si="86"/>
        <v>TFLEELC900</v>
      </c>
      <c r="C117" s="178"/>
      <c r="D117" s="179"/>
      <c r="E117" s="178"/>
      <c r="F117" s="182"/>
      <c r="G117" s="181"/>
      <c r="H117" s="182"/>
      <c r="I117" s="183">
        <f>AF$6</f>
        <v>2020</v>
      </c>
      <c r="J117" s="184"/>
      <c r="K117" s="184"/>
      <c r="L117" s="203" t="s">
        <v>1064</v>
      </c>
      <c r="M117" s="184" t="s">
        <v>747</v>
      </c>
      <c r="N117" s="693">
        <f t="shared" ref="N117:AB117" si="90">N115*LOOKUP($AD110,$AH$4:$AQ$4,$AH$6:$AQ$6)</f>
        <v>0</v>
      </c>
      <c r="O117" s="693">
        <f t="shared" si="90"/>
        <v>0</v>
      </c>
      <c r="P117" s="693">
        <f t="shared" si="90"/>
        <v>0</v>
      </c>
      <c r="Q117" s="693">
        <f t="shared" si="90"/>
        <v>0</v>
      </c>
      <c r="R117" s="693">
        <f t="shared" si="90"/>
        <v>0</v>
      </c>
      <c r="S117" s="693">
        <f t="shared" si="90"/>
        <v>0</v>
      </c>
      <c r="T117" s="693">
        <f t="shared" si="90"/>
        <v>0</v>
      </c>
      <c r="U117" s="693">
        <f t="shared" si="90"/>
        <v>0</v>
      </c>
      <c r="V117" s="693">
        <f t="shared" si="90"/>
        <v>0</v>
      </c>
      <c r="W117" s="693">
        <f t="shared" si="90"/>
        <v>0</v>
      </c>
      <c r="X117" s="693">
        <f t="shared" si="90"/>
        <v>0</v>
      </c>
      <c r="Y117" s="693">
        <f t="shared" si="90"/>
        <v>0</v>
      </c>
      <c r="Z117" s="693">
        <f t="shared" si="90"/>
        <v>0</v>
      </c>
      <c r="AA117" s="693">
        <f t="shared" si="90"/>
        <v>0</v>
      </c>
      <c r="AB117" s="693">
        <f t="shared" si="90"/>
        <v>0</v>
      </c>
    </row>
    <row r="118" spans="1:46" s="83" customFormat="1" x14ac:dyDescent="0.3">
      <c r="A118" s="82"/>
      <c r="B118" s="178" t="str">
        <f t="shared" si="86"/>
        <v>TFLEELC900</v>
      </c>
      <c r="C118" s="178"/>
      <c r="D118" s="179"/>
      <c r="E118" s="178"/>
      <c r="F118" s="182"/>
      <c r="G118" s="181"/>
      <c r="H118" s="182"/>
      <c r="I118" s="183">
        <f>AF$7</f>
        <v>2025</v>
      </c>
      <c r="J118" s="184"/>
      <c r="K118" s="184"/>
      <c r="L118" s="203" t="s">
        <v>1064</v>
      </c>
      <c r="M118" s="184" t="s">
        <v>747</v>
      </c>
      <c r="N118" s="693">
        <f t="shared" ref="N118:AB118" si="91">N115*LOOKUP($AD110,$AH$4:$AQ$4,$AH$7:$AQ$7)</f>
        <v>0</v>
      </c>
      <c r="O118" s="693">
        <f t="shared" si="91"/>
        <v>0</v>
      </c>
      <c r="P118" s="693">
        <f t="shared" si="91"/>
        <v>0</v>
      </c>
      <c r="Q118" s="693">
        <f t="shared" si="91"/>
        <v>0</v>
      </c>
      <c r="R118" s="693">
        <f t="shared" si="91"/>
        <v>0</v>
      </c>
      <c r="S118" s="693">
        <f t="shared" si="91"/>
        <v>0</v>
      </c>
      <c r="T118" s="693">
        <f t="shared" si="91"/>
        <v>0</v>
      </c>
      <c r="U118" s="693">
        <f t="shared" si="91"/>
        <v>0</v>
      </c>
      <c r="V118" s="693">
        <f t="shared" si="91"/>
        <v>0</v>
      </c>
      <c r="W118" s="693">
        <f t="shared" si="91"/>
        <v>0</v>
      </c>
      <c r="X118" s="693">
        <f t="shared" si="91"/>
        <v>0</v>
      </c>
      <c r="Y118" s="693">
        <f t="shared" si="91"/>
        <v>0</v>
      </c>
      <c r="Z118" s="693">
        <f t="shared" si="91"/>
        <v>0</v>
      </c>
      <c r="AA118" s="693">
        <f t="shared" si="91"/>
        <v>0</v>
      </c>
      <c r="AB118" s="693">
        <f t="shared" si="91"/>
        <v>0</v>
      </c>
    </row>
    <row r="119" spans="1:46" s="83" customFormat="1" x14ac:dyDescent="0.3">
      <c r="A119" s="82"/>
      <c r="B119" s="178" t="str">
        <f t="shared" si="86"/>
        <v>TFLEELC900</v>
      </c>
      <c r="C119" s="178"/>
      <c r="D119" s="179"/>
      <c r="E119" s="178"/>
      <c r="F119" s="182"/>
      <c r="G119" s="181"/>
      <c r="H119" s="182"/>
      <c r="I119" s="183">
        <f>AF$8</f>
        <v>2030</v>
      </c>
      <c r="J119" s="184"/>
      <c r="K119" s="184"/>
      <c r="L119" s="203" t="s">
        <v>1064</v>
      </c>
      <c r="M119" s="184" t="s">
        <v>747</v>
      </c>
      <c r="N119" s="693">
        <f t="shared" ref="N119:AB119" si="92">N115*LOOKUP($AD110,$AH$4:$AQ$4,$AH$8:$AQ$8)</f>
        <v>0</v>
      </c>
      <c r="O119" s="693">
        <f t="shared" si="92"/>
        <v>0</v>
      </c>
      <c r="P119" s="693">
        <f t="shared" si="92"/>
        <v>0</v>
      </c>
      <c r="Q119" s="693">
        <f t="shared" si="92"/>
        <v>0</v>
      </c>
      <c r="R119" s="693">
        <f t="shared" si="92"/>
        <v>0</v>
      </c>
      <c r="S119" s="693">
        <f t="shared" si="92"/>
        <v>0</v>
      </c>
      <c r="T119" s="693">
        <f t="shared" si="92"/>
        <v>0</v>
      </c>
      <c r="U119" s="693">
        <f t="shared" si="92"/>
        <v>0</v>
      </c>
      <c r="V119" s="693">
        <f t="shared" si="92"/>
        <v>0</v>
      </c>
      <c r="W119" s="693">
        <f t="shared" si="92"/>
        <v>0</v>
      </c>
      <c r="X119" s="693">
        <f t="shared" si="92"/>
        <v>0</v>
      </c>
      <c r="Y119" s="693">
        <f t="shared" si="92"/>
        <v>0</v>
      </c>
      <c r="Z119" s="693">
        <f t="shared" si="92"/>
        <v>0</v>
      </c>
      <c r="AA119" s="693">
        <f t="shared" si="92"/>
        <v>0</v>
      </c>
      <c r="AB119" s="693">
        <f t="shared" si="92"/>
        <v>0</v>
      </c>
    </row>
    <row r="120" spans="1:46" s="83" customFormat="1" x14ac:dyDescent="0.3">
      <c r="A120" s="82"/>
      <c r="B120" s="178" t="str">
        <f t="shared" si="86"/>
        <v>TFLEELC900</v>
      </c>
      <c r="C120" s="178"/>
      <c r="D120" s="179"/>
      <c r="E120" s="178"/>
      <c r="F120" s="182"/>
      <c r="G120" s="181"/>
      <c r="H120" s="182"/>
      <c r="I120" s="183">
        <f>AF$9</f>
        <v>2040</v>
      </c>
      <c r="J120" s="184"/>
      <c r="K120" s="184"/>
      <c r="L120" s="203" t="s">
        <v>1064</v>
      </c>
      <c r="M120" s="184" t="s">
        <v>747</v>
      </c>
      <c r="N120" s="693">
        <f t="shared" ref="N120:AB120" si="93">N115*LOOKUP($AD110,$AH$4:$AQ$4,$AH$9:$AQ$9)</f>
        <v>0</v>
      </c>
      <c r="O120" s="693">
        <f t="shared" si="93"/>
        <v>0</v>
      </c>
      <c r="P120" s="693">
        <f t="shared" si="93"/>
        <v>0</v>
      </c>
      <c r="Q120" s="693">
        <f t="shared" si="93"/>
        <v>0</v>
      </c>
      <c r="R120" s="693">
        <f t="shared" si="93"/>
        <v>0</v>
      </c>
      <c r="S120" s="693">
        <f t="shared" si="93"/>
        <v>0</v>
      </c>
      <c r="T120" s="693">
        <f t="shared" si="93"/>
        <v>0</v>
      </c>
      <c r="U120" s="693">
        <f t="shared" si="93"/>
        <v>0</v>
      </c>
      <c r="V120" s="693">
        <f t="shared" si="93"/>
        <v>0</v>
      </c>
      <c r="W120" s="693">
        <f t="shared" si="93"/>
        <v>0</v>
      </c>
      <c r="X120" s="693">
        <f t="shared" si="93"/>
        <v>0</v>
      </c>
      <c r="Y120" s="693">
        <f t="shared" si="93"/>
        <v>0</v>
      </c>
      <c r="Z120" s="693">
        <f t="shared" si="93"/>
        <v>0</v>
      </c>
      <c r="AA120" s="693">
        <f t="shared" si="93"/>
        <v>0</v>
      </c>
      <c r="AB120" s="693">
        <f t="shared" si="93"/>
        <v>0</v>
      </c>
    </row>
    <row r="121" spans="1:46" s="83" customFormat="1" x14ac:dyDescent="0.3">
      <c r="A121" s="82"/>
      <c r="B121" s="204" t="str">
        <f t="shared" si="86"/>
        <v>TFLEELC900</v>
      </c>
      <c r="C121" s="204"/>
      <c r="D121" s="205"/>
      <c r="E121" s="204"/>
      <c r="F121" s="206"/>
      <c r="G121" s="207"/>
      <c r="H121" s="206"/>
      <c r="I121" s="208">
        <f>AF$10</f>
        <v>2050</v>
      </c>
      <c r="J121" s="209"/>
      <c r="K121" s="209"/>
      <c r="L121" s="210" t="s">
        <v>1064</v>
      </c>
      <c r="M121" s="209" t="s">
        <v>747</v>
      </c>
      <c r="N121" s="694">
        <f t="shared" ref="N121:AB121" si="94">N115*LOOKUP($AD110,$AH$4:$AQ$4,$AH$10:$AQ$10)</f>
        <v>0</v>
      </c>
      <c r="O121" s="694">
        <f t="shared" si="94"/>
        <v>0</v>
      </c>
      <c r="P121" s="694">
        <f t="shared" si="94"/>
        <v>0</v>
      </c>
      <c r="Q121" s="694">
        <f t="shared" si="94"/>
        <v>0</v>
      </c>
      <c r="R121" s="694">
        <f t="shared" si="94"/>
        <v>0</v>
      </c>
      <c r="S121" s="694">
        <f t="shared" si="94"/>
        <v>0</v>
      </c>
      <c r="T121" s="694">
        <f t="shared" si="94"/>
        <v>0</v>
      </c>
      <c r="U121" s="694">
        <f t="shared" si="94"/>
        <v>0</v>
      </c>
      <c r="V121" s="694">
        <f t="shared" si="94"/>
        <v>0</v>
      </c>
      <c r="W121" s="694">
        <f t="shared" si="94"/>
        <v>0</v>
      </c>
      <c r="X121" s="694">
        <f t="shared" si="94"/>
        <v>0</v>
      </c>
      <c r="Y121" s="694">
        <f t="shared" si="94"/>
        <v>0</v>
      </c>
      <c r="Z121" s="694">
        <f t="shared" si="94"/>
        <v>0</v>
      </c>
      <c r="AA121" s="694">
        <f t="shared" si="94"/>
        <v>0</v>
      </c>
      <c r="AB121" s="694">
        <f t="shared" si="94"/>
        <v>0</v>
      </c>
    </row>
    <row r="122" spans="1:46" s="83" customFormat="1" x14ac:dyDescent="0.3">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3">
      <c r="A123" s="82"/>
      <c r="B123" s="178" t="str">
        <f>B122</f>
        <v>TFLEETH900</v>
      </c>
      <c r="C123" s="178"/>
      <c r="D123" s="178"/>
      <c r="E123" s="180" t="s">
        <v>1013</v>
      </c>
      <c r="F123" s="182"/>
      <c r="G123" s="181"/>
      <c r="H123" s="182"/>
      <c r="I123" s="183"/>
      <c r="J123" s="184" t="s">
        <v>1222</v>
      </c>
      <c r="K123" s="184"/>
      <c r="L123" s="203" t="s">
        <v>101</v>
      </c>
      <c r="M123" s="184"/>
      <c r="N123" s="390">
        <f>N$28</f>
        <v>0.17499999999999999</v>
      </c>
      <c r="O123" s="390">
        <f t="shared" ref="O123:AB123" si="96">O$28</f>
        <v>0.17499999999999999</v>
      </c>
      <c r="P123" s="390">
        <f t="shared" si="96"/>
        <v>0.17499999999999999</v>
      </c>
      <c r="Q123" s="390">
        <f t="shared" si="96"/>
        <v>0.17499999999999999</v>
      </c>
      <c r="R123" s="390">
        <f t="shared" si="96"/>
        <v>0.17499999999999999</v>
      </c>
      <c r="S123" s="390">
        <f t="shared" si="96"/>
        <v>0.17499999999999999</v>
      </c>
      <c r="T123" s="390">
        <f t="shared" si="96"/>
        <v>0.17499999999999999</v>
      </c>
      <c r="U123" s="390">
        <f t="shared" si="96"/>
        <v>0.17499999999999999</v>
      </c>
      <c r="V123" s="390">
        <f t="shared" si="96"/>
        <v>0.17499999999999999</v>
      </c>
      <c r="W123" s="390">
        <f t="shared" si="96"/>
        <v>0.17499999999999999</v>
      </c>
      <c r="X123" s="390">
        <f t="shared" si="96"/>
        <v>0.17499999999999999</v>
      </c>
      <c r="Y123" s="390">
        <f t="shared" si="96"/>
        <v>0.17499999999999999</v>
      </c>
      <c r="Z123" s="390">
        <f t="shared" si="96"/>
        <v>0.17499999999999999</v>
      </c>
      <c r="AA123" s="390">
        <f t="shared" si="96"/>
        <v>0.17499999999999999</v>
      </c>
      <c r="AB123" s="390">
        <f t="shared" si="96"/>
        <v>0.17499999999999999</v>
      </c>
      <c r="AD123" s="66" t="str">
        <f>IF(COUNTIF($AH$4:$AQ$4,AD122)=1,"ok","MISSING")</f>
        <v>ok</v>
      </c>
    </row>
    <row r="124" spans="1:46" s="83" customFormat="1" x14ac:dyDescent="0.3">
      <c r="A124" s="82"/>
      <c r="B124" s="178" t="str">
        <f t="shared" ref="B124:B134" si="97">B123</f>
        <v>TFLEETH900</v>
      </c>
      <c r="C124" s="178"/>
      <c r="D124" s="179"/>
      <c r="E124" s="178"/>
      <c r="F124" s="182"/>
      <c r="G124" s="173" t="s">
        <v>636</v>
      </c>
      <c r="H124" s="182"/>
      <c r="I124" s="183"/>
      <c r="J124" s="184"/>
      <c r="K124" s="184"/>
      <c r="L124" s="184" t="s">
        <v>1125</v>
      </c>
      <c r="M124" s="184" t="s">
        <v>677</v>
      </c>
      <c r="N124" s="675">
        <f>T_CEFF!H233</f>
        <v>0.48309000000000002</v>
      </c>
      <c r="O124" s="675">
        <f>T_CEFF!I233</f>
        <v>0.48309000000000002</v>
      </c>
      <c r="P124" s="675">
        <f>T_CEFF!J233</f>
        <v>0.48309000000000002</v>
      </c>
      <c r="Q124" s="675">
        <f>T_CEFF!K233</f>
        <v>0.48309000000000002</v>
      </c>
      <c r="R124" s="675">
        <f>T_CEFF!L233</f>
        <v>0.48309000000000002</v>
      </c>
      <c r="S124" s="675">
        <f>T_CEFF!M233</f>
        <v>0.48309000000000002</v>
      </c>
      <c r="T124" s="675">
        <f>T_CEFF!N233</f>
        <v>0.48309000000000002</v>
      </c>
      <c r="U124" s="675">
        <f>T_CEFF!O233</f>
        <v>0.48309000000000002</v>
      </c>
      <c r="V124" s="675">
        <f>T_CEFF!P233</f>
        <v>0.48309000000000002</v>
      </c>
      <c r="W124" s="675">
        <f>T_CEFF!Q233</f>
        <v>0.48309000000000002</v>
      </c>
      <c r="X124" s="675">
        <f>T_CEFF!R233</f>
        <v>0.48309000000000002</v>
      </c>
      <c r="Y124" s="675">
        <f>T_CEFF!S233</f>
        <v>0.48309000000000002</v>
      </c>
      <c r="Z124" s="675">
        <f>T_CEFF!T233</f>
        <v>0.48309000000000002</v>
      </c>
      <c r="AA124" s="675">
        <f>T_CEFF!U233</f>
        <v>0.48309000000000002</v>
      </c>
      <c r="AB124" s="675">
        <f>T_CEFF!V233</f>
        <v>0.48309000000000002</v>
      </c>
    </row>
    <row r="125" spans="1:46" s="83" customFormat="1" x14ac:dyDescent="0.3">
      <c r="A125" s="82"/>
      <c r="B125" s="178" t="str">
        <f t="shared" si="97"/>
        <v>TFLEETH900</v>
      </c>
      <c r="C125" s="178"/>
      <c r="D125" s="179"/>
      <c r="E125" s="178"/>
      <c r="F125" s="182"/>
      <c r="G125" s="173" t="s">
        <v>639</v>
      </c>
      <c r="H125" s="182"/>
      <c r="I125" s="183"/>
      <c r="J125" s="184"/>
      <c r="K125" s="184"/>
      <c r="L125" s="184" t="s">
        <v>1125</v>
      </c>
      <c r="M125" s="184" t="s">
        <v>677</v>
      </c>
      <c r="N125" s="675">
        <f>T_CEFF!H234</f>
        <v>0.39840999999999999</v>
      </c>
      <c r="O125" s="675">
        <f>T_CEFF!I234</f>
        <v>0.39840999999999999</v>
      </c>
      <c r="P125" s="675">
        <f>T_CEFF!J234</f>
        <v>0.39840999999999999</v>
      </c>
      <c r="Q125" s="675">
        <f>T_CEFF!K234</f>
        <v>0.39840999999999999</v>
      </c>
      <c r="R125" s="675">
        <f>T_CEFF!L234</f>
        <v>0.39840999999999999</v>
      </c>
      <c r="S125" s="675">
        <f>T_CEFF!M234</f>
        <v>0.39840999999999999</v>
      </c>
      <c r="T125" s="675">
        <f>T_CEFF!N234</f>
        <v>0.39840999999999999</v>
      </c>
      <c r="U125" s="675">
        <f>T_CEFF!O234</f>
        <v>0.39840999999999999</v>
      </c>
      <c r="V125" s="675">
        <f>T_CEFF!P234</f>
        <v>0.39840999999999999</v>
      </c>
      <c r="W125" s="675">
        <f>T_CEFF!Q234</f>
        <v>0.39840999999999999</v>
      </c>
      <c r="X125" s="675">
        <f>T_CEFF!R234</f>
        <v>0.39840999999999999</v>
      </c>
      <c r="Y125" s="675">
        <f>T_CEFF!S234</f>
        <v>0.39840999999999999</v>
      </c>
      <c r="Z125" s="675">
        <f>T_CEFF!T234</f>
        <v>0.39840999999999999</v>
      </c>
      <c r="AA125" s="675">
        <f>T_CEFF!U234</f>
        <v>0.39840999999999999</v>
      </c>
      <c r="AB125" s="675">
        <f>T_CEFF!V234</f>
        <v>0.39840999999999999</v>
      </c>
    </row>
    <row r="126" spans="1:46" s="83" customFormat="1" x14ac:dyDescent="0.3">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3">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1">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3">
      <c r="A128" s="82"/>
      <c r="B128" s="178" t="str">
        <f>B127</f>
        <v>TFLEETH900</v>
      </c>
      <c r="C128" s="178"/>
      <c r="D128" s="179"/>
      <c r="E128" s="178"/>
      <c r="F128" s="182"/>
      <c r="G128" s="181"/>
      <c r="H128" s="182"/>
      <c r="I128" s="183">
        <f>$M$3</f>
        <v>2019</v>
      </c>
      <c r="J128" s="184"/>
      <c r="K128" s="184"/>
      <c r="L128" s="203" t="s">
        <v>1064</v>
      </c>
      <c r="M128" s="184" t="s">
        <v>747</v>
      </c>
      <c r="N128" s="693">
        <f>LOOKUP($C$122, 'T_Stock_TOTAL_&amp;_City'!$C$90:$C$100, 'T_Stock_TOTAL_&amp;_City'!D$90:D$100)*(1+N80)</f>
        <v>0</v>
      </c>
      <c r="O128" s="693">
        <f>LOOKUP($C$122, 'T_Stock_TOTAL_&amp;_City'!$C$90:$C$100, 'T_Stock_TOTAL_&amp;_City'!E$90:E$100)*(1+O80)</f>
        <v>0</v>
      </c>
      <c r="P128" s="693">
        <f>LOOKUP($C$122, 'T_Stock_TOTAL_&amp;_City'!$C$90:$C$100, 'T_Stock_TOTAL_&amp;_City'!F$90:F$100)*(1+P80)</f>
        <v>0</v>
      </c>
      <c r="Q128" s="693">
        <f>LOOKUP($C$122, 'T_Stock_TOTAL_&amp;_City'!$C$90:$C$100, 'T_Stock_TOTAL_&amp;_City'!G$90:G$100)*(1+Q80)</f>
        <v>0</v>
      </c>
      <c r="R128" s="693">
        <f>LOOKUP($C$122, 'T_Stock_TOTAL_&amp;_City'!$C$90:$C$100, 'T_Stock_TOTAL_&amp;_City'!H$90:H$100)*(1+R80)</f>
        <v>0</v>
      </c>
      <c r="S128" s="693">
        <f>LOOKUP($C$122, 'T_Stock_TOTAL_&amp;_City'!$C$90:$C$100, 'T_Stock_TOTAL_&amp;_City'!I$90:I$100)*(1+S80)</f>
        <v>0</v>
      </c>
      <c r="T128" s="693">
        <f>LOOKUP($C$122, 'T_Stock_TOTAL_&amp;_City'!$C$90:$C$100, 'T_Stock_TOTAL_&amp;_City'!J$90:J$100)*(1+T80)</f>
        <v>0</v>
      </c>
      <c r="U128" s="693">
        <f>LOOKUP($C$122, 'T_Stock_TOTAL_&amp;_City'!$C$90:$C$100, 'T_Stock_TOTAL_&amp;_City'!K$90:K$100)*(1+U80)</f>
        <v>0</v>
      </c>
      <c r="V128" s="693">
        <f>LOOKUP($C$122, 'T_Stock_TOTAL_&amp;_City'!$C$90:$C$100, 'T_Stock_TOTAL_&amp;_City'!L$90:L$100)*(1+V80)</f>
        <v>0</v>
      </c>
      <c r="W128" s="693">
        <f>LOOKUP($C$122, 'T_Stock_TOTAL_&amp;_City'!$C$90:$C$100, 'T_Stock_TOTAL_&amp;_City'!M$90:M$100)*(1+W80)</f>
        <v>0</v>
      </c>
      <c r="X128" s="693">
        <f>LOOKUP($C$122, 'T_Stock_TOTAL_&amp;_City'!$C$90:$C$100, 'T_Stock_TOTAL_&amp;_City'!N$90:N$100)*(1+X80)</f>
        <v>0</v>
      </c>
      <c r="Y128" s="693">
        <f>LOOKUP($C$122, 'T_Stock_TOTAL_&amp;_City'!$C$90:$C$100, 'T_Stock_TOTAL_&amp;_City'!O$90:O$100)*(1+Y80)</f>
        <v>0</v>
      </c>
      <c r="Z128" s="693">
        <f>LOOKUP($C$122, 'T_Stock_TOTAL_&amp;_City'!$C$90:$C$100, 'T_Stock_TOTAL_&amp;_City'!P$90:P$100)*(1+Z80)</f>
        <v>0</v>
      </c>
      <c r="AA128" s="693">
        <f>LOOKUP($C$122, 'T_Stock_TOTAL_&amp;_City'!$C$90:$C$100, 'T_Stock_TOTAL_&amp;_City'!Q$90:Q$100)*(1+AA80)</f>
        <v>0</v>
      </c>
      <c r="AB128" s="693">
        <f>LOOKUP($C$122, 'T_Stock_TOTAL_&amp;_City'!$C$90:$C$100, 'T_Stock_TOTAL_&amp;_City'!R$90:R$100)*(1+AB80)</f>
        <v>0</v>
      </c>
    </row>
    <row r="129" spans="1:46" s="83" customFormat="1" x14ac:dyDescent="0.3">
      <c r="A129" s="82"/>
      <c r="B129" s="178" t="str">
        <f t="shared" si="97"/>
        <v>TFLEETH900</v>
      </c>
      <c r="C129" s="178"/>
      <c r="D129" s="179"/>
      <c r="E129" s="178"/>
      <c r="F129" s="182"/>
      <c r="G129" s="181"/>
      <c r="H129" s="182"/>
      <c r="I129" s="183">
        <f>AF$5</f>
        <v>2016</v>
      </c>
      <c r="J129" s="184"/>
      <c r="K129" s="184"/>
      <c r="L129" s="203" t="s">
        <v>1064</v>
      </c>
      <c r="M129" s="184" t="s">
        <v>747</v>
      </c>
      <c r="N129" s="693">
        <f t="shared" ref="N129:AB129" si="100">N128*LOOKUP($AD122,$AH$4:$AQ$4,$AH$5:$AQ$5)</f>
        <v>0</v>
      </c>
      <c r="O129" s="693">
        <f t="shared" si="100"/>
        <v>0</v>
      </c>
      <c r="P129" s="693">
        <f t="shared" si="100"/>
        <v>0</v>
      </c>
      <c r="Q129" s="693">
        <f t="shared" si="100"/>
        <v>0</v>
      </c>
      <c r="R129" s="693">
        <f t="shared" si="100"/>
        <v>0</v>
      </c>
      <c r="S129" s="693">
        <f t="shared" si="100"/>
        <v>0</v>
      </c>
      <c r="T129" s="693">
        <f t="shared" si="100"/>
        <v>0</v>
      </c>
      <c r="U129" s="693">
        <f t="shared" si="100"/>
        <v>0</v>
      </c>
      <c r="V129" s="693">
        <f t="shared" si="100"/>
        <v>0</v>
      </c>
      <c r="W129" s="693">
        <f t="shared" si="100"/>
        <v>0</v>
      </c>
      <c r="X129" s="693">
        <f t="shared" si="100"/>
        <v>0</v>
      </c>
      <c r="Y129" s="693">
        <f t="shared" si="100"/>
        <v>0</v>
      </c>
      <c r="Z129" s="693">
        <f t="shared" si="100"/>
        <v>0</v>
      </c>
      <c r="AA129" s="693">
        <f t="shared" si="100"/>
        <v>0</v>
      </c>
      <c r="AB129" s="693">
        <f t="shared" si="100"/>
        <v>0</v>
      </c>
    </row>
    <row r="130" spans="1:46" s="83" customFormat="1" x14ac:dyDescent="0.3">
      <c r="A130" s="82"/>
      <c r="B130" s="178" t="str">
        <f t="shared" si="97"/>
        <v>TFLEETH900</v>
      </c>
      <c r="C130" s="178"/>
      <c r="D130" s="179"/>
      <c r="E130" s="178"/>
      <c r="F130" s="182"/>
      <c r="G130" s="181"/>
      <c r="H130" s="182"/>
      <c r="I130" s="183">
        <f>AF$6</f>
        <v>2020</v>
      </c>
      <c r="J130" s="184"/>
      <c r="K130" s="184"/>
      <c r="L130" s="203" t="s">
        <v>1064</v>
      </c>
      <c r="M130" s="184" t="s">
        <v>747</v>
      </c>
      <c r="N130" s="693">
        <f t="shared" ref="N130:AB130" si="101">N128*LOOKUP($AD122,$AH$4:$AQ$4,$AH$6:$AQ$6)</f>
        <v>0</v>
      </c>
      <c r="O130" s="693">
        <f t="shared" si="101"/>
        <v>0</v>
      </c>
      <c r="P130" s="693">
        <f t="shared" si="101"/>
        <v>0</v>
      </c>
      <c r="Q130" s="693">
        <f t="shared" si="101"/>
        <v>0</v>
      </c>
      <c r="R130" s="693">
        <f t="shared" si="101"/>
        <v>0</v>
      </c>
      <c r="S130" s="693">
        <f t="shared" si="101"/>
        <v>0</v>
      </c>
      <c r="T130" s="693">
        <f t="shared" si="101"/>
        <v>0</v>
      </c>
      <c r="U130" s="693">
        <f t="shared" si="101"/>
        <v>0</v>
      </c>
      <c r="V130" s="693">
        <f t="shared" si="101"/>
        <v>0</v>
      </c>
      <c r="W130" s="693">
        <f t="shared" si="101"/>
        <v>0</v>
      </c>
      <c r="X130" s="693">
        <f t="shared" si="101"/>
        <v>0</v>
      </c>
      <c r="Y130" s="693">
        <f t="shared" si="101"/>
        <v>0</v>
      </c>
      <c r="Z130" s="693">
        <f t="shared" si="101"/>
        <v>0</v>
      </c>
      <c r="AA130" s="693">
        <f t="shared" si="101"/>
        <v>0</v>
      </c>
      <c r="AB130" s="693">
        <f t="shared" si="101"/>
        <v>0</v>
      </c>
    </row>
    <row r="131" spans="1:46" s="83" customFormat="1" x14ac:dyDescent="0.3">
      <c r="A131" s="82"/>
      <c r="B131" s="178" t="str">
        <f t="shared" si="97"/>
        <v>TFLEETH900</v>
      </c>
      <c r="C131" s="178"/>
      <c r="D131" s="179"/>
      <c r="E131" s="178"/>
      <c r="F131" s="182"/>
      <c r="G131" s="181"/>
      <c r="H131" s="182"/>
      <c r="I131" s="183">
        <f>AF$7</f>
        <v>2025</v>
      </c>
      <c r="J131" s="184"/>
      <c r="K131" s="184"/>
      <c r="L131" s="203" t="s">
        <v>1064</v>
      </c>
      <c r="M131" s="184" t="s">
        <v>747</v>
      </c>
      <c r="N131" s="693">
        <f t="shared" ref="N131:AB131" si="102">N128*LOOKUP($AD122,$AH$4:$AQ$4,$AH$7:$AQ$7)</f>
        <v>0</v>
      </c>
      <c r="O131" s="693">
        <f t="shared" si="102"/>
        <v>0</v>
      </c>
      <c r="P131" s="693">
        <f t="shared" si="102"/>
        <v>0</v>
      </c>
      <c r="Q131" s="693">
        <f t="shared" si="102"/>
        <v>0</v>
      </c>
      <c r="R131" s="693">
        <f t="shared" si="102"/>
        <v>0</v>
      </c>
      <c r="S131" s="693">
        <f t="shared" si="102"/>
        <v>0</v>
      </c>
      <c r="T131" s="693">
        <f t="shared" si="102"/>
        <v>0</v>
      </c>
      <c r="U131" s="693">
        <f t="shared" si="102"/>
        <v>0</v>
      </c>
      <c r="V131" s="693">
        <f t="shared" si="102"/>
        <v>0</v>
      </c>
      <c r="W131" s="693">
        <f t="shared" si="102"/>
        <v>0</v>
      </c>
      <c r="X131" s="693">
        <f t="shared" si="102"/>
        <v>0</v>
      </c>
      <c r="Y131" s="693">
        <f t="shared" si="102"/>
        <v>0</v>
      </c>
      <c r="Z131" s="693">
        <f t="shared" si="102"/>
        <v>0</v>
      </c>
      <c r="AA131" s="693">
        <f t="shared" si="102"/>
        <v>0</v>
      </c>
      <c r="AB131" s="693">
        <f t="shared" si="102"/>
        <v>0</v>
      </c>
    </row>
    <row r="132" spans="1:46" s="83" customFormat="1" x14ac:dyDescent="0.3">
      <c r="A132" s="82"/>
      <c r="B132" s="178" t="str">
        <f t="shared" si="97"/>
        <v>TFLEETH900</v>
      </c>
      <c r="C132" s="178"/>
      <c r="D132" s="179"/>
      <c r="E132" s="178"/>
      <c r="F132" s="182"/>
      <c r="G132" s="181"/>
      <c r="H132" s="182"/>
      <c r="I132" s="183">
        <f>AF$8</f>
        <v>2030</v>
      </c>
      <c r="J132" s="184"/>
      <c r="K132" s="184"/>
      <c r="L132" s="203" t="s">
        <v>1064</v>
      </c>
      <c r="M132" s="184" t="s">
        <v>747</v>
      </c>
      <c r="N132" s="693">
        <f t="shared" ref="N132:AB132" si="103">N128*LOOKUP($AD122,$AH$4:$AQ$4,$AH$8:$AQ$8)</f>
        <v>0</v>
      </c>
      <c r="O132" s="693">
        <f t="shared" si="103"/>
        <v>0</v>
      </c>
      <c r="P132" s="693">
        <f t="shared" si="103"/>
        <v>0</v>
      </c>
      <c r="Q132" s="693">
        <f t="shared" si="103"/>
        <v>0</v>
      </c>
      <c r="R132" s="693">
        <f t="shared" si="103"/>
        <v>0</v>
      </c>
      <c r="S132" s="693">
        <f t="shared" si="103"/>
        <v>0</v>
      </c>
      <c r="T132" s="693">
        <f t="shared" si="103"/>
        <v>0</v>
      </c>
      <c r="U132" s="693">
        <f t="shared" si="103"/>
        <v>0</v>
      </c>
      <c r="V132" s="693">
        <f t="shared" si="103"/>
        <v>0</v>
      </c>
      <c r="W132" s="693">
        <f t="shared" si="103"/>
        <v>0</v>
      </c>
      <c r="X132" s="693">
        <f t="shared" si="103"/>
        <v>0</v>
      </c>
      <c r="Y132" s="693">
        <f t="shared" si="103"/>
        <v>0</v>
      </c>
      <c r="Z132" s="693">
        <f t="shared" si="103"/>
        <v>0</v>
      </c>
      <c r="AA132" s="693">
        <f t="shared" si="103"/>
        <v>0</v>
      </c>
      <c r="AB132" s="693">
        <f t="shared" si="103"/>
        <v>0</v>
      </c>
    </row>
    <row r="133" spans="1:46" s="83" customFormat="1" x14ac:dyDescent="0.3">
      <c r="A133" s="82"/>
      <c r="B133" s="178" t="str">
        <f t="shared" si="97"/>
        <v>TFLEETH900</v>
      </c>
      <c r="C133" s="178"/>
      <c r="D133" s="179"/>
      <c r="E133" s="178"/>
      <c r="F133" s="182"/>
      <c r="G133" s="181"/>
      <c r="H133" s="182"/>
      <c r="I133" s="183">
        <f>AF$9</f>
        <v>2040</v>
      </c>
      <c r="J133" s="184"/>
      <c r="K133" s="184"/>
      <c r="L133" s="203" t="s">
        <v>1064</v>
      </c>
      <c r="M133" s="184" t="s">
        <v>747</v>
      </c>
      <c r="N133" s="693">
        <f t="shared" ref="N133:AB133" si="104">N128*LOOKUP($AD122,$AH$4:$AQ$4,$AH$9:$AQ$9)</f>
        <v>0</v>
      </c>
      <c r="O133" s="693">
        <f t="shared" si="104"/>
        <v>0</v>
      </c>
      <c r="P133" s="693">
        <f t="shared" si="104"/>
        <v>0</v>
      </c>
      <c r="Q133" s="693">
        <f t="shared" si="104"/>
        <v>0</v>
      </c>
      <c r="R133" s="693">
        <f t="shared" si="104"/>
        <v>0</v>
      </c>
      <c r="S133" s="693">
        <f t="shared" si="104"/>
        <v>0</v>
      </c>
      <c r="T133" s="693">
        <f t="shared" si="104"/>
        <v>0</v>
      </c>
      <c r="U133" s="693">
        <f t="shared" si="104"/>
        <v>0</v>
      </c>
      <c r="V133" s="693">
        <f t="shared" si="104"/>
        <v>0</v>
      </c>
      <c r="W133" s="693">
        <f t="shared" si="104"/>
        <v>0</v>
      </c>
      <c r="X133" s="693">
        <f t="shared" si="104"/>
        <v>0</v>
      </c>
      <c r="Y133" s="693">
        <f t="shared" si="104"/>
        <v>0</v>
      </c>
      <c r="Z133" s="693">
        <f t="shared" si="104"/>
        <v>0</v>
      </c>
      <c r="AA133" s="693">
        <f t="shared" si="104"/>
        <v>0</v>
      </c>
      <c r="AB133" s="693">
        <f t="shared" si="104"/>
        <v>0</v>
      </c>
    </row>
    <row r="134" spans="1:46" s="83" customFormat="1" x14ac:dyDescent="0.3">
      <c r="A134" s="82"/>
      <c r="B134" s="204" t="str">
        <f t="shared" si="97"/>
        <v>TFLEETH900</v>
      </c>
      <c r="C134" s="204"/>
      <c r="D134" s="205"/>
      <c r="E134" s="204"/>
      <c r="F134" s="206"/>
      <c r="G134" s="207"/>
      <c r="H134" s="206"/>
      <c r="I134" s="208">
        <f>AF$10</f>
        <v>2050</v>
      </c>
      <c r="J134" s="209"/>
      <c r="K134" s="209"/>
      <c r="L134" s="210" t="s">
        <v>1064</v>
      </c>
      <c r="M134" s="209" t="s">
        <v>747</v>
      </c>
      <c r="N134" s="694">
        <f t="shared" ref="N134:AB134" si="105">N128*LOOKUP($AD122,$AH$4:$AQ$4,$AH$10:$AQ$10)</f>
        <v>0</v>
      </c>
      <c r="O134" s="694">
        <f t="shared" si="105"/>
        <v>0</v>
      </c>
      <c r="P134" s="694">
        <f t="shared" si="105"/>
        <v>0</v>
      </c>
      <c r="Q134" s="694">
        <f t="shared" si="105"/>
        <v>0</v>
      </c>
      <c r="R134" s="694">
        <f t="shared" si="105"/>
        <v>0</v>
      </c>
      <c r="S134" s="694">
        <f t="shared" si="105"/>
        <v>0</v>
      </c>
      <c r="T134" s="694">
        <f t="shared" si="105"/>
        <v>0</v>
      </c>
      <c r="U134" s="694">
        <f t="shared" si="105"/>
        <v>0</v>
      </c>
      <c r="V134" s="694">
        <f t="shared" si="105"/>
        <v>0</v>
      </c>
      <c r="W134" s="694">
        <f t="shared" si="105"/>
        <v>0</v>
      </c>
      <c r="X134" s="694">
        <f t="shared" si="105"/>
        <v>0</v>
      </c>
      <c r="Y134" s="694">
        <f t="shared" si="105"/>
        <v>0</v>
      </c>
      <c r="Z134" s="694">
        <f t="shared" si="105"/>
        <v>0</v>
      </c>
      <c r="AA134" s="694">
        <f t="shared" si="105"/>
        <v>0</v>
      </c>
      <c r="AB134" s="694">
        <f t="shared" si="105"/>
        <v>0</v>
      </c>
    </row>
    <row r="135" spans="1:46" s="83" customFormat="1" x14ac:dyDescent="0.3">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3">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3">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3">
      <c r="A138" s="82"/>
      <c r="B138" s="178" t="str">
        <f>B137</f>
        <v>TFLEGAS900</v>
      </c>
      <c r="C138" s="178"/>
      <c r="D138" s="179"/>
      <c r="E138" s="178"/>
      <c r="F138" s="182"/>
      <c r="G138" s="173" t="s">
        <v>636</v>
      </c>
      <c r="H138" s="182"/>
      <c r="I138" s="183"/>
      <c r="J138" s="184"/>
      <c r="K138" s="184"/>
      <c r="L138" s="184" t="s">
        <v>1125</v>
      </c>
      <c r="M138" s="184" t="s">
        <v>677</v>
      </c>
      <c r="N138" s="675">
        <f>T_CEFF!H235</f>
        <v>0.48309000000000002</v>
      </c>
      <c r="O138" s="675">
        <f>T_CEFF!I235</f>
        <v>0.48309000000000002</v>
      </c>
      <c r="P138" s="675">
        <f>T_CEFF!J235</f>
        <v>0.48309000000000002</v>
      </c>
      <c r="Q138" s="675">
        <f>T_CEFF!K235</f>
        <v>0.48309000000000002</v>
      </c>
      <c r="R138" s="675">
        <f>T_CEFF!L235</f>
        <v>0.48309000000000002</v>
      </c>
      <c r="S138" s="675">
        <f>T_CEFF!M235</f>
        <v>0.48309000000000002</v>
      </c>
      <c r="T138" s="675">
        <f>T_CEFF!N235</f>
        <v>0.48309000000000002</v>
      </c>
      <c r="U138" s="675">
        <f>T_CEFF!O235</f>
        <v>0.48309000000000002</v>
      </c>
      <c r="V138" s="675">
        <f>T_CEFF!P235</f>
        <v>0.48309000000000002</v>
      </c>
      <c r="W138" s="675">
        <f>T_CEFF!Q235</f>
        <v>0.48309000000000002</v>
      </c>
      <c r="X138" s="675">
        <f>T_CEFF!R235</f>
        <v>0.48309000000000002</v>
      </c>
      <c r="Y138" s="675">
        <f>T_CEFF!S235</f>
        <v>0.48309000000000002</v>
      </c>
      <c r="Z138" s="675">
        <f>T_CEFF!T235</f>
        <v>0.48309000000000002</v>
      </c>
      <c r="AA138" s="675">
        <f>T_CEFF!U235</f>
        <v>0.48309000000000002</v>
      </c>
      <c r="AB138" s="675">
        <f>T_CEFF!V235</f>
        <v>0.48309000000000002</v>
      </c>
    </row>
    <row r="139" spans="1:46" s="83" customFormat="1" x14ac:dyDescent="0.3">
      <c r="A139" s="82"/>
      <c r="B139" s="178" t="str">
        <f t="shared" ref="B139:B148" si="107">B138</f>
        <v>TFLEGAS900</v>
      </c>
      <c r="C139" s="178"/>
      <c r="D139" s="179"/>
      <c r="E139" s="178"/>
      <c r="F139" s="182"/>
      <c r="G139" s="173" t="s">
        <v>639</v>
      </c>
      <c r="H139" s="182"/>
      <c r="I139" s="183"/>
      <c r="J139" s="184"/>
      <c r="K139" s="184"/>
      <c r="L139" s="184" t="s">
        <v>1125</v>
      </c>
      <c r="M139" s="184" t="s">
        <v>677</v>
      </c>
      <c r="N139" s="675">
        <f>T_CEFF!H236</f>
        <v>0.39840999999999999</v>
      </c>
      <c r="O139" s="675">
        <f>T_CEFF!I236</f>
        <v>0.39840999999999999</v>
      </c>
      <c r="P139" s="675">
        <f>T_CEFF!J236</f>
        <v>0.39840999999999999</v>
      </c>
      <c r="Q139" s="675">
        <f>T_CEFF!K236</f>
        <v>0.39840999999999999</v>
      </c>
      <c r="R139" s="675">
        <f>T_CEFF!L236</f>
        <v>0.39840999999999999</v>
      </c>
      <c r="S139" s="675">
        <f>T_CEFF!M236</f>
        <v>0.39840999999999999</v>
      </c>
      <c r="T139" s="675">
        <f>T_CEFF!N236</f>
        <v>0.39840999999999999</v>
      </c>
      <c r="U139" s="675">
        <f>T_CEFF!O236</f>
        <v>0.39840999999999999</v>
      </c>
      <c r="V139" s="675">
        <f>T_CEFF!P236</f>
        <v>0.39840999999999999</v>
      </c>
      <c r="W139" s="675">
        <f>T_CEFF!Q236</f>
        <v>0.39840999999999999</v>
      </c>
      <c r="X139" s="675">
        <f>T_CEFF!R236</f>
        <v>0.39840999999999999</v>
      </c>
      <c r="Y139" s="675">
        <f>T_CEFF!S236</f>
        <v>0.39840999999999999</v>
      </c>
      <c r="Z139" s="675">
        <f>T_CEFF!T236</f>
        <v>0.39840999999999999</v>
      </c>
      <c r="AA139" s="675">
        <f>T_CEFF!U236</f>
        <v>0.39840999999999999</v>
      </c>
      <c r="AB139" s="675">
        <f>T_CEFF!V236</f>
        <v>0.39840999999999999</v>
      </c>
    </row>
    <row r="140" spans="1:46" s="83" customFormat="1" x14ac:dyDescent="0.3">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3">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1">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3">
      <c r="A142" s="82"/>
      <c r="B142" s="178" t="str">
        <f t="shared" si="107"/>
        <v>TFLEGAS900</v>
      </c>
      <c r="C142" s="178"/>
      <c r="D142" s="179"/>
      <c r="E142" s="178"/>
      <c r="F142" s="182"/>
      <c r="G142" s="181"/>
      <c r="H142" s="182"/>
      <c r="I142" s="183">
        <f>$M$3</f>
        <v>2019</v>
      </c>
      <c r="J142" s="184"/>
      <c r="K142" s="184"/>
      <c r="L142" s="203" t="s">
        <v>1064</v>
      </c>
      <c r="M142" s="184" t="s">
        <v>747</v>
      </c>
      <c r="N142" s="693">
        <f>LOOKUP($C$135, 'T_Stock_TOTAL_&amp;_City'!$C$90:$C$100, 'T_Stock_TOTAL_&amp;_City'!D$90:D$100)*(1+N80)</f>
        <v>0</v>
      </c>
      <c r="O142" s="693">
        <f>LOOKUP($C$135, 'T_Stock_TOTAL_&amp;_City'!$C$90:$C$100, 'T_Stock_TOTAL_&amp;_City'!E$90:E$100)*(1+O80)</f>
        <v>0</v>
      </c>
      <c r="P142" s="693">
        <f>LOOKUP($C$135, 'T_Stock_TOTAL_&amp;_City'!$C$90:$C$100, 'T_Stock_TOTAL_&amp;_City'!F$90:F$100)*(1+P80)</f>
        <v>0</v>
      </c>
      <c r="Q142" s="693">
        <f>LOOKUP($C$135, 'T_Stock_TOTAL_&amp;_City'!$C$90:$C$100, 'T_Stock_TOTAL_&amp;_City'!G$90:G$100)*(1+Q80)</f>
        <v>0</v>
      </c>
      <c r="R142" s="693">
        <f>LOOKUP($C$135, 'T_Stock_TOTAL_&amp;_City'!$C$90:$C$100, 'T_Stock_TOTAL_&amp;_City'!H$90:H$100)*(1+R80)</f>
        <v>0</v>
      </c>
      <c r="S142" s="693">
        <f>LOOKUP($C$135, 'T_Stock_TOTAL_&amp;_City'!$C$90:$C$100, 'T_Stock_TOTAL_&amp;_City'!I$90:I$100)*(1+S80)</f>
        <v>0</v>
      </c>
      <c r="T142" s="693">
        <f>LOOKUP($C$135, 'T_Stock_TOTAL_&amp;_City'!$C$90:$C$100, 'T_Stock_TOTAL_&amp;_City'!J$90:J$100)*(1+T80)</f>
        <v>0</v>
      </c>
      <c r="U142" s="693">
        <f>LOOKUP($C$135, 'T_Stock_TOTAL_&amp;_City'!$C$90:$C$100, 'T_Stock_TOTAL_&amp;_City'!K$90:K$100)*(1+U80)</f>
        <v>0</v>
      </c>
      <c r="V142" s="693">
        <f>LOOKUP($C$135, 'T_Stock_TOTAL_&amp;_City'!$C$90:$C$100, 'T_Stock_TOTAL_&amp;_City'!L$90:L$100)*(1+V80)</f>
        <v>0</v>
      </c>
      <c r="W142" s="693">
        <f>LOOKUP($C$135, 'T_Stock_TOTAL_&amp;_City'!$C$90:$C$100, 'T_Stock_TOTAL_&amp;_City'!M$90:M$100)*(1+W80)</f>
        <v>0</v>
      </c>
      <c r="X142" s="693">
        <f>LOOKUP($C$135, 'T_Stock_TOTAL_&amp;_City'!$C$90:$C$100, 'T_Stock_TOTAL_&amp;_City'!N$90:N$100)*(1+X80)</f>
        <v>0</v>
      </c>
      <c r="Y142" s="693">
        <f>LOOKUP($C$135, 'T_Stock_TOTAL_&amp;_City'!$C$90:$C$100, 'T_Stock_TOTAL_&amp;_City'!O$90:O$100)*(1+Y80)</f>
        <v>0</v>
      </c>
      <c r="Z142" s="693">
        <f>LOOKUP($C$135, 'T_Stock_TOTAL_&amp;_City'!$C$90:$C$100, 'T_Stock_TOTAL_&amp;_City'!P$90:P$100)*(1+Z80)</f>
        <v>0</v>
      </c>
      <c r="AA142" s="693">
        <f>LOOKUP($C$135, 'T_Stock_TOTAL_&amp;_City'!$C$90:$C$100, 'T_Stock_TOTAL_&amp;_City'!Q$90:Q$100)*(1+AA80)</f>
        <v>0</v>
      </c>
      <c r="AB142" s="693">
        <f>LOOKUP($C$135, 'T_Stock_TOTAL_&amp;_City'!$C$90:$C$100, 'T_Stock_TOTAL_&amp;_City'!R$90:R$100)*(1+AB80)</f>
        <v>0</v>
      </c>
    </row>
    <row r="143" spans="1:46" s="83" customFormat="1" x14ac:dyDescent="0.3">
      <c r="A143" s="82"/>
      <c r="B143" s="178" t="str">
        <f t="shared" si="107"/>
        <v>TFLEGAS900</v>
      </c>
      <c r="C143" s="178"/>
      <c r="D143" s="179"/>
      <c r="E143" s="178"/>
      <c r="F143" s="182"/>
      <c r="G143" s="181"/>
      <c r="H143" s="182"/>
      <c r="I143" s="183">
        <f>AF$5</f>
        <v>2016</v>
      </c>
      <c r="J143" s="184"/>
      <c r="K143" s="184"/>
      <c r="L143" s="203" t="s">
        <v>1064</v>
      </c>
      <c r="M143" s="184" t="s">
        <v>747</v>
      </c>
      <c r="N143" s="693">
        <f t="shared" ref="N143:AB143" si="110">N142*LOOKUP($AD135,$AH$4:$AQ$4,$AH$5:$AQ$5)</f>
        <v>0</v>
      </c>
      <c r="O143" s="693">
        <f t="shared" si="110"/>
        <v>0</v>
      </c>
      <c r="P143" s="693">
        <f t="shared" si="110"/>
        <v>0</v>
      </c>
      <c r="Q143" s="693">
        <f t="shared" si="110"/>
        <v>0</v>
      </c>
      <c r="R143" s="693">
        <f t="shared" si="110"/>
        <v>0</v>
      </c>
      <c r="S143" s="693">
        <f t="shared" si="110"/>
        <v>0</v>
      </c>
      <c r="T143" s="693">
        <f t="shared" si="110"/>
        <v>0</v>
      </c>
      <c r="U143" s="693">
        <f t="shared" si="110"/>
        <v>0</v>
      </c>
      <c r="V143" s="693">
        <f t="shared" si="110"/>
        <v>0</v>
      </c>
      <c r="W143" s="693">
        <f t="shared" si="110"/>
        <v>0</v>
      </c>
      <c r="X143" s="693">
        <f t="shared" si="110"/>
        <v>0</v>
      </c>
      <c r="Y143" s="693">
        <f t="shared" si="110"/>
        <v>0</v>
      </c>
      <c r="Z143" s="693">
        <f t="shared" si="110"/>
        <v>0</v>
      </c>
      <c r="AA143" s="693">
        <f t="shared" si="110"/>
        <v>0</v>
      </c>
      <c r="AB143" s="693">
        <f t="shared" si="110"/>
        <v>0</v>
      </c>
    </row>
    <row r="144" spans="1:46" s="83" customFormat="1" x14ac:dyDescent="0.3">
      <c r="A144" s="82"/>
      <c r="B144" s="178" t="str">
        <f t="shared" si="107"/>
        <v>TFLEGAS900</v>
      </c>
      <c r="C144" s="178"/>
      <c r="D144" s="179"/>
      <c r="E144" s="178"/>
      <c r="F144" s="182"/>
      <c r="G144" s="181"/>
      <c r="H144" s="182"/>
      <c r="I144" s="183">
        <f>AF$6</f>
        <v>2020</v>
      </c>
      <c r="J144" s="184"/>
      <c r="K144" s="184"/>
      <c r="L144" s="203" t="s">
        <v>1064</v>
      </c>
      <c r="M144" s="184" t="s">
        <v>747</v>
      </c>
      <c r="N144" s="693">
        <f t="shared" ref="N144:AB144" si="111">N142*LOOKUP($AD135,$AH$4:$AQ$4,$AH$6:$AQ$6)</f>
        <v>0</v>
      </c>
      <c r="O144" s="693">
        <f t="shared" si="111"/>
        <v>0</v>
      </c>
      <c r="P144" s="693">
        <f t="shared" si="111"/>
        <v>0</v>
      </c>
      <c r="Q144" s="693">
        <f t="shared" si="111"/>
        <v>0</v>
      </c>
      <c r="R144" s="693">
        <f t="shared" si="111"/>
        <v>0</v>
      </c>
      <c r="S144" s="693">
        <f t="shared" si="111"/>
        <v>0</v>
      </c>
      <c r="T144" s="693">
        <f t="shared" si="111"/>
        <v>0</v>
      </c>
      <c r="U144" s="693">
        <f t="shared" si="111"/>
        <v>0</v>
      </c>
      <c r="V144" s="693">
        <f t="shared" si="111"/>
        <v>0</v>
      </c>
      <c r="W144" s="693">
        <f t="shared" si="111"/>
        <v>0</v>
      </c>
      <c r="X144" s="693">
        <f t="shared" si="111"/>
        <v>0</v>
      </c>
      <c r="Y144" s="693">
        <f t="shared" si="111"/>
        <v>0</v>
      </c>
      <c r="Z144" s="693">
        <f t="shared" si="111"/>
        <v>0</v>
      </c>
      <c r="AA144" s="693">
        <f t="shared" si="111"/>
        <v>0</v>
      </c>
      <c r="AB144" s="693">
        <f t="shared" si="111"/>
        <v>0</v>
      </c>
    </row>
    <row r="145" spans="1:46" s="83" customFormat="1" x14ac:dyDescent="0.3">
      <c r="A145" s="82"/>
      <c r="B145" s="178" t="str">
        <f t="shared" si="107"/>
        <v>TFLEGAS900</v>
      </c>
      <c r="C145" s="178"/>
      <c r="D145" s="179"/>
      <c r="E145" s="178"/>
      <c r="F145" s="182"/>
      <c r="G145" s="181"/>
      <c r="H145" s="182"/>
      <c r="I145" s="183">
        <f>AF$7</f>
        <v>2025</v>
      </c>
      <c r="J145" s="184"/>
      <c r="K145" s="184"/>
      <c r="L145" s="203" t="s">
        <v>1064</v>
      </c>
      <c r="M145" s="184" t="s">
        <v>747</v>
      </c>
      <c r="N145" s="693">
        <f t="shared" ref="N145:AB145" si="112">N142*LOOKUP($AD135,$AH$4:$AQ$4,$AH$7:$AQ$7)</f>
        <v>0</v>
      </c>
      <c r="O145" s="693">
        <f t="shared" si="112"/>
        <v>0</v>
      </c>
      <c r="P145" s="693">
        <f t="shared" si="112"/>
        <v>0</v>
      </c>
      <c r="Q145" s="693">
        <f t="shared" si="112"/>
        <v>0</v>
      </c>
      <c r="R145" s="693">
        <f t="shared" si="112"/>
        <v>0</v>
      </c>
      <c r="S145" s="693">
        <f t="shared" si="112"/>
        <v>0</v>
      </c>
      <c r="T145" s="693">
        <f t="shared" si="112"/>
        <v>0</v>
      </c>
      <c r="U145" s="693">
        <f t="shared" si="112"/>
        <v>0</v>
      </c>
      <c r="V145" s="693">
        <f t="shared" si="112"/>
        <v>0</v>
      </c>
      <c r="W145" s="693">
        <f t="shared" si="112"/>
        <v>0</v>
      </c>
      <c r="X145" s="693">
        <f t="shared" si="112"/>
        <v>0</v>
      </c>
      <c r="Y145" s="693">
        <f t="shared" si="112"/>
        <v>0</v>
      </c>
      <c r="Z145" s="693">
        <f t="shared" si="112"/>
        <v>0</v>
      </c>
      <c r="AA145" s="693">
        <f t="shared" si="112"/>
        <v>0</v>
      </c>
      <c r="AB145" s="693">
        <f t="shared" si="112"/>
        <v>0</v>
      </c>
    </row>
    <row r="146" spans="1:46" s="83" customFormat="1" x14ac:dyDescent="0.3">
      <c r="A146" s="82"/>
      <c r="B146" s="178" t="str">
        <f t="shared" si="107"/>
        <v>TFLEGAS900</v>
      </c>
      <c r="C146" s="178"/>
      <c r="D146" s="179"/>
      <c r="E146" s="178"/>
      <c r="F146" s="182"/>
      <c r="G146" s="181"/>
      <c r="H146" s="182"/>
      <c r="I146" s="183">
        <f>AF$8</f>
        <v>2030</v>
      </c>
      <c r="J146" s="184"/>
      <c r="K146" s="184"/>
      <c r="L146" s="203" t="s">
        <v>1064</v>
      </c>
      <c r="M146" s="184" t="s">
        <v>747</v>
      </c>
      <c r="N146" s="693">
        <f t="shared" ref="N146:AB146" si="113">N142*LOOKUP($AD135,$AH$4:$AQ$4,$AH$8:$AQ$8)</f>
        <v>0</v>
      </c>
      <c r="O146" s="693">
        <f t="shared" si="113"/>
        <v>0</v>
      </c>
      <c r="P146" s="693">
        <f t="shared" si="113"/>
        <v>0</v>
      </c>
      <c r="Q146" s="693">
        <f t="shared" si="113"/>
        <v>0</v>
      </c>
      <c r="R146" s="693">
        <f t="shared" si="113"/>
        <v>0</v>
      </c>
      <c r="S146" s="693">
        <f t="shared" si="113"/>
        <v>0</v>
      </c>
      <c r="T146" s="693">
        <f t="shared" si="113"/>
        <v>0</v>
      </c>
      <c r="U146" s="693">
        <f t="shared" si="113"/>
        <v>0</v>
      </c>
      <c r="V146" s="693">
        <f t="shared" si="113"/>
        <v>0</v>
      </c>
      <c r="W146" s="693">
        <f t="shared" si="113"/>
        <v>0</v>
      </c>
      <c r="X146" s="693">
        <f t="shared" si="113"/>
        <v>0</v>
      </c>
      <c r="Y146" s="693">
        <f t="shared" si="113"/>
        <v>0</v>
      </c>
      <c r="Z146" s="693">
        <f t="shared" si="113"/>
        <v>0</v>
      </c>
      <c r="AA146" s="693">
        <f t="shared" si="113"/>
        <v>0</v>
      </c>
      <c r="AB146" s="693">
        <f t="shared" si="113"/>
        <v>0</v>
      </c>
    </row>
    <row r="147" spans="1:46" s="83" customFormat="1" x14ac:dyDescent="0.3">
      <c r="A147" s="82"/>
      <c r="B147" s="178" t="str">
        <f t="shared" si="107"/>
        <v>TFLEGAS900</v>
      </c>
      <c r="C147" s="178"/>
      <c r="D147" s="179"/>
      <c r="E147" s="178"/>
      <c r="F147" s="182"/>
      <c r="G147" s="181"/>
      <c r="H147" s="182"/>
      <c r="I147" s="183">
        <f>AF$9</f>
        <v>2040</v>
      </c>
      <c r="J147" s="184"/>
      <c r="K147" s="184"/>
      <c r="L147" s="203" t="s">
        <v>1064</v>
      </c>
      <c r="M147" s="184" t="s">
        <v>747</v>
      </c>
      <c r="N147" s="693">
        <f t="shared" ref="N147:AB147" si="114">N142*LOOKUP($AD135,$AH$4:$AQ$4,$AH$9:$AQ$9)</f>
        <v>0</v>
      </c>
      <c r="O147" s="693">
        <f t="shared" si="114"/>
        <v>0</v>
      </c>
      <c r="P147" s="693">
        <f t="shared" si="114"/>
        <v>0</v>
      </c>
      <c r="Q147" s="693">
        <f t="shared" si="114"/>
        <v>0</v>
      </c>
      <c r="R147" s="693">
        <f t="shared" si="114"/>
        <v>0</v>
      </c>
      <c r="S147" s="693">
        <f t="shared" si="114"/>
        <v>0</v>
      </c>
      <c r="T147" s="693">
        <f t="shared" si="114"/>
        <v>0</v>
      </c>
      <c r="U147" s="693">
        <f t="shared" si="114"/>
        <v>0</v>
      </c>
      <c r="V147" s="693">
        <f t="shared" si="114"/>
        <v>0</v>
      </c>
      <c r="W147" s="693">
        <f t="shared" si="114"/>
        <v>0</v>
      </c>
      <c r="X147" s="693">
        <f t="shared" si="114"/>
        <v>0</v>
      </c>
      <c r="Y147" s="693">
        <f t="shared" si="114"/>
        <v>0</v>
      </c>
      <c r="Z147" s="693">
        <f t="shared" si="114"/>
        <v>0</v>
      </c>
      <c r="AA147" s="693">
        <f t="shared" si="114"/>
        <v>0</v>
      </c>
      <c r="AB147" s="693">
        <f t="shared" si="114"/>
        <v>0</v>
      </c>
    </row>
    <row r="148" spans="1:46" s="83" customFormat="1" x14ac:dyDescent="0.3">
      <c r="A148" s="82"/>
      <c r="B148" s="204" t="str">
        <f t="shared" si="107"/>
        <v>TFLEGAS900</v>
      </c>
      <c r="C148" s="204"/>
      <c r="D148" s="205"/>
      <c r="E148" s="204"/>
      <c r="F148" s="206"/>
      <c r="G148" s="207"/>
      <c r="H148" s="206"/>
      <c r="I148" s="208">
        <f>AF$10</f>
        <v>2050</v>
      </c>
      <c r="J148" s="209"/>
      <c r="K148" s="209"/>
      <c r="L148" s="210" t="s">
        <v>1064</v>
      </c>
      <c r="M148" s="209" t="s">
        <v>747</v>
      </c>
      <c r="N148" s="694">
        <f t="shared" ref="N148:AB148" si="115">N142*LOOKUP($AD135,$AH$4:$AQ$4,$AH$10:$AQ$10)</f>
        <v>0</v>
      </c>
      <c r="O148" s="694">
        <f t="shared" si="115"/>
        <v>0</v>
      </c>
      <c r="P148" s="694">
        <f t="shared" si="115"/>
        <v>0</v>
      </c>
      <c r="Q148" s="694">
        <f t="shared" si="115"/>
        <v>0</v>
      </c>
      <c r="R148" s="694">
        <f t="shared" si="115"/>
        <v>0</v>
      </c>
      <c r="S148" s="694">
        <f t="shared" si="115"/>
        <v>0</v>
      </c>
      <c r="T148" s="694">
        <f t="shared" si="115"/>
        <v>0</v>
      </c>
      <c r="U148" s="694">
        <f t="shared" si="115"/>
        <v>0</v>
      </c>
      <c r="V148" s="694">
        <f t="shared" si="115"/>
        <v>0</v>
      </c>
      <c r="W148" s="694">
        <f t="shared" si="115"/>
        <v>0</v>
      </c>
      <c r="X148" s="694">
        <f t="shared" si="115"/>
        <v>0</v>
      </c>
      <c r="Y148" s="694">
        <f t="shared" si="115"/>
        <v>0</v>
      </c>
      <c r="Z148" s="694">
        <f t="shared" si="115"/>
        <v>0</v>
      </c>
      <c r="AA148" s="694">
        <f t="shared" si="115"/>
        <v>0</v>
      </c>
      <c r="AB148" s="694">
        <f t="shared" si="115"/>
        <v>0</v>
      </c>
    </row>
    <row r="149" spans="1:46" s="83" customFormat="1" x14ac:dyDescent="0.3">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3">
      <c r="A150" s="82"/>
      <c r="B150" s="178" t="str">
        <f>B149</f>
        <v>TFLEGSL900</v>
      </c>
      <c r="C150" s="178"/>
      <c r="D150" s="179"/>
      <c r="E150" s="407" t="s">
        <v>1011</v>
      </c>
      <c r="F150" s="182"/>
      <c r="G150" s="181"/>
      <c r="H150" s="182"/>
      <c r="I150" s="183"/>
      <c r="J150" s="184" t="s">
        <v>1156</v>
      </c>
      <c r="K150" s="184"/>
      <c r="L150" s="203" t="s">
        <v>101</v>
      </c>
      <c r="M150" s="184"/>
      <c r="N150" s="390">
        <f>N$29</f>
        <v>5.0999999999999997E-2</v>
      </c>
      <c r="O150" s="390">
        <f t="shared" ref="O150:AB150" si="117">O$29</f>
        <v>5.0999999999999997E-2</v>
      </c>
      <c r="P150" s="390">
        <f t="shared" si="117"/>
        <v>5.0999999999999997E-2</v>
      </c>
      <c r="Q150" s="390">
        <f t="shared" si="117"/>
        <v>5.0999999999999997E-2</v>
      </c>
      <c r="R150" s="390">
        <f t="shared" si="117"/>
        <v>5.0999999999999997E-2</v>
      </c>
      <c r="S150" s="390">
        <f t="shared" si="117"/>
        <v>5.0999999999999997E-2</v>
      </c>
      <c r="T150" s="390">
        <f t="shared" si="117"/>
        <v>5.0999999999999997E-2</v>
      </c>
      <c r="U150" s="390">
        <f t="shared" si="117"/>
        <v>5.0999999999999997E-2</v>
      </c>
      <c r="V150" s="390">
        <f t="shared" si="117"/>
        <v>5.0999999999999997E-2</v>
      </c>
      <c r="W150" s="390">
        <f t="shared" si="117"/>
        <v>5.0999999999999997E-2</v>
      </c>
      <c r="X150" s="390">
        <f t="shared" si="117"/>
        <v>5.0999999999999997E-2</v>
      </c>
      <c r="Y150" s="390">
        <f t="shared" si="117"/>
        <v>5.0999999999999997E-2</v>
      </c>
      <c r="Z150" s="390">
        <f t="shared" si="117"/>
        <v>5.0999999999999997E-2</v>
      </c>
      <c r="AA150" s="390">
        <f t="shared" si="117"/>
        <v>5.0999999999999997E-2</v>
      </c>
      <c r="AB150" s="390">
        <f t="shared" si="117"/>
        <v>5.0999999999999997E-2</v>
      </c>
      <c r="AD150" s="66" t="str">
        <f>IF(COUNTIF($AH$4:$AQ$4,AD149)=1,"ok","MISSING")</f>
        <v>ok</v>
      </c>
    </row>
    <row r="151" spans="1:46" s="83" customFormat="1" x14ac:dyDescent="0.3">
      <c r="A151" s="82"/>
      <c r="B151" s="178" t="str">
        <f>B150</f>
        <v>TFLEGSL900</v>
      </c>
      <c r="C151" s="178"/>
      <c r="D151" s="179"/>
      <c r="E151" s="178"/>
      <c r="F151" s="182"/>
      <c r="G151" s="173" t="s">
        <v>636</v>
      </c>
      <c r="H151" s="182"/>
      <c r="I151" s="183"/>
      <c r="J151" s="184"/>
      <c r="K151" s="184"/>
      <c r="L151" s="184" t="s">
        <v>1125</v>
      </c>
      <c r="M151" s="184" t="s">
        <v>677</v>
      </c>
      <c r="N151" s="675">
        <f>T_CEFF!H237</f>
        <v>0.48309000000000002</v>
      </c>
      <c r="O151" s="675">
        <f>T_CEFF!I237</f>
        <v>0.48309000000000002</v>
      </c>
      <c r="P151" s="675">
        <f>T_CEFF!J237</f>
        <v>0.48309000000000002</v>
      </c>
      <c r="Q151" s="675">
        <f>T_CEFF!K237</f>
        <v>0.48309000000000002</v>
      </c>
      <c r="R151" s="675">
        <f>T_CEFF!L237</f>
        <v>0.48309000000000002</v>
      </c>
      <c r="S151" s="675">
        <f>T_CEFF!M237</f>
        <v>0.48309000000000002</v>
      </c>
      <c r="T151" s="675">
        <f>T_CEFF!N237</f>
        <v>0.48309000000000002</v>
      </c>
      <c r="U151" s="675">
        <f>T_CEFF!O237</f>
        <v>0.48309000000000002</v>
      </c>
      <c r="V151" s="675">
        <f>T_CEFF!P237</f>
        <v>0.48309000000000002</v>
      </c>
      <c r="W151" s="675">
        <f>T_CEFF!Q237</f>
        <v>0.48309000000000002</v>
      </c>
      <c r="X151" s="675">
        <f>T_CEFF!R237</f>
        <v>0.48309000000000002</v>
      </c>
      <c r="Y151" s="675">
        <f>T_CEFF!S237</f>
        <v>0.48309000000000002</v>
      </c>
      <c r="Z151" s="675">
        <f>T_CEFF!T237</f>
        <v>0.48309000000000002</v>
      </c>
      <c r="AA151" s="675">
        <f>T_CEFF!U237</f>
        <v>0.48309000000000002</v>
      </c>
      <c r="AB151" s="675">
        <f>T_CEFF!V237</f>
        <v>0.48309000000000002</v>
      </c>
    </row>
    <row r="152" spans="1:46" s="83" customFormat="1" x14ac:dyDescent="0.3">
      <c r="A152" s="82"/>
      <c r="B152" s="178" t="str">
        <f>B151</f>
        <v>TFLEGSL900</v>
      </c>
      <c r="C152" s="178"/>
      <c r="D152" s="179"/>
      <c r="E152" s="178"/>
      <c r="F152" s="182"/>
      <c r="G152" s="173" t="s">
        <v>639</v>
      </c>
      <c r="H152" s="182"/>
      <c r="I152" s="183"/>
      <c r="J152" s="184"/>
      <c r="K152" s="184"/>
      <c r="L152" s="184" t="s">
        <v>1125</v>
      </c>
      <c r="M152" s="184" t="s">
        <v>677</v>
      </c>
      <c r="N152" s="675">
        <f>T_CEFF!H238</f>
        <v>0.39840999999999999</v>
      </c>
      <c r="O152" s="675">
        <f>T_CEFF!I238</f>
        <v>0.39840999999999999</v>
      </c>
      <c r="P152" s="675">
        <f>T_CEFF!J238</f>
        <v>0.39840999999999999</v>
      </c>
      <c r="Q152" s="675">
        <f>T_CEFF!K238</f>
        <v>0.39840999999999999</v>
      </c>
      <c r="R152" s="675">
        <f>T_CEFF!L238</f>
        <v>0.39840999999999999</v>
      </c>
      <c r="S152" s="675">
        <f>T_CEFF!M238</f>
        <v>0.39840999999999999</v>
      </c>
      <c r="T152" s="675">
        <f>T_CEFF!N238</f>
        <v>0.39840999999999999</v>
      </c>
      <c r="U152" s="675">
        <f>T_CEFF!O238</f>
        <v>0.39840999999999999</v>
      </c>
      <c r="V152" s="675">
        <f>T_CEFF!P238</f>
        <v>0.39840999999999999</v>
      </c>
      <c r="W152" s="675">
        <f>T_CEFF!Q238</f>
        <v>0.39840999999999999</v>
      </c>
      <c r="X152" s="675">
        <f>T_CEFF!R238</f>
        <v>0.39840999999999999</v>
      </c>
      <c r="Y152" s="675">
        <f>T_CEFF!S238</f>
        <v>0.39840999999999999</v>
      </c>
      <c r="Z152" s="675">
        <f>T_CEFF!T238</f>
        <v>0.39840999999999999</v>
      </c>
      <c r="AA152" s="675">
        <f>T_CEFF!U238</f>
        <v>0.39840999999999999</v>
      </c>
      <c r="AB152" s="675">
        <f>T_CEFF!V238</f>
        <v>0.39840999999999999</v>
      </c>
    </row>
    <row r="153" spans="1:46" s="83" customFormat="1" x14ac:dyDescent="0.3">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3">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1">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3">
      <c r="A155" s="82"/>
      <c r="B155" s="178" t="str">
        <f t="shared" si="118"/>
        <v>TFLEGSL900</v>
      </c>
      <c r="C155" s="178"/>
      <c r="D155" s="179"/>
      <c r="E155" s="178"/>
      <c r="F155" s="182"/>
      <c r="G155" s="181"/>
      <c r="H155" s="182"/>
      <c r="I155" s="183">
        <f>$M$3</f>
        <v>2019</v>
      </c>
      <c r="J155" s="184"/>
      <c r="K155" s="184"/>
      <c r="L155" s="203" t="s">
        <v>1064</v>
      </c>
      <c r="M155" s="184" t="s">
        <v>747</v>
      </c>
      <c r="N155" s="693">
        <f>LOOKUP($C$149, 'T_Stock_TOTAL_&amp;_City'!$C$90:$C$100, 'T_Stock_TOTAL_&amp;_City'!D$90:D$100)*(1+N80)</f>
        <v>0</v>
      </c>
      <c r="O155" s="693">
        <f>LOOKUP($C$149, 'T_Stock_TOTAL_&amp;_City'!$C$90:$C$100, 'T_Stock_TOTAL_&amp;_City'!E$90:E$100)*(1+O80)</f>
        <v>0</v>
      </c>
      <c r="P155" s="693">
        <f>LOOKUP($C$149, 'T_Stock_TOTAL_&amp;_City'!$C$90:$C$100, 'T_Stock_TOTAL_&amp;_City'!F$90:F$100)*(1+P80)</f>
        <v>0</v>
      </c>
      <c r="Q155" s="693">
        <f>LOOKUP($C$149, 'T_Stock_TOTAL_&amp;_City'!$C$90:$C$100, 'T_Stock_TOTAL_&amp;_City'!G$90:G$100)*(1+Q80)</f>
        <v>0</v>
      </c>
      <c r="R155" s="693">
        <f>LOOKUP($C$149, 'T_Stock_TOTAL_&amp;_City'!$C$90:$C$100, 'T_Stock_TOTAL_&amp;_City'!H$90:H$100)*(1+R80)</f>
        <v>0</v>
      </c>
      <c r="S155" s="693">
        <f>LOOKUP($C$149, 'T_Stock_TOTAL_&amp;_City'!$C$90:$C$100, 'T_Stock_TOTAL_&amp;_City'!I$90:I$100)*(1+S80)</f>
        <v>0</v>
      </c>
      <c r="T155" s="693">
        <f>LOOKUP($C$149, 'T_Stock_TOTAL_&amp;_City'!$C$90:$C$100, 'T_Stock_TOTAL_&amp;_City'!J$90:J$100)*(1+T80)</f>
        <v>0</v>
      </c>
      <c r="U155" s="693">
        <f>LOOKUP($C$149, 'T_Stock_TOTAL_&amp;_City'!$C$90:$C$100, 'T_Stock_TOTAL_&amp;_City'!K$90:K$100)*(1+U80)</f>
        <v>0</v>
      </c>
      <c r="V155" s="693">
        <f>LOOKUP($C$149, 'T_Stock_TOTAL_&amp;_City'!$C$90:$C$100, 'T_Stock_TOTAL_&amp;_City'!L$90:L$100)*(1+V80)</f>
        <v>0</v>
      </c>
      <c r="W155" s="693">
        <f>LOOKUP($C$149, 'T_Stock_TOTAL_&amp;_City'!$C$90:$C$100, 'T_Stock_TOTAL_&amp;_City'!M$90:M$100)*(1+W80)</f>
        <v>0</v>
      </c>
      <c r="X155" s="693">
        <f>LOOKUP($C$149, 'T_Stock_TOTAL_&amp;_City'!$C$90:$C$100, 'T_Stock_TOTAL_&amp;_City'!N$90:N$100)*(1+X80)</f>
        <v>0</v>
      </c>
      <c r="Y155" s="693">
        <f>LOOKUP($C$149, 'T_Stock_TOTAL_&amp;_City'!$C$90:$C$100, 'T_Stock_TOTAL_&amp;_City'!O$90:O$100)*(1+Y80)</f>
        <v>0</v>
      </c>
      <c r="Z155" s="693">
        <f>LOOKUP($C$149, 'T_Stock_TOTAL_&amp;_City'!$C$90:$C$100, 'T_Stock_TOTAL_&amp;_City'!P$90:P$100)*(1+Z80)</f>
        <v>0</v>
      </c>
      <c r="AA155" s="693">
        <f>LOOKUP($C$149, 'T_Stock_TOTAL_&amp;_City'!$C$90:$C$100, 'T_Stock_TOTAL_&amp;_City'!Q$90:Q$100)*(1+AA80)</f>
        <v>0</v>
      </c>
      <c r="AB155" s="693">
        <f>LOOKUP($C$149, 'T_Stock_TOTAL_&amp;_City'!$C$90:$C$100, 'T_Stock_TOTAL_&amp;_City'!R$90:R$100)*(1+AB80)</f>
        <v>0</v>
      </c>
      <c r="AD155" s="35"/>
    </row>
    <row r="156" spans="1:46" s="83" customFormat="1" x14ac:dyDescent="0.3">
      <c r="A156" s="82"/>
      <c r="B156" s="178" t="str">
        <f t="shared" si="118"/>
        <v>TFLEGSL900</v>
      </c>
      <c r="C156" s="178"/>
      <c r="D156" s="179"/>
      <c r="E156" s="178"/>
      <c r="F156" s="182"/>
      <c r="G156" s="181"/>
      <c r="H156" s="182"/>
      <c r="I156" s="183">
        <f>AF$5</f>
        <v>2016</v>
      </c>
      <c r="J156" s="184"/>
      <c r="K156" s="184"/>
      <c r="L156" s="203" t="s">
        <v>1064</v>
      </c>
      <c r="M156" s="184" t="s">
        <v>747</v>
      </c>
      <c r="N156" s="693">
        <f t="shared" ref="N156:AB156" si="121">N155*LOOKUP($AD149,$AH$4:$AQ$4,$AH$5:$AQ$5)</f>
        <v>0</v>
      </c>
      <c r="O156" s="693">
        <f t="shared" si="121"/>
        <v>0</v>
      </c>
      <c r="P156" s="693">
        <f t="shared" si="121"/>
        <v>0</v>
      </c>
      <c r="Q156" s="693">
        <f t="shared" si="121"/>
        <v>0</v>
      </c>
      <c r="R156" s="693">
        <f t="shared" si="121"/>
        <v>0</v>
      </c>
      <c r="S156" s="693">
        <f t="shared" si="121"/>
        <v>0</v>
      </c>
      <c r="T156" s="693">
        <f t="shared" si="121"/>
        <v>0</v>
      </c>
      <c r="U156" s="693">
        <f t="shared" si="121"/>
        <v>0</v>
      </c>
      <c r="V156" s="693">
        <f t="shared" si="121"/>
        <v>0</v>
      </c>
      <c r="W156" s="693">
        <f t="shared" si="121"/>
        <v>0</v>
      </c>
      <c r="X156" s="693">
        <f t="shared" si="121"/>
        <v>0</v>
      </c>
      <c r="Y156" s="693">
        <f t="shared" si="121"/>
        <v>0</v>
      </c>
      <c r="Z156" s="693">
        <f t="shared" si="121"/>
        <v>0</v>
      </c>
      <c r="AA156" s="693">
        <f t="shared" si="121"/>
        <v>0</v>
      </c>
      <c r="AB156" s="693">
        <f t="shared" si="121"/>
        <v>0</v>
      </c>
      <c r="AD156" s="35"/>
    </row>
    <row r="157" spans="1:46" s="83" customFormat="1" x14ac:dyDescent="0.3">
      <c r="A157" s="82"/>
      <c r="B157" s="178" t="str">
        <f t="shared" si="118"/>
        <v>TFLEGSL900</v>
      </c>
      <c r="C157" s="178"/>
      <c r="D157" s="179"/>
      <c r="E157" s="178"/>
      <c r="F157" s="182"/>
      <c r="G157" s="181"/>
      <c r="H157" s="182"/>
      <c r="I157" s="183">
        <f>AF$6</f>
        <v>2020</v>
      </c>
      <c r="J157" s="184"/>
      <c r="K157" s="184"/>
      <c r="L157" s="203" t="s">
        <v>1064</v>
      </c>
      <c r="M157" s="184" t="s">
        <v>747</v>
      </c>
      <c r="N157" s="693">
        <f t="shared" ref="N157:AB157" si="122">N155*LOOKUP($AD149,$AH$4:$AQ$4,$AH$6:$AQ$6)</f>
        <v>0</v>
      </c>
      <c r="O157" s="693">
        <f t="shared" si="122"/>
        <v>0</v>
      </c>
      <c r="P157" s="693">
        <f t="shared" si="122"/>
        <v>0</v>
      </c>
      <c r="Q157" s="693">
        <f t="shared" si="122"/>
        <v>0</v>
      </c>
      <c r="R157" s="693">
        <f t="shared" si="122"/>
        <v>0</v>
      </c>
      <c r="S157" s="693">
        <f t="shared" si="122"/>
        <v>0</v>
      </c>
      <c r="T157" s="693">
        <f t="shared" si="122"/>
        <v>0</v>
      </c>
      <c r="U157" s="693">
        <f t="shared" si="122"/>
        <v>0</v>
      </c>
      <c r="V157" s="693">
        <f t="shared" si="122"/>
        <v>0</v>
      </c>
      <c r="W157" s="693">
        <f t="shared" si="122"/>
        <v>0</v>
      </c>
      <c r="X157" s="693">
        <f t="shared" si="122"/>
        <v>0</v>
      </c>
      <c r="Y157" s="693">
        <f t="shared" si="122"/>
        <v>0</v>
      </c>
      <c r="Z157" s="693">
        <f t="shared" si="122"/>
        <v>0</v>
      </c>
      <c r="AA157" s="693">
        <f t="shared" si="122"/>
        <v>0</v>
      </c>
      <c r="AB157" s="693">
        <f t="shared" si="122"/>
        <v>0</v>
      </c>
      <c r="AD157" s="35"/>
    </row>
    <row r="158" spans="1:46" s="83" customFormat="1" x14ac:dyDescent="0.3">
      <c r="A158" s="82"/>
      <c r="B158" s="178" t="str">
        <f t="shared" si="118"/>
        <v>TFLEGSL900</v>
      </c>
      <c r="C158" s="178"/>
      <c r="D158" s="179"/>
      <c r="E158" s="178"/>
      <c r="F158" s="182"/>
      <c r="G158" s="181"/>
      <c r="H158" s="182"/>
      <c r="I158" s="183">
        <f>AF$7</f>
        <v>2025</v>
      </c>
      <c r="J158" s="184"/>
      <c r="K158" s="184"/>
      <c r="L158" s="203" t="s">
        <v>1064</v>
      </c>
      <c r="M158" s="184" t="s">
        <v>747</v>
      </c>
      <c r="N158" s="693">
        <f t="shared" ref="N158:AB158" si="123">N155*LOOKUP($AD149,$AH$4:$AQ$4,$AH$7:$AQ$7)</f>
        <v>0</v>
      </c>
      <c r="O158" s="693">
        <f t="shared" si="123"/>
        <v>0</v>
      </c>
      <c r="P158" s="693">
        <f t="shared" si="123"/>
        <v>0</v>
      </c>
      <c r="Q158" s="693">
        <f t="shared" si="123"/>
        <v>0</v>
      </c>
      <c r="R158" s="693">
        <f t="shared" si="123"/>
        <v>0</v>
      </c>
      <c r="S158" s="693">
        <f t="shared" si="123"/>
        <v>0</v>
      </c>
      <c r="T158" s="693">
        <f t="shared" si="123"/>
        <v>0</v>
      </c>
      <c r="U158" s="693">
        <f t="shared" si="123"/>
        <v>0</v>
      </c>
      <c r="V158" s="693">
        <f t="shared" si="123"/>
        <v>0</v>
      </c>
      <c r="W158" s="693">
        <f t="shared" si="123"/>
        <v>0</v>
      </c>
      <c r="X158" s="693">
        <f t="shared" si="123"/>
        <v>0</v>
      </c>
      <c r="Y158" s="693">
        <f t="shared" si="123"/>
        <v>0</v>
      </c>
      <c r="Z158" s="693">
        <f t="shared" si="123"/>
        <v>0</v>
      </c>
      <c r="AA158" s="693">
        <f t="shared" si="123"/>
        <v>0</v>
      </c>
      <c r="AB158" s="693">
        <f t="shared" si="123"/>
        <v>0</v>
      </c>
      <c r="AD158" s="35"/>
    </row>
    <row r="159" spans="1:46" s="83" customFormat="1" x14ac:dyDescent="0.3">
      <c r="A159" s="82"/>
      <c r="B159" s="178" t="str">
        <f t="shared" si="118"/>
        <v>TFLEGSL900</v>
      </c>
      <c r="C159" s="178"/>
      <c r="D159" s="179"/>
      <c r="E159" s="178"/>
      <c r="F159" s="182"/>
      <c r="G159" s="181"/>
      <c r="H159" s="182"/>
      <c r="I159" s="183">
        <f>AF$8</f>
        <v>2030</v>
      </c>
      <c r="J159" s="184"/>
      <c r="K159" s="184"/>
      <c r="L159" s="203" t="s">
        <v>1064</v>
      </c>
      <c r="M159" s="184" t="s">
        <v>747</v>
      </c>
      <c r="N159" s="693">
        <f t="shared" ref="N159:AB159" si="124">N155*LOOKUP($AD149,$AH$4:$AQ$4,$AH$8:$AQ$8)</f>
        <v>0</v>
      </c>
      <c r="O159" s="693">
        <f t="shared" si="124"/>
        <v>0</v>
      </c>
      <c r="P159" s="693">
        <f t="shared" si="124"/>
        <v>0</v>
      </c>
      <c r="Q159" s="693">
        <f t="shared" si="124"/>
        <v>0</v>
      </c>
      <c r="R159" s="693">
        <f t="shared" si="124"/>
        <v>0</v>
      </c>
      <c r="S159" s="693">
        <f t="shared" si="124"/>
        <v>0</v>
      </c>
      <c r="T159" s="693">
        <f t="shared" si="124"/>
        <v>0</v>
      </c>
      <c r="U159" s="693">
        <f t="shared" si="124"/>
        <v>0</v>
      </c>
      <c r="V159" s="693">
        <f t="shared" si="124"/>
        <v>0</v>
      </c>
      <c r="W159" s="693">
        <f t="shared" si="124"/>
        <v>0</v>
      </c>
      <c r="X159" s="693">
        <f t="shared" si="124"/>
        <v>0</v>
      </c>
      <c r="Y159" s="693">
        <f t="shared" si="124"/>
        <v>0</v>
      </c>
      <c r="Z159" s="693">
        <f t="shared" si="124"/>
        <v>0</v>
      </c>
      <c r="AA159" s="693">
        <f t="shared" si="124"/>
        <v>0</v>
      </c>
      <c r="AB159" s="693">
        <f t="shared" si="124"/>
        <v>0</v>
      </c>
      <c r="AD159" s="35"/>
    </row>
    <row r="160" spans="1:46" s="83" customFormat="1" x14ac:dyDescent="0.3">
      <c r="A160" s="82"/>
      <c r="B160" s="178" t="str">
        <f t="shared" si="118"/>
        <v>TFLEGSL900</v>
      </c>
      <c r="C160" s="178"/>
      <c r="D160" s="179"/>
      <c r="E160" s="178"/>
      <c r="F160" s="182"/>
      <c r="G160" s="181"/>
      <c r="H160" s="182"/>
      <c r="I160" s="183">
        <f>AF$9</f>
        <v>2040</v>
      </c>
      <c r="J160" s="184"/>
      <c r="K160" s="184"/>
      <c r="L160" s="203" t="s">
        <v>1064</v>
      </c>
      <c r="M160" s="184" t="s">
        <v>747</v>
      </c>
      <c r="N160" s="693">
        <f t="shared" ref="N160:AB160" si="125">N155*LOOKUP($AD149,$AH$4:$AQ$4,$AH$9:$AQ$9)</f>
        <v>0</v>
      </c>
      <c r="O160" s="693">
        <f t="shared" si="125"/>
        <v>0</v>
      </c>
      <c r="P160" s="693">
        <f t="shared" si="125"/>
        <v>0</v>
      </c>
      <c r="Q160" s="693">
        <f t="shared" si="125"/>
        <v>0</v>
      </c>
      <c r="R160" s="693">
        <f t="shared" si="125"/>
        <v>0</v>
      </c>
      <c r="S160" s="693">
        <f t="shared" si="125"/>
        <v>0</v>
      </c>
      <c r="T160" s="693">
        <f t="shared" si="125"/>
        <v>0</v>
      </c>
      <c r="U160" s="693">
        <f t="shared" si="125"/>
        <v>0</v>
      </c>
      <c r="V160" s="693">
        <f t="shared" si="125"/>
        <v>0</v>
      </c>
      <c r="W160" s="693">
        <f t="shared" si="125"/>
        <v>0</v>
      </c>
      <c r="X160" s="693">
        <f t="shared" si="125"/>
        <v>0</v>
      </c>
      <c r="Y160" s="693">
        <f t="shared" si="125"/>
        <v>0</v>
      </c>
      <c r="Z160" s="693">
        <f t="shared" si="125"/>
        <v>0</v>
      </c>
      <c r="AA160" s="693">
        <f t="shared" si="125"/>
        <v>0</v>
      </c>
      <c r="AB160" s="693">
        <f t="shared" si="125"/>
        <v>0</v>
      </c>
      <c r="AD160" s="35"/>
    </row>
    <row r="161" spans="1:46" s="83" customFormat="1" x14ac:dyDescent="0.3">
      <c r="A161" s="82"/>
      <c r="B161" s="204" t="str">
        <f t="shared" si="118"/>
        <v>TFLEGSL900</v>
      </c>
      <c r="C161" s="204"/>
      <c r="D161" s="205"/>
      <c r="E161" s="204"/>
      <c r="F161" s="206"/>
      <c r="G161" s="207"/>
      <c r="H161" s="206"/>
      <c r="I161" s="208">
        <f>AF$10</f>
        <v>2050</v>
      </c>
      <c r="J161" s="209"/>
      <c r="K161" s="209"/>
      <c r="L161" s="210" t="s">
        <v>1064</v>
      </c>
      <c r="M161" s="209" t="s">
        <v>747</v>
      </c>
      <c r="N161" s="694">
        <f t="shared" ref="N161:AB161" si="126">N155*LOOKUP($AD149,$AH$4:$AQ$4,$AH$10:$AQ$10)</f>
        <v>0</v>
      </c>
      <c r="O161" s="694">
        <f t="shared" si="126"/>
        <v>0</v>
      </c>
      <c r="P161" s="694">
        <f t="shared" si="126"/>
        <v>0</v>
      </c>
      <c r="Q161" s="694">
        <f t="shared" si="126"/>
        <v>0</v>
      </c>
      <c r="R161" s="694">
        <f t="shared" si="126"/>
        <v>0</v>
      </c>
      <c r="S161" s="694">
        <f t="shared" si="126"/>
        <v>0</v>
      </c>
      <c r="T161" s="694">
        <f t="shared" si="126"/>
        <v>0</v>
      </c>
      <c r="U161" s="694">
        <f t="shared" si="126"/>
        <v>0</v>
      </c>
      <c r="V161" s="694">
        <f t="shared" si="126"/>
        <v>0</v>
      </c>
      <c r="W161" s="694">
        <f t="shared" si="126"/>
        <v>0</v>
      </c>
      <c r="X161" s="694">
        <f t="shared" si="126"/>
        <v>0</v>
      </c>
      <c r="Y161" s="694">
        <f t="shared" si="126"/>
        <v>0</v>
      </c>
      <c r="Z161" s="694">
        <f t="shared" si="126"/>
        <v>0</v>
      </c>
      <c r="AA161" s="694">
        <f t="shared" si="126"/>
        <v>0</v>
      </c>
      <c r="AB161" s="694">
        <f t="shared" si="126"/>
        <v>0</v>
      </c>
    </row>
    <row r="162" spans="1:46" s="83" customFormat="1" x14ac:dyDescent="0.3">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3">
      <c r="A163" s="82"/>
      <c r="B163" s="178" t="str">
        <f>B162</f>
        <v>TFLEHYD900</v>
      </c>
      <c r="C163" s="178"/>
      <c r="D163" s="179"/>
      <c r="E163" s="407" t="s">
        <v>185</v>
      </c>
      <c r="F163" s="182"/>
      <c r="G163" s="181"/>
      <c r="H163" s="182"/>
      <c r="I163" s="183"/>
      <c r="J163" s="184" t="s">
        <v>1156</v>
      </c>
      <c r="K163" s="184"/>
      <c r="L163" s="203" t="s">
        <v>101</v>
      </c>
      <c r="M163" s="184"/>
      <c r="N163" s="390">
        <f>1-N$28</f>
        <v>0.82499999999999996</v>
      </c>
      <c r="O163" s="390">
        <f t="shared" ref="O163:AB163" si="128">1-O$28</f>
        <v>0.82499999999999996</v>
      </c>
      <c r="P163" s="390">
        <f t="shared" si="128"/>
        <v>0.82499999999999996</v>
      </c>
      <c r="Q163" s="390">
        <f t="shared" si="128"/>
        <v>0.82499999999999996</v>
      </c>
      <c r="R163" s="390">
        <f t="shared" si="128"/>
        <v>0.82499999999999996</v>
      </c>
      <c r="S163" s="390">
        <f t="shared" si="128"/>
        <v>0.82499999999999996</v>
      </c>
      <c r="T163" s="390">
        <f t="shared" si="128"/>
        <v>0.82499999999999996</v>
      </c>
      <c r="U163" s="390">
        <f t="shared" si="128"/>
        <v>0.82499999999999996</v>
      </c>
      <c r="V163" s="390">
        <f t="shared" si="128"/>
        <v>0.82499999999999996</v>
      </c>
      <c r="W163" s="390">
        <f t="shared" si="128"/>
        <v>0.82499999999999996</v>
      </c>
      <c r="X163" s="390">
        <f t="shared" si="128"/>
        <v>0.82499999999999996</v>
      </c>
      <c r="Y163" s="390">
        <f t="shared" si="128"/>
        <v>0.82499999999999996</v>
      </c>
      <c r="Z163" s="390">
        <f t="shared" si="128"/>
        <v>0.82499999999999996</v>
      </c>
      <c r="AA163" s="390">
        <f t="shared" si="128"/>
        <v>0.82499999999999996</v>
      </c>
      <c r="AB163" s="390">
        <f t="shared" si="128"/>
        <v>0.82499999999999996</v>
      </c>
      <c r="AD163" s="66" t="str">
        <f>IF(COUNTIF($AH$4:$AQ$4,AD162)=1,"ok","MISSING")</f>
        <v>ok</v>
      </c>
    </row>
    <row r="164" spans="1:46" s="83" customFormat="1" x14ac:dyDescent="0.3">
      <c r="A164" s="82"/>
      <c r="B164" s="178" t="str">
        <f>B163</f>
        <v>TFLEHYD900</v>
      </c>
      <c r="C164" s="178"/>
      <c r="D164" s="179"/>
      <c r="E164" s="178"/>
      <c r="F164" s="182"/>
      <c r="G164" s="173" t="s">
        <v>636</v>
      </c>
      <c r="H164" s="182"/>
      <c r="I164" s="183"/>
      <c r="J164" s="184"/>
      <c r="K164" s="184"/>
      <c r="L164" s="184" t="s">
        <v>1125</v>
      </c>
      <c r="M164" s="184" t="s">
        <v>677</v>
      </c>
      <c r="N164" s="675">
        <f>T_CEFF!H239</f>
        <v>0.66666999999999998</v>
      </c>
      <c r="O164" s="675">
        <f>T_CEFF!I239</f>
        <v>0.66666999999999998</v>
      </c>
      <c r="P164" s="675">
        <f>T_CEFF!J239</f>
        <v>0.66666999999999998</v>
      </c>
      <c r="Q164" s="675">
        <f>T_CEFF!K239</f>
        <v>0.66666999999999998</v>
      </c>
      <c r="R164" s="675">
        <f>T_CEFF!L239</f>
        <v>0.66666999999999998</v>
      </c>
      <c r="S164" s="675">
        <f>T_CEFF!M239</f>
        <v>0.66666999999999998</v>
      </c>
      <c r="T164" s="675">
        <f>T_CEFF!N239</f>
        <v>0.66666999999999998</v>
      </c>
      <c r="U164" s="675">
        <f>T_CEFF!O239</f>
        <v>0.66666999999999998</v>
      </c>
      <c r="V164" s="675">
        <f>T_CEFF!P239</f>
        <v>0.66666999999999998</v>
      </c>
      <c r="W164" s="675">
        <f>T_CEFF!Q239</f>
        <v>0.66666999999999998</v>
      </c>
      <c r="X164" s="675">
        <f>T_CEFF!R239</f>
        <v>0.66666999999999998</v>
      </c>
      <c r="Y164" s="675">
        <f>T_CEFF!S239</f>
        <v>0.66666999999999998</v>
      </c>
      <c r="Z164" s="675">
        <f>T_CEFF!T239</f>
        <v>0.66666999999999998</v>
      </c>
      <c r="AA164" s="675">
        <f>T_CEFF!U239</f>
        <v>0.66666999999999998</v>
      </c>
      <c r="AB164" s="675">
        <f>T_CEFF!V239</f>
        <v>0.66666999999999998</v>
      </c>
    </row>
    <row r="165" spans="1:46" s="83" customFormat="1" x14ac:dyDescent="0.3">
      <c r="A165" s="82"/>
      <c r="B165" s="178" t="str">
        <f>B164</f>
        <v>TFLEHYD900</v>
      </c>
      <c r="C165" s="178"/>
      <c r="D165" s="179"/>
      <c r="E165" s="178"/>
      <c r="F165" s="182"/>
      <c r="G165" s="173" t="s">
        <v>639</v>
      </c>
      <c r="H165" s="182"/>
      <c r="I165" s="183"/>
      <c r="J165" s="184"/>
      <c r="K165" s="184"/>
      <c r="L165" s="184" t="s">
        <v>1125</v>
      </c>
      <c r="M165" s="184" t="s">
        <v>677</v>
      </c>
      <c r="N165" s="675">
        <f>T_CEFF!H240</f>
        <v>0.58823999999999999</v>
      </c>
      <c r="O165" s="675">
        <f>T_CEFF!I240</f>
        <v>0.58823999999999999</v>
      </c>
      <c r="P165" s="675">
        <f>T_CEFF!J240</f>
        <v>0.58823999999999999</v>
      </c>
      <c r="Q165" s="675">
        <f>T_CEFF!K240</f>
        <v>0.58823999999999999</v>
      </c>
      <c r="R165" s="675">
        <f>T_CEFF!L240</f>
        <v>0.58823999999999999</v>
      </c>
      <c r="S165" s="675">
        <f>T_CEFF!M240</f>
        <v>0.58823999999999999</v>
      </c>
      <c r="T165" s="675">
        <f>T_CEFF!N240</f>
        <v>0.58823999999999999</v>
      </c>
      <c r="U165" s="675">
        <f>T_CEFF!O240</f>
        <v>0.58823999999999999</v>
      </c>
      <c r="V165" s="675">
        <f>T_CEFF!P240</f>
        <v>0.58823999999999999</v>
      </c>
      <c r="W165" s="675">
        <f>T_CEFF!Q240</f>
        <v>0.58823999999999999</v>
      </c>
      <c r="X165" s="675">
        <f>T_CEFF!R240</f>
        <v>0.58823999999999999</v>
      </c>
      <c r="Y165" s="675">
        <f>T_CEFF!S240</f>
        <v>0.58823999999999999</v>
      </c>
      <c r="Z165" s="675">
        <f>T_CEFF!T240</f>
        <v>0.58823999999999999</v>
      </c>
      <c r="AA165" s="675">
        <f>T_CEFF!U240</f>
        <v>0.58823999999999999</v>
      </c>
      <c r="AB165" s="675">
        <f>T_CEFF!V240</f>
        <v>0.58823999999999999</v>
      </c>
    </row>
    <row r="166" spans="1:46" s="83" customFormat="1" x14ac:dyDescent="0.3">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3">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1">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3">
      <c r="A168" s="82"/>
      <c r="B168" s="178" t="str">
        <f t="shared" si="129"/>
        <v>TFLEHYD900</v>
      </c>
      <c r="C168" s="178"/>
      <c r="D168" s="179"/>
      <c r="E168" s="178"/>
      <c r="F168" s="182"/>
      <c r="G168" s="181"/>
      <c r="H168" s="182"/>
      <c r="I168" s="183">
        <f>$M$3</f>
        <v>2019</v>
      </c>
      <c r="J168" s="184"/>
      <c r="K168" s="184"/>
      <c r="L168" s="203" t="s">
        <v>1064</v>
      </c>
      <c r="M168" s="184" t="s">
        <v>747</v>
      </c>
      <c r="N168" s="693">
        <f>LOOKUP($C$162, 'T_Stock_TOTAL_&amp;_City'!$C$90:$C$100, 'T_Stock_TOTAL_&amp;_City'!D$90:D$100)*(1+N80)</f>
        <v>0</v>
      </c>
      <c r="O168" s="693">
        <f>LOOKUP($C$162, 'T_Stock_TOTAL_&amp;_City'!$C$90:$C$100, 'T_Stock_TOTAL_&amp;_City'!E$90:E$100)*(1+O80)</f>
        <v>0</v>
      </c>
      <c r="P168" s="693">
        <f>LOOKUP($C$162, 'T_Stock_TOTAL_&amp;_City'!$C$90:$C$100, 'T_Stock_TOTAL_&amp;_City'!F$90:F$100)*(1+P80)</f>
        <v>0</v>
      </c>
      <c r="Q168" s="693">
        <f>LOOKUP($C$162, 'T_Stock_TOTAL_&amp;_City'!$C$90:$C$100, 'T_Stock_TOTAL_&amp;_City'!G$90:G$100)*(1+Q80)</f>
        <v>0</v>
      </c>
      <c r="R168" s="693">
        <f>LOOKUP($C$162, 'T_Stock_TOTAL_&amp;_City'!$C$90:$C$100, 'T_Stock_TOTAL_&amp;_City'!H$90:H$100)*(1+R80)</f>
        <v>0</v>
      </c>
      <c r="S168" s="693">
        <f>LOOKUP($C$162, 'T_Stock_TOTAL_&amp;_City'!$C$90:$C$100, 'T_Stock_TOTAL_&amp;_City'!I$90:I$100)*(1+S80)</f>
        <v>0</v>
      </c>
      <c r="T168" s="693">
        <f>LOOKUP($C$162, 'T_Stock_TOTAL_&amp;_City'!$C$90:$C$100, 'T_Stock_TOTAL_&amp;_City'!J$90:J$100)*(1+T80)</f>
        <v>0</v>
      </c>
      <c r="U168" s="693">
        <f>LOOKUP($C$162, 'T_Stock_TOTAL_&amp;_City'!$C$90:$C$100, 'T_Stock_TOTAL_&amp;_City'!K$90:K$100)*(1+U80)</f>
        <v>0</v>
      </c>
      <c r="V168" s="693">
        <f>LOOKUP($C$162, 'T_Stock_TOTAL_&amp;_City'!$C$90:$C$100, 'T_Stock_TOTAL_&amp;_City'!L$90:L$100)*(1+V80)</f>
        <v>0</v>
      </c>
      <c r="W168" s="693">
        <f>LOOKUP($C$162, 'T_Stock_TOTAL_&amp;_City'!$C$90:$C$100, 'T_Stock_TOTAL_&amp;_City'!M$90:M$100)*(1+W80)</f>
        <v>0</v>
      </c>
      <c r="X168" s="693">
        <f>LOOKUP($C$162, 'T_Stock_TOTAL_&amp;_City'!$C$90:$C$100, 'T_Stock_TOTAL_&amp;_City'!N$90:N$100)*(1+X80)</f>
        <v>0</v>
      </c>
      <c r="Y168" s="693">
        <f>LOOKUP($C$162, 'T_Stock_TOTAL_&amp;_City'!$C$90:$C$100, 'T_Stock_TOTAL_&amp;_City'!O$90:O$100)*(1+Y80)</f>
        <v>0</v>
      </c>
      <c r="Z168" s="693">
        <f>LOOKUP($C$162, 'T_Stock_TOTAL_&amp;_City'!$C$90:$C$100, 'T_Stock_TOTAL_&amp;_City'!P$90:P$100)*(1+Z80)</f>
        <v>0</v>
      </c>
      <c r="AA168" s="693">
        <f>LOOKUP($C$162, 'T_Stock_TOTAL_&amp;_City'!$C$90:$C$100, 'T_Stock_TOTAL_&amp;_City'!Q$90:Q$100)*(1+AA80)</f>
        <v>0</v>
      </c>
      <c r="AB168" s="693">
        <f>LOOKUP($C$162, 'T_Stock_TOTAL_&amp;_City'!$C$90:$C$100, 'T_Stock_TOTAL_&amp;_City'!R$90:R$100)*(1+AB80)</f>
        <v>0</v>
      </c>
      <c r="AD168" s="35"/>
    </row>
    <row r="169" spans="1:46" s="83" customFormat="1" x14ac:dyDescent="0.3">
      <c r="A169" s="82"/>
      <c r="B169" s="178" t="str">
        <f t="shared" si="129"/>
        <v>TFLEHYD900</v>
      </c>
      <c r="C169" s="178"/>
      <c r="D169" s="179"/>
      <c r="E169" s="178"/>
      <c r="F169" s="182"/>
      <c r="G169" s="181"/>
      <c r="H169" s="182"/>
      <c r="I169" s="183">
        <f>AF$5</f>
        <v>2016</v>
      </c>
      <c r="J169" s="184"/>
      <c r="K169" s="184"/>
      <c r="L169" s="203" t="s">
        <v>1064</v>
      </c>
      <c r="M169" s="184" t="s">
        <v>747</v>
      </c>
      <c r="N169" s="693">
        <f t="shared" ref="N169:AB169" si="132">N168*LOOKUP($AD162,$AH$4:$AQ$4,$AH$5:$AQ$5)</f>
        <v>0</v>
      </c>
      <c r="O169" s="693">
        <f t="shared" si="132"/>
        <v>0</v>
      </c>
      <c r="P169" s="693">
        <f t="shared" si="132"/>
        <v>0</v>
      </c>
      <c r="Q169" s="693">
        <f t="shared" si="132"/>
        <v>0</v>
      </c>
      <c r="R169" s="693">
        <f t="shared" si="132"/>
        <v>0</v>
      </c>
      <c r="S169" s="693">
        <f t="shared" si="132"/>
        <v>0</v>
      </c>
      <c r="T169" s="693">
        <f t="shared" si="132"/>
        <v>0</v>
      </c>
      <c r="U169" s="693">
        <f t="shared" si="132"/>
        <v>0</v>
      </c>
      <c r="V169" s="693">
        <f t="shared" si="132"/>
        <v>0</v>
      </c>
      <c r="W169" s="693">
        <f t="shared" si="132"/>
        <v>0</v>
      </c>
      <c r="X169" s="693">
        <f t="shared" si="132"/>
        <v>0</v>
      </c>
      <c r="Y169" s="693">
        <f t="shared" si="132"/>
        <v>0</v>
      </c>
      <c r="Z169" s="693">
        <f t="shared" si="132"/>
        <v>0</v>
      </c>
      <c r="AA169" s="693">
        <f t="shared" si="132"/>
        <v>0</v>
      </c>
      <c r="AB169" s="693">
        <f t="shared" si="132"/>
        <v>0</v>
      </c>
      <c r="AD169" s="35"/>
    </row>
    <row r="170" spans="1:46" s="83" customFormat="1" x14ac:dyDescent="0.3">
      <c r="A170" s="82"/>
      <c r="B170" s="178" t="str">
        <f t="shared" si="129"/>
        <v>TFLEHYD900</v>
      </c>
      <c r="C170" s="178"/>
      <c r="D170" s="179"/>
      <c r="E170" s="178"/>
      <c r="F170" s="182"/>
      <c r="G170" s="181"/>
      <c r="H170" s="182"/>
      <c r="I170" s="183">
        <f>AF$6</f>
        <v>2020</v>
      </c>
      <c r="J170" s="184"/>
      <c r="K170" s="184"/>
      <c r="L170" s="203" t="s">
        <v>1064</v>
      </c>
      <c r="M170" s="184" t="s">
        <v>747</v>
      </c>
      <c r="N170" s="693">
        <f t="shared" ref="N170:AB170" si="133">N168*LOOKUP($AD162,$AH$4:$AQ$4,$AH$6:$AQ$6)</f>
        <v>0</v>
      </c>
      <c r="O170" s="693">
        <f t="shared" si="133"/>
        <v>0</v>
      </c>
      <c r="P170" s="693">
        <f t="shared" si="133"/>
        <v>0</v>
      </c>
      <c r="Q170" s="693">
        <f t="shared" si="133"/>
        <v>0</v>
      </c>
      <c r="R170" s="693">
        <f t="shared" si="133"/>
        <v>0</v>
      </c>
      <c r="S170" s="693">
        <f t="shared" si="133"/>
        <v>0</v>
      </c>
      <c r="T170" s="693">
        <f t="shared" si="133"/>
        <v>0</v>
      </c>
      <c r="U170" s="693">
        <f t="shared" si="133"/>
        <v>0</v>
      </c>
      <c r="V170" s="693">
        <f t="shared" si="133"/>
        <v>0</v>
      </c>
      <c r="W170" s="693">
        <f t="shared" si="133"/>
        <v>0</v>
      </c>
      <c r="X170" s="693">
        <f t="shared" si="133"/>
        <v>0</v>
      </c>
      <c r="Y170" s="693">
        <f t="shared" si="133"/>
        <v>0</v>
      </c>
      <c r="Z170" s="693">
        <f t="shared" si="133"/>
        <v>0</v>
      </c>
      <c r="AA170" s="693">
        <f t="shared" si="133"/>
        <v>0</v>
      </c>
      <c r="AB170" s="693">
        <f t="shared" si="133"/>
        <v>0</v>
      </c>
      <c r="AD170" s="35"/>
    </row>
    <row r="171" spans="1:46" s="83" customFormat="1" x14ac:dyDescent="0.3">
      <c r="A171" s="82"/>
      <c r="B171" s="178" t="str">
        <f t="shared" si="129"/>
        <v>TFLEHYD900</v>
      </c>
      <c r="C171" s="178"/>
      <c r="D171" s="179"/>
      <c r="E171" s="178"/>
      <c r="F171" s="182"/>
      <c r="G171" s="181"/>
      <c r="H171" s="182"/>
      <c r="I171" s="183">
        <f>AF$7</f>
        <v>2025</v>
      </c>
      <c r="J171" s="184"/>
      <c r="K171" s="184"/>
      <c r="L171" s="203" t="s">
        <v>1064</v>
      </c>
      <c r="M171" s="184" t="s">
        <v>747</v>
      </c>
      <c r="N171" s="693">
        <f t="shared" ref="N171:AB171" si="134">N168*LOOKUP($AD162,$AH$4:$AQ$4,$AH$7:$AQ$7)</f>
        <v>0</v>
      </c>
      <c r="O171" s="693">
        <f t="shared" si="134"/>
        <v>0</v>
      </c>
      <c r="P171" s="693">
        <f t="shared" si="134"/>
        <v>0</v>
      </c>
      <c r="Q171" s="693">
        <f t="shared" si="134"/>
        <v>0</v>
      </c>
      <c r="R171" s="693">
        <f t="shared" si="134"/>
        <v>0</v>
      </c>
      <c r="S171" s="693">
        <f t="shared" si="134"/>
        <v>0</v>
      </c>
      <c r="T171" s="693">
        <f t="shared" si="134"/>
        <v>0</v>
      </c>
      <c r="U171" s="693">
        <f t="shared" si="134"/>
        <v>0</v>
      </c>
      <c r="V171" s="693">
        <f t="shared" si="134"/>
        <v>0</v>
      </c>
      <c r="W171" s="693">
        <f t="shared" si="134"/>
        <v>0</v>
      </c>
      <c r="X171" s="693">
        <f t="shared" si="134"/>
        <v>0</v>
      </c>
      <c r="Y171" s="693">
        <f t="shared" si="134"/>
        <v>0</v>
      </c>
      <c r="Z171" s="693">
        <f t="shared" si="134"/>
        <v>0</v>
      </c>
      <c r="AA171" s="693">
        <f t="shared" si="134"/>
        <v>0</v>
      </c>
      <c r="AB171" s="693">
        <f t="shared" si="134"/>
        <v>0</v>
      </c>
      <c r="AD171" s="35"/>
    </row>
    <row r="172" spans="1:46" s="83" customFormat="1" x14ac:dyDescent="0.3">
      <c r="A172" s="82"/>
      <c r="B172" s="178" t="str">
        <f t="shared" si="129"/>
        <v>TFLEHYD900</v>
      </c>
      <c r="C172" s="178"/>
      <c r="D172" s="179"/>
      <c r="E172" s="178"/>
      <c r="F172" s="182"/>
      <c r="G172" s="181"/>
      <c r="H172" s="182"/>
      <c r="I172" s="183">
        <f>AF$8</f>
        <v>2030</v>
      </c>
      <c r="J172" s="184"/>
      <c r="K172" s="184"/>
      <c r="L172" s="203" t="s">
        <v>1064</v>
      </c>
      <c r="M172" s="184" t="s">
        <v>747</v>
      </c>
      <c r="N172" s="693">
        <f t="shared" ref="N172:AB172" si="135">N168*LOOKUP($AD162,$AH$4:$AQ$4,$AH$8:$AQ$8)</f>
        <v>0</v>
      </c>
      <c r="O172" s="693">
        <f t="shared" si="135"/>
        <v>0</v>
      </c>
      <c r="P172" s="693">
        <f t="shared" si="135"/>
        <v>0</v>
      </c>
      <c r="Q172" s="693">
        <f t="shared" si="135"/>
        <v>0</v>
      </c>
      <c r="R172" s="693">
        <f t="shared" si="135"/>
        <v>0</v>
      </c>
      <c r="S172" s="693">
        <f t="shared" si="135"/>
        <v>0</v>
      </c>
      <c r="T172" s="693">
        <f t="shared" si="135"/>
        <v>0</v>
      </c>
      <c r="U172" s="693">
        <f t="shared" si="135"/>
        <v>0</v>
      </c>
      <c r="V172" s="693">
        <f t="shared" si="135"/>
        <v>0</v>
      </c>
      <c r="W172" s="693">
        <f t="shared" si="135"/>
        <v>0</v>
      </c>
      <c r="X172" s="693">
        <f t="shared" si="135"/>
        <v>0</v>
      </c>
      <c r="Y172" s="693">
        <f t="shared" si="135"/>
        <v>0</v>
      </c>
      <c r="Z172" s="693">
        <f t="shared" si="135"/>
        <v>0</v>
      </c>
      <c r="AA172" s="693">
        <f t="shared" si="135"/>
        <v>0</v>
      </c>
      <c r="AB172" s="693">
        <f t="shared" si="135"/>
        <v>0</v>
      </c>
      <c r="AD172" s="35"/>
    </row>
    <row r="173" spans="1:46" s="83" customFormat="1" x14ac:dyDescent="0.3">
      <c r="A173" s="82"/>
      <c r="B173" s="178" t="str">
        <f t="shared" si="129"/>
        <v>TFLEHYD900</v>
      </c>
      <c r="C173" s="178"/>
      <c r="D173" s="179"/>
      <c r="E173" s="178"/>
      <c r="F173" s="182"/>
      <c r="G173" s="181"/>
      <c r="H173" s="182"/>
      <c r="I173" s="183">
        <f>AF$9</f>
        <v>2040</v>
      </c>
      <c r="J173" s="184"/>
      <c r="K173" s="184"/>
      <c r="L173" s="203" t="s">
        <v>1064</v>
      </c>
      <c r="M173" s="184" t="s">
        <v>747</v>
      </c>
      <c r="N173" s="693">
        <f t="shared" ref="N173:AB173" si="136">N168*LOOKUP($AD162,$AH$4:$AQ$4,$AH$9:$AQ$9)</f>
        <v>0</v>
      </c>
      <c r="O173" s="693">
        <f t="shared" si="136"/>
        <v>0</v>
      </c>
      <c r="P173" s="693">
        <f t="shared" si="136"/>
        <v>0</v>
      </c>
      <c r="Q173" s="693">
        <f t="shared" si="136"/>
        <v>0</v>
      </c>
      <c r="R173" s="693">
        <f t="shared" si="136"/>
        <v>0</v>
      </c>
      <c r="S173" s="693">
        <f t="shared" si="136"/>
        <v>0</v>
      </c>
      <c r="T173" s="693">
        <f t="shared" si="136"/>
        <v>0</v>
      </c>
      <c r="U173" s="693">
        <f t="shared" si="136"/>
        <v>0</v>
      </c>
      <c r="V173" s="693">
        <f t="shared" si="136"/>
        <v>0</v>
      </c>
      <c r="W173" s="693">
        <f t="shared" si="136"/>
        <v>0</v>
      </c>
      <c r="X173" s="693">
        <f t="shared" si="136"/>
        <v>0</v>
      </c>
      <c r="Y173" s="693">
        <f t="shared" si="136"/>
        <v>0</v>
      </c>
      <c r="Z173" s="693">
        <f t="shared" si="136"/>
        <v>0</v>
      </c>
      <c r="AA173" s="693">
        <f t="shared" si="136"/>
        <v>0</v>
      </c>
      <c r="AB173" s="693">
        <f t="shared" si="136"/>
        <v>0</v>
      </c>
      <c r="AD173" s="35"/>
    </row>
    <row r="174" spans="1:46" s="83" customFormat="1" x14ac:dyDescent="0.3">
      <c r="A174" s="82"/>
      <c r="B174" s="204" t="str">
        <f t="shared" si="129"/>
        <v>TFLEHYD900</v>
      </c>
      <c r="C174" s="204"/>
      <c r="D174" s="205"/>
      <c r="E174" s="204"/>
      <c r="F174" s="206"/>
      <c r="G174" s="207"/>
      <c r="H174" s="206"/>
      <c r="I174" s="208">
        <f>AF$10</f>
        <v>2050</v>
      </c>
      <c r="J174" s="209"/>
      <c r="K174" s="209"/>
      <c r="L174" s="210" t="s">
        <v>1064</v>
      </c>
      <c r="M174" s="209" t="s">
        <v>747</v>
      </c>
      <c r="N174" s="694">
        <f t="shared" ref="N174:AB174" si="137">N168*LOOKUP($AD162,$AH$4:$AQ$4,$AH$10:$AQ$10)</f>
        <v>0</v>
      </c>
      <c r="O174" s="694">
        <f t="shared" si="137"/>
        <v>0</v>
      </c>
      <c r="P174" s="694">
        <f t="shared" si="137"/>
        <v>0</v>
      </c>
      <c r="Q174" s="694">
        <f t="shared" si="137"/>
        <v>0</v>
      </c>
      <c r="R174" s="694">
        <f t="shared" si="137"/>
        <v>0</v>
      </c>
      <c r="S174" s="694">
        <f t="shared" si="137"/>
        <v>0</v>
      </c>
      <c r="T174" s="694">
        <f t="shared" si="137"/>
        <v>0</v>
      </c>
      <c r="U174" s="694">
        <f t="shared" si="137"/>
        <v>0</v>
      </c>
      <c r="V174" s="694">
        <f t="shared" si="137"/>
        <v>0</v>
      </c>
      <c r="W174" s="694">
        <f t="shared" si="137"/>
        <v>0</v>
      </c>
      <c r="X174" s="694">
        <f t="shared" si="137"/>
        <v>0</v>
      </c>
      <c r="Y174" s="694">
        <f t="shared" si="137"/>
        <v>0</v>
      </c>
      <c r="Z174" s="694">
        <f t="shared" si="137"/>
        <v>0</v>
      </c>
      <c r="AA174" s="694">
        <f t="shared" si="137"/>
        <v>0</v>
      </c>
      <c r="AB174" s="694">
        <f t="shared" si="137"/>
        <v>0</v>
      </c>
    </row>
    <row r="175" spans="1:46" s="83" customFormat="1" x14ac:dyDescent="0.3">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3">
      <c r="A176" s="82"/>
      <c r="B176" s="178" t="str">
        <f>B175</f>
        <v>TFLEHYG900</v>
      </c>
      <c r="C176" s="178"/>
      <c r="D176" s="179"/>
      <c r="E176" s="407" t="s">
        <v>1011</v>
      </c>
      <c r="F176" s="182"/>
      <c r="G176" s="181"/>
      <c r="H176" s="182"/>
      <c r="I176" s="183"/>
      <c r="J176" s="184" t="s">
        <v>1156</v>
      </c>
      <c r="K176" s="184"/>
      <c r="L176" s="203" t="s">
        <v>101</v>
      </c>
      <c r="M176" s="184"/>
      <c r="N176" s="390">
        <f>N$29</f>
        <v>5.0999999999999997E-2</v>
      </c>
      <c r="O176" s="390">
        <f t="shared" ref="O176:AB176" si="139">O$29</f>
        <v>5.0999999999999997E-2</v>
      </c>
      <c r="P176" s="390">
        <f t="shared" si="139"/>
        <v>5.0999999999999997E-2</v>
      </c>
      <c r="Q176" s="390">
        <f t="shared" si="139"/>
        <v>5.0999999999999997E-2</v>
      </c>
      <c r="R176" s="390">
        <f t="shared" si="139"/>
        <v>5.0999999999999997E-2</v>
      </c>
      <c r="S176" s="390">
        <f t="shared" si="139"/>
        <v>5.0999999999999997E-2</v>
      </c>
      <c r="T176" s="390">
        <f t="shared" si="139"/>
        <v>5.0999999999999997E-2</v>
      </c>
      <c r="U176" s="390">
        <f t="shared" si="139"/>
        <v>5.0999999999999997E-2</v>
      </c>
      <c r="V176" s="390">
        <f t="shared" si="139"/>
        <v>5.0999999999999997E-2</v>
      </c>
      <c r="W176" s="390">
        <f t="shared" si="139"/>
        <v>5.0999999999999997E-2</v>
      </c>
      <c r="X176" s="390">
        <f t="shared" si="139"/>
        <v>5.0999999999999997E-2</v>
      </c>
      <c r="Y176" s="390">
        <f t="shared" si="139"/>
        <v>5.0999999999999997E-2</v>
      </c>
      <c r="Z176" s="390">
        <f t="shared" si="139"/>
        <v>5.0999999999999997E-2</v>
      </c>
      <c r="AA176" s="390">
        <f t="shared" si="139"/>
        <v>5.0999999999999997E-2</v>
      </c>
      <c r="AB176" s="390">
        <f t="shared" si="139"/>
        <v>5.0999999999999997E-2</v>
      </c>
      <c r="AD176" s="66" t="str">
        <f>IF(COUNTIF($AH$4:$AQ$4,AD175)=1,"ok","MISSING")</f>
        <v>ok</v>
      </c>
    </row>
    <row r="177" spans="1:52" s="83" customFormat="1" x14ac:dyDescent="0.3">
      <c r="A177" s="82"/>
      <c r="B177" s="178" t="str">
        <f>B176</f>
        <v>TFLEHYG900</v>
      </c>
      <c r="C177" s="178"/>
      <c r="D177" s="179"/>
      <c r="E177" s="178"/>
      <c r="F177" s="182"/>
      <c r="G177" s="173" t="s">
        <v>636</v>
      </c>
      <c r="H177" s="182"/>
      <c r="I177" s="183"/>
      <c r="J177" s="184"/>
      <c r="K177" s="184"/>
      <c r="L177" s="184" t="s">
        <v>1125</v>
      </c>
      <c r="M177" s="184" t="s">
        <v>677</v>
      </c>
      <c r="N177" s="675">
        <f>T_CEFF!H241</f>
        <v>0.5988</v>
      </c>
      <c r="O177" s="675">
        <f>T_CEFF!I241</f>
        <v>0.5988</v>
      </c>
      <c r="P177" s="675">
        <f>T_CEFF!J241</f>
        <v>0.5988</v>
      </c>
      <c r="Q177" s="675">
        <f>T_CEFF!K241</f>
        <v>0.5988</v>
      </c>
      <c r="R177" s="675">
        <f>T_CEFF!L241</f>
        <v>0.5988</v>
      </c>
      <c r="S177" s="675">
        <f>T_CEFF!M241</f>
        <v>0.5988</v>
      </c>
      <c r="T177" s="675">
        <f>T_CEFF!N241</f>
        <v>0.5988</v>
      </c>
      <c r="U177" s="675">
        <f>T_CEFF!O241</f>
        <v>0.5988</v>
      </c>
      <c r="V177" s="675">
        <f>T_CEFF!P241</f>
        <v>0.5988</v>
      </c>
      <c r="W177" s="675">
        <f>T_CEFF!Q241</f>
        <v>0.5988</v>
      </c>
      <c r="X177" s="675">
        <f>T_CEFF!R241</f>
        <v>0.5988</v>
      </c>
      <c r="Y177" s="675">
        <f>T_CEFF!S241</f>
        <v>0.5988</v>
      </c>
      <c r="Z177" s="675">
        <f>T_CEFF!T241</f>
        <v>0.5988</v>
      </c>
      <c r="AA177" s="675">
        <f>T_CEFF!U241</f>
        <v>0.5988</v>
      </c>
      <c r="AB177" s="675">
        <f>T_CEFF!V241</f>
        <v>0.5988</v>
      </c>
    </row>
    <row r="178" spans="1:52" s="83" customFormat="1" x14ac:dyDescent="0.3">
      <c r="A178" s="82"/>
      <c r="B178" s="178" t="str">
        <f>B177</f>
        <v>TFLEHYG900</v>
      </c>
      <c r="C178" s="178"/>
      <c r="D178" s="179"/>
      <c r="E178" s="178"/>
      <c r="F178" s="182"/>
      <c r="G178" s="173" t="s">
        <v>639</v>
      </c>
      <c r="H178" s="182"/>
      <c r="I178" s="183"/>
      <c r="J178" s="184"/>
      <c r="K178" s="184"/>
      <c r="L178" s="184" t="s">
        <v>1125</v>
      </c>
      <c r="M178" s="184" t="s">
        <v>677</v>
      </c>
      <c r="N178" s="675">
        <f>T_CEFF!H242</f>
        <v>0.49504999999999999</v>
      </c>
      <c r="O178" s="675">
        <f>T_CEFF!I242</f>
        <v>0.49504999999999999</v>
      </c>
      <c r="P178" s="675">
        <f>T_CEFF!J242</f>
        <v>0.49504999999999999</v>
      </c>
      <c r="Q178" s="675">
        <f>T_CEFF!K242</f>
        <v>0.49504999999999999</v>
      </c>
      <c r="R178" s="675">
        <f>T_CEFF!L242</f>
        <v>0.49504999999999999</v>
      </c>
      <c r="S178" s="675">
        <f>T_CEFF!M242</f>
        <v>0.49504999999999999</v>
      </c>
      <c r="T178" s="675">
        <f>T_CEFF!N242</f>
        <v>0.49504999999999999</v>
      </c>
      <c r="U178" s="675">
        <f>T_CEFF!O242</f>
        <v>0.49504999999999999</v>
      </c>
      <c r="V178" s="675">
        <f>T_CEFF!P242</f>
        <v>0.49504999999999999</v>
      </c>
      <c r="W178" s="675">
        <f>T_CEFF!Q242</f>
        <v>0.49504999999999999</v>
      </c>
      <c r="X178" s="675">
        <f>T_CEFF!R242</f>
        <v>0.49504999999999999</v>
      </c>
      <c r="Y178" s="675">
        <f>T_CEFF!S242</f>
        <v>0.49504999999999999</v>
      </c>
      <c r="Z178" s="675">
        <f>T_CEFF!T242</f>
        <v>0.49504999999999999</v>
      </c>
      <c r="AA178" s="675">
        <f>T_CEFF!U242</f>
        <v>0.49504999999999999</v>
      </c>
      <c r="AB178" s="675">
        <f>T_CEFF!V242</f>
        <v>0.49504999999999999</v>
      </c>
    </row>
    <row r="179" spans="1:52" s="83" customFormat="1" x14ac:dyDescent="0.3">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3">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1">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3">
      <c r="A181" s="82"/>
      <c r="B181" s="178" t="str">
        <f t="shared" si="140"/>
        <v>TFLEHYG900</v>
      </c>
      <c r="C181" s="178"/>
      <c r="D181" s="179"/>
      <c r="E181" s="178"/>
      <c r="F181" s="182"/>
      <c r="G181" s="181"/>
      <c r="H181" s="182"/>
      <c r="I181" s="183">
        <f>$M$3</f>
        <v>2019</v>
      </c>
      <c r="J181" s="184"/>
      <c r="K181" s="184"/>
      <c r="L181" s="203" t="s">
        <v>1064</v>
      </c>
      <c r="M181" s="184" t="s">
        <v>747</v>
      </c>
      <c r="N181" s="693">
        <f>LOOKUP($C$175, 'T_Stock_TOTAL_&amp;_City'!$C$90:$C$100, 'T_Stock_TOTAL_&amp;_City'!D$90:D$100)*(1+N80)</f>
        <v>0</v>
      </c>
      <c r="O181" s="693">
        <f>LOOKUP($C$175, 'T_Stock_TOTAL_&amp;_City'!$C$90:$C$100, 'T_Stock_TOTAL_&amp;_City'!E$90:E$100)*(1+O80)</f>
        <v>0</v>
      </c>
      <c r="P181" s="693">
        <f>LOOKUP($C$175, 'T_Stock_TOTAL_&amp;_City'!$C$90:$C$100, 'T_Stock_TOTAL_&amp;_City'!F$90:F$100)*(1+P80)</f>
        <v>0</v>
      </c>
      <c r="Q181" s="693">
        <f>LOOKUP($C$175, 'T_Stock_TOTAL_&amp;_City'!$C$90:$C$100, 'T_Stock_TOTAL_&amp;_City'!G$90:G$100)*(1+Q80)</f>
        <v>0</v>
      </c>
      <c r="R181" s="693">
        <f>LOOKUP($C$175, 'T_Stock_TOTAL_&amp;_City'!$C$90:$C$100, 'T_Stock_TOTAL_&amp;_City'!H$90:H$100)*(1+R80)</f>
        <v>0</v>
      </c>
      <c r="S181" s="693">
        <f>LOOKUP($C$175, 'T_Stock_TOTAL_&amp;_City'!$C$90:$C$100, 'T_Stock_TOTAL_&amp;_City'!I$90:I$100)*(1+S80)</f>
        <v>0</v>
      </c>
      <c r="T181" s="693">
        <f>LOOKUP($C$175, 'T_Stock_TOTAL_&amp;_City'!$C$90:$C$100, 'T_Stock_TOTAL_&amp;_City'!J$90:J$100)*(1+T80)</f>
        <v>0</v>
      </c>
      <c r="U181" s="693">
        <f>LOOKUP($C$175, 'T_Stock_TOTAL_&amp;_City'!$C$90:$C$100, 'T_Stock_TOTAL_&amp;_City'!K$90:K$100)*(1+U80)</f>
        <v>0</v>
      </c>
      <c r="V181" s="693">
        <f>LOOKUP($C$175, 'T_Stock_TOTAL_&amp;_City'!$C$90:$C$100, 'T_Stock_TOTAL_&amp;_City'!L$90:L$100)*(1+V80)</f>
        <v>0</v>
      </c>
      <c r="W181" s="693">
        <f>LOOKUP($C$175, 'T_Stock_TOTAL_&amp;_City'!$C$90:$C$100, 'T_Stock_TOTAL_&amp;_City'!M$90:M$100)*(1+W80)</f>
        <v>0</v>
      </c>
      <c r="X181" s="693">
        <f>LOOKUP($C$175, 'T_Stock_TOTAL_&amp;_City'!$C$90:$C$100, 'T_Stock_TOTAL_&amp;_City'!N$90:N$100)*(1+X80)</f>
        <v>0</v>
      </c>
      <c r="Y181" s="693">
        <f>LOOKUP($C$175, 'T_Stock_TOTAL_&amp;_City'!$C$90:$C$100, 'T_Stock_TOTAL_&amp;_City'!O$90:O$100)*(1+Y80)</f>
        <v>0</v>
      </c>
      <c r="Z181" s="693">
        <f>LOOKUP($C$175, 'T_Stock_TOTAL_&amp;_City'!$C$90:$C$100, 'T_Stock_TOTAL_&amp;_City'!P$90:P$100)*(1+Z80)</f>
        <v>0</v>
      </c>
      <c r="AA181" s="693">
        <f>LOOKUP($C$175, 'T_Stock_TOTAL_&amp;_City'!$C$90:$C$100, 'T_Stock_TOTAL_&amp;_City'!Q$90:Q$100)*(1+AA80)</f>
        <v>0</v>
      </c>
      <c r="AB181" s="693">
        <f>LOOKUP($C$175, 'T_Stock_TOTAL_&amp;_City'!$C$90:$C$100, 'T_Stock_TOTAL_&amp;_City'!R$90:R$100)*(1+AB80)</f>
        <v>0</v>
      </c>
      <c r="AD181" s="35"/>
    </row>
    <row r="182" spans="1:52" s="83" customFormat="1" x14ac:dyDescent="0.3">
      <c r="A182" s="82"/>
      <c r="B182" s="178" t="str">
        <f t="shared" si="140"/>
        <v>TFLEHYG900</v>
      </c>
      <c r="C182" s="178"/>
      <c r="D182" s="179"/>
      <c r="E182" s="178"/>
      <c r="F182" s="182"/>
      <c r="G182" s="181"/>
      <c r="H182" s="182"/>
      <c r="I182" s="183">
        <f>AF$5</f>
        <v>2016</v>
      </c>
      <c r="J182" s="184"/>
      <c r="K182" s="184"/>
      <c r="L182" s="203" t="s">
        <v>1064</v>
      </c>
      <c r="M182" s="184" t="s">
        <v>747</v>
      </c>
      <c r="N182" s="693">
        <f t="shared" ref="N182:AB182" si="143">N181*LOOKUP($AD175,$AH$4:$AQ$4,$AH$5:$AQ$5)</f>
        <v>0</v>
      </c>
      <c r="O182" s="693">
        <f t="shared" si="143"/>
        <v>0</v>
      </c>
      <c r="P182" s="693">
        <f t="shared" si="143"/>
        <v>0</v>
      </c>
      <c r="Q182" s="693">
        <f t="shared" si="143"/>
        <v>0</v>
      </c>
      <c r="R182" s="693">
        <f t="shared" si="143"/>
        <v>0</v>
      </c>
      <c r="S182" s="693">
        <f t="shared" si="143"/>
        <v>0</v>
      </c>
      <c r="T182" s="693">
        <f t="shared" si="143"/>
        <v>0</v>
      </c>
      <c r="U182" s="693">
        <f t="shared" si="143"/>
        <v>0</v>
      </c>
      <c r="V182" s="693">
        <f t="shared" si="143"/>
        <v>0</v>
      </c>
      <c r="W182" s="693">
        <f t="shared" si="143"/>
        <v>0</v>
      </c>
      <c r="X182" s="693">
        <f t="shared" si="143"/>
        <v>0</v>
      </c>
      <c r="Y182" s="693">
        <f t="shared" si="143"/>
        <v>0</v>
      </c>
      <c r="Z182" s="693">
        <f t="shared" si="143"/>
        <v>0</v>
      </c>
      <c r="AA182" s="693">
        <f t="shared" si="143"/>
        <v>0</v>
      </c>
      <c r="AB182" s="693">
        <f t="shared" si="143"/>
        <v>0</v>
      </c>
      <c r="AD182" s="35"/>
    </row>
    <row r="183" spans="1:52" s="83" customFormat="1" x14ac:dyDescent="0.3">
      <c r="A183" s="82"/>
      <c r="B183" s="178" t="str">
        <f t="shared" si="140"/>
        <v>TFLEHYG900</v>
      </c>
      <c r="C183" s="178"/>
      <c r="D183" s="179"/>
      <c r="E183" s="178"/>
      <c r="F183" s="182"/>
      <c r="G183" s="181"/>
      <c r="H183" s="182"/>
      <c r="I183" s="183">
        <f>AF$6</f>
        <v>2020</v>
      </c>
      <c r="J183" s="184"/>
      <c r="K183" s="184"/>
      <c r="L183" s="203" t="s">
        <v>1064</v>
      </c>
      <c r="M183" s="184" t="s">
        <v>747</v>
      </c>
      <c r="N183" s="693">
        <f t="shared" ref="N183:AB183" si="144">N181*LOOKUP($AD175,$AH$4:$AQ$4,$AH$6:$AQ$6)</f>
        <v>0</v>
      </c>
      <c r="O183" s="693">
        <f t="shared" si="144"/>
        <v>0</v>
      </c>
      <c r="P183" s="693">
        <f t="shared" si="144"/>
        <v>0</v>
      </c>
      <c r="Q183" s="693">
        <f t="shared" si="144"/>
        <v>0</v>
      </c>
      <c r="R183" s="693">
        <f t="shared" si="144"/>
        <v>0</v>
      </c>
      <c r="S183" s="693">
        <f t="shared" si="144"/>
        <v>0</v>
      </c>
      <c r="T183" s="693">
        <f t="shared" si="144"/>
        <v>0</v>
      </c>
      <c r="U183" s="693">
        <f t="shared" si="144"/>
        <v>0</v>
      </c>
      <c r="V183" s="693">
        <f t="shared" si="144"/>
        <v>0</v>
      </c>
      <c r="W183" s="693">
        <f t="shared" si="144"/>
        <v>0</v>
      </c>
      <c r="X183" s="693">
        <f t="shared" si="144"/>
        <v>0</v>
      </c>
      <c r="Y183" s="693">
        <f t="shared" si="144"/>
        <v>0</v>
      </c>
      <c r="Z183" s="693">
        <f t="shared" si="144"/>
        <v>0</v>
      </c>
      <c r="AA183" s="693">
        <f t="shared" si="144"/>
        <v>0</v>
      </c>
      <c r="AB183" s="693">
        <f t="shared" si="144"/>
        <v>0</v>
      </c>
      <c r="AD183" s="35"/>
    </row>
    <row r="184" spans="1:52" s="83" customFormat="1" x14ac:dyDescent="0.3">
      <c r="A184" s="82"/>
      <c r="B184" s="178" t="str">
        <f t="shared" si="140"/>
        <v>TFLEHYG900</v>
      </c>
      <c r="C184" s="178"/>
      <c r="D184" s="179"/>
      <c r="E184" s="178"/>
      <c r="F184" s="182"/>
      <c r="G184" s="181"/>
      <c r="H184" s="182"/>
      <c r="I184" s="183">
        <f>AF$7</f>
        <v>2025</v>
      </c>
      <c r="J184" s="184"/>
      <c r="K184" s="184"/>
      <c r="L184" s="203" t="s">
        <v>1064</v>
      </c>
      <c r="M184" s="184" t="s">
        <v>747</v>
      </c>
      <c r="N184" s="693">
        <f t="shared" ref="N184:AB184" si="145">N181*LOOKUP($AD175,$AH$4:$AQ$4,$AH$7:$AQ$7)</f>
        <v>0</v>
      </c>
      <c r="O184" s="693">
        <f t="shared" si="145"/>
        <v>0</v>
      </c>
      <c r="P184" s="693">
        <f t="shared" si="145"/>
        <v>0</v>
      </c>
      <c r="Q184" s="693">
        <f t="shared" si="145"/>
        <v>0</v>
      </c>
      <c r="R184" s="693">
        <f t="shared" si="145"/>
        <v>0</v>
      </c>
      <c r="S184" s="693">
        <f t="shared" si="145"/>
        <v>0</v>
      </c>
      <c r="T184" s="693">
        <f t="shared" si="145"/>
        <v>0</v>
      </c>
      <c r="U184" s="693">
        <f t="shared" si="145"/>
        <v>0</v>
      </c>
      <c r="V184" s="693">
        <f t="shared" si="145"/>
        <v>0</v>
      </c>
      <c r="W184" s="693">
        <f t="shared" si="145"/>
        <v>0</v>
      </c>
      <c r="X184" s="693">
        <f t="shared" si="145"/>
        <v>0</v>
      </c>
      <c r="Y184" s="693">
        <f t="shared" si="145"/>
        <v>0</v>
      </c>
      <c r="Z184" s="693">
        <f t="shared" si="145"/>
        <v>0</v>
      </c>
      <c r="AA184" s="693">
        <f t="shared" si="145"/>
        <v>0</v>
      </c>
      <c r="AB184" s="693">
        <f t="shared" si="145"/>
        <v>0</v>
      </c>
      <c r="AD184" s="35"/>
    </row>
    <row r="185" spans="1:52" s="83" customFormat="1" x14ac:dyDescent="0.3">
      <c r="A185" s="82"/>
      <c r="B185" s="178" t="str">
        <f t="shared" si="140"/>
        <v>TFLEHYG900</v>
      </c>
      <c r="C185" s="178"/>
      <c r="D185" s="179"/>
      <c r="E185" s="178"/>
      <c r="F185" s="182"/>
      <c r="G185" s="181"/>
      <c r="H185" s="182"/>
      <c r="I185" s="183">
        <f>AF$8</f>
        <v>2030</v>
      </c>
      <c r="J185" s="184"/>
      <c r="K185" s="184"/>
      <c r="L185" s="203" t="s">
        <v>1064</v>
      </c>
      <c r="M185" s="184" t="s">
        <v>747</v>
      </c>
      <c r="N185" s="693">
        <f t="shared" ref="N185:AB185" si="146">N181*LOOKUP($AD175,$AH$4:$AQ$4,$AH$8:$AQ$8)</f>
        <v>0</v>
      </c>
      <c r="O185" s="693">
        <f t="shared" si="146"/>
        <v>0</v>
      </c>
      <c r="P185" s="693">
        <f t="shared" si="146"/>
        <v>0</v>
      </c>
      <c r="Q185" s="693">
        <f t="shared" si="146"/>
        <v>0</v>
      </c>
      <c r="R185" s="693">
        <f t="shared" si="146"/>
        <v>0</v>
      </c>
      <c r="S185" s="693">
        <f t="shared" si="146"/>
        <v>0</v>
      </c>
      <c r="T185" s="693">
        <f t="shared" si="146"/>
        <v>0</v>
      </c>
      <c r="U185" s="693">
        <f t="shared" si="146"/>
        <v>0</v>
      </c>
      <c r="V185" s="693">
        <f t="shared" si="146"/>
        <v>0</v>
      </c>
      <c r="W185" s="693">
        <f t="shared" si="146"/>
        <v>0</v>
      </c>
      <c r="X185" s="693">
        <f t="shared" si="146"/>
        <v>0</v>
      </c>
      <c r="Y185" s="693">
        <f t="shared" si="146"/>
        <v>0</v>
      </c>
      <c r="Z185" s="693">
        <f t="shared" si="146"/>
        <v>0</v>
      </c>
      <c r="AA185" s="693">
        <f t="shared" si="146"/>
        <v>0</v>
      </c>
      <c r="AB185" s="693">
        <f t="shared" si="146"/>
        <v>0</v>
      </c>
      <c r="AD185" s="35"/>
    </row>
    <row r="186" spans="1:52" s="83" customFormat="1" x14ac:dyDescent="0.3">
      <c r="A186" s="82"/>
      <c r="B186" s="178" t="str">
        <f t="shared" si="140"/>
        <v>TFLEHYG900</v>
      </c>
      <c r="C186" s="178"/>
      <c r="D186" s="179"/>
      <c r="E186" s="178"/>
      <c r="F186" s="182"/>
      <c r="G186" s="181"/>
      <c r="H186" s="182"/>
      <c r="I186" s="183">
        <f>AF$9</f>
        <v>2040</v>
      </c>
      <c r="J186" s="184"/>
      <c r="K186" s="184"/>
      <c r="L186" s="203" t="s">
        <v>1064</v>
      </c>
      <c r="M186" s="184" t="s">
        <v>747</v>
      </c>
      <c r="N186" s="693">
        <f t="shared" ref="N186:AB186" si="147">N181*LOOKUP($AD175,$AH$4:$AQ$4,$AH$9:$AQ$9)</f>
        <v>0</v>
      </c>
      <c r="O186" s="693">
        <f t="shared" si="147"/>
        <v>0</v>
      </c>
      <c r="P186" s="693">
        <f t="shared" si="147"/>
        <v>0</v>
      </c>
      <c r="Q186" s="693">
        <f t="shared" si="147"/>
        <v>0</v>
      </c>
      <c r="R186" s="693">
        <f t="shared" si="147"/>
        <v>0</v>
      </c>
      <c r="S186" s="693">
        <f t="shared" si="147"/>
        <v>0</v>
      </c>
      <c r="T186" s="693">
        <f t="shared" si="147"/>
        <v>0</v>
      </c>
      <c r="U186" s="693">
        <f t="shared" si="147"/>
        <v>0</v>
      </c>
      <c r="V186" s="693">
        <f t="shared" si="147"/>
        <v>0</v>
      </c>
      <c r="W186" s="693">
        <f t="shared" si="147"/>
        <v>0</v>
      </c>
      <c r="X186" s="693">
        <f t="shared" si="147"/>
        <v>0</v>
      </c>
      <c r="Y186" s="693">
        <f t="shared" si="147"/>
        <v>0</v>
      </c>
      <c r="Z186" s="693">
        <f t="shared" si="147"/>
        <v>0</v>
      </c>
      <c r="AA186" s="693">
        <f t="shared" si="147"/>
        <v>0</v>
      </c>
      <c r="AB186" s="693">
        <f t="shared" si="147"/>
        <v>0</v>
      </c>
      <c r="AD186" s="35"/>
    </row>
    <row r="187" spans="1:52" s="83" customFormat="1" x14ac:dyDescent="0.3">
      <c r="A187" s="82"/>
      <c r="B187" s="204" t="str">
        <f t="shared" si="140"/>
        <v>TFLEHYG900</v>
      </c>
      <c r="C187" s="204"/>
      <c r="D187" s="205"/>
      <c r="E187" s="204"/>
      <c r="F187" s="206"/>
      <c r="G187" s="207"/>
      <c r="H187" s="206"/>
      <c r="I187" s="208">
        <f>AF$10</f>
        <v>2050</v>
      </c>
      <c r="J187" s="209"/>
      <c r="K187" s="209"/>
      <c r="L187" s="210" t="s">
        <v>1064</v>
      </c>
      <c r="M187" s="209" t="s">
        <v>747</v>
      </c>
      <c r="N187" s="694">
        <f t="shared" ref="N187:AB187" si="148">N181*LOOKUP($AD175,$AH$4:$AQ$4,$AH$10:$AQ$10)</f>
        <v>0</v>
      </c>
      <c r="O187" s="694">
        <f t="shared" si="148"/>
        <v>0</v>
      </c>
      <c r="P187" s="694">
        <f t="shared" si="148"/>
        <v>0</v>
      </c>
      <c r="Q187" s="694">
        <f t="shared" si="148"/>
        <v>0</v>
      </c>
      <c r="R187" s="694">
        <f t="shared" si="148"/>
        <v>0</v>
      </c>
      <c r="S187" s="694">
        <f t="shared" si="148"/>
        <v>0</v>
      </c>
      <c r="T187" s="694">
        <f t="shared" si="148"/>
        <v>0</v>
      </c>
      <c r="U187" s="694">
        <f t="shared" si="148"/>
        <v>0</v>
      </c>
      <c r="V187" s="694">
        <f t="shared" si="148"/>
        <v>0</v>
      </c>
      <c r="W187" s="694">
        <f t="shared" si="148"/>
        <v>0</v>
      </c>
      <c r="X187" s="694">
        <f t="shared" si="148"/>
        <v>0</v>
      </c>
      <c r="Y187" s="694">
        <f t="shared" si="148"/>
        <v>0</v>
      </c>
      <c r="Z187" s="694">
        <f t="shared" si="148"/>
        <v>0</v>
      </c>
      <c r="AA187" s="694">
        <f t="shared" si="148"/>
        <v>0</v>
      </c>
      <c r="AB187" s="694">
        <f t="shared" si="148"/>
        <v>0</v>
      </c>
    </row>
    <row r="188" spans="1:52" s="83" customFormat="1" x14ac:dyDescent="0.3">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3">
      <c r="A189" s="22"/>
      <c r="B189" s="186" t="str">
        <f t="shared" ref="B189:B199" si="150">B188</f>
        <v>TFLELPG900</v>
      </c>
      <c r="C189" s="186"/>
      <c r="D189" s="187"/>
      <c r="E189" s="186"/>
      <c r="F189" s="170"/>
      <c r="G189" s="173" t="s">
        <v>636</v>
      </c>
      <c r="H189" s="170"/>
      <c r="I189" s="190"/>
      <c r="J189" s="191"/>
      <c r="K189" s="191"/>
      <c r="L189" s="191" t="s">
        <v>1125</v>
      </c>
      <c r="M189" s="191" t="s">
        <v>677</v>
      </c>
      <c r="N189" s="675">
        <f>T_CEFF!H243</f>
        <v>0.48309000000000002</v>
      </c>
      <c r="O189" s="675">
        <f>T_CEFF!I243</f>
        <v>0.48309000000000002</v>
      </c>
      <c r="P189" s="675">
        <f>T_CEFF!J243</f>
        <v>0.48309000000000002</v>
      </c>
      <c r="Q189" s="675">
        <f>T_CEFF!K243</f>
        <v>0.48309000000000002</v>
      </c>
      <c r="R189" s="675">
        <f>T_CEFF!L243</f>
        <v>0.48309000000000002</v>
      </c>
      <c r="S189" s="675">
        <f>T_CEFF!M243</f>
        <v>0.48309000000000002</v>
      </c>
      <c r="T189" s="675">
        <f>T_CEFF!N243</f>
        <v>0.48309000000000002</v>
      </c>
      <c r="U189" s="675">
        <f>T_CEFF!O243</f>
        <v>0.48309000000000002</v>
      </c>
      <c r="V189" s="675">
        <f>T_CEFF!P243</f>
        <v>0.48309000000000002</v>
      </c>
      <c r="W189" s="675">
        <f>T_CEFF!Q243</f>
        <v>0.48309000000000002</v>
      </c>
      <c r="X189" s="675">
        <f>T_CEFF!R243</f>
        <v>0.48309000000000002</v>
      </c>
      <c r="Y189" s="675">
        <f>T_CEFF!S243</f>
        <v>0.48309000000000002</v>
      </c>
      <c r="Z189" s="675">
        <f>T_CEFF!T243</f>
        <v>0.48309000000000002</v>
      </c>
      <c r="AA189" s="675">
        <f>T_CEFF!U243</f>
        <v>0.48309000000000002</v>
      </c>
      <c r="AB189" s="675">
        <f>T_CEFF!V243</f>
        <v>0.48309000000000002</v>
      </c>
      <c r="AC189" s="35"/>
      <c r="AD189" s="66" t="str">
        <f>IF(COUNTIF($AH$4:$AQ$4,AD188)=1,"ok","MISSING")</f>
        <v>ok</v>
      </c>
      <c r="AU189" s="35"/>
      <c r="AV189" s="35"/>
      <c r="AW189" s="35"/>
      <c r="AX189" s="35"/>
      <c r="AY189" s="35"/>
      <c r="AZ189" s="35"/>
    </row>
    <row r="190" spans="1:52" x14ac:dyDescent="0.3">
      <c r="A190" s="22"/>
      <c r="B190" s="186" t="str">
        <f t="shared" si="150"/>
        <v>TFLELPG900</v>
      </c>
      <c r="C190" s="186"/>
      <c r="D190" s="187"/>
      <c r="E190" s="186"/>
      <c r="F190" s="170"/>
      <c r="G190" s="173" t="s">
        <v>639</v>
      </c>
      <c r="H190" s="170"/>
      <c r="I190" s="190"/>
      <c r="J190" s="191"/>
      <c r="K190" s="191"/>
      <c r="L190" s="191" t="s">
        <v>1125</v>
      </c>
      <c r="M190" s="191" t="s">
        <v>677</v>
      </c>
      <c r="N190" s="675">
        <f>T_CEFF!H244</f>
        <v>0.39840999999999999</v>
      </c>
      <c r="O190" s="675">
        <f>T_CEFF!I244</f>
        <v>0.39840999999999999</v>
      </c>
      <c r="P190" s="675">
        <f>T_CEFF!J244</f>
        <v>0.39840999999999999</v>
      </c>
      <c r="Q190" s="675">
        <f>T_CEFF!K244</f>
        <v>0.39840999999999999</v>
      </c>
      <c r="R190" s="675">
        <f>T_CEFF!L244</f>
        <v>0.39840999999999999</v>
      </c>
      <c r="S190" s="675">
        <f>T_CEFF!M244</f>
        <v>0.39840999999999999</v>
      </c>
      <c r="T190" s="675">
        <f>T_CEFF!N244</f>
        <v>0.39840999999999999</v>
      </c>
      <c r="U190" s="675">
        <f>T_CEFF!O244</f>
        <v>0.39840999999999999</v>
      </c>
      <c r="V190" s="675">
        <f>T_CEFF!P244</f>
        <v>0.39840999999999999</v>
      </c>
      <c r="W190" s="675">
        <f>T_CEFF!Q244</f>
        <v>0.39840999999999999</v>
      </c>
      <c r="X190" s="675">
        <f>T_CEFF!R244</f>
        <v>0.39840999999999999</v>
      </c>
      <c r="Y190" s="675">
        <f>T_CEFF!S244</f>
        <v>0.39840999999999999</v>
      </c>
      <c r="Z190" s="675">
        <f>T_CEFF!T244</f>
        <v>0.39840999999999999</v>
      </c>
      <c r="AA190" s="675">
        <f>T_CEFF!U244</f>
        <v>0.39840999999999999</v>
      </c>
      <c r="AB190" s="675">
        <f>T_CEFF!V244</f>
        <v>0.39840999999999999</v>
      </c>
    </row>
    <row r="191" spans="1:52" x14ac:dyDescent="0.3">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3">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1">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3">
      <c r="A193" s="22"/>
      <c r="B193" s="186" t="str">
        <f t="shared" si="150"/>
        <v>TFLELPG900</v>
      </c>
      <c r="C193" s="186"/>
      <c r="D193" s="187"/>
      <c r="E193" s="186"/>
      <c r="F193" s="170"/>
      <c r="G193" s="189"/>
      <c r="H193" s="170"/>
      <c r="I193" s="190">
        <f>$M$3</f>
        <v>2019</v>
      </c>
      <c r="J193" s="191"/>
      <c r="K193" s="191"/>
      <c r="L193" s="211" t="s">
        <v>1064</v>
      </c>
      <c r="M193" s="191" t="s">
        <v>747</v>
      </c>
      <c r="N193" s="693">
        <f>LOOKUP($C$188, 'T_Stock_TOTAL_&amp;_City'!$C$90:$C$100, 'T_Stock_TOTAL_&amp;_City'!D$90:D$100)*(1+N80)</f>
        <v>0</v>
      </c>
      <c r="O193" s="693">
        <f>LOOKUP($C$188, 'T_Stock_TOTAL_&amp;_City'!$C$90:$C$100, 'T_Stock_TOTAL_&amp;_City'!E$90:E$100)*(1+O80)</f>
        <v>0</v>
      </c>
      <c r="P193" s="693">
        <f>LOOKUP($C$188, 'T_Stock_TOTAL_&amp;_City'!$C$90:$C$100, 'T_Stock_TOTAL_&amp;_City'!F$90:F$100)*(1+P80)</f>
        <v>0</v>
      </c>
      <c r="Q193" s="693">
        <f>LOOKUP($C$188, 'T_Stock_TOTAL_&amp;_City'!$C$90:$C$100, 'T_Stock_TOTAL_&amp;_City'!G$90:G$100)*(1+Q80)</f>
        <v>0</v>
      </c>
      <c r="R193" s="693">
        <f>LOOKUP($C$188, 'T_Stock_TOTAL_&amp;_City'!$C$90:$C$100, 'T_Stock_TOTAL_&amp;_City'!H$90:H$100)*(1+R80)</f>
        <v>0</v>
      </c>
      <c r="S193" s="693">
        <f>LOOKUP($C$188, 'T_Stock_TOTAL_&amp;_City'!$C$90:$C$100, 'T_Stock_TOTAL_&amp;_City'!I$90:I$100)*(1+S80)</f>
        <v>0</v>
      </c>
      <c r="T193" s="693">
        <f>LOOKUP($C$188, 'T_Stock_TOTAL_&amp;_City'!$C$90:$C$100, 'T_Stock_TOTAL_&amp;_City'!J$90:J$100)*(1+T80)</f>
        <v>0</v>
      </c>
      <c r="U193" s="693">
        <f>LOOKUP($C$188, 'T_Stock_TOTAL_&amp;_City'!$C$90:$C$100, 'T_Stock_TOTAL_&amp;_City'!K$90:K$100)*(1+U80)</f>
        <v>0</v>
      </c>
      <c r="V193" s="693">
        <f>LOOKUP($C$188, 'T_Stock_TOTAL_&amp;_City'!$C$90:$C$100, 'T_Stock_TOTAL_&amp;_City'!L$90:L$100)*(1+V80)</f>
        <v>0</v>
      </c>
      <c r="W193" s="693">
        <f>LOOKUP($C$188, 'T_Stock_TOTAL_&amp;_City'!$C$90:$C$100, 'T_Stock_TOTAL_&amp;_City'!M$90:M$100)*(1+W80)</f>
        <v>0</v>
      </c>
      <c r="X193" s="693">
        <f>LOOKUP($C$188, 'T_Stock_TOTAL_&amp;_City'!$C$90:$C$100, 'T_Stock_TOTAL_&amp;_City'!N$90:N$100)*(1+X80)</f>
        <v>0</v>
      </c>
      <c r="Y193" s="693">
        <f>LOOKUP($C$188, 'T_Stock_TOTAL_&amp;_City'!$C$90:$C$100, 'T_Stock_TOTAL_&amp;_City'!O$90:O$100)*(1+Y80)</f>
        <v>0</v>
      </c>
      <c r="Z193" s="693">
        <f>LOOKUP($C$188, 'T_Stock_TOTAL_&amp;_City'!$C$90:$C$100, 'T_Stock_TOTAL_&amp;_City'!P$90:P$100)*(1+Z80)</f>
        <v>0</v>
      </c>
      <c r="AA193" s="693">
        <f>LOOKUP($C$188, 'T_Stock_TOTAL_&amp;_City'!$C$90:$C$100, 'T_Stock_TOTAL_&amp;_City'!Q$90:Q$100)*(1+AA80)</f>
        <v>0</v>
      </c>
      <c r="AB193" s="693">
        <f>LOOKUP($C$188, 'T_Stock_TOTAL_&amp;_City'!$C$90:$C$100, 'T_Stock_TOTAL_&amp;_City'!R$90:R$100)*(1+AB80)</f>
        <v>0</v>
      </c>
    </row>
    <row r="194" spans="1:52" x14ac:dyDescent="0.3">
      <c r="A194" s="22"/>
      <c r="B194" s="186" t="str">
        <f t="shared" si="150"/>
        <v>TFLELPG900</v>
      </c>
      <c r="C194" s="186"/>
      <c r="D194" s="187"/>
      <c r="E194" s="186"/>
      <c r="F194" s="170"/>
      <c r="G194" s="189"/>
      <c r="H194" s="170"/>
      <c r="I194" s="183">
        <f>AF$5</f>
        <v>2016</v>
      </c>
      <c r="J194" s="191"/>
      <c r="K194" s="191"/>
      <c r="L194" s="211" t="s">
        <v>1064</v>
      </c>
      <c r="M194" s="191" t="s">
        <v>747</v>
      </c>
      <c r="N194" s="693">
        <f t="shared" ref="N194:AB194" si="153">N193*LOOKUP($AD188,$AH$4:$AQ$4,$AH$5:$AQ$5)</f>
        <v>0</v>
      </c>
      <c r="O194" s="693">
        <f t="shared" si="153"/>
        <v>0</v>
      </c>
      <c r="P194" s="693">
        <f t="shared" si="153"/>
        <v>0</v>
      </c>
      <c r="Q194" s="693">
        <f t="shared" si="153"/>
        <v>0</v>
      </c>
      <c r="R194" s="693">
        <f t="shared" si="153"/>
        <v>0</v>
      </c>
      <c r="S194" s="693">
        <f t="shared" si="153"/>
        <v>0</v>
      </c>
      <c r="T194" s="693">
        <f t="shared" si="153"/>
        <v>0</v>
      </c>
      <c r="U194" s="693">
        <f t="shared" si="153"/>
        <v>0</v>
      </c>
      <c r="V194" s="693">
        <f t="shared" si="153"/>
        <v>0</v>
      </c>
      <c r="W194" s="693">
        <f t="shared" si="153"/>
        <v>0</v>
      </c>
      <c r="X194" s="693">
        <f t="shared" si="153"/>
        <v>0</v>
      </c>
      <c r="Y194" s="693">
        <f t="shared" si="153"/>
        <v>0</v>
      </c>
      <c r="Z194" s="693">
        <f t="shared" si="153"/>
        <v>0</v>
      </c>
      <c r="AA194" s="693">
        <f t="shared" si="153"/>
        <v>0</v>
      </c>
      <c r="AB194" s="693">
        <f t="shared" si="153"/>
        <v>0</v>
      </c>
    </row>
    <row r="195" spans="1:52" x14ac:dyDescent="0.3">
      <c r="A195" s="22"/>
      <c r="B195" s="186" t="str">
        <f t="shared" si="150"/>
        <v>TFLELPG900</v>
      </c>
      <c r="C195" s="186"/>
      <c r="D195" s="187"/>
      <c r="E195" s="186"/>
      <c r="F195" s="170"/>
      <c r="G195" s="189"/>
      <c r="H195" s="170"/>
      <c r="I195" s="183">
        <f>AF$6</f>
        <v>2020</v>
      </c>
      <c r="J195" s="191"/>
      <c r="K195" s="191"/>
      <c r="L195" s="211" t="s">
        <v>1064</v>
      </c>
      <c r="M195" s="191" t="s">
        <v>747</v>
      </c>
      <c r="N195" s="693">
        <f t="shared" ref="N195:AB195" si="154">N193*LOOKUP($AD188,$AH$4:$AQ$4,$AH$6:$AQ$6)</f>
        <v>0</v>
      </c>
      <c r="O195" s="693">
        <f t="shared" si="154"/>
        <v>0</v>
      </c>
      <c r="P195" s="693">
        <f t="shared" si="154"/>
        <v>0</v>
      </c>
      <c r="Q195" s="693">
        <f t="shared" si="154"/>
        <v>0</v>
      </c>
      <c r="R195" s="693">
        <f t="shared" si="154"/>
        <v>0</v>
      </c>
      <c r="S195" s="693">
        <f t="shared" si="154"/>
        <v>0</v>
      </c>
      <c r="T195" s="693">
        <f t="shared" si="154"/>
        <v>0</v>
      </c>
      <c r="U195" s="693">
        <f t="shared" si="154"/>
        <v>0</v>
      </c>
      <c r="V195" s="693">
        <f t="shared" si="154"/>
        <v>0</v>
      </c>
      <c r="W195" s="693">
        <f t="shared" si="154"/>
        <v>0</v>
      </c>
      <c r="X195" s="693">
        <f t="shared" si="154"/>
        <v>0</v>
      </c>
      <c r="Y195" s="693">
        <f t="shared" si="154"/>
        <v>0</v>
      </c>
      <c r="Z195" s="693">
        <f t="shared" si="154"/>
        <v>0</v>
      </c>
      <c r="AA195" s="693">
        <f t="shared" si="154"/>
        <v>0</v>
      </c>
      <c r="AB195" s="693">
        <f t="shared" si="154"/>
        <v>0</v>
      </c>
    </row>
    <row r="196" spans="1:52" x14ac:dyDescent="0.3">
      <c r="A196" s="22"/>
      <c r="B196" s="186" t="str">
        <f t="shared" si="150"/>
        <v>TFLELPG900</v>
      </c>
      <c r="C196" s="186"/>
      <c r="D196" s="187"/>
      <c r="E196" s="186"/>
      <c r="F196" s="170"/>
      <c r="G196" s="189"/>
      <c r="H196" s="170"/>
      <c r="I196" s="183">
        <f>AF$7</f>
        <v>2025</v>
      </c>
      <c r="J196" s="191"/>
      <c r="K196" s="191"/>
      <c r="L196" s="211" t="s">
        <v>1064</v>
      </c>
      <c r="M196" s="191" t="s">
        <v>747</v>
      </c>
      <c r="N196" s="693">
        <f t="shared" ref="N196:AB196" si="155">N193*LOOKUP($AD188,$AH$4:$AQ$4,$AH$7:$AQ$7)</f>
        <v>0</v>
      </c>
      <c r="O196" s="693">
        <f t="shared" si="155"/>
        <v>0</v>
      </c>
      <c r="P196" s="693">
        <f t="shared" si="155"/>
        <v>0</v>
      </c>
      <c r="Q196" s="693">
        <f t="shared" si="155"/>
        <v>0</v>
      </c>
      <c r="R196" s="693">
        <f t="shared" si="155"/>
        <v>0</v>
      </c>
      <c r="S196" s="693">
        <f t="shared" si="155"/>
        <v>0</v>
      </c>
      <c r="T196" s="693">
        <f t="shared" si="155"/>
        <v>0</v>
      </c>
      <c r="U196" s="693">
        <f t="shared" si="155"/>
        <v>0</v>
      </c>
      <c r="V196" s="693">
        <f t="shared" si="155"/>
        <v>0</v>
      </c>
      <c r="W196" s="693">
        <f t="shared" si="155"/>
        <v>0</v>
      </c>
      <c r="X196" s="693">
        <f t="shared" si="155"/>
        <v>0</v>
      </c>
      <c r="Y196" s="693">
        <f t="shared" si="155"/>
        <v>0</v>
      </c>
      <c r="Z196" s="693">
        <f t="shared" si="155"/>
        <v>0</v>
      </c>
      <c r="AA196" s="693">
        <f t="shared" si="155"/>
        <v>0</v>
      </c>
      <c r="AB196" s="693">
        <f t="shared" si="155"/>
        <v>0</v>
      </c>
    </row>
    <row r="197" spans="1:52" x14ac:dyDescent="0.3">
      <c r="A197" s="22"/>
      <c r="B197" s="186" t="str">
        <f t="shared" si="150"/>
        <v>TFLELPG900</v>
      </c>
      <c r="C197" s="186"/>
      <c r="D197" s="187"/>
      <c r="E197" s="186"/>
      <c r="F197" s="170"/>
      <c r="G197" s="189"/>
      <c r="H197" s="170"/>
      <c r="I197" s="183">
        <f>AF$8</f>
        <v>2030</v>
      </c>
      <c r="J197" s="191"/>
      <c r="K197" s="191"/>
      <c r="L197" s="211" t="s">
        <v>1064</v>
      </c>
      <c r="M197" s="191" t="s">
        <v>747</v>
      </c>
      <c r="N197" s="693">
        <f t="shared" ref="N197:AB197" si="156">N193*LOOKUP($AD188,$AH$4:$AQ$4,$AH$8:$AQ$8)</f>
        <v>0</v>
      </c>
      <c r="O197" s="693">
        <f t="shared" si="156"/>
        <v>0</v>
      </c>
      <c r="P197" s="693">
        <f t="shared" si="156"/>
        <v>0</v>
      </c>
      <c r="Q197" s="693">
        <f t="shared" si="156"/>
        <v>0</v>
      </c>
      <c r="R197" s="693">
        <f t="shared" si="156"/>
        <v>0</v>
      </c>
      <c r="S197" s="693">
        <f t="shared" si="156"/>
        <v>0</v>
      </c>
      <c r="T197" s="693">
        <f t="shared" si="156"/>
        <v>0</v>
      </c>
      <c r="U197" s="693">
        <f t="shared" si="156"/>
        <v>0</v>
      </c>
      <c r="V197" s="693">
        <f t="shared" si="156"/>
        <v>0</v>
      </c>
      <c r="W197" s="693">
        <f t="shared" si="156"/>
        <v>0</v>
      </c>
      <c r="X197" s="693">
        <f t="shared" si="156"/>
        <v>0</v>
      </c>
      <c r="Y197" s="693">
        <f t="shared" si="156"/>
        <v>0</v>
      </c>
      <c r="Z197" s="693">
        <f t="shared" si="156"/>
        <v>0</v>
      </c>
      <c r="AA197" s="693">
        <f t="shared" si="156"/>
        <v>0</v>
      </c>
      <c r="AB197" s="693">
        <f t="shared" si="156"/>
        <v>0</v>
      </c>
    </row>
    <row r="198" spans="1:52" x14ac:dyDescent="0.3">
      <c r="A198" s="22"/>
      <c r="B198" s="186" t="str">
        <f t="shared" si="150"/>
        <v>TFLELPG900</v>
      </c>
      <c r="C198" s="186"/>
      <c r="D198" s="187"/>
      <c r="E198" s="186"/>
      <c r="F198" s="170"/>
      <c r="G198" s="189"/>
      <c r="H198" s="170"/>
      <c r="I198" s="183">
        <f>AF$9</f>
        <v>2040</v>
      </c>
      <c r="J198" s="191"/>
      <c r="K198" s="191"/>
      <c r="L198" s="211" t="s">
        <v>1064</v>
      </c>
      <c r="M198" s="191" t="s">
        <v>747</v>
      </c>
      <c r="N198" s="693">
        <f t="shared" ref="N198:AB198" si="157">N193*LOOKUP($AD188,$AH$4:$AQ$4,$AH$9:$AQ$9)</f>
        <v>0</v>
      </c>
      <c r="O198" s="693">
        <f t="shared" si="157"/>
        <v>0</v>
      </c>
      <c r="P198" s="693">
        <f t="shared" si="157"/>
        <v>0</v>
      </c>
      <c r="Q198" s="693">
        <f t="shared" si="157"/>
        <v>0</v>
      </c>
      <c r="R198" s="693">
        <f t="shared" si="157"/>
        <v>0</v>
      </c>
      <c r="S198" s="693">
        <f t="shared" si="157"/>
        <v>0</v>
      </c>
      <c r="T198" s="693">
        <f t="shared" si="157"/>
        <v>0</v>
      </c>
      <c r="U198" s="693">
        <f t="shared" si="157"/>
        <v>0</v>
      </c>
      <c r="V198" s="693">
        <f t="shared" si="157"/>
        <v>0</v>
      </c>
      <c r="W198" s="693">
        <f t="shared" si="157"/>
        <v>0</v>
      </c>
      <c r="X198" s="693">
        <f t="shared" si="157"/>
        <v>0</v>
      </c>
      <c r="Y198" s="693">
        <f t="shared" si="157"/>
        <v>0</v>
      </c>
      <c r="Z198" s="693">
        <f t="shared" si="157"/>
        <v>0</v>
      </c>
      <c r="AA198" s="693">
        <f t="shared" si="157"/>
        <v>0</v>
      </c>
      <c r="AB198" s="693">
        <f t="shared" si="157"/>
        <v>0</v>
      </c>
    </row>
    <row r="199" spans="1:52" x14ac:dyDescent="0.3">
      <c r="A199" s="22"/>
      <c r="B199" s="193" t="str">
        <f t="shared" si="150"/>
        <v>TFLELPG900</v>
      </c>
      <c r="C199" s="193"/>
      <c r="D199" s="194"/>
      <c r="E199" s="193"/>
      <c r="F199" s="196"/>
      <c r="G199" s="195"/>
      <c r="H199" s="196"/>
      <c r="I199" s="208">
        <f>AF$10</f>
        <v>2050</v>
      </c>
      <c r="J199" s="198"/>
      <c r="K199" s="198"/>
      <c r="L199" s="212" t="s">
        <v>1064</v>
      </c>
      <c r="M199" s="198" t="s">
        <v>747</v>
      </c>
      <c r="N199" s="694">
        <f t="shared" ref="N199:AB199" si="158">N193*LOOKUP($AD188,$AH$4:$AQ$4,$AH$10:$AQ$10)</f>
        <v>0</v>
      </c>
      <c r="O199" s="694">
        <f t="shared" si="158"/>
        <v>0</v>
      </c>
      <c r="P199" s="694">
        <f t="shared" si="158"/>
        <v>0</v>
      </c>
      <c r="Q199" s="694">
        <f t="shared" si="158"/>
        <v>0</v>
      </c>
      <c r="R199" s="694">
        <f t="shared" si="158"/>
        <v>0</v>
      </c>
      <c r="S199" s="694">
        <f t="shared" si="158"/>
        <v>0</v>
      </c>
      <c r="T199" s="694">
        <f t="shared" si="158"/>
        <v>0</v>
      </c>
      <c r="U199" s="694">
        <f t="shared" si="158"/>
        <v>0</v>
      </c>
      <c r="V199" s="694">
        <f t="shared" si="158"/>
        <v>0</v>
      </c>
      <c r="W199" s="694">
        <f t="shared" si="158"/>
        <v>0</v>
      </c>
      <c r="X199" s="694">
        <f t="shared" si="158"/>
        <v>0</v>
      </c>
      <c r="Y199" s="694">
        <f t="shared" si="158"/>
        <v>0</v>
      </c>
      <c r="Z199" s="694">
        <f t="shared" si="158"/>
        <v>0</v>
      </c>
      <c r="AA199" s="694">
        <f t="shared" si="158"/>
        <v>0</v>
      </c>
      <c r="AB199" s="694">
        <f t="shared" si="158"/>
        <v>0</v>
      </c>
    </row>
    <row r="200" spans="1:52" x14ac:dyDescent="0.3">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3">
      <c r="A201" s="82"/>
      <c r="B201" s="178" t="str">
        <f>B200</f>
        <v>TFLEPYD900</v>
      </c>
      <c r="C201" s="178"/>
      <c r="D201" s="179"/>
      <c r="E201" s="407" t="s">
        <v>185</v>
      </c>
      <c r="F201" s="182"/>
      <c r="G201" s="181"/>
      <c r="H201" s="182"/>
      <c r="I201" s="183"/>
      <c r="J201" s="184" t="s">
        <v>1156</v>
      </c>
      <c r="K201" s="184"/>
      <c r="L201" s="203" t="s">
        <v>101</v>
      </c>
      <c r="M201" s="184"/>
      <c r="N201" s="390">
        <f>1-N$28</f>
        <v>0.82499999999999996</v>
      </c>
      <c r="O201" s="390">
        <f t="shared" ref="O201:AB201" si="160">1-O$28</f>
        <v>0.82499999999999996</v>
      </c>
      <c r="P201" s="390">
        <f t="shared" si="160"/>
        <v>0.82499999999999996</v>
      </c>
      <c r="Q201" s="390">
        <f t="shared" si="160"/>
        <v>0.82499999999999996</v>
      </c>
      <c r="R201" s="390">
        <f t="shared" si="160"/>
        <v>0.82499999999999996</v>
      </c>
      <c r="S201" s="390">
        <f t="shared" si="160"/>
        <v>0.82499999999999996</v>
      </c>
      <c r="T201" s="390">
        <f t="shared" si="160"/>
        <v>0.82499999999999996</v>
      </c>
      <c r="U201" s="390">
        <f t="shared" si="160"/>
        <v>0.82499999999999996</v>
      </c>
      <c r="V201" s="390">
        <f t="shared" si="160"/>
        <v>0.82499999999999996</v>
      </c>
      <c r="W201" s="390">
        <f t="shared" si="160"/>
        <v>0.82499999999999996</v>
      </c>
      <c r="X201" s="390">
        <f t="shared" si="160"/>
        <v>0.82499999999999996</v>
      </c>
      <c r="Y201" s="390">
        <f t="shared" si="160"/>
        <v>0.82499999999999996</v>
      </c>
      <c r="Z201" s="390">
        <f t="shared" si="160"/>
        <v>0.82499999999999996</v>
      </c>
      <c r="AA201" s="390">
        <f t="shared" si="160"/>
        <v>0.82499999999999996</v>
      </c>
      <c r="AB201" s="390">
        <f t="shared" si="160"/>
        <v>0.82499999999999996</v>
      </c>
      <c r="AD201" s="66" t="str">
        <f>IF(COUNTIF($AH$4:$AQ$4,AD200)=1,"ok","MISSING")</f>
        <v>ok</v>
      </c>
    </row>
    <row r="202" spans="1:52" s="83" customFormat="1" x14ac:dyDescent="0.3">
      <c r="A202" s="82"/>
      <c r="B202" s="178" t="str">
        <f>B201</f>
        <v>TFLEPYD900</v>
      </c>
      <c r="C202" s="178"/>
      <c r="D202" s="179"/>
      <c r="E202" s="178"/>
      <c r="F202" s="182"/>
      <c r="G202" s="173" t="s">
        <v>636</v>
      </c>
      <c r="H202" s="182"/>
      <c r="I202" s="183"/>
      <c r="J202" s="184"/>
      <c r="K202" s="184"/>
      <c r="L202" s="184" t="s">
        <v>1125</v>
      </c>
      <c r="M202" s="184" t="s">
        <v>677</v>
      </c>
      <c r="N202" s="675">
        <f>T_CEFF!H245</f>
        <v>0.85470000000000002</v>
      </c>
      <c r="O202" s="675">
        <f>T_CEFF!I245</f>
        <v>0.85470000000000002</v>
      </c>
      <c r="P202" s="675">
        <f>T_CEFF!J245</f>
        <v>0.85470000000000002</v>
      </c>
      <c r="Q202" s="675">
        <f>T_CEFF!K245</f>
        <v>0.85470000000000002</v>
      </c>
      <c r="R202" s="675">
        <f>T_CEFF!L245</f>
        <v>0.85470000000000002</v>
      </c>
      <c r="S202" s="675">
        <f>T_CEFF!M245</f>
        <v>0.85470000000000002</v>
      </c>
      <c r="T202" s="675">
        <f>T_CEFF!N245</f>
        <v>0.85470000000000002</v>
      </c>
      <c r="U202" s="675">
        <f>T_CEFF!O245</f>
        <v>0.85470000000000002</v>
      </c>
      <c r="V202" s="675">
        <f>T_CEFF!P245</f>
        <v>0.85470000000000002</v>
      </c>
      <c r="W202" s="675">
        <f>T_CEFF!Q245</f>
        <v>0.85470000000000002</v>
      </c>
      <c r="X202" s="675">
        <f>T_CEFF!R245</f>
        <v>0.85470000000000002</v>
      </c>
      <c r="Y202" s="675">
        <f>T_CEFF!S245</f>
        <v>0.85470000000000002</v>
      </c>
      <c r="Z202" s="675">
        <f>T_CEFF!T245</f>
        <v>0.85470000000000002</v>
      </c>
      <c r="AA202" s="675">
        <f>T_CEFF!U245</f>
        <v>0.85470000000000002</v>
      </c>
      <c r="AB202" s="675">
        <f>T_CEFF!V245</f>
        <v>0.85470000000000002</v>
      </c>
    </row>
    <row r="203" spans="1:52" s="83" customFormat="1" x14ac:dyDescent="0.3">
      <c r="A203" s="82"/>
      <c r="B203" s="178" t="str">
        <f>B202</f>
        <v>TFLEPYD900</v>
      </c>
      <c r="C203" s="178"/>
      <c r="D203" s="179"/>
      <c r="E203" s="178"/>
      <c r="F203" s="182"/>
      <c r="G203" s="173" t="s">
        <v>639</v>
      </c>
      <c r="H203" s="182"/>
      <c r="I203" s="183"/>
      <c r="J203" s="184"/>
      <c r="K203" s="184"/>
      <c r="L203" s="184" t="s">
        <v>1125</v>
      </c>
      <c r="M203" s="184" t="s">
        <v>677</v>
      </c>
      <c r="N203" s="675">
        <f>T_CEFF!H246</f>
        <v>1.0989</v>
      </c>
      <c r="O203" s="675">
        <f>T_CEFF!I246</f>
        <v>1.0989</v>
      </c>
      <c r="P203" s="675">
        <f>T_CEFF!J246</f>
        <v>1.0989</v>
      </c>
      <c r="Q203" s="675">
        <f>T_CEFF!K246</f>
        <v>1.0989</v>
      </c>
      <c r="R203" s="675">
        <f>T_CEFF!L246</f>
        <v>1.0989</v>
      </c>
      <c r="S203" s="675">
        <f>T_CEFF!M246</f>
        <v>1.0989</v>
      </c>
      <c r="T203" s="675">
        <f>T_CEFF!N246</f>
        <v>1.0989</v>
      </c>
      <c r="U203" s="675">
        <f>T_CEFF!O246</f>
        <v>1.0989</v>
      </c>
      <c r="V203" s="675">
        <f>T_CEFF!P246</f>
        <v>1.0989</v>
      </c>
      <c r="W203" s="675">
        <f>T_CEFF!Q246</f>
        <v>1.0989</v>
      </c>
      <c r="X203" s="675">
        <f>T_CEFF!R246</f>
        <v>1.0989</v>
      </c>
      <c r="Y203" s="675">
        <f>T_CEFF!S246</f>
        <v>1.0989</v>
      </c>
      <c r="Z203" s="675">
        <f>T_CEFF!T246</f>
        <v>1.0989</v>
      </c>
      <c r="AA203" s="675">
        <f>T_CEFF!U246</f>
        <v>1.0989</v>
      </c>
      <c r="AB203" s="675">
        <f>T_CEFF!V246</f>
        <v>1.0989</v>
      </c>
    </row>
    <row r="204" spans="1:52" s="83" customFormat="1" x14ac:dyDescent="0.3">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3">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1">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3">
      <c r="A206" s="82"/>
      <c r="B206" s="178" t="str">
        <f t="shared" si="161"/>
        <v>TFLEPYD900</v>
      </c>
      <c r="C206" s="178"/>
      <c r="D206" s="179"/>
      <c r="E206" s="178"/>
      <c r="F206" s="182"/>
      <c r="G206" s="181"/>
      <c r="H206" s="182"/>
      <c r="I206" s="183">
        <f>$M$3</f>
        <v>2019</v>
      </c>
      <c r="J206" s="184"/>
      <c r="K206" s="184"/>
      <c r="L206" s="203" t="s">
        <v>1064</v>
      </c>
      <c r="M206" s="184" t="s">
        <v>747</v>
      </c>
      <c r="N206" s="693">
        <f>LOOKUP($C$200, 'T_Stock_TOTAL_&amp;_City'!$C$90:$C$100, 'T_Stock_TOTAL_&amp;_City'!D$90:D$100)*(1+N80)</f>
        <v>0</v>
      </c>
      <c r="O206" s="693">
        <f>LOOKUP($C$200, 'T_Stock_TOTAL_&amp;_City'!$C$90:$C$100, 'T_Stock_TOTAL_&amp;_City'!E$90:E$100)*(1+O80)</f>
        <v>0</v>
      </c>
      <c r="P206" s="693">
        <f>LOOKUP($C$200, 'T_Stock_TOTAL_&amp;_City'!$C$90:$C$100, 'T_Stock_TOTAL_&amp;_City'!F$90:F$100)*(1+P80)</f>
        <v>0</v>
      </c>
      <c r="Q206" s="693">
        <f>LOOKUP($C$200, 'T_Stock_TOTAL_&amp;_City'!$C$90:$C$100, 'T_Stock_TOTAL_&amp;_City'!G$90:G$100)*(1+Q80)</f>
        <v>0</v>
      </c>
      <c r="R206" s="693">
        <f>LOOKUP($C$200, 'T_Stock_TOTAL_&amp;_City'!$C$90:$C$100, 'T_Stock_TOTAL_&amp;_City'!H$90:H$100)*(1+R80)</f>
        <v>0</v>
      </c>
      <c r="S206" s="693">
        <f>LOOKUP($C$200, 'T_Stock_TOTAL_&amp;_City'!$C$90:$C$100, 'T_Stock_TOTAL_&amp;_City'!I$90:I$100)*(1+S80)</f>
        <v>0</v>
      </c>
      <c r="T206" s="693">
        <f>LOOKUP($C$200, 'T_Stock_TOTAL_&amp;_City'!$C$90:$C$100, 'T_Stock_TOTAL_&amp;_City'!J$90:J$100)*(1+T80)</f>
        <v>0</v>
      </c>
      <c r="U206" s="693">
        <f>LOOKUP($C$200, 'T_Stock_TOTAL_&amp;_City'!$C$90:$C$100, 'T_Stock_TOTAL_&amp;_City'!K$90:K$100)*(1+U80)</f>
        <v>0</v>
      </c>
      <c r="V206" s="693">
        <f>LOOKUP($C$200, 'T_Stock_TOTAL_&amp;_City'!$C$90:$C$100, 'T_Stock_TOTAL_&amp;_City'!L$90:L$100)*(1+V80)</f>
        <v>0</v>
      </c>
      <c r="W206" s="693">
        <f>LOOKUP($C$200, 'T_Stock_TOTAL_&amp;_City'!$C$90:$C$100, 'T_Stock_TOTAL_&amp;_City'!M$90:M$100)*(1+W80)</f>
        <v>0</v>
      </c>
      <c r="X206" s="693">
        <f>LOOKUP($C$200, 'T_Stock_TOTAL_&amp;_City'!$C$90:$C$100, 'T_Stock_TOTAL_&amp;_City'!N$90:N$100)*(1+X80)</f>
        <v>0</v>
      </c>
      <c r="Y206" s="693">
        <f>LOOKUP($C$200, 'T_Stock_TOTAL_&amp;_City'!$C$90:$C$100, 'T_Stock_TOTAL_&amp;_City'!O$90:O$100)*(1+Y80)</f>
        <v>0</v>
      </c>
      <c r="Z206" s="693">
        <f>LOOKUP($C$200, 'T_Stock_TOTAL_&amp;_City'!$C$90:$C$100, 'T_Stock_TOTAL_&amp;_City'!P$90:P$100)*(1+Z80)</f>
        <v>0</v>
      </c>
      <c r="AA206" s="693">
        <f>LOOKUP($C$200, 'T_Stock_TOTAL_&amp;_City'!$C$90:$C$100, 'T_Stock_TOTAL_&amp;_City'!Q$90:Q$100)*(1+AA80)</f>
        <v>0</v>
      </c>
      <c r="AB206" s="693">
        <f>LOOKUP($C$200, 'T_Stock_TOTAL_&amp;_City'!$C$90:$C$100, 'T_Stock_TOTAL_&amp;_City'!R$90:R$100)*(1+AB80)</f>
        <v>0</v>
      </c>
      <c r="AD206" s="35"/>
    </row>
    <row r="207" spans="1:52" s="83" customFormat="1" x14ac:dyDescent="0.3">
      <c r="A207" s="82"/>
      <c r="B207" s="178" t="str">
        <f t="shared" si="161"/>
        <v>TFLEPYD900</v>
      </c>
      <c r="C207" s="178"/>
      <c r="D207" s="179"/>
      <c r="E207" s="178"/>
      <c r="F207" s="182"/>
      <c r="G207" s="181"/>
      <c r="H207" s="182"/>
      <c r="I207" s="183">
        <f>AF$5</f>
        <v>2016</v>
      </c>
      <c r="J207" s="184"/>
      <c r="K207" s="184"/>
      <c r="L207" s="203" t="s">
        <v>1064</v>
      </c>
      <c r="M207" s="184" t="s">
        <v>747</v>
      </c>
      <c r="N207" s="693">
        <f t="shared" ref="N207:AB207" si="164">N206*LOOKUP($AD200,$AH$4:$AQ$4,$AH$5:$AQ$5)</f>
        <v>0</v>
      </c>
      <c r="O207" s="693">
        <f t="shared" si="164"/>
        <v>0</v>
      </c>
      <c r="P207" s="693">
        <f t="shared" si="164"/>
        <v>0</v>
      </c>
      <c r="Q207" s="693">
        <f t="shared" si="164"/>
        <v>0</v>
      </c>
      <c r="R207" s="693">
        <f t="shared" si="164"/>
        <v>0</v>
      </c>
      <c r="S207" s="693">
        <f t="shared" si="164"/>
        <v>0</v>
      </c>
      <c r="T207" s="693">
        <f t="shared" si="164"/>
        <v>0</v>
      </c>
      <c r="U207" s="693">
        <f t="shared" si="164"/>
        <v>0</v>
      </c>
      <c r="V207" s="693">
        <f t="shared" si="164"/>
        <v>0</v>
      </c>
      <c r="W207" s="693">
        <f t="shared" si="164"/>
        <v>0</v>
      </c>
      <c r="X207" s="693">
        <f t="shared" si="164"/>
        <v>0</v>
      </c>
      <c r="Y207" s="693">
        <f t="shared" si="164"/>
        <v>0</v>
      </c>
      <c r="Z207" s="693">
        <f t="shared" si="164"/>
        <v>0</v>
      </c>
      <c r="AA207" s="693">
        <f t="shared" si="164"/>
        <v>0</v>
      </c>
      <c r="AB207" s="693">
        <f t="shared" si="164"/>
        <v>0</v>
      </c>
      <c r="AD207" s="35"/>
    </row>
    <row r="208" spans="1:52" s="83" customFormat="1" x14ac:dyDescent="0.3">
      <c r="A208" s="82"/>
      <c r="B208" s="178" t="str">
        <f t="shared" si="161"/>
        <v>TFLEPYD900</v>
      </c>
      <c r="C208" s="178"/>
      <c r="D208" s="179"/>
      <c r="E208" s="178"/>
      <c r="F208" s="182"/>
      <c r="G208" s="181"/>
      <c r="H208" s="182"/>
      <c r="I208" s="183">
        <f>AF$6</f>
        <v>2020</v>
      </c>
      <c r="J208" s="184"/>
      <c r="K208" s="184"/>
      <c r="L208" s="203" t="s">
        <v>1064</v>
      </c>
      <c r="M208" s="184" t="s">
        <v>747</v>
      </c>
      <c r="N208" s="693">
        <f t="shared" ref="N208:AB208" si="165">N206*LOOKUP($AD200,$AH$4:$AQ$4,$AH$6:$AQ$6)</f>
        <v>0</v>
      </c>
      <c r="O208" s="693">
        <f t="shared" si="165"/>
        <v>0</v>
      </c>
      <c r="P208" s="693">
        <f t="shared" si="165"/>
        <v>0</v>
      </c>
      <c r="Q208" s="693">
        <f t="shared" si="165"/>
        <v>0</v>
      </c>
      <c r="R208" s="693">
        <f t="shared" si="165"/>
        <v>0</v>
      </c>
      <c r="S208" s="693">
        <f t="shared" si="165"/>
        <v>0</v>
      </c>
      <c r="T208" s="693">
        <f t="shared" si="165"/>
        <v>0</v>
      </c>
      <c r="U208" s="693">
        <f t="shared" si="165"/>
        <v>0</v>
      </c>
      <c r="V208" s="693">
        <f t="shared" si="165"/>
        <v>0</v>
      </c>
      <c r="W208" s="693">
        <f t="shared" si="165"/>
        <v>0</v>
      </c>
      <c r="X208" s="693">
        <f t="shared" si="165"/>
        <v>0</v>
      </c>
      <c r="Y208" s="693">
        <f t="shared" si="165"/>
        <v>0</v>
      </c>
      <c r="Z208" s="693">
        <f t="shared" si="165"/>
        <v>0</v>
      </c>
      <c r="AA208" s="693">
        <f t="shared" si="165"/>
        <v>0</v>
      </c>
      <c r="AB208" s="693">
        <f t="shared" si="165"/>
        <v>0</v>
      </c>
      <c r="AD208" s="35"/>
    </row>
    <row r="209" spans="1:46" s="83" customFormat="1" x14ac:dyDescent="0.3">
      <c r="A209" s="82"/>
      <c r="B209" s="178" t="str">
        <f t="shared" si="161"/>
        <v>TFLEPYD900</v>
      </c>
      <c r="C209" s="178"/>
      <c r="D209" s="179"/>
      <c r="E209" s="178"/>
      <c r="F209" s="182"/>
      <c r="G209" s="181"/>
      <c r="H209" s="182"/>
      <c r="I209" s="183">
        <f>AF$7</f>
        <v>2025</v>
      </c>
      <c r="J209" s="184"/>
      <c r="K209" s="184"/>
      <c r="L209" s="203" t="s">
        <v>1064</v>
      </c>
      <c r="M209" s="184" t="s">
        <v>747</v>
      </c>
      <c r="N209" s="693">
        <f t="shared" ref="N209:AB209" si="166">N206*LOOKUP($AD200,$AH$4:$AQ$4,$AH$7:$AQ$7)</f>
        <v>0</v>
      </c>
      <c r="O209" s="693">
        <f t="shared" si="166"/>
        <v>0</v>
      </c>
      <c r="P209" s="693">
        <f t="shared" si="166"/>
        <v>0</v>
      </c>
      <c r="Q209" s="693">
        <f t="shared" si="166"/>
        <v>0</v>
      </c>
      <c r="R209" s="693">
        <f t="shared" si="166"/>
        <v>0</v>
      </c>
      <c r="S209" s="693">
        <f t="shared" si="166"/>
        <v>0</v>
      </c>
      <c r="T209" s="693">
        <f t="shared" si="166"/>
        <v>0</v>
      </c>
      <c r="U209" s="693">
        <f t="shared" si="166"/>
        <v>0</v>
      </c>
      <c r="V209" s="693">
        <f t="shared" si="166"/>
        <v>0</v>
      </c>
      <c r="W209" s="693">
        <f t="shared" si="166"/>
        <v>0</v>
      </c>
      <c r="X209" s="693">
        <f t="shared" si="166"/>
        <v>0</v>
      </c>
      <c r="Y209" s="693">
        <f t="shared" si="166"/>
        <v>0</v>
      </c>
      <c r="Z209" s="693">
        <f t="shared" si="166"/>
        <v>0</v>
      </c>
      <c r="AA209" s="693">
        <f t="shared" si="166"/>
        <v>0</v>
      </c>
      <c r="AB209" s="693">
        <f t="shared" si="166"/>
        <v>0</v>
      </c>
      <c r="AD209" s="35"/>
    </row>
    <row r="210" spans="1:46" s="83" customFormat="1" x14ac:dyDescent="0.3">
      <c r="A210" s="82"/>
      <c r="B210" s="178" t="str">
        <f t="shared" si="161"/>
        <v>TFLEPYD900</v>
      </c>
      <c r="C210" s="178"/>
      <c r="D210" s="179"/>
      <c r="E210" s="178"/>
      <c r="F210" s="182"/>
      <c r="G210" s="181"/>
      <c r="H210" s="182"/>
      <c r="I210" s="183">
        <f>AF$8</f>
        <v>2030</v>
      </c>
      <c r="J210" s="184"/>
      <c r="K210" s="184"/>
      <c r="L210" s="203" t="s">
        <v>1064</v>
      </c>
      <c r="M210" s="184" t="s">
        <v>747</v>
      </c>
      <c r="N210" s="693">
        <f t="shared" ref="N210:AB210" si="167">N206*LOOKUP($AD200,$AH$4:$AQ$4,$AH$8:$AQ$8)</f>
        <v>0</v>
      </c>
      <c r="O210" s="693">
        <f t="shared" si="167"/>
        <v>0</v>
      </c>
      <c r="P210" s="693">
        <f t="shared" si="167"/>
        <v>0</v>
      </c>
      <c r="Q210" s="693">
        <f t="shared" si="167"/>
        <v>0</v>
      </c>
      <c r="R210" s="693">
        <f t="shared" si="167"/>
        <v>0</v>
      </c>
      <c r="S210" s="693">
        <f t="shared" si="167"/>
        <v>0</v>
      </c>
      <c r="T210" s="693">
        <f t="shared" si="167"/>
        <v>0</v>
      </c>
      <c r="U210" s="693">
        <f t="shared" si="167"/>
        <v>0</v>
      </c>
      <c r="V210" s="693">
        <f t="shared" si="167"/>
        <v>0</v>
      </c>
      <c r="W210" s="693">
        <f t="shared" si="167"/>
        <v>0</v>
      </c>
      <c r="X210" s="693">
        <f t="shared" si="167"/>
        <v>0</v>
      </c>
      <c r="Y210" s="693">
        <f t="shared" si="167"/>
        <v>0</v>
      </c>
      <c r="Z210" s="693">
        <f t="shared" si="167"/>
        <v>0</v>
      </c>
      <c r="AA210" s="693">
        <f t="shared" si="167"/>
        <v>0</v>
      </c>
      <c r="AB210" s="693">
        <f t="shared" si="167"/>
        <v>0</v>
      </c>
      <c r="AD210" s="35"/>
    </row>
    <row r="211" spans="1:46" s="83" customFormat="1" x14ac:dyDescent="0.3">
      <c r="A211" s="82"/>
      <c r="B211" s="178" t="str">
        <f t="shared" si="161"/>
        <v>TFLEPYD900</v>
      </c>
      <c r="C211" s="178"/>
      <c r="D211" s="179"/>
      <c r="E211" s="178"/>
      <c r="F211" s="182"/>
      <c r="G211" s="181"/>
      <c r="H211" s="182"/>
      <c r="I211" s="183">
        <f>AF$9</f>
        <v>2040</v>
      </c>
      <c r="J211" s="184"/>
      <c r="K211" s="184"/>
      <c r="L211" s="203" t="s">
        <v>1064</v>
      </c>
      <c r="M211" s="184" t="s">
        <v>747</v>
      </c>
      <c r="N211" s="693">
        <f t="shared" ref="N211:AB211" si="168">N206*LOOKUP($AD200,$AH$4:$AQ$4,$AH$9:$AQ$9)</f>
        <v>0</v>
      </c>
      <c r="O211" s="693">
        <f t="shared" si="168"/>
        <v>0</v>
      </c>
      <c r="P211" s="693">
        <f t="shared" si="168"/>
        <v>0</v>
      </c>
      <c r="Q211" s="693">
        <f t="shared" si="168"/>
        <v>0</v>
      </c>
      <c r="R211" s="693">
        <f t="shared" si="168"/>
        <v>0</v>
      </c>
      <c r="S211" s="693">
        <f t="shared" si="168"/>
        <v>0</v>
      </c>
      <c r="T211" s="693">
        <f t="shared" si="168"/>
        <v>0</v>
      </c>
      <c r="U211" s="693">
        <f t="shared" si="168"/>
        <v>0</v>
      </c>
      <c r="V211" s="693">
        <f t="shared" si="168"/>
        <v>0</v>
      </c>
      <c r="W211" s="693">
        <f t="shared" si="168"/>
        <v>0</v>
      </c>
      <c r="X211" s="693">
        <f t="shared" si="168"/>
        <v>0</v>
      </c>
      <c r="Y211" s="693">
        <f t="shared" si="168"/>
        <v>0</v>
      </c>
      <c r="Z211" s="693">
        <f t="shared" si="168"/>
        <v>0</v>
      </c>
      <c r="AA211" s="693">
        <f t="shared" si="168"/>
        <v>0</v>
      </c>
      <c r="AB211" s="693">
        <f t="shared" si="168"/>
        <v>0</v>
      </c>
      <c r="AD211" s="35"/>
    </row>
    <row r="212" spans="1:46" s="83" customFormat="1" x14ac:dyDescent="0.3">
      <c r="A212" s="82"/>
      <c r="B212" s="204" t="str">
        <f t="shared" si="161"/>
        <v>TFLEPYD900</v>
      </c>
      <c r="C212" s="204"/>
      <c r="D212" s="205"/>
      <c r="E212" s="204"/>
      <c r="F212" s="206"/>
      <c r="G212" s="207"/>
      <c r="H212" s="206"/>
      <c r="I212" s="208">
        <f>AF$10</f>
        <v>2050</v>
      </c>
      <c r="J212" s="209"/>
      <c r="K212" s="209"/>
      <c r="L212" s="210" t="s">
        <v>1064</v>
      </c>
      <c r="M212" s="209" t="s">
        <v>747</v>
      </c>
      <c r="N212" s="694">
        <f t="shared" ref="N212:AB212" si="169">N206*LOOKUP($AD200,$AH$4:$AQ$4,$AH$10:$AQ$10)</f>
        <v>0</v>
      </c>
      <c r="O212" s="694">
        <f t="shared" si="169"/>
        <v>0</v>
      </c>
      <c r="P212" s="694">
        <f t="shared" si="169"/>
        <v>0</v>
      </c>
      <c r="Q212" s="694">
        <f t="shared" si="169"/>
        <v>0</v>
      </c>
      <c r="R212" s="694">
        <f t="shared" si="169"/>
        <v>0</v>
      </c>
      <c r="S212" s="694">
        <f t="shared" si="169"/>
        <v>0</v>
      </c>
      <c r="T212" s="694">
        <f t="shared" si="169"/>
        <v>0</v>
      </c>
      <c r="U212" s="694">
        <f t="shared" si="169"/>
        <v>0</v>
      </c>
      <c r="V212" s="694">
        <f t="shared" si="169"/>
        <v>0</v>
      </c>
      <c r="W212" s="694">
        <f t="shared" si="169"/>
        <v>0</v>
      </c>
      <c r="X212" s="694">
        <f t="shared" si="169"/>
        <v>0</v>
      </c>
      <c r="Y212" s="694">
        <f t="shared" si="169"/>
        <v>0</v>
      </c>
      <c r="Z212" s="694">
        <f t="shared" si="169"/>
        <v>0</v>
      </c>
      <c r="AA212" s="694">
        <f t="shared" si="169"/>
        <v>0</v>
      </c>
      <c r="AB212" s="694">
        <f t="shared" si="169"/>
        <v>0</v>
      </c>
    </row>
    <row r="213" spans="1:46" s="83" customFormat="1" x14ac:dyDescent="0.3">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3">
      <c r="A214" s="82"/>
      <c r="B214" s="178" t="str">
        <f>B213</f>
        <v>TFLEPYG900</v>
      </c>
      <c r="C214" s="178"/>
      <c r="D214" s="179"/>
      <c r="E214" s="407" t="s">
        <v>1011</v>
      </c>
      <c r="F214" s="182"/>
      <c r="G214" s="181"/>
      <c r="H214" s="182"/>
      <c r="I214" s="183"/>
      <c r="J214" s="184" t="s">
        <v>1156</v>
      </c>
      <c r="K214" s="184"/>
      <c r="L214" s="203" t="s">
        <v>101</v>
      </c>
      <c r="M214" s="184"/>
      <c r="N214" s="390">
        <f>N$29</f>
        <v>5.0999999999999997E-2</v>
      </c>
      <c r="O214" s="390">
        <f t="shared" ref="O214:AB214" si="171">O$29</f>
        <v>5.0999999999999997E-2</v>
      </c>
      <c r="P214" s="390">
        <f t="shared" si="171"/>
        <v>5.0999999999999997E-2</v>
      </c>
      <c r="Q214" s="390">
        <f t="shared" si="171"/>
        <v>5.0999999999999997E-2</v>
      </c>
      <c r="R214" s="390">
        <f t="shared" si="171"/>
        <v>5.0999999999999997E-2</v>
      </c>
      <c r="S214" s="390">
        <f t="shared" si="171"/>
        <v>5.0999999999999997E-2</v>
      </c>
      <c r="T214" s="390">
        <f t="shared" si="171"/>
        <v>5.0999999999999997E-2</v>
      </c>
      <c r="U214" s="390">
        <f t="shared" si="171"/>
        <v>5.0999999999999997E-2</v>
      </c>
      <c r="V214" s="390">
        <f t="shared" si="171"/>
        <v>5.0999999999999997E-2</v>
      </c>
      <c r="W214" s="390">
        <f t="shared" si="171"/>
        <v>5.0999999999999997E-2</v>
      </c>
      <c r="X214" s="390">
        <f t="shared" si="171"/>
        <v>5.0999999999999997E-2</v>
      </c>
      <c r="Y214" s="390">
        <f t="shared" si="171"/>
        <v>5.0999999999999997E-2</v>
      </c>
      <c r="Z214" s="390">
        <f t="shared" si="171"/>
        <v>5.0999999999999997E-2</v>
      </c>
      <c r="AA214" s="390">
        <f t="shared" si="171"/>
        <v>5.0999999999999997E-2</v>
      </c>
      <c r="AB214" s="390">
        <f t="shared" si="171"/>
        <v>5.0999999999999997E-2</v>
      </c>
      <c r="AD214" s="66" t="str">
        <f>IF(COUNTIF($AH$4:$AQ$4,AD213)=1,"ok","MISSING")</f>
        <v>ok</v>
      </c>
    </row>
    <row r="215" spans="1:46" s="83" customFormat="1" x14ac:dyDescent="0.3">
      <c r="A215" s="82"/>
      <c r="B215" s="178" t="str">
        <f>B214</f>
        <v>TFLEPYG900</v>
      </c>
      <c r="C215" s="178"/>
      <c r="D215" s="179"/>
      <c r="E215" s="178"/>
      <c r="F215" s="182"/>
      <c r="G215" s="173" t="s">
        <v>636</v>
      </c>
      <c r="H215" s="182"/>
      <c r="I215" s="183"/>
      <c r="J215" s="184"/>
      <c r="K215" s="184"/>
      <c r="L215" s="184" t="s">
        <v>1125</v>
      </c>
      <c r="M215" s="184" t="s">
        <v>677</v>
      </c>
      <c r="N215" s="675">
        <f>T_CEFF!H247</f>
        <v>0.90908999999999995</v>
      </c>
      <c r="O215" s="675">
        <f>T_CEFF!I247</f>
        <v>0.90908999999999995</v>
      </c>
      <c r="P215" s="675">
        <f>T_CEFF!J247</f>
        <v>0.90908999999999995</v>
      </c>
      <c r="Q215" s="675">
        <f>T_CEFF!K247</f>
        <v>0.90908999999999995</v>
      </c>
      <c r="R215" s="675">
        <f>T_CEFF!L247</f>
        <v>0.90908999999999995</v>
      </c>
      <c r="S215" s="675">
        <f>T_CEFF!M247</f>
        <v>0.90908999999999995</v>
      </c>
      <c r="T215" s="675">
        <f>T_CEFF!N247</f>
        <v>0.90908999999999995</v>
      </c>
      <c r="U215" s="675">
        <f>T_CEFF!O247</f>
        <v>0.90908999999999995</v>
      </c>
      <c r="V215" s="675">
        <f>T_CEFF!P247</f>
        <v>0.90908999999999995</v>
      </c>
      <c r="W215" s="675">
        <f>T_CEFF!Q247</f>
        <v>0.90908999999999995</v>
      </c>
      <c r="X215" s="675">
        <f>T_CEFF!R247</f>
        <v>0.90908999999999995</v>
      </c>
      <c r="Y215" s="675">
        <f>T_CEFF!S247</f>
        <v>0.90908999999999995</v>
      </c>
      <c r="Z215" s="675">
        <f>T_CEFF!T247</f>
        <v>0.90908999999999995</v>
      </c>
      <c r="AA215" s="675">
        <f>T_CEFF!U247</f>
        <v>0.90908999999999995</v>
      </c>
      <c r="AB215" s="675">
        <f>T_CEFF!V247</f>
        <v>0.90908999999999995</v>
      </c>
    </row>
    <row r="216" spans="1:46" s="83" customFormat="1" x14ac:dyDescent="0.3">
      <c r="A216" s="82"/>
      <c r="B216" s="178" t="str">
        <f>B215</f>
        <v>TFLEPYG900</v>
      </c>
      <c r="C216" s="178"/>
      <c r="D216" s="179"/>
      <c r="E216" s="178"/>
      <c r="F216" s="182"/>
      <c r="G216" s="173" t="s">
        <v>639</v>
      </c>
      <c r="H216" s="182"/>
      <c r="I216" s="183"/>
      <c r="J216" s="184"/>
      <c r="K216" s="184"/>
      <c r="L216" s="184" t="s">
        <v>1125</v>
      </c>
      <c r="M216" s="184" t="s">
        <v>677</v>
      </c>
      <c r="N216" s="675">
        <f>T_CEFF!H248</f>
        <v>1.0309299999999999</v>
      </c>
      <c r="O216" s="675">
        <f>T_CEFF!I248</f>
        <v>1.0309299999999999</v>
      </c>
      <c r="P216" s="675">
        <f>T_CEFF!J248</f>
        <v>1.0309299999999999</v>
      </c>
      <c r="Q216" s="675">
        <f>T_CEFF!K248</f>
        <v>1.0309299999999999</v>
      </c>
      <c r="R216" s="675">
        <f>T_CEFF!L248</f>
        <v>1.0309299999999999</v>
      </c>
      <c r="S216" s="675">
        <f>T_CEFF!M248</f>
        <v>1.0309299999999999</v>
      </c>
      <c r="T216" s="675">
        <f>T_CEFF!N248</f>
        <v>1.0309299999999999</v>
      </c>
      <c r="U216" s="675">
        <f>T_CEFF!O248</f>
        <v>1.0309299999999999</v>
      </c>
      <c r="V216" s="675">
        <f>T_CEFF!P248</f>
        <v>1.0309299999999999</v>
      </c>
      <c r="W216" s="675">
        <f>T_CEFF!Q248</f>
        <v>1.0309299999999999</v>
      </c>
      <c r="X216" s="675">
        <f>T_CEFF!R248</f>
        <v>1.0309299999999999</v>
      </c>
      <c r="Y216" s="675">
        <f>T_CEFF!S248</f>
        <v>1.0309299999999999</v>
      </c>
      <c r="Z216" s="675">
        <f>T_CEFF!T248</f>
        <v>1.0309299999999999</v>
      </c>
      <c r="AA216" s="675">
        <f>T_CEFF!U248</f>
        <v>1.0309299999999999</v>
      </c>
      <c r="AB216" s="675">
        <f>T_CEFF!V248</f>
        <v>1.0309299999999999</v>
      </c>
    </row>
    <row r="217" spans="1:46" s="83" customFormat="1" x14ac:dyDescent="0.3">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3">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1">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3">
      <c r="A219" s="82"/>
      <c r="B219" s="178" t="str">
        <f t="shared" si="172"/>
        <v>TFLEPYG900</v>
      </c>
      <c r="C219" s="178"/>
      <c r="D219" s="179"/>
      <c r="E219" s="178"/>
      <c r="F219" s="182"/>
      <c r="G219" s="181"/>
      <c r="H219" s="182"/>
      <c r="I219" s="183">
        <f>$M$3</f>
        <v>2019</v>
      </c>
      <c r="J219" s="184"/>
      <c r="K219" s="184"/>
      <c r="L219" s="203" t="s">
        <v>1064</v>
      </c>
      <c r="M219" s="184" t="s">
        <v>747</v>
      </c>
      <c r="N219" s="693">
        <f>LOOKUP($C$213, 'T_Stock_TOTAL_&amp;_City'!$C$90:$C$100, 'T_Stock_TOTAL_&amp;_City'!D$90:D$100)*(1+N80)</f>
        <v>0</v>
      </c>
      <c r="O219" s="693">
        <f>LOOKUP($C$213, 'T_Stock_TOTAL_&amp;_City'!$C$90:$C$100, 'T_Stock_TOTAL_&amp;_City'!E$90:E$100)*(1+O80)</f>
        <v>0</v>
      </c>
      <c r="P219" s="693">
        <f>LOOKUP($C$213, 'T_Stock_TOTAL_&amp;_City'!$C$90:$C$100, 'T_Stock_TOTAL_&amp;_City'!F$90:F$100)*(1+P80)</f>
        <v>0</v>
      </c>
      <c r="Q219" s="693">
        <f>LOOKUP($C$213, 'T_Stock_TOTAL_&amp;_City'!$C$90:$C$100, 'T_Stock_TOTAL_&amp;_City'!G$90:G$100)*(1+Q80)</f>
        <v>0</v>
      </c>
      <c r="R219" s="693">
        <f>LOOKUP($C$213, 'T_Stock_TOTAL_&amp;_City'!$C$90:$C$100, 'T_Stock_TOTAL_&amp;_City'!H$90:H$100)*(1+R80)</f>
        <v>0</v>
      </c>
      <c r="S219" s="693">
        <f>LOOKUP($C$213, 'T_Stock_TOTAL_&amp;_City'!$C$90:$C$100, 'T_Stock_TOTAL_&amp;_City'!I$90:I$100)*(1+S80)</f>
        <v>0</v>
      </c>
      <c r="T219" s="693">
        <f>LOOKUP($C$213, 'T_Stock_TOTAL_&amp;_City'!$C$90:$C$100, 'T_Stock_TOTAL_&amp;_City'!J$90:J$100)*(1+T80)</f>
        <v>0</v>
      </c>
      <c r="U219" s="693">
        <f>LOOKUP($C$213, 'T_Stock_TOTAL_&amp;_City'!$C$90:$C$100, 'T_Stock_TOTAL_&amp;_City'!K$90:K$100)*(1+U80)</f>
        <v>0</v>
      </c>
      <c r="V219" s="693">
        <f>LOOKUP($C$213, 'T_Stock_TOTAL_&amp;_City'!$C$90:$C$100, 'T_Stock_TOTAL_&amp;_City'!L$90:L$100)*(1+V80)</f>
        <v>0</v>
      </c>
      <c r="W219" s="693">
        <f>LOOKUP($C$213, 'T_Stock_TOTAL_&amp;_City'!$C$90:$C$100, 'T_Stock_TOTAL_&amp;_City'!M$90:M$100)*(1+W80)</f>
        <v>0</v>
      </c>
      <c r="X219" s="693">
        <f>LOOKUP($C$213, 'T_Stock_TOTAL_&amp;_City'!$C$90:$C$100, 'T_Stock_TOTAL_&amp;_City'!N$90:N$100)*(1+X80)</f>
        <v>0</v>
      </c>
      <c r="Y219" s="693">
        <f>LOOKUP($C$213, 'T_Stock_TOTAL_&amp;_City'!$C$90:$C$100, 'T_Stock_TOTAL_&amp;_City'!O$90:O$100)*(1+Y80)</f>
        <v>0</v>
      </c>
      <c r="Z219" s="693">
        <f>LOOKUP($C$213, 'T_Stock_TOTAL_&amp;_City'!$C$90:$C$100, 'T_Stock_TOTAL_&amp;_City'!P$90:P$100)*(1+Z80)</f>
        <v>0</v>
      </c>
      <c r="AA219" s="693">
        <f>LOOKUP($C$213, 'T_Stock_TOTAL_&amp;_City'!$C$90:$C$100, 'T_Stock_TOTAL_&amp;_City'!Q$90:Q$100)*(1+AA80)</f>
        <v>0</v>
      </c>
      <c r="AB219" s="693">
        <f>LOOKUP($C$213, 'T_Stock_TOTAL_&amp;_City'!$C$90:$C$100, 'T_Stock_TOTAL_&amp;_City'!R$90:R$100)*(1+AB80)</f>
        <v>0</v>
      </c>
      <c r="AD219" s="35"/>
    </row>
    <row r="220" spans="1:46" s="83" customFormat="1" x14ac:dyDescent="0.3">
      <c r="A220" s="82"/>
      <c r="B220" s="178" t="str">
        <f t="shared" si="172"/>
        <v>TFLEPYG900</v>
      </c>
      <c r="C220" s="178"/>
      <c r="D220" s="179"/>
      <c r="E220" s="178"/>
      <c r="F220" s="182"/>
      <c r="G220" s="181"/>
      <c r="H220" s="182"/>
      <c r="I220" s="183">
        <f>AF$5</f>
        <v>2016</v>
      </c>
      <c r="J220" s="184"/>
      <c r="K220" s="184"/>
      <c r="L220" s="203" t="s">
        <v>1064</v>
      </c>
      <c r="M220" s="184" t="s">
        <v>747</v>
      </c>
      <c r="N220" s="693">
        <f t="shared" ref="N220:AB220" si="175">N219*LOOKUP($AD213,$AH$4:$AQ$4,$AH$5:$AQ$5)</f>
        <v>0</v>
      </c>
      <c r="O220" s="693">
        <f t="shared" si="175"/>
        <v>0</v>
      </c>
      <c r="P220" s="693">
        <f t="shared" si="175"/>
        <v>0</v>
      </c>
      <c r="Q220" s="693">
        <f t="shared" si="175"/>
        <v>0</v>
      </c>
      <c r="R220" s="693">
        <f t="shared" si="175"/>
        <v>0</v>
      </c>
      <c r="S220" s="693">
        <f t="shared" si="175"/>
        <v>0</v>
      </c>
      <c r="T220" s="693">
        <f t="shared" si="175"/>
        <v>0</v>
      </c>
      <c r="U220" s="693">
        <f t="shared" si="175"/>
        <v>0</v>
      </c>
      <c r="V220" s="693">
        <f t="shared" si="175"/>
        <v>0</v>
      </c>
      <c r="W220" s="693">
        <f t="shared" si="175"/>
        <v>0</v>
      </c>
      <c r="X220" s="693">
        <f t="shared" si="175"/>
        <v>0</v>
      </c>
      <c r="Y220" s="693">
        <f t="shared" si="175"/>
        <v>0</v>
      </c>
      <c r="Z220" s="693">
        <f t="shared" si="175"/>
        <v>0</v>
      </c>
      <c r="AA220" s="693">
        <f t="shared" si="175"/>
        <v>0</v>
      </c>
      <c r="AB220" s="693">
        <f t="shared" si="175"/>
        <v>0</v>
      </c>
      <c r="AD220" s="35"/>
    </row>
    <row r="221" spans="1:46" s="83" customFormat="1" x14ac:dyDescent="0.3">
      <c r="A221" s="82"/>
      <c r="B221" s="178" t="str">
        <f t="shared" si="172"/>
        <v>TFLEPYG900</v>
      </c>
      <c r="C221" s="178"/>
      <c r="D221" s="179"/>
      <c r="E221" s="178"/>
      <c r="F221" s="182"/>
      <c r="G221" s="181"/>
      <c r="H221" s="182"/>
      <c r="I221" s="183">
        <f>AF$6</f>
        <v>2020</v>
      </c>
      <c r="J221" s="184"/>
      <c r="K221" s="184"/>
      <c r="L221" s="203" t="s">
        <v>1064</v>
      </c>
      <c r="M221" s="184" t="s">
        <v>747</v>
      </c>
      <c r="N221" s="693">
        <f t="shared" ref="N221:AB221" si="176">N219*LOOKUP($AD213,$AH$4:$AQ$4,$AH$6:$AQ$6)</f>
        <v>0</v>
      </c>
      <c r="O221" s="693">
        <f t="shared" si="176"/>
        <v>0</v>
      </c>
      <c r="P221" s="693">
        <f t="shared" si="176"/>
        <v>0</v>
      </c>
      <c r="Q221" s="693">
        <f t="shared" si="176"/>
        <v>0</v>
      </c>
      <c r="R221" s="693">
        <f t="shared" si="176"/>
        <v>0</v>
      </c>
      <c r="S221" s="693">
        <f t="shared" si="176"/>
        <v>0</v>
      </c>
      <c r="T221" s="693">
        <f t="shared" si="176"/>
        <v>0</v>
      </c>
      <c r="U221" s="693">
        <f t="shared" si="176"/>
        <v>0</v>
      </c>
      <c r="V221" s="693">
        <f t="shared" si="176"/>
        <v>0</v>
      </c>
      <c r="W221" s="693">
        <f t="shared" si="176"/>
        <v>0</v>
      </c>
      <c r="X221" s="693">
        <f t="shared" si="176"/>
        <v>0</v>
      </c>
      <c r="Y221" s="693">
        <f t="shared" si="176"/>
        <v>0</v>
      </c>
      <c r="Z221" s="693">
        <f t="shared" si="176"/>
        <v>0</v>
      </c>
      <c r="AA221" s="693">
        <f t="shared" si="176"/>
        <v>0</v>
      </c>
      <c r="AB221" s="693">
        <f t="shared" si="176"/>
        <v>0</v>
      </c>
      <c r="AD221" s="35"/>
    </row>
    <row r="222" spans="1:46" s="83" customFormat="1" x14ac:dyDescent="0.3">
      <c r="A222" s="82"/>
      <c r="B222" s="178" t="str">
        <f t="shared" si="172"/>
        <v>TFLEPYG900</v>
      </c>
      <c r="C222" s="178"/>
      <c r="D222" s="179"/>
      <c r="E222" s="178"/>
      <c r="F222" s="182"/>
      <c r="G222" s="181"/>
      <c r="H222" s="182"/>
      <c r="I222" s="183">
        <f>AF$7</f>
        <v>2025</v>
      </c>
      <c r="J222" s="184"/>
      <c r="K222" s="184"/>
      <c r="L222" s="203" t="s">
        <v>1064</v>
      </c>
      <c r="M222" s="184" t="s">
        <v>747</v>
      </c>
      <c r="N222" s="693">
        <f t="shared" ref="N222:AB222" si="177">N219*LOOKUP($AD213,$AH$4:$AQ$4,$AH$7:$AQ$7)</f>
        <v>0</v>
      </c>
      <c r="O222" s="693">
        <f t="shared" si="177"/>
        <v>0</v>
      </c>
      <c r="P222" s="693">
        <f t="shared" si="177"/>
        <v>0</v>
      </c>
      <c r="Q222" s="693">
        <f t="shared" si="177"/>
        <v>0</v>
      </c>
      <c r="R222" s="693">
        <f t="shared" si="177"/>
        <v>0</v>
      </c>
      <c r="S222" s="693">
        <f t="shared" si="177"/>
        <v>0</v>
      </c>
      <c r="T222" s="693">
        <f t="shared" si="177"/>
        <v>0</v>
      </c>
      <c r="U222" s="693">
        <f t="shared" si="177"/>
        <v>0</v>
      </c>
      <c r="V222" s="693">
        <f t="shared" si="177"/>
        <v>0</v>
      </c>
      <c r="W222" s="693">
        <f t="shared" si="177"/>
        <v>0</v>
      </c>
      <c r="X222" s="693">
        <f t="shared" si="177"/>
        <v>0</v>
      </c>
      <c r="Y222" s="693">
        <f t="shared" si="177"/>
        <v>0</v>
      </c>
      <c r="Z222" s="693">
        <f t="shared" si="177"/>
        <v>0</v>
      </c>
      <c r="AA222" s="693">
        <f t="shared" si="177"/>
        <v>0</v>
      </c>
      <c r="AB222" s="693">
        <f t="shared" si="177"/>
        <v>0</v>
      </c>
      <c r="AD222" s="35"/>
    </row>
    <row r="223" spans="1:46" s="83" customFormat="1" x14ac:dyDescent="0.3">
      <c r="A223" s="82"/>
      <c r="B223" s="178" t="str">
        <f t="shared" si="172"/>
        <v>TFLEPYG900</v>
      </c>
      <c r="C223" s="178"/>
      <c r="D223" s="179"/>
      <c r="E223" s="178"/>
      <c r="F223" s="182"/>
      <c r="G223" s="181"/>
      <c r="H223" s="182"/>
      <c r="I223" s="183">
        <f>AF$8</f>
        <v>2030</v>
      </c>
      <c r="J223" s="184"/>
      <c r="K223" s="184"/>
      <c r="L223" s="203" t="s">
        <v>1064</v>
      </c>
      <c r="M223" s="184" t="s">
        <v>747</v>
      </c>
      <c r="N223" s="693">
        <f t="shared" ref="N223:AB223" si="178">N219*LOOKUP($AD213,$AH$4:$AQ$4,$AH$8:$AQ$8)</f>
        <v>0</v>
      </c>
      <c r="O223" s="693">
        <f t="shared" si="178"/>
        <v>0</v>
      </c>
      <c r="P223" s="693">
        <f t="shared" si="178"/>
        <v>0</v>
      </c>
      <c r="Q223" s="693">
        <f t="shared" si="178"/>
        <v>0</v>
      </c>
      <c r="R223" s="693">
        <f t="shared" si="178"/>
        <v>0</v>
      </c>
      <c r="S223" s="693">
        <f t="shared" si="178"/>
        <v>0</v>
      </c>
      <c r="T223" s="693">
        <f t="shared" si="178"/>
        <v>0</v>
      </c>
      <c r="U223" s="693">
        <f t="shared" si="178"/>
        <v>0</v>
      </c>
      <c r="V223" s="693">
        <f t="shared" si="178"/>
        <v>0</v>
      </c>
      <c r="W223" s="693">
        <f t="shared" si="178"/>
        <v>0</v>
      </c>
      <c r="X223" s="693">
        <f t="shared" si="178"/>
        <v>0</v>
      </c>
      <c r="Y223" s="693">
        <f t="shared" si="178"/>
        <v>0</v>
      </c>
      <c r="Z223" s="693">
        <f t="shared" si="178"/>
        <v>0</v>
      </c>
      <c r="AA223" s="693">
        <f t="shared" si="178"/>
        <v>0</v>
      </c>
      <c r="AB223" s="693">
        <f t="shared" si="178"/>
        <v>0</v>
      </c>
      <c r="AD223" s="35"/>
    </row>
    <row r="224" spans="1:46" s="83" customFormat="1" x14ac:dyDescent="0.3">
      <c r="A224" s="82"/>
      <c r="B224" s="178" t="str">
        <f t="shared" si="172"/>
        <v>TFLEPYG900</v>
      </c>
      <c r="C224" s="178"/>
      <c r="D224" s="179"/>
      <c r="E224" s="178"/>
      <c r="F224" s="182"/>
      <c r="G224" s="181"/>
      <c r="H224" s="182"/>
      <c r="I224" s="183">
        <f>AF$9</f>
        <v>2040</v>
      </c>
      <c r="J224" s="184"/>
      <c r="K224" s="184"/>
      <c r="L224" s="203" t="s">
        <v>1064</v>
      </c>
      <c r="M224" s="184" t="s">
        <v>747</v>
      </c>
      <c r="N224" s="693">
        <f t="shared" ref="N224:AB224" si="179">N219*LOOKUP($AD213,$AH$4:$AQ$4,$AH$9:$AQ$9)</f>
        <v>0</v>
      </c>
      <c r="O224" s="693">
        <f t="shared" si="179"/>
        <v>0</v>
      </c>
      <c r="P224" s="693">
        <f t="shared" si="179"/>
        <v>0</v>
      </c>
      <c r="Q224" s="693">
        <f t="shared" si="179"/>
        <v>0</v>
      </c>
      <c r="R224" s="693">
        <f t="shared" si="179"/>
        <v>0</v>
      </c>
      <c r="S224" s="693">
        <f t="shared" si="179"/>
        <v>0</v>
      </c>
      <c r="T224" s="693">
        <f t="shared" si="179"/>
        <v>0</v>
      </c>
      <c r="U224" s="693">
        <f t="shared" si="179"/>
        <v>0</v>
      </c>
      <c r="V224" s="693">
        <f t="shared" si="179"/>
        <v>0</v>
      </c>
      <c r="W224" s="693">
        <f t="shared" si="179"/>
        <v>0</v>
      </c>
      <c r="X224" s="693">
        <f t="shared" si="179"/>
        <v>0</v>
      </c>
      <c r="Y224" s="693">
        <f t="shared" si="179"/>
        <v>0</v>
      </c>
      <c r="Z224" s="693">
        <f t="shared" si="179"/>
        <v>0</v>
      </c>
      <c r="AA224" s="693">
        <f t="shared" si="179"/>
        <v>0</v>
      </c>
      <c r="AB224" s="693">
        <f t="shared" si="179"/>
        <v>0</v>
      </c>
      <c r="AD224" s="35"/>
    </row>
    <row r="225" spans="1:52" s="83" customFormat="1" x14ac:dyDescent="0.3">
      <c r="A225" s="82"/>
      <c r="B225" s="204" t="str">
        <f t="shared" si="172"/>
        <v>TFLEPYG900</v>
      </c>
      <c r="C225" s="204"/>
      <c r="D225" s="205"/>
      <c r="E225" s="204"/>
      <c r="F225" s="206"/>
      <c r="G225" s="207"/>
      <c r="H225" s="206"/>
      <c r="I225" s="208">
        <f>AF$10</f>
        <v>2050</v>
      </c>
      <c r="J225" s="209"/>
      <c r="K225" s="209"/>
      <c r="L225" s="210" t="s">
        <v>1064</v>
      </c>
      <c r="M225" s="209" t="s">
        <v>747</v>
      </c>
      <c r="N225" s="694">
        <f t="shared" ref="N225:AB225" si="180">N219*LOOKUP($AD213,$AH$4:$AQ$4,$AH$10:$AQ$10)</f>
        <v>0</v>
      </c>
      <c r="O225" s="694">
        <f t="shared" si="180"/>
        <v>0</v>
      </c>
      <c r="P225" s="694">
        <f t="shared" si="180"/>
        <v>0</v>
      </c>
      <c r="Q225" s="694">
        <f t="shared" si="180"/>
        <v>0</v>
      </c>
      <c r="R225" s="694">
        <f t="shared" si="180"/>
        <v>0</v>
      </c>
      <c r="S225" s="694">
        <f t="shared" si="180"/>
        <v>0</v>
      </c>
      <c r="T225" s="694">
        <f t="shared" si="180"/>
        <v>0</v>
      </c>
      <c r="U225" s="694">
        <f t="shared" si="180"/>
        <v>0</v>
      </c>
      <c r="V225" s="694">
        <f t="shared" si="180"/>
        <v>0</v>
      </c>
      <c r="W225" s="694">
        <f t="shared" si="180"/>
        <v>0</v>
      </c>
      <c r="X225" s="694">
        <f t="shared" si="180"/>
        <v>0</v>
      </c>
      <c r="Y225" s="694">
        <f t="shared" si="180"/>
        <v>0</v>
      </c>
      <c r="Z225" s="694">
        <f t="shared" si="180"/>
        <v>0</v>
      </c>
      <c r="AA225" s="694">
        <f t="shared" si="180"/>
        <v>0</v>
      </c>
      <c r="AB225" s="694">
        <f t="shared" si="180"/>
        <v>0</v>
      </c>
    </row>
    <row r="226" spans="1:52" s="83" customFormat="1" x14ac:dyDescent="0.3">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3">
      <c r="M228" s="473" t="s">
        <v>1151</v>
      </c>
      <c r="N228" s="481">
        <v>0</v>
      </c>
      <c r="O228" s="481">
        <f>N228</f>
        <v>0</v>
      </c>
      <c r="P228" s="481">
        <f>O228</f>
        <v>0</v>
      </c>
      <c r="Q228" s="481">
        <f t="shared" ref="Q228:AB228" si="181">P228</f>
        <v>0</v>
      </c>
      <c r="R228" s="481">
        <f t="shared" si="181"/>
        <v>0</v>
      </c>
      <c r="S228" s="481">
        <f t="shared" si="181"/>
        <v>0</v>
      </c>
      <c r="T228" s="481">
        <f t="shared" si="181"/>
        <v>0</v>
      </c>
      <c r="U228" s="481">
        <f t="shared" si="181"/>
        <v>0</v>
      </c>
      <c r="V228" s="481">
        <f t="shared" si="181"/>
        <v>0</v>
      </c>
      <c r="W228" s="481">
        <f t="shared" si="181"/>
        <v>0</v>
      </c>
      <c r="X228" s="481">
        <f t="shared" si="181"/>
        <v>0</v>
      </c>
      <c r="Y228" s="481">
        <f t="shared" si="181"/>
        <v>0</v>
      </c>
      <c r="Z228" s="481">
        <f t="shared" si="181"/>
        <v>0</v>
      </c>
      <c r="AA228" s="481">
        <f t="shared" si="181"/>
        <v>0</v>
      </c>
      <c r="AB228" s="481">
        <f t="shared" si="181"/>
        <v>0</v>
      </c>
    </row>
    <row r="229" spans="1:52" x14ac:dyDescent="0.3">
      <c r="B229" s="32" t="s">
        <v>1223</v>
      </c>
      <c r="C229" s="88"/>
      <c r="D229" s="26"/>
      <c r="I229" s="36"/>
      <c r="M229" s="473" t="s">
        <v>1153</v>
      </c>
      <c r="N229" s="481">
        <v>0</v>
      </c>
      <c r="O229" s="481">
        <f>N229</f>
        <v>0</v>
      </c>
      <c r="P229" s="481">
        <f t="shared" ref="P229:AB229" si="182">O229</f>
        <v>0</v>
      </c>
      <c r="Q229" s="481">
        <f t="shared" si="182"/>
        <v>0</v>
      </c>
      <c r="R229" s="481">
        <f t="shared" si="182"/>
        <v>0</v>
      </c>
      <c r="S229" s="481">
        <f t="shared" si="182"/>
        <v>0</v>
      </c>
      <c r="T229" s="481">
        <f t="shared" si="182"/>
        <v>0</v>
      </c>
      <c r="U229" s="481">
        <f t="shared" si="182"/>
        <v>0</v>
      </c>
      <c r="V229" s="481">
        <f t="shared" si="182"/>
        <v>0</v>
      </c>
      <c r="W229" s="481">
        <f t="shared" si="182"/>
        <v>0</v>
      </c>
      <c r="X229" s="481">
        <f t="shared" si="182"/>
        <v>0</v>
      </c>
      <c r="Y229" s="481">
        <f t="shared" si="182"/>
        <v>0</v>
      </c>
      <c r="Z229" s="481">
        <f t="shared" si="182"/>
        <v>0</v>
      </c>
      <c r="AA229" s="481">
        <f t="shared" si="182"/>
        <v>0</v>
      </c>
      <c r="AB229" s="481">
        <f t="shared" si="182"/>
        <v>0</v>
      </c>
    </row>
    <row r="230" spans="1:52" x14ac:dyDescent="0.3">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3">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3">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3">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4" t="str">
        <f>IF(AE234-SUM(N12:AB13)&lt;0,"too small",IF(AE234-SUM(N12:AB13)&gt;0.001,"Too big","ok"))</f>
        <v>ok</v>
      </c>
      <c r="AF233" s="618" t="str">
        <f t="shared" ref="AF233:AT233" si="185">IF(AF234-SUM(N12:N13)&lt;0,"too small",IF(AF234-SUM(N12:N13)&gt;0.001,"Too big","ok"))</f>
        <v>ok</v>
      </c>
      <c r="AG233" s="618" t="str">
        <f t="shared" si="185"/>
        <v>ok</v>
      </c>
      <c r="AH233" s="618" t="str">
        <f t="shared" si="185"/>
        <v>ok</v>
      </c>
      <c r="AI233" s="618" t="str">
        <f t="shared" si="185"/>
        <v>ok</v>
      </c>
      <c r="AJ233" s="618" t="str">
        <f t="shared" si="185"/>
        <v>ok</v>
      </c>
      <c r="AK233" s="618" t="str">
        <f t="shared" si="185"/>
        <v>ok</v>
      </c>
      <c r="AL233" s="618" t="str">
        <f t="shared" si="185"/>
        <v>ok</v>
      </c>
      <c r="AM233" s="618" t="str">
        <f t="shared" si="185"/>
        <v>ok</v>
      </c>
      <c r="AN233" s="618" t="str">
        <f t="shared" si="185"/>
        <v>ok</v>
      </c>
      <c r="AO233" s="618" t="str">
        <f t="shared" si="185"/>
        <v>ok</v>
      </c>
      <c r="AP233" s="618" t="str">
        <f t="shared" si="185"/>
        <v>ok</v>
      </c>
      <c r="AQ233" s="618" t="str">
        <f t="shared" si="185"/>
        <v>ok</v>
      </c>
      <c r="AR233" s="618" t="str">
        <f t="shared" si="185"/>
        <v>ok</v>
      </c>
      <c r="AS233" s="618" t="str">
        <f t="shared" si="185"/>
        <v>ok</v>
      </c>
      <c r="AT233" s="618" t="str">
        <f t="shared" si="185"/>
        <v>ok</v>
      </c>
    </row>
    <row r="234" spans="1:52" s="22" customFormat="1" x14ac:dyDescent="0.3">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1">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3">
      <c r="B235" s="178" t="str">
        <f>B234</f>
        <v>TFMEBDL900</v>
      </c>
      <c r="C235" s="178"/>
      <c r="D235" s="179"/>
      <c r="E235" s="178"/>
      <c r="F235" s="182"/>
      <c r="G235" s="324" t="s">
        <v>642</v>
      </c>
      <c r="H235" s="182"/>
      <c r="I235" s="183"/>
      <c r="J235" s="184"/>
      <c r="K235" s="184"/>
      <c r="L235" s="184" t="s">
        <v>1125</v>
      </c>
      <c r="M235" s="184" t="s">
        <v>677</v>
      </c>
      <c r="N235" s="675">
        <f>T_CEFF!H249</f>
        <v>0.10185</v>
      </c>
      <c r="O235" s="675">
        <f>T_CEFF!I249</f>
        <v>0.10185</v>
      </c>
      <c r="P235" s="675">
        <f>T_CEFF!J249</f>
        <v>0.10185</v>
      </c>
      <c r="Q235" s="675">
        <f>T_CEFF!K249</f>
        <v>0.10185</v>
      </c>
      <c r="R235" s="675">
        <f>T_CEFF!L249</f>
        <v>0.10185</v>
      </c>
      <c r="S235" s="675">
        <f>T_CEFF!M249</f>
        <v>0.10185</v>
      </c>
      <c r="T235" s="675">
        <f>T_CEFF!N249</f>
        <v>0.10185</v>
      </c>
      <c r="U235" s="675">
        <f>T_CEFF!O249</f>
        <v>0.10185</v>
      </c>
      <c r="V235" s="675">
        <f>T_CEFF!P249</f>
        <v>0.10185</v>
      </c>
      <c r="W235" s="675">
        <f>T_CEFF!Q249</f>
        <v>0.10185</v>
      </c>
      <c r="X235" s="675">
        <f>T_CEFF!R249</f>
        <v>0.10185</v>
      </c>
      <c r="Y235" s="675">
        <f>T_CEFF!S249</f>
        <v>0.10185</v>
      </c>
      <c r="Z235" s="675">
        <f>T_CEFF!T249</f>
        <v>0.10185</v>
      </c>
      <c r="AA235" s="675">
        <f>T_CEFF!U249</f>
        <v>0.10185</v>
      </c>
      <c r="AB235" s="675">
        <f>T_CEFF!V249</f>
        <v>0.10185</v>
      </c>
      <c r="AD235" s="66" t="str">
        <f>IF(COUNTIF($AH$4:$AQ$4,AD234)=1,"ok","MISSING")</f>
        <v>ok</v>
      </c>
      <c r="AF235" s="333"/>
    </row>
    <row r="236" spans="1:52" s="83" customFormat="1" x14ac:dyDescent="0.3">
      <c r="B236" s="178" t="str">
        <f t="shared" ref="B236:B245" si="188">B235</f>
        <v>TFMEBDL900</v>
      </c>
      <c r="C236" s="178"/>
      <c r="D236" s="179"/>
      <c r="E236" s="178"/>
      <c r="F236" s="182"/>
      <c r="G236" s="324" t="s">
        <v>645</v>
      </c>
      <c r="H236" s="182"/>
      <c r="I236" s="183"/>
      <c r="J236" s="184"/>
      <c r="K236" s="184"/>
      <c r="L236" s="184" t="s">
        <v>1125</v>
      </c>
      <c r="M236" s="184" t="s">
        <v>677</v>
      </c>
      <c r="N236" s="675">
        <f>T_CEFF!H250</f>
        <v>8.1479999999999997E-2</v>
      </c>
      <c r="O236" s="675">
        <f>T_CEFF!I250</f>
        <v>8.1479999999999997E-2</v>
      </c>
      <c r="P236" s="675">
        <f>T_CEFF!J250</f>
        <v>8.1479999999999997E-2</v>
      </c>
      <c r="Q236" s="675">
        <f>T_CEFF!K250</f>
        <v>8.1479999999999997E-2</v>
      </c>
      <c r="R236" s="675">
        <f>T_CEFF!L250</f>
        <v>8.1479999999999997E-2</v>
      </c>
      <c r="S236" s="675">
        <f>T_CEFF!M250</f>
        <v>8.1479999999999997E-2</v>
      </c>
      <c r="T236" s="675">
        <f>T_CEFF!N250</f>
        <v>8.1479999999999997E-2</v>
      </c>
      <c r="U236" s="675">
        <f>T_CEFF!O250</f>
        <v>8.1479999999999997E-2</v>
      </c>
      <c r="V236" s="675">
        <f>T_CEFF!P250</f>
        <v>8.1479999999999997E-2</v>
      </c>
      <c r="W236" s="675">
        <f>T_CEFF!Q250</f>
        <v>8.1479999999999997E-2</v>
      </c>
      <c r="X236" s="675">
        <f>T_CEFF!R250</f>
        <v>8.1479999999999997E-2</v>
      </c>
      <c r="Y236" s="675">
        <f>T_CEFF!S250</f>
        <v>8.1479999999999997E-2</v>
      </c>
      <c r="Z236" s="675">
        <f>T_CEFF!T250</f>
        <v>8.1479999999999997E-2</v>
      </c>
      <c r="AA236" s="675">
        <f>T_CEFF!U250</f>
        <v>8.1479999999999997E-2</v>
      </c>
      <c r="AB236" s="675">
        <f>T_CEFF!V250</f>
        <v>8.1479999999999997E-2</v>
      </c>
    </row>
    <row r="237" spans="1:52" s="83" customFormat="1" x14ac:dyDescent="0.3">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3">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1">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3">
      <c r="B239" s="178" t="str">
        <f>B238</f>
        <v>TFMEBDL900</v>
      </c>
      <c r="C239" s="178"/>
      <c r="D239" s="179"/>
      <c r="E239" s="178"/>
      <c r="F239" s="182"/>
      <c r="G239" s="181"/>
      <c r="H239" s="182"/>
      <c r="I239" s="183">
        <f>$M$3</f>
        <v>2019</v>
      </c>
      <c r="J239" s="184"/>
      <c r="K239" s="184"/>
      <c r="L239" s="203" t="s">
        <v>1064</v>
      </c>
      <c r="M239" s="184" t="s">
        <v>747</v>
      </c>
      <c r="N239" s="693">
        <f>LOOKUP($C$234, 'T_Stock_TOTAL_&amp;_City'!$C$106:$C$116, 'T_Stock_TOTAL_&amp;_City'!D$106:D$116)*(1+N229)</f>
        <v>0</v>
      </c>
      <c r="O239" s="693">
        <f>LOOKUP($C$234, 'T_Stock_TOTAL_&amp;_City'!$C$106:$C$116, 'T_Stock_TOTAL_&amp;_City'!E$106:E$116)*(1+O229)</f>
        <v>0</v>
      </c>
      <c r="P239" s="693">
        <f>LOOKUP($C$234, 'T_Stock_TOTAL_&amp;_City'!$C$106:$C$116, 'T_Stock_TOTAL_&amp;_City'!F$106:F$116)*(1+P229)</f>
        <v>0</v>
      </c>
      <c r="Q239" s="693">
        <f>LOOKUP($C$234, 'T_Stock_TOTAL_&amp;_City'!$C$106:$C$116, 'T_Stock_TOTAL_&amp;_City'!G$106:G$116)*(1+Q229)</f>
        <v>0</v>
      </c>
      <c r="R239" s="693">
        <f>LOOKUP($C$234, 'T_Stock_TOTAL_&amp;_City'!$C$106:$C$116, 'T_Stock_TOTAL_&amp;_City'!H$106:H$116)*(1+R229)</f>
        <v>0</v>
      </c>
      <c r="S239" s="693">
        <f>LOOKUP($C$234, 'T_Stock_TOTAL_&amp;_City'!$C$106:$C$116, 'T_Stock_TOTAL_&amp;_City'!I$106:I$116)*(1+S229)</f>
        <v>0</v>
      </c>
      <c r="T239" s="693">
        <f>LOOKUP($C$234, 'T_Stock_TOTAL_&amp;_City'!$C$106:$C$116, 'T_Stock_TOTAL_&amp;_City'!J$106:J$116)*(1+T229)</f>
        <v>0</v>
      </c>
      <c r="U239" s="693">
        <f>LOOKUP($C$234, 'T_Stock_TOTAL_&amp;_City'!$C$106:$C$116, 'T_Stock_TOTAL_&amp;_City'!K$106:K$116)*(1+U229)</f>
        <v>0</v>
      </c>
      <c r="V239" s="693">
        <f>LOOKUP($C$234, 'T_Stock_TOTAL_&amp;_City'!$C$106:$C$116, 'T_Stock_TOTAL_&amp;_City'!L$106:L$116)*(1+V229)</f>
        <v>0</v>
      </c>
      <c r="W239" s="693">
        <f>LOOKUP($C$234, 'T_Stock_TOTAL_&amp;_City'!$C$106:$C$116, 'T_Stock_TOTAL_&amp;_City'!M$106:M$116)*(1+W229)</f>
        <v>0</v>
      </c>
      <c r="X239" s="693">
        <f>LOOKUP($C$234, 'T_Stock_TOTAL_&amp;_City'!$C$106:$C$116, 'T_Stock_TOTAL_&amp;_City'!N$106:N$116)*(1+X229)</f>
        <v>0</v>
      </c>
      <c r="Y239" s="693">
        <f>LOOKUP($C$234, 'T_Stock_TOTAL_&amp;_City'!$C$106:$C$116, 'T_Stock_TOTAL_&amp;_City'!O$106:O$116)*(1+Y229)</f>
        <v>0</v>
      </c>
      <c r="Z239" s="693">
        <f>LOOKUP($C$234, 'T_Stock_TOTAL_&amp;_City'!$C$106:$C$116, 'T_Stock_TOTAL_&amp;_City'!P$106:P$116)*(1+Z229)</f>
        <v>0</v>
      </c>
      <c r="AA239" s="693">
        <f>LOOKUP($C$234, 'T_Stock_TOTAL_&amp;_City'!$C$106:$C$116, 'T_Stock_TOTAL_&amp;_City'!Q$106:Q$116)*(1+AA229)</f>
        <v>0</v>
      </c>
      <c r="AB239" s="693">
        <f>LOOKUP($C$234, 'T_Stock_TOTAL_&amp;_City'!$C$106:$C$116, 'T_Stock_TOTAL_&amp;_City'!R$106:R$116)*(1+AB229)</f>
        <v>0</v>
      </c>
    </row>
    <row r="240" spans="1:52" s="83" customFormat="1" x14ac:dyDescent="0.3">
      <c r="B240" s="178" t="str">
        <f t="shared" si="188"/>
        <v>TFMEBDL900</v>
      </c>
      <c r="C240" s="178"/>
      <c r="D240" s="179"/>
      <c r="E240" s="178"/>
      <c r="F240" s="182"/>
      <c r="G240" s="181"/>
      <c r="H240" s="182"/>
      <c r="I240" s="183">
        <f>AF$5</f>
        <v>2016</v>
      </c>
      <c r="J240" s="184"/>
      <c r="K240" s="184"/>
      <c r="L240" s="203" t="s">
        <v>1064</v>
      </c>
      <c r="M240" s="184" t="s">
        <v>747</v>
      </c>
      <c r="N240" s="693">
        <f t="shared" ref="N240:AB240" si="191">N239*LOOKUP($AD234,$AH$4:$AQ$4,$AH$5:$AQ$5)</f>
        <v>0</v>
      </c>
      <c r="O240" s="693">
        <f t="shared" si="191"/>
        <v>0</v>
      </c>
      <c r="P240" s="693">
        <f t="shared" si="191"/>
        <v>0</v>
      </c>
      <c r="Q240" s="693">
        <f t="shared" si="191"/>
        <v>0</v>
      </c>
      <c r="R240" s="693">
        <f t="shared" si="191"/>
        <v>0</v>
      </c>
      <c r="S240" s="693">
        <f t="shared" si="191"/>
        <v>0</v>
      </c>
      <c r="T240" s="693">
        <f t="shared" si="191"/>
        <v>0</v>
      </c>
      <c r="U240" s="693">
        <f t="shared" si="191"/>
        <v>0</v>
      </c>
      <c r="V240" s="693">
        <f t="shared" si="191"/>
        <v>0</v>
      </c>
      <c r="W240" s="693">
        <f t="shared" si="191"/>
        <v>0</v>
      </c>
      <c r="X240" s="693">
        <f t="shared" si="191"/>
        <v>0</v>
      </c>
      <c r="Y240" s="693">
        <f t="shared" si="191"/>
        <v>0</v>
      </c>
      <c r="Z240" s="693">
        <f t="shared" si="191"/>
        <v>0</v>
      </c>
      <c r="AA240" s="693">
        <f t="shared" si="191"/>
        <v>0</v>
      </c>
      <c r="AB240" s="693">
        <f t="shared" si="191"/>
        <v>0</v>
      </c>
    </row>
    <row r="241" spans="1:46" s="83" customFormat="1" x14ac:dyDescent="0.3">
      <c r="B241" s="178" t="str">
        <f t="shared" si="188"/>
        <v>TFMEBDL900</v>
      </c>
      <c r="C241" s="178"/>
      <c r="D241" s="179"/>
      <c r="E241" s="178"/>
      <c r="F241" s="182"/>
      <c r="G241" s="181"/>
      <c r="H241" s="182"/>
      <c r="I241" s="183">
        <f>AF$6</f>
        <v>2020</v>
      </c>
      <c r="J241" s="184"/>
      <c r="K241" s="184"/>
      <c r="L241" s="203" t="s">
        <v>1064</v>
      </c>
      <c r="M241" s="184" t="s">
        <v>747</v>
      </c>
      <c r="N241" s="693">
        <f t="shared" ref="N241:AB241" si="192">N239*LOOKUP($AD234,$AH$4:$AQ$4,$AH$6:$AQ$6)</f>
        <v>0</v>
      </c>
      <c r="O241" s="693">
        <f t="shared" si="192"/>
        <v>0</v>
      </c>
      <c r="P241" s="693">
        <f t="shared" si="192"/>
        <v>0</v>
      </c>
      <c r="Q241" s="693">
        <f t="shared" si="192"/>
        <v>0</v>
      </c>
      <c r="R241" s="693">
        <f t="shared" si="192"/>
        <v>0</v>
      </c>
      <c r="S241" s="693">
        <f t="shared" si="192"/>
        <v>0</v>
      </c>
      <c r="T241" s="693">
        <f t="shared" si="192"/>
        <v>0</v>
      </c>
      <c r="U241" s="693">
        <f t="shared" si="192"/>
        <v>0</v>
      </c>
      <c r="V241" s="693">
        <f t="shared" si="192"/>
        <v>0</v>
      </c>
      <c r="W241" s="693">
        <f t="shared" si="192"/>
        <v>0</v>
      </c>
      <c r="X241" s="693">
        <f t="shared" si="192"/>
        <v>0</v>
      </c>
      <c r="Y241" s="693">
        <f t="shared" si="192"/>
        <v>0</v>
      </c>
      <c r="Z241" s="693">
        <f t="shared" si="192"/>
        <v>0</v>
      </c>
      <c r="AA241" s="693">
        <f t="shared" si="192"/>
        <v>0</v>
      </c>
      <c r="AB241" s="693">
        <f t="shared" si="192"/>
        <v>0</v>
      </c>
    </row>
    <row r="242" spans="1:46" s="83" customFormat="1" x14ac:dyDescent="0.3">
      <c r="B242" s="178" t="str">
        <f t="shared" si="188"/>
        <v>TFMEBDL900</v>
      </c>
      <c r="C242" s="178"/>
      <c r="D242" s="179"/>
      <c r="E242" s="178"/>
      <c r="F242" s="182"/>
      <c r="G242" s="181"/>
      <c r="H242" s="182"/>
      <c r="I242" s="183">
        <f>AF$7</f>
        <v>2025</v>
      </c>
      <c r="J242" s="184"/>
      <c r="K242" s="184"/>
      <c r="L242" s="203" t="s">
        <v>1064</v>
      </c>
      <c r="M242" s="184" t="s">
        <v>747</v>
      </c>
      <c r="N242" s="693">
        <f t="shared" ref="N242:AB242" si="193">N239*LOOKUP($AD234,$AH$4:$AQ$4,$AH$7:$AQ$7)</f>
        <v>0</v>
      </c>
      <c r="O242" s="693">
        <f t="shared" si="193"/>
        <v>0</v>
      </c>
      <c r="P242" s="693">
        <f t="shared" si="193"/>
        <v>0</v>
      </c>
      <c r="Q242" s="693">
        <f t="shared" si="193"/>
        <v>0</v>
      </c>
      <c r="R242" s="693">
        <f t="shared" si="193"/>
        <v>0</v>
      </c>
      <c r="S242" s="693">
        <f t="shared" si="193"/>
        <v>0</v>
      </c>
      <c r="T242" s="693">
        <f t="shared" si="193"/>
        <v>0</v>
      </c>
      <c r="U242" s="693">
        <f t="shared" si="193"/>
        <v>0</v>
      </c>
      <c r="V242" s="693">
        <f t="shared" si="193"/>
        <v>0</v>
      </c>
      <c r="W242" s="693">
        <f t="shared" si="193"/>
        <v>0</v>
      </c>
      <c r="X242" s="693">
        <f t="shared" si="193"/>
        <v>0</v>
      </c>
      <c r="Y242" s="693">
        <f t="shared" si="193"/>
        <v>0</v>
      </c>
      <c r="Z242" s="693">
        <f t="shared" si="193"/>
        <v>0</v>
      </c>
      <c r="AA242" s="693">
        <f t="shared" si="193"/>
        <v>0</v>
      </c>
      <c r="AB242" s="693">
        <f t="shared" si="193"/>
        <v>0</v>
      </c>
    </row>
    <row r="243" spans="1:46" s="83" customFormat="1" x14ac:dyDescent="0.3">
      <c r="B243" s="178" t="str">
        <f t="shared" si="188"/>
        <v>TFMEBDL900</v>
      </c>
      <c r="C243" s="178"/>
      <c r="D243" s="179"/>
      <c r="E243" s="178"/>
      <c r="F243" s="182"/>
      <c r="G243" s="181"/>
      <c r="H243" s="182"/>
      <c r="I243" s="183">
        <f>AF$8</f>
        <v>2030</v>
      </c>
      <c r="J243" s="184"/>
      <c r="K243" s="184"/>
      <c r="L243" s="203" t="s">
        <v>1064</v>
      </c>
      <c r="M243" s="184" t="s">
        <v>747</v>
      </c>
      <c r="N243" s="693">
        <f t="shared" ref="N243:AB243" si="194">N239*LOOKUP($AD234,$AH$4:$AQ$4,$AH$8:$AQ$8)</f>
        <v>0</v>
      </c>
      <c r="O243" s="693">
        <f t="shared" si="194"/>
        <v>0</v>
      </c>
      <c r="P243" s="693">
        <f t="shared" si="194"/>
        <v>0</v>
      </c>
      <c r="Q243" s="693">
        <f t="shared" si="194"/>
        <v>0</v>
      </c>
      <c r="R243" s="693">
        <f t="shared" si="194"/>
        <v>0</v>
      </c>
      <c r="S243" s="693">
        <f t="shared" si="194"/>
        <v>0</v>
      </c>
      <c r="T243" s="693">
        <f t="shared" si="194"/>
        <v>0</v>
      </c>
      <c r="U243" s="693">
        <f t="shared" si="194"/>
        <v>0</v>
      </c>
      <c r="V243" s="693">
        <f t="shared" si="194"/>
        <v>0</v>
      </c>
      <c r="W243" s="693">
        <f t="shared" si="194"/>
        <v>0</v>
      </c>
      <c r="X243" s="693">
        <f t="shared" si="194"/>
        <v>0</v>
      </c>
      <c r="Y243" s="693">
        <f t="shared" si="194"/>
        <v>0</v>
      </c>
      <c r="Z243" s="693">
        <f t="shared" si="194"/>
        <v>0</v>
      </c>
      <c r="AA243" s="693">
        <f t="shared" si="194"/>
        <v>0</v>
      </c>
      <c r="AB243" s="693">
        <f t="shared" si="194"/>
        <v>0</v>
      </c>
    </row>
    <row r="244" spans="1:46" s="83" customFormat="1" x14ac:dyDescent="0.3">
      <c r="B244" s="178" t="str">
        <f t="shared" si="188"/>
        <v>TFMEBDL900</v>
      </c>
      <c r="C244" s="178"/>
      <c r="D244" s="179"/>
      <c r="E244" s="178"/>
      <c r="F244" s="182"/>
      <c r="G244" s="181"/>
      <c r="H244" s="182"/>
      <c r="I244" s="183">
        <f>AF$9</f>
        <v>2040</v>
      </c>
      <c r="J244" s="184"/>
      <c r="K244" s="184"/>
      <c r="L244" s="203" t="s">
        <v>1064</v>
      </c>
      <c r="M244" s="184" t="s">
        <v>747</v>
      </c>
      <c r="N244" s="693">
        <f t="shared" ref="N244:AB244" si="195">N239*LOOKUP($AD234,$AH$4:$AQ$4,$AH$9:$AQ$9)</f>
        <v>0</v>
      </c>
      <c r="O244" s="693">
        <f t="shared" si="195"/>
        <v>0</v>
      </c>
      <c r="P244" s="693">
        <f t="shared" si="195"/>
        <v>0</v>
      </c>
      <c r="Q244" s="693">
        <f t="shared" si="195"/>
        <v>0</v>
      </c>
      <c r="R244" s="693">
        <f t="shared" si="195"/>
        <v>0</v>
      </c>
      <c r="S244" s="693">
        <f t="shared" si="195"/>
        <v>0</v>
      </c>
      <c r="T244" s="693">
        <f t="shared" si="195"/>
        <v>0</v>
      </c>
      <c r="U244" s="693">
        <f t="shared" si="195"/>
        <v>0</v>
      </c>
      <c r="V244" s="693">
        <f t="shared" si="195"/>
        <v>0</v>
      </c>
      <c r="W244" s="693">
        <f t="shared" si="195"/>
        <v>0</v>
      </c>
      <c r="X244" s="693">
        <f t="shared" si="195"/>
        <v>0</v>
      </c>
      <c r="Y244" s="693">
        <f t="shared" si="195"/>
        <v>0</v>
      </c>
      <c r="Z244" s="693">
        <f t="shared" si="195"/>
        <v>0</v>
      </c>
      <c r="AA244" s="693">
        <f t="shared" si="195"/>
        <v>0</v>
      </c>
      <c r="AB244" s="693">
        <f t="shared" si="195"/>
        <v>0</v>
      </c>
    </row>
    <row r="245" spans="1:46" s="83" customFormat="1" x14ac:dyDescent="0.3">
      <c r="B245" s="204" t="str">
        <f t="shared" si="188"/>
        <v>TFMEBDL900</v>
      </c>
      <c r="C245" s="204"/>
      <c r="D245" s="205"/>
      <c r="E245" s="204"/>
      <c r="F245" s="206"/>
      <c r="G245" s="207"/>
      <c r="H245" s="206"/>
      <c r="I245" s="208">
        <f>AF$10</f>
        <v>2050</v>
      </c>
      <c r="J245" s="209"/>
      <c r="K245" s="209"/>
      <c r="L245" s="210" t="s">
        <v>1064</v>
      </c>
      <c r="M245" s="209" t="s">
        <v>747</v>
      </c>
      <c r="N245" s="694">
        <f t="shared" ref="N245:AB245" si="196">N239*LOOKUP($AD234,$AH$4:$AQ$4,$AH$10:$AQ$10)</f>
        <v>0</v>
      </c>
      <c r="O245" s="694">
        <f t="shared" si="196"/>
        <v>0</v>
      </c>
      <c r="P245" s="694">
        <f t="shared" si="196"/>
        <v>0</v>
      </c>
      <c r="Q245" s="694">
        <f t="shared" si="196"/>
        <v>0</v>
      </c>
      <c r="R245" s="694">
        <f t="shared" si="196"/>
        <v>0</v>
      </c>
      <c r="S245" s="694">
        <f t="shared" si="196"/>
        <v>0</v>
      </c>
      <c r="T245" s="694">
        <f t="shared" si="196"/>
        <v>0</v>
      </c>
      <c r="U245" s="694">
        <f t="shared" si="196"/>
        <v>0</v>
      </c>
      <c r="V245" s="694">
        <f t="shared" si="196"/>
        <v>0</v>
      </c>
      <c r="W245" s="694">
        <f t="shared" si="196"/>
        <v>0</v>
      </c>
      <c r="X245" s="694">
        <f t="shared" si="196"/>
        <v>0</v>
      </c>
      <c r="Y245" s="694">
        <f t="shared" si="196"/>
        <v>0</v>
      </c>
      <c r="Z245" s="694">
        <f t="shared" si="196"/>
        <v>0</v>
      </c>
      <c r="AA245" s="694">
        <f t="shared" si="196"/>
        <v>0</v>
      </c>
      <c r="AB245" s="694">
        <f t="shared" si="196"/>
        <v>0</v>
      </c>
      <c r="AD245" s="409"/>
    </row>
    <row r="246" spans="1:46" s="83" customFormat="1" x14ac:dyDescent="0.3">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3">
      <c r="A247" s="82"/>
      <c r="B247" s="178" t="str">
        <f>B246</f>
        <v>TFMEDST900</v>
      </c>
      <c r="C247" s="178"/>
      <c r="D247" s="179"/>
      <c r="E247" s="407" t="s">
        <v>987</v>
      </c>
      <c r="F247" s="182"/>
      <c r="G247" s="181"/>
      <c r="H247" s="182"/>
      <c r="I247" s="183"/>
      <c r="J247" s="184" t="s">
        <v>1222</v>
      </c>
      <c r="K247" s="184"/>
      <c r="L247" s="203" t="s">
        <v>101</v>
      </c>
      <c r="M247" s="184"/>
      <c r="N247" s="390">
        <f>N$28</f>
        <v>0.17499999999999999</v>
      </c>
      <c r="O247" s="390">
        <f t="shared" ref="O247:AB247" si="198">O$28</f>
        <v>0.17499999999999999</v>
      </c>
      <c r="P247" s="390">
        <f t="shared" si="198"/>
        <v>0.17499999999999999</v>
      </c>
      <c r="Q247" s="390">
        <f t="shared" si="198"/>
        <v>0.17499999999999999</v>
      </c>
      <c r="R247" s="390">
        <f t="shared" si="198"/>
        <v>0.17499999999999999</v>
      </c>
      <c r="S247" s="390">
        <f t="shared" si="198"/>
        <v>0.17499999999999999</v>
      </c>
      <c r="T247" s="390">
        <f t="shared" si="198"/>
        <v>0.17499999999999999</v>
      </c>
      <c r="U247" s="390">
        <f t="shared" si="198"/>
        <v>0.17499999999999999</v>
      </c>
      <c r="V247" s="390">
        <f t="shared" si="198"/>
        <v>0.17499999999999999</v>
      </c>
      <c r="W247" s="390">
        <f t="shared" si="198"/>
        <v>0.17499999999999999</v>
      </c>
      <c r="X247" s="390">
        <f t="shared" si="198"/>
        <v>0.17499999999999999</v>
      </c>
      <c r="Y247" s="390">
        <f t="shared" si="198"/>
        <v>0.17499999999999999</v>
      </c>
      <c r="Z247" s="390">
        <f t="shared" si="198"/>
        <v>0.17499999999999999</v>
      </c>
      <c r="AA247" s="390">
        <f t="shared" si="198"/>
        <v>0.17499999999999999</v>
      </c>
      <c r="AB247" s="390">
        <f t="shared" si="198"/>
        <v>0.17499999999999999</v>
      </c>
      <c r="AD247" s="66" t="str">
        <f>IF(COUNTIF($AH$4:$AQ$4,AD246)=1,"ok","MISSING")</f>
        <v>ok</v>
      </c>
      <c r="AF247" s="333"/>
    </row>
    <row r="248" spans="1:46" s="83" customFormat="1" x14ac:dyDescent="0.3">
      <c r="B248" s="178" t="str">
        <f t="shared" ref="B248:B258" si="199">B247</f>
        <v>TFMEDST900</v>
      </c>
      <c r="C248" s="178"/>
      <c r="D248" s="179"/>
      <c r="E248" s="178"/>
      <c r="F248" s="182"/>
      <c r="G248" s="324" t="s">
        <v>642</v>
      </c>
      <c r="H248" s="182"/>
      <c r="I248" s="183"/>
      <c r="J248" s="184"/>
      <c r="K248" s="184"/>
      <c r="L248" s="184" t="s">
        <v>1125</v>
      </c>
      <c r="M248" s="184" t="s">
        <v>677</v>
      </c>
      <c r="N248" s="675">
        <f>T_CEFF!H251</f>
        <v>0.10185</v>
      </c>
      <c r="O248" s="675">
        <f>T_CEFF!I251</f>
        <v>0.10185</v>
      </c>
      <c r="P248" s="675">
        <f>T_CEFF!J251</f>
        <v>0.10185</v>
      </c>
      <c r="Q248" s="675">
        <f>T_CEFF!K251</f>
        <v>0.10185</v>
      </c>
      <c r="R248" s="675">
        <f>T_CEFF!L251</f>
        <v>0.10185</v>
      </c>
      <c r="S248" s="675">
        <f>T_CEFF!M251</f>
        <v>0.10185</v>
      </c>
      <c r="T248" s="675">
        <f>T_CEFF!N251</f>
        <v>0.10185</v>
      </c>
      <c r="U248" s="675">
        <f>T_CEFF!O251</f>
        <v>0.10185</v>
      </c>
      <c r="V248" s="675">
        <f>T_CEFF!P251</f>
        <v>0.10185</v>
      </c>
      <c r="W248" s="675">
        <f>T_CEFF!Q251</f>
        <v>0.10185</v>
      </c>
      <c r="X248" s="675">
        <f>T_CEFF!R251</f>
        <v>0.10185</v>
      </c>
      <c r="Y248" s="675">
        <f>T_CEFF!S251</f>
        <v>0.10185</v>
      </c>
      <c r="Z248" s="675">
        <f>T_CEFF!T251</f>
        <v>0.10185</v>
      </c>
      <c r="AA248" s="675">
        <f>T_CEFF!U251</f>
        <v>0.10185</v>
      </c>
      <c r="AB248" s="675">
        <f>T_CEFF!V251</f>
        <v>0.10185</v>
      </c>
    </row>
    <row r="249" spans="1:46" s="83" customFormat="1" x14ac:dyDescent="0.3">
      <c r="B249" s="178" t="str">
        <f t="shared" si="199"/>
        <v>TFMEDST900</v>
      </c>
      <c r="C249" s="178"/>
      <c r="D249" s="179"/>
      <c r="E249" s="178"/>
      <c r="F249" s="182"/>
      <c r="G249" s="324" t="s">
        <v>645</v>
      </c>
      <c r="H249" s="182"/>
      <c r="I249" s="183"/>
      <c r="J249" s="184"/>
      <c r="K249" s="184"/>
      <c r="L249" s="184" t="s">
        <v>1125</v>
      </c>
      <c r="M249" s="184" t="s">
        <v>677</v>
      </c>
      <c r="N249" s="675">
        <f>T_CEFF!H252</f>
        <v>8.1479999999999997E-2</v>
      </c>
      <c r="O249" s="675">
        <f>T_CEFF!I252</f>
        <v>8.1479999999999997E-2</v>
      </c>
      <c r="P249" s="675">
        <f>T_CEFF!J252</f>
        <v>8.1479999999999997E-2</v>
      </c>
      <c r="Q249" s="675">
        <f>T_CEFF!K252</f>
        <v>8.1479999999999997E-2</v>
      </c>
      <c r="R249" s="675">
        <f>T_CEFF!L252</f>
        <v>8.1479999999999997E-2</v>
      </c>
      <c r="S249" s="675">
        <f>T_CEFF!M252</f>
        <v>8.1479999999999997E-2</v>
      </c>
      <c r="T249" s="675">
        <f>T_CEFF!N252</f>
        <v>8.1479999999999997E-2</v>
      </c>
      <c r="U249" s="675">
        <f>T_CEFF!O252</f>
        <v>8.1479999999999997E-2</v>
      </c>
      <c r="V249" s="675">
        <f>T_CEFF!P252</f>
        <v>8.1479999999999997E-2</v>
      </c>
      <c r="W249" s="675">
        <f>T_CEFF!Q252</f>
        <v>8.1479999999999997E-2</v>
      </c>
      <c r="X249" s="675">
        <f>T_CEFF!R252</f>
        <v>8.1479999999999997E-2</v>
      </c>
      <c r="Y249" s="675">
        <f>T_CEFF!S252</f>
        <v>8.1479999999999997E-2</v>
      </c>
      <c r="Z249" s="675">
        <f>T_CEFF!T252</f>
        <v>8.1479999999999997E-2</v>
      </c>
      <c r="AA249" s="675">
        <f>T_CEFF!U252</f>
        <v>8.1479999999999997E-2</v>
      </c>
      <c r="AB249" s="675">
        <f>T_CEFF!V252</f>
        <v>8.1479999999999997E-2</v>
      </c>
    </row>
    <row r="250" spans="1:46" s="83" customFormat="1" x14ac:dyDescent="0.3">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3">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1">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3">
      <c r="B252" s="178" t="str">
        <f>B251</f>
        <v>TFMEDST900</v>
      </c>
      <c r="C252" s="178"/>
      <c r="D252" s="179"/>
      <c r="E252" s="178"/>
      <c r="F252" s="182"/>
      <c r="G252" s="181"/>
      <c r="H252" s="182"/>
      <c r="I252" s="183">
        <f>$M$3</f>
        <v>2019</v>
      </c>
      <c r="J252" s="184"/>
      <c r="K252" s="184"/>
      <c r="L252" s="203" t="s">
        <v>1064</v>
      </c>
      <c r="M252" s="184" t="s">
        <v>747</v>
      </c>
      <c r="N252" s="693">
        <f>LOOKUP($C$246, 'T_Stock_TOTAL_&amp;_City'!$C$106:$C$116, 'T_Stock_TOTAL_&amp;_City'!D$106:D$116)*(1+N229)</f>
        <v>0</v>
      </c>
      <c r="O252" s="693">
        <f>LOOKUP($C$246, 'T_Stock_TOTAL_&amp;_City'!$C$106:$C$116, 'T_Stock_TOTAL_&amp;_City'!E$106:E$116)*(1+O229)</f>
        <v>0</v>
      </c>
      <c r="P252" s="693">
        <f>LOOKUP($C$246, 'T_Stock_TOTAL_&amp;_City'!$C$106:$C$116, 'T_Stock_TOTAL_&amp;_City'!F$106:F$116)*(1+P229)</f>
        <v>0</v>
      </c>
      <c r="Q252" s="693">
        <f>LOOKUP($C$246, 'T_Stock_TOTAL_&amp;_City'!$C$106:$C$116, 'T_Stock_TOTAL_&amp;_City'!G$106:G$116)*(1+Q229)</f>
        <v>0</v>
      </c>
      <c r="R252" s="693">
        <f>LOOKUP($C$246, 'T_Stock_TOTAL_&amp;_City'!$C$106:$C$116, 'T_Stock_TOTAL_&amp;_City'!H$106:H$116)*(1+R229)</f>
        <v>0</v>
      </c>
      <c r="S252" s="693">
        <f>LOOKUP($C$246, 'T_Stock_TOTAL_&amp;_City'!$C$106:$C$116, 'T_Stock_TOTAL_&amp;_City'!I$106:I$116)*(1+S229)</f>
        <v>0</v>
      </c>
      <c r="T252" s="693">
        <f>LOOKUP($C$246, 'T_Stock_TOTAL_&amp;_City'!$C$106:$C$116, 'T_Stock_TOTAL_&amp;_City'!J$106:J$116)*(1+T229)</f>
        <v>0</v>
      </c>
      <c r="U252" s="693">
        <f>LOOKUP($C$246, 'T_Stock_TOTAL_&amp;_City'!$C$106:$C$116, 'T_Stock_TOTAL_&amp;_City'!K$106:K$116)*(1+U229)</f>
        <v>0</v>
      </c>
      <c r="V252" s="693">
        <f>LOOKUP($C$246, 'T_Stock_TOTAL_&amp;_City'!$C$106:$C$116, 'T_Stock_TOTAL_&amp;_City'!L$106:L$116)*(1+V229)</f>
        <v>0</v>
      </c>
      <c r="W252" s="693">
        <f>LOOKUP($C$246, 'T_Stock_TOTAL_&amp;_City'!$C$106:$C$116, 'T_Stock_TOTAL_&amp;_City'!M$106:M$116)*(1+W229)</f>
        <v>0</v>
      </c>
      <c r="X252" s="693">
        <f>LOOKUP($C$246, 'T_Stock_TOTAL_&amp;_City'!$C$106:$C$116, 'T_Stock_TOTAL_&amp;_City'!N$106:N$116)*(1+X229)</f>
        <v>0</v>
      </c>
      <c r="Y252" s="693">
        <f>LOOKUP($C$246, 'T_Stock_TOTAL_&amp;_City'!$C$106:$C$116, 'T_Stock_TOTAL_&amp;_City'!O$106:O$116)*(1+Y229)</f>
        <v>0</v>
      </c>
      <c r="Z252" s="693">
        <f>LOOKUP($C$246, 'T_Stock_TOTAL_&amp;_City'!$C$106:$C$116, 'T_Stock_TOTAL_&amp;_City'!P$106:P$116)*(1+Z229)</f>
        <v>0</v>
      </c>
      <c r="AA252" s="693">
        <f>LOOKUP($C$246, 'T_Stock_TOTAL_&amp;_City'!$C$106:$C$116, 'T_Stock_TOTAL_&amp;_City'!Q$106:Q$116)*(1+AA229)</f>
        <v>0</v>
      </c>
      <c r="AB252" s="693">
        <f>LOOKUP($C$246, 'T_Stock_TOTAL_&amp;_City'!$C$106:$C$116, 'T_Stock_TOTAL_&amp;_City'!R$106:R$116)*(1+AB229)</f>
        <v>0</v>
      </c>
    </row>
    <row r="253" spans="1:46" s="83" customFormat="1" x14ac:dyDescent="0.3">
      <c r="B253" s="178" t="str">
        <f t="shared" si="199"/>
        <v>TFMEDST900</v>
      </c>
      <c r="C253" s="178"/>
      <c r="D253" s="179"/>
      <c r="E253" s="178"/>
      <c r="F253" s="182"/>
      <c r="G253" s="181"/>
      <c r="H253" s="182"/>
      <c r="I253" s="183">
        <f>AF$5</f>
        <v>2016</v>
      </c>
      <c r="J253" s="184"/>
      <c r="K253" s="184"/>
      <c r="L253" s="203" t="s">
        <v>1064</v>
      </c>
      <c r="M253" s="184" t="s">
        <v>747</v>
      </c>
      <c r="N253" s="693">
        <f t="shared" ref="N253:AB253" si="202">N252*LOOKUP($AD246,$AH$4:$AQ$4,$AH$5:$AQ$5)</f>
        <v>0</v>
      </c>
      <c r="O253" s="693">
        <f t="shared" si="202"/>
        <v>0</v>
      </c>
      <c r="P253" s="693">
        <f t="shared" si="202"/>
        <v>0</v>
      </c>
      <c r="Q253" s="693">
        <f t="shared" si="202"/>
        <v>0</v>
      </c>
      <c r="R253" s="693">
        <f t="shared" si="202"/>
        <v>0</v>
      </c>
      <c r="S253" s="693">
        <f t="shared" si="202"/>
        <v>0</v>
      </c>
      <c r="T253" s="693">
        <f t="shared" si="202"/>
        <v>0</v>
      </c>
      <c r="U253" s="693">
        <f t="shared" si="202"/>
        <v>0</v>
      </c>
      <c r="V253" s="693">
        <f t="shared" si="202"/>
        <v>0</v>
      </c>
      <c r="W253" s="693">
        <f t="shared" si="202"/>
        <v>0</v>
      </c>
      <c r="X253" s="693">
        <f t="shared" si="202"/>
        <v>0</v>
      </c>
      <c r="Y253" s="693">
        <f t="shared" si="202"/>
        <v>0</v>
      </c>
      <c r="Z253" s="693">
        <f t="shared" si="202"/>
        <v>0</v>
      </c>
      <c r="AA253" s="693">
        <f t="shared" si="202"/>
        <v>0</v>
      </c>
      <c r="AB253" s="693">
        <f t="shared" si="202"/>
        <v>0</v>
      </c>
    </row>
    <row r="254" spans="1:46" s="83" customFormat="1" x14ac:dyDescent="0.3">
      <c r="B254" s="178" t="str">
        <f t="shared" si="199"/>
        <v>TFMEDST900</v>
      </c>
      <c r="C254" s="178"/>
      <c r="D254" s="179"/>
      <c r="E254" s="178"/>
      <c r="F254" s="182"/>
      <c r="G254" s="181"/>
      <c r="H254" s="182"/>
      <c r="I254" s="183">
        <f>AF$6</f>
        <v>2020</v>
      </c>
      <c r="J254" s="184"/>
      <c r="K254" s="184"/>
      <c r="L254" s="203" t="s">
        <v>1064</v>
      </c>
      <c r="M254" s="184" t="s">
        <v>747</v>
      </c>
      <c r="N254" s="693">
        <f t="shared" ref="N254:AB254" si="203">N252*LOOKUP($AD246,$AH$4:$AQ$4,$AH$6:$AQ$6)</f>
        <v>0</v>
      </c>
      <c r="O254" s="693">
        <f t="shared" si="203"/>
        <v>0</v>
      </c>
      <c r="P254" s="693">
        <f t="shared" si="203"/>
        <v>0</v>
      </c>
      <c r="Q254" s="693">
        <f t="shared" si="203"/>
        <v>0</v>
      </c>
      <c r="R254" s="693">
        <f t="shared" si="203"/>
        <v>0</v>
      </c>
      <c r="S254" s="693">
        <f t="shared" si="203"/>
        <v>0</v>
      </c>
      <c r="T254" s="693">
        <f t="shared" si="203"/>
        <v>0</v>
      </c>
      <c r="U254" s="693">
        <f t="shared" si="203"/>
        <v>0</v>
      </c>
      <c r="V254" s="693">
        <f t="shared" si="203"/>
        <v>0</v>
      </c>
      <c r="W254" s="693">
        <f t="shared" si="203"/>
        <v>0</v>
      </c>
      <c r="X254" s="693">
        <f t="shared" si="203"/>
        <v>0</v>
      </c>
      <c r="Y254" s="693">
        <f t="shared" si="203"/>
        <v>0</v>
      </c>
      <c r="Z254" s="693">
        <f t="shared" si="203"/>
        <v>0</v>
      </c>
      <c r="AA254" s="693">
        <f t="shared" si="203"/>
        <v>0</v>
      </c>
      <c r="AB254" s="693">
        <f t="shared" si="203"/>
        <v>0</v>
      </c>
    </row>
    <row r="255" spans="1:46" s="83" customFormat="1" x14ac:dyDescent="0.3">
      <c r="B255" s="178" t="str">
        <f t="shared" si="199"/>
        <v>TFMEDST900</v>
      </c>
      <c r="C255" s="178"/>
      <c r="D255" s="179"/>
      <c r="E255" s="178"/>
      <c r="F255" s="182"/>
      <c r="G255" s="181"/>
      <c r="H255" s="182"/>
      <c r="I255" s="183">
        <f>AF$7</f>
        <v>2025</v>
      </c>
      <c r="J255" s="184"/>
      <c r="K255" s="184"/>
      <c r="L255" s="203" t="s">
        <v>1064</v>
      </c>
      <c r="M255" s="184" t="s">
        <v>747</v>
      </c>
      <c r="N255" s="693">
        <f t="shared" ref="N255:AB255" si="204">N252*LOOKUP($AD246,$AH$4:$AQ$4,$AH$7:$AQ$7)</f>
        <v>0</v>
      </c>
      <c r="O255" s="693">
        <f t="shared" si="204"/>
        <v>0</v>
      </c>
      <c r="P255" s="693">
        <f t="shared" si="204"/>
        <v>0</v>
      </c>
      <c r="Q255" s="693">
        <f t="shared" si="204"/>
        <v>0</v>
      </c>
      <c r="R255" s="693">
        <f t="shared" si="204"/>
        <v>0</v>
      </c>
      <c r="S255" s="693">
        <f t="shared" si="204"/>
        <v>0</v>
      </c>
      <c r="T255" s="693">
        <f t="shared" si="204"/>
        <v>0</v>
      </c>
      <c r="U255" s="693">
        <f t="shared" si="204"/>
        <v>0</v>
      </c>
      <c r="V255" s="693">
        <f t="shared" si="204"/>
        <v>0</v>
      </c>
      <c r="W255" s="693">
        <f t="shared" si="204"/>
        <v>0</v>
      </c>
      <c r="X255" s="693">
        <f t="shared" si="204"/>
        <v>0</v>
      </c>
      <c r="Y255" s="693">
        <f t="shared" si="204"/>
        <v>0</v>
      </c>
      <c r="Z255" s="693">
        <f t="shared" si="204"/>
        <v>0</v>
      </c>
      <c r="AA255" s="693">
        <f t="shared" si="204"/>
        <v>0</v>
      </c>
      <c r="AB255" s="693">
        <f t="shared" si="204"/>
        <v>0</v>
      </c>
    </row>
    <row r="256" spans="1:46" s="83" customFormat="1" x14ac:dyDescent="0.3">
      <c r="B256" s="178" t="str">
        <f t="shared" si="199"/>
        <v>TFMEDST900</v>
      </c>
      <c r="C256" s="178"/>
      <c r="D256" s="179"/>
      <c r="E256" s="178"/>
      <c r="F256" s="182"/>
      <c r="G256" s="181"/>
      <c r="H256" s="182"/>
      <c r="I256" s="183">
        <f>AF$8</f>
        <v>2030</v>
      </c>
      <c r="J256" s="184"/>
      <c r="K256" s="184"/>
      <c r="L256" s="203" t="s">
        <v>1064</v>
      </c>
      <c r="M256" s="184" t="s">
        <v>747</v>
      </c>
      <c r="N256" s="693">
        <f t="shared" ref="N256:AB256" si="205">N252*LOOKUP($AD246,$AH$4:$AQ$4,$AH$8:$AQ$8)</f>
        <v>0</v>
      </c>
      <c r="O256" s="693">
        <f t="shared" si="205"/>
        <v>0</v>
      </c>
      <c r="P256" s="693">
        <f t="shared" si="205"/>
        <v>0</v>
      </c>
      <c r="Q256" s="693">
        <f t="shared" si="205"/>
        <v>0</v>
      </c>
      <c r="R256" s="693">
        <f t="shared" si="205"/>
        <v>0</v>
      </c>
      <c r="S256" s="693">
        <f t="shared" si="205"/>
        <v>0</v>
      </c>
      <c r="T256" s="693">
        <f t="shared" si="205"/>
        <v>0</v>
      </c>
      <c r="U256" s="693">
        <f t="shared" si="205"/>
        <v>0</v>
      </c>
      <c r="V256" s="693">
        <f t="shared" si="205"/>
        <v>0</v>
      </c>
      <c r="W256" s="693">
        <f t="shared" si="205"/>
        <v>0</v>
      </c>
      <c r="X256" s="693">
        <f t="shared" si="205"/>
        <v>0</v>
      </c>
      <c r="Y256" s="693">
        <f t="shared" si="205"/>
        <v>0</v>
      </c>
      <c r="Z256" s="693">
        <f t="shared" si="205"/>
        <v>0</v>
      </c>
      <c r="AA256" s="693">
        <f t="shared" si="205"/>
        <v>0</v>
      </c>
      <c r="AB256" s="693">
        <f t="shared" si="205"/>
        <v>0</v>
      </c>
    </row>
    <row r="257" spans="1:46" s="83" customFormat="1" x14ac:dyDescent="0.3">
      <c r="B257" s="178" t="str">
        <f t="shared" si="199"/>
        <v>TFMEDST900</v>
      </c>
      <c r="C257" s="178"/>
      <c r="D257" s="179"/>
      <c r="E257" s="178"/>
      <c r="F257" s="182"/>
      <c r="G257" s="181"/>
      <c r="H257" s="182"/>
      <c r="I257" s="183">
        <f>AF$9</f>
        <v>2040</v>
      </c>
      <c r="J257" s="184"/>
      <c r="K257" s="184"/>
      <c r="L257" s="203" t="s">
        <v>1064</v>
      </c>
      <c r="M257" s="184" t="s">
        <v>747</v>
      </c>
      <c r="N257" s="693">
        <f t="shared" ref="N257:AB257" si="206">N252*LOOKUP($AD246,$AH$4:$AQ$4,$AH$9:$AQ$9)</f>
        <v>0</v>
      </c>
      <c r="O257" s="693">
        <f t="shared" si="206"/>
        <v>0</v>
      </c>
      <c r="P257" s="693">
        <f t="shared" si="206"/>
        <v>0</v>
      </c>
      <c r="Q257" s="693">
        <f t="shared" si="206"/>
        <v>0</v>
      </c>
      <c r="R257" s="693">
        <f t="shared" si="206"/>
        <v>0</v>
      </c>
      <c r="S257" s="693">
        <f t="shared" si="206"/>
        <v>0</v>
      </c>
      <c r="T257" s="693">
        <f t="shared" si="206"/>
        <v>0</v>
      </c>
      <c r="U257" s="693">
        <f t="shared" si="206"/>
        <v>0</v>
      </c>
      <c r="V257" s="693">
        <f t="shared" si="206"/>
        <v>0</v>
      </c>
      <c r="W257" s="693">
        <f t="shared" si="206"/>
        <v>0</v>
      </c>
      <c r="X257" s="693">
        <f t="shared" si="206"/>
        <v>0</v>
      </c>
      <c r="Y257" s="693">
        <f t="shared" si="206"/>
        <v>0</v>
      </c>
      <c r="Z257" s="693">
        <f t="shared" si="206"/>
        <v>0</v>
      </c>
      <c r="AA257" s="693">
        <f t="shared" si="206"/>
        <v>0</v>
      </c>
      <c r="AB257" s="693">
        <f t="shared" si="206"/>
        <v>0</v>
      </c>
    </row>
    <row r="258" spans="1:46" s="83" customFormat="1" x14ac:dyDescent="0.3">
      <c r="B258" s="204" t="str">
        <f t="shared" si="199"/>
        <v>TFMEDST900</v>
      </c>
      <c r="C258" s="204"/>
      <c r="D258" s="205"/>
      <c r="E258" s="204"/>
      <c r="F258" s="206"/>
      <c r="G258" s="207"/>
      <c r="H258" s="206"/>
      <c r="I258" s="208">
        <f>AF$10</f>
        <v>2050</v>
      </c>
      <c r="J258" s="209"/>
      <c r="K258" s="209"/>
      <c r="L258" s="210" t="s">
        <v>1064</v>
      </c>
      <c r="M258" s="209" t="s">
        <v>747</v>
      </c>
      <c r="N258" s="694">
        <f t="shared" ref="N258:AB258" si="207">N252*LOOKUP($AD246,$AH$4:$AQ$4,$AH$10:$AQ$10)</f>
        <v>0</v>
      </c>
      <c r="O258" s="694">
        <f t="shared" si="207"/>
        <v>0</v>
      </c>
      <c r="P258" s="694">
        <f t="shared" si="207"/>
        <v>0</v>
      </c>
      <c r="Q258" s="694">
        <f t="shared" si="207"/>
        <v>0</v>
      </c>
      <c r="R258" s="694">
        <f t="shared" si="207"/>
        <v>0</v>
      </c>
      <c r="S258" s="694">
        <f t="shared" si="207"/>
        <v>0</v>
      </c>
      <c r="T258" s="694">
        <f t="shared" si="207"/>
        <v>0</v>
      </c>
      <c r="U258" s="694">
        <f t="shared" si="207"/>
        <v>0</v>
      </c>
      <c r="V258" s="694">
        <f t="shared" si="207"/>
        <v>0</v>
      </c>
      <c r="W258" s="694">
        <f t="shared" si="207"/>
        <v>0</v>
      </c>
      <c r="X258" s="694">
        <f t="shared" si="207"/>
        <v>0</v>
      </c>
      <c r="Y258" s="694">
        <f t="shared" si="207"/>
        <v>0</v>
      </c>
      <c r="Z258" s="694">
        <f t="shared" si="207"/>
        <v>0</v>
      </c>
      <c r="AA258" s="694">
        <f t="shared" si="207"/>
        <v>0</v>
      </c>
      <c r="AB258" s="694">
        <f t="shared" si="207"/>
        <v>0</v>
      </c>
    </row>
    <row r="259" spans="1:46" s="83" customFormat="1" x14ac:dyDescent="0.3">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3">
      <c r="A260" s="82"/>
      <c r="B260" s="178" t="str">
        <f>B259</f>
        <v>TFMEELC900</v>
      </c>
      <c r="C260" s="178"/>
      <c r="D260" s="179"/>
      <c r="E260" s="178"/>
      <c r="F260" s="182"/>
      <c r="G260" s="324" t="s">
        <v>642</v>
      </c>
      <c r="H260" s="182"/>
      <c r="I260" s="183"/>
      <c r="J260" s="184"/>
      <c r="K260" s="184"/>
      <c r="L260" s="184" t="s">
        <v>1125</v>
      </c>
      <c r="M260" s="184" t="s">
        <v>677</v>
      </c>
      <c r="N260" s="675">
        <f>T_CEFF!H253</f>
        <v>2.5773199999999998</v>
      </c>
      <c r="O260" s="675">
        <f>T_CEFF!I253</f>
        <v>2.5773199999999998</v>
      </c>
      <c r="P260" s="675">
        <f>T_CEFF!J253</f>
        <v>2.5773199999999998</v>
      </c>
      <c r="Q260" s="675">
        <f>T_CEFF!K253</f>
        <v>2.5773199999999998</v>
      </c>
      <c r="R260" s="675">
        <f>T_CEFF!L253</f>
        <v>2.5773199999999998</v>
      </c>
      <c r="S260" s="675">
        <f>T_CEFF!M253</f>
        <v>2.5773199999999998</v>
      </c>
      <c r="T260" s="675">
        <f>T_CEFF!N253</f>
        <v>2.5773199999999998</v>
      </c>
      <c r="U260" s="675">
        <f>T_CEFF!O253</f>
        <v>2.5773199999999998</v>
      </c>
      <c r="V260" s="675">
        <f>T_CEFF!P253</f>
        <v>2.5773199999999998</v>
      </c>
      <c r="W260" s="675">
        <f>T_CEFF!Q253</f>
        <v>2.5773199999999998</v>
      </c>
      <c r="X260" s="675">
        <f>T_CEFF!R253</f>
        <v>2.5773199999999998</v>
      </c>
      <c r="Y260" s="675">
        <f>T_CEFF!S253</f>
        <v>2.5773199999999998</v>
      </c>
      <c r="Z260" s="675">
        <f>T_CEFF!T253</f>
        <v>2.5773199999999998</v>
      </c>
      <c r="AA260" s="675">
        <f>T_CEFF!U253</f>
        <v>2.5773199999999998</v>
      </c>
      <c r="AB260" s="675">
        <f>T_CEFF!V253</f>
        <v>2.5773199999999998</v>
      </c>
      <c r="AD260" s="66" t="str">
        <f>IF(COUNTIF($AH$4:$AQ$4,AD259)=1,"ok","MISSING")</f>
        <v>ok</v>
      </c>
    </row>
    <row r="261" spans="1:46" s="83" customFormat="1" x14ac:dyDescent="0.3">
      <c r="A261" s="82"/>
      <c r="B261" s="178" t="str">
        <f t="shared" ref="B261:B270" si="209">B260</f>
        <v>TFMEELC900</v>
      </c>
      <c r="C261" s="178"/>
      <c r="D261" s="179"/>
      <c r="E261" s="178"/>
      <c r="F261" s="182"/>
      <c r="G261" s="324" t="s">
        <v>645</v>
      </c>
      <c r="H261" s="182"/>
      <c r="I261" s="183"/>
      <c r="J261" s="184"/>
      <c r="K261" s="184"/>
      <c r="L261" s="184" t="s">
        <v>1125</v>
      </c>
      <c r="M261" s="184" t="s">
        <v>677</v>
      </c>
      <c r="N261" s="675">
        <f>T_CEFF!H254</f>
        <v>0.22</v>
      </c>
      <c r="O261" s="675">
        <f>T_CEFF!I254</f>
        <v>0.22</v>
      </c>
      <c r="P261" s="675">
        <f>T_CEFF!J254</f>
        <v>0.22</v>
      </c>
      <c r="Q261" s="675">
        <f>T_CEFF!K254</f>
        <v>0.22</v>
      </c>
      <c r="R261" s="675">
        <f>T_CEFF!L254</f>
        <v>0.22</v>
      </c>
      <c r="S261" s="675">
        <f>T_CEFF!M254</f>
        <v>0.22</v>
      </c>
      <c r="T261" s="675">
        <f>T_CEFF!N254</f>
        <v>0.22</v>
      </c>
      <c r="U261" s="675">
        <f>T_CEFF!O254</f>
        <v>0.22</v>
      </c>
      <c r="V261" s="675">
        <f>T_CEFF!P254</f>
        <v>0.22</v>
      </c>
      <c r="W261" s="675">
        <f>T_CEFF!Q254</f>
        <v>0.22</v>
      </c>
      <c r="X261" s="675">
        <f>T_CEFF!R254</f>
        <v>0.22</v>
      </c>
      <c r="Y261" s="675">
        <f>T_CEFF!S254</f>
        <v>0.22</v>
      </c>
      <c r="Z261" s="675">
        <f>T_CEFF!T254</f>
        <v>0.22</v>
      </c>
      <c r="AA261" s="675">
        <f>T_CEFF!U254</f>
        <v>0.22</v>
      </c>
      <c r="AB261" s="675">
        <f>T_CEFF!V254</f>
        <v>0.22</v>
      </c>
    </row>
    <row r="262" spans="1:46" s="83" customFormat="1" x14ac:dyDescent="0.3">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3">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1">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3">
      <c r="A264" s="82"/>
      <c r="B264" s="178" t="str">
        <f>B263</f>
        <v>TFMEELC900</v>
      </c>
      <c r="C264" s="178"/>
      <c r="D264" s="179"/>
      <c r="E264" s="178"/>
      <c r="F264" s="182"/>
      <c r="G264" s="181"/>
      <c r="H264" s="182"/>
      <c r="I264" s="183">
        <f>$M$3</f>
        <v>2019</v>
      </c>
      <c r="J264" s="184"/>
      <c r="K264" s="184"/>
      <c r="L264" s="203" t="s">
        <v>1064</v>
      </c>
      <c r="M264" s="184" t="s">
        <v>747</v>
      </c>
      <c r="N264" s="693">
        <f>LOOKUP($C$259, 'T_Stock_TOTAL_&amp;_City'!$C$106:$C$116, 'T_Stock_TOTAL_&amp;_City'!D$106:D$116)*(1+N229)</f>
        <v>0</v>
      </c>
      <c r="O264" s="693">
        <f>LOOKUP($C$259, 'T_Stock_TOTAL_&amp;_City'!$C$106:$C$116, 'T_Stock_TOTAL_&amp;_City'!E$106:E$116)*(1+O229)</f>
        <v>0</v>
      </c>
      <c r="P264" s="693">
        <f>LOOKUP($C$259, 'T_Stock_TOTAL_&amp;_City'!$C$106:$C$116, 'T_Stock_TOTAL_&amp;_City'!F$106:F$116)*(1+P229)</f>
        <v>0</v>
      </c>
      <c r="Q264" s="693">
        <f>LOOKUP($C$259, 'T_Stock_TOTAL_&amp;_City'!$C$106:$C$116, 'T_Stock_TOTAL_&amp;_City'!G$106:G$116)*(1+Q229)</f>
        <v>0</v>
      </c>
      <c r="R264" s="693">
        <f>LOOKUP($C$259, 'T_Stock_TOTAL_&amp;_City'!$C$106:$C$116, 'T_Stock_TOTAL_&amp;_City'!H$106:H$116)*(1+R229)</f>
        <v>0</v>
      </c>
      <c r="S264" s="693">
        <f>LOOKUP($C$259, 'T_Stock_TOTAL_&amp;_City'!$C$106:$C$116, 'T_Stock_TOTAL_&amp;_City'!I$106:I$116)*(1+S229)</f>
        <v>0</v>
      </c>
      <c r="T264" s="693">
        <f>LOOKUP($C$259, 'T_Stock_TOTAL_&amp;_City'!$C$106:$C$116, 'T_Stock_TOTAL_&amp;_City'!J$106:J$116)*(1+T229)</f>
        <v>0</v>
      </c>
      <c r="U264" s="693">
        <f>LOOKUP($C$259, 'T_Stock_TOTAL_&amp;_City'!$C$106:$C$116, 'T_Stock_TOTAL_&amp;_City'!K$106:K$116)*(1+U229)</f>
        <v>0</v>
      </c>
      <c r="V264" s="693">
        <f>LOOKUP($C$259, 'T_Stock_TOTAL_&amp;_City'!$C$106:$C$116, 'T_Stock_TOTAL_&amp;_City'!L$106:L$116)*(1+V229)</f>
        <v>0</v>
      </c>
      <c r="W264" s="693">
        <f>LOOKUP($C$259, 'T_Stock_TOTAL_&amp;_City'!$C$106:$C$116, 'T_Stock_TOTAL_&amp;_City'!M$106:M$116)*(1+W229)</f>
        <v>0</v>
      </c>
      <c r="X264" s="693">
        <f>LOOKUP($C$259, 'T_Stock_TOTAL_&amp;_City'!$C$106:$C$116, 'T_Stock_TOTAL_&amp;_City'!N$106:N$116)*(1+X229)</f>
        <v>0</v>
      </c>
      <c r="Y264" s="693">
        <f>LOOKUP($C$259, 'T_Stock_TOTAL_&amp;_City'!$C$106:$C$116, 'T_Stock_TOTAL_&amp;_City'!O$106:O$116)*(1+Y229)</f>
        <v>0</v>
      </c>
      <c r="Z264" s="693">
        <f>LOOKUP($C$259, 'T_Stock_TOTAL_&amp;_City'!$C$106:$C$116, 'T_Stock_TOTAL_&amp;_City'!P$106:P$116)*(1+Z229)</f>
        <v>0</v>
      </c>
      <c r="AA264" s="693">
        <f>LOOKUP($C$259, 'T_Stock_TOTAL_&amp;_City'!$C$106:$C$116, 'T_Stock_TOTAL_&amp;_City'!Q$106:Q$116)*(1+AA229)</f>
        <v>0</v>
      </c>
      <c r="AB264" s="693">
        <f>LOOKUP($C$259, 'T_Stock_TOTAL_&amp;_City'!$C$106:$C$116, 'T_Stock_TOTAL_&amp;_City'!R$106:R$116)*(1+AB229)</f>
        <v>0</v>
      </c>
    </row>
    <row r="265" spans="1:46" s="83" customFormat="1" x14ac:dyDescent="0.3">
      <c r="A265" s="82"/>
      <c r="B265" s="178" t="str">
        <f t="shared" si="209"/>
        <v>TFMEELC900</v>
      </c>
      <c r="C265" s="178"/>
      <c r="D265" s="179"/>
      <c r="E265" s="178"/>
      <c r="F265" s="182"/>
      <c r="G265" s="181"/>
      <c r="H265" s="182"/>
      <c r="I265" s="183">
        <f>AF$5</f>
        <v>2016</v>
      </c>
      <c r="J265" s="184"/>
      <c r="K265" s="184"/>
      <c r="L265" s="203" t="s">
        <v>1064</v>
      </c>
      <c r="M265" s="184" t="s">
        <v>747</v>
      </c>
      <c r="N265" s="693">
        <f t="shared" ref="N265:AB265" si="212">N264*LOOKUP($AD259,$AH$4:$AQ$4,$AH$5:$AQ$5)</f>
        <v>0</v>
      </c>
      <c r="O265" s="693">
        <f t="shared" si="212"/>
        <v>0</v>
      </c>
      <c r="P265" s="693">
        <f t="shared" si="212"/>
        <v>0</v>
      </c>
      <c r="Q265" s="693">
        <f t="shared" si="212"/>
        <v>0</v>
      </c>
      <c r="R265" s="693">
        <f t="shared" si="212"/>
        <v>0</v>
      </c>
      <c r="S265" s="693">
        <f t="shared" si="212"/>
        <v>0</v>
      </c>
      <c r="T265" s="693">
        <f t="shared" si="212"/>
        <v>0</v>
      </c>
      <c r="U265" s="693">
        <f t="shared" si="212"/>
        <v>0</v>
      </c>
      <c r="V265" s="693">
        <f t="shared" si="212"/>
        <v>0</v>
      </c>
      <c r="W265" s="693">
        <f t="shared" si="212"/>
        <v>0</v>
      </c>
      <c r="X265" s="693">
        <f t="shared" si="212"/>
        <v>0</v>
      </c>
      <c r="Y265" s="693">
        <f t="shared" si="212"/>
        <v>0</v>
      </c>
      <c r="Z265" s="693">
        <f t="shared" si="212"/>
        <v>0</v>
      </c>
      <c r="AA265" s="693">
        <f t="shared" si="212"/>
        <v>0</v>
      </c>
      <c r="AB265" s="693">
        <f t="shared" si="212"/>
        <v>0</v>
      </c>
    </row>
    <row r="266" spans="1:46" s="83" customFormat="1" x14ac:dyDescent="0.3">
      <c r="A266" s="82"/>
      <c r="B266" s="178" t="str">
        <f t="shared" si="209"/>
        <v>TFMEELC900</v>
      </c>
      <c r="C266" s="178"/>
      <c r="D266" s="179"/>
      <c r="E266" s="178"/>
      <c r="F266" s="182"/>
      <c r="G266" s="181"/>
      <c r="H266" s="182"/>
      <c r="I266" s="183">
        <f>AF$6</f>
        <v>2020</v>
      </c>
      <c r="J266" s="184"/>
      <c r="K266" s="184"/>
      <c r="L266" s="203" t="s">
        <v>1064</v>
      </c>
      <c r="M266" s="184" t="s">
        <v>747</v>
      </c>
      <c r="N266" s="693">
        <f t="shared" ref="N266:AB266" si="213">N264*LOOKUP($AD259,$AH$4:$AQ$4,$AH$6:$AQ$6)</f>
        <v>0</v>
      </c>
      <c r="O266" s="693">
        <f t="shared" si="213"/>
        <v>0</v>
      </c>
      <c r="P266" s="693">
        <f t="shared" si="213"/>
        <v>0</v>
      </c>
      <c r="Q266" s="693">
        <f t="shared" si="213"/>
        <v>0</v>
      </c>
      <c r="R266" s="693">
        <f t="shared" si="213"/>
        <v>0</v>
      </c>
      <c r="S266" s="693">
        <f t="shared" si="213"/>
        <v>0</v>
      </c>
      <c r="T266" s="693">
        <f t="shared" si="213"/>
        <v>0</v>
      </c>
      <c r="U266" s="693">
        <f t="shared" si="213"/>
        <v>0</v>
      </c>
      <c r="V266" s="693">
        <f t="shared" si="213"/>
        <v>0</v>
      </c>
      <c r="W266" s="693">
        <f t="shared" si="213"/>
        <v>0</v>
      </c>
      <c r="X266" s="693">
        <f t="shared" si="213"/>
        <v>0</v>
      </c>
      <c r="Y266" s="693">
        <f t="shared" si="213"/>
        <v>0</v>
      </c>
      <c r="Z266" s="693">
        <f t="shared" si="213"/>
        <v>0</v>
      </c>
      <c r="AA266" s="693">
        <f t="shared" si="213"/>
        <v>0</v>
      </c>
      <c r="AB266" s="693">
        <f t="shared" si="213"/>
        <v>0</v>
      </c>
    </row>
    <row r="267" spans="1:46" s="83" customFormat="1" x14ac:dyDescent="0.3">
      <c r="A267" s="82"/>
      <c r="B267" s="178" t="str">
        <f t="shared" si="209"/>
        <v>TFMEELC900</v>
      </c>
      <c r="C267" s="178"/>
      <c r="D267" s="179"/>
      <c r="E267" s="178"/>
      <c r="F267" s="182"/>
      <c r="G267" s="181"/>
      <c r="H267" s="182"/>
      <c r="I267" s="183">
        <f>AF$7</f>
        <v>2025</v>
      </c>
      <c r="J267" s="184"/>
      <c r="K267" s="184"/>
      <c r="L267" s="203" t="s">
        <v>1064</v>
      </c>
      <c r="M267" s="184" t="s">
        <v>747</v>
      </c>
      <c r="N267" s="693">
        <f t="shared" ref="N267:AB267" si="214">N264*LOOKUP($AD259,$AH$4:$AQ$4,$AH$7:$AQ$7)</f>
        <v>0</v>
      </c>
      <c r="O267" s="693">
        <f t="shared" si="214"/>
        <v>0</v>
      </c>
      <c r="P267" s="693">
        <f t="shared" si="214"/>
        <v>0</v>
      </c>
      <c r="Q267" s="693">
        <f t="shared" si="214"/>
        <v>0</v>
      </c>
      <c r="R267" s="693">
        <f t="shared" si="214"/>
        <v>0</v>
      </c>
      <c r="S267" s="693">
        <f t="shared" si="214"/>
        <v>0</v>
      </c>
      <c r="T267" s="693">
        <f t="shared" si="214"/>
        <v>0</v>
      </c>
      <c r="U267" s="693">
        <f t="shared" si="214"/>
        <v>0</v>
      </c>
      <c r="V267" s="693">
        <f t="shared" si="214"/>
        <v>0</v>
      </c>
      <c r="W267" s="693">
        <f t="shared" si="214"/>
        <v>0</v>
      </c>
      <c r="X267" s="693">
        <f t="shared" si="214"/>
        <v>0</v>
      </c>
      <c r="Y267" s="693">
        <f t="shared" si="214"/>
        <v>0</v>
      </c>
      <c r="Z267" s="693">
        <f t="shared" si="214"/>
        <v>0</v>
      </c>
      <c r="AA267" s="693">
        <f t="shared" si="214"/>
        <v>0</v>
      </c>
      <c r="AB267" s="693">
        <f t="shared" si="214"/>
        <v>0</v>
      </c>
    </row>
    <row r="268" spans="1:46" s="83" customFormat="1" x14ac:dyDescent="0.3">
      <c r="A268" s="82"/>
      <c r="B268" s="178" t="str">
        <f t="shared" si="209"/>
        <v>TFMEELC900</v>
      </c>
      <c r="C268" s="178"/>
      <c r="D268" s="179"/>
      <c r="E268" s="178"/>
      <c r="F268" s="182"/>
      <c r="G268" s="181"/>
      <c r="H268" s="182"/>
      <c r="I268" s="183">
        <f>AF$8</f>
        <v>2030</v>
      </c>
      <c r="J268" s="184"/>
      <c r="K268" s="184"/>
      <c r="L268" s="203" t="s">
        <v>1064</v>
      </c>
      <c r="M268" s="184" t="s">
        <v>747</v>
      </c>
      <c r="N268" s="693">
        <f t="shared" ref="N268:AB268" si="215">N264*LOOKUP($AD259,$AH$4:$AQ$4,$AH$8:$AQ$8)</f>
        <v>0</v>
      </c>
      <c r="O268" s="693">
        <f t="shared" si="215"/>
        <v>0</v>
      </c>
      <c r="P268" s="693">
        <f t="shared" si="215"/>
        <v>0</v>
      </c>
      <c r="Q268" s="693">
        <f t="shared" si="215"/>
        <v>0</v>
      </c>
      <c r="R268" s="693">
        <f t="shared" si="215"/>
        <v>0</v>
      </c>
      <c r="S268" s="693">
        <f t="shared" si="215"/>
        <v>0</v>
      </c>
      <c r="T268" s="693">
        <f t="shared" si="215"/>
        <v>0</v>
      </c>
      <c r="U268" s="693">
        <f t="shared" si="215"/>
        <v>0</v>
      </c>
      <c r="V268" s="693">
        <f t="shared" si="215"/>
        <v>0</v>
      </c>
      <c r="W268" s="693">
        <f t="shared" si="215"/>
        <v>0</v>
      </c>
      <c r="X268" s="693">
        <f t="shared" si="215"/>
        <v>0</v>
      </c>
      <c r="Y268" s="693">
        <f t="shared" si="215"/>
        <v>0</v>
      </c>
      <c r="Z268" s="693">
        <f t="shared" si="215"/>
        <v>0</v>
      </c>
      <c r="AA268" s="693">
        <f t="shared" si="215"/>
        <v>0</v>
      </c>
      <c r="AB268" s="693">
        <f t="shared" si="215"/>
        <v>0</v>
      </c>
    </row>
    <row r="269" spans="1:46" s="83" customFormat="1" x14ac:dyDescent="0.3">
      <c r="A269" s="82"/>
      <c r="B269" s="178" t="str">
        <f t="shared" si="209"/>
        <v>TFMEELC900</v>
      </c>
      <c r="C269" s="178"/>
      <c r="D269" s="179"/>
      <c r="E269" s="178"/>
      <c r="F269" s="182"/>
      <c r="G269" s="181"/>
      <c r="H269" s="182"/>
      <c r="I269" s="183">
        <f>AF$9</f>
        <v>2040</v>
      </c>
      <c r="J269" s="184"/>
      <c r="K269" s="184"/>
      <c r="L269" s="203" t="s">
        <v>1064</v>
      </c>
      <c r="M269" s="184" t="s">
        <v>747</v>
      </c>
      <c r="N269" s="693">
        <f t="shared" ref="N269:AB269" si="216">N264*LOOKUP($AD259,$AH$4:$AQ$4,$AH$9:$AQ$9)</f>
        <v>0</v>
      </c>
      <c r="O269" s="693">
        <f t="shared" si="216"/>
        <v>0</v>
      </c>
      <c r="P269" s="693">
        <f t="shared" si="216"/>
        <v>0</v>
      </c>
      <c r="Q269" s="693">
        <f t="shared" si="216"/>
        <v>0</v>
      </c>
      <c r="R269" s="693">
        <f t="shared" si="216"/>
        <v>0</v>
      </c>
      <c r="S269" s="693">
        <f t="shared" si="216"/>
        <v>0</v>
      </c>
      <c r="T269" s="693">
        <f t="shared" si="216"/>
        <v>0</v>
      </c>
      <c r="U269" s="693">
        <f t="shared" si="216"/>
        <v>0</v>
      </c>
      <c r="V269" s="693">
        <f t="shared" si="216"/>
        <v>0</v>
      </c>
      <c r="W269" s="693">
        <f t="shared" si="216"/>
        <v>0</v>
      </c>
      <c r="X269" s="693">
        <f t="shared" si="216"/>
        <v>0</v>
      </c>
      <c r="Y269" s="693">
        <f t="shared" si="216"/>
        <v>0</v>
      </c>
      <c r="Z269" s="693">
        <f t="shared" si="216"/>
        <v>0</v>
      </c>
      <c r="AA269" s="693">
        <f t="shared" si="216"/>
        <v>0</v>
      </c>
      <c r="AB269" s="693">
        <f t="shared" si="216"/>
        <v>0</v>
      </c>
    </row>
    <row r="270" spans="1:46" s="83" customFormat="1" x14ac:dyDescent="0.3">
      <c r="A270" s="82"/>
      <c r="B270" s="204" t="str">
        <f t="shared" si="209"/>
        <v>TFMEELC900</v>
      </c>
      <c r="C270" s="204"/>
      <c r="D270" s="205"/>
      <c r="E270" s="204"/>
      <c r="F270" s="206"/>
      <c r="G270" s="207"/>
      <c r="H270" s="206"/>
      <c r="I270" s="208">
        <f>AF$10</f>
        <v>2050</v>
      </c>
      <c r="J270" s="209"/>
      <c r="K270" s="209"/>
      <c r="L270" s="210" t="s">
        <v>1064</v>
      </c>
      <c r="M270" s="209" t="s">
        <v>747</v>
      </c>
      <c r="N270" s="694">
        <f t="shared" ref="N270:AB270" si="217">N264*LOOKUP($AD259,$AH$4:$AQ$4,$AH$10:$AQ$10)</f>
        <v>0</v>
      </c>
      <c r="O270" s="694">
        <f t="shared" si="217"/>
        <v>0</v>
      </c>
      <c r="P270" s="694">
        <f t="shared" si="217"/>
        <v>0</v>
      </c>
      <c r="Q270" s="694">
        <f t="shared" si="217"/>
        <v>0</v>
      </c>
      <c r="R270" s="694">
        <f t="shared" si="217"/>
        <v>0</v>
      </c>
      <c r="S270" s="694">
        <f t="shared" si="217"/>
        <v>0</v>
      </c>
      <c r="T270" s="694">
        <f t="shared" si="217"/>
        <v>0</v>
      </c>
      <c r="U270" s="694">
        <f t="shared" si="217"/>
        <v>0</v>
      </c>
      <c r="V270" s="694">
        <f t="shared" si="217"/>
        <v>0</v>
      </c>
      <c r="W270" s="694">
        <f t="shared" si="217"/>
        <v>0</v>
      </c>
      <c r="X270" s="694">
        <f t="shared" si="217"/>
        <v>0</v>
      </c>
      <c r="Y270" s="694">
        <f t="shared" si="217"/>
        <v>0</v>
      </c>
      <c r="Z270" s="694">
        <f t="shared" si="217"/>
        <v>0</v>
      </c>
      <c r="AA270" s="694">
        <f t="shared" si="217"/>
        <v>0</v>
      </c>
      <c r="AB270" s="694">
        <f t="shared" si="217"/>
        <v>0</v>
      </c>
    </row>
    <row r="271" spans="1:46" s="83" customFormat="1" x14ac:dyDescent="0.3">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3">
      <c r="A272" s="82"/>
      <c r="B272" s="178" t="str">
        <f>B271</f>
        <v>TFMEETH900</v>
      </c>
      <c r="C272" s="178"/>
      <c r="D272" s="179"/>
      <c r="E272" s="178"/>
      <c r="F272" s="182"/>
      <c r="G272" s="324" t="s">
        <v>642</v>
      </c>
      <c r="H272" s="182"/>
      <c r="I272" s="183"/>
      <c r="J272" s="184"/>
      <c r="K272" s="184"/>
      <c r="L272" s="184" t="s">
        <v>1125</v>
      </c>
      <c r="M272" s="184" t="s">
        <v>677</v>
      </c>
      <c r="N272" s="675">
        <f>T_CEFF!H255</f>
        <v>9.2439999999999994E-2</v>
      </c>
      <c r="O272" s="675">
        <f>T_CEFF!I255</f>
        <v>9.2439999999999994E-2</v>
      </c>
      <c r="P272" s="675">
        <f>T_CEFF!J255</f>
        <v>9.2439999999999994E-2</v>
      </c>
      <c r="Q272" s="675">
        <f>T_CEFF!K255</f>
        <v>9.2439999999999994E-2</v>
      </c>
      <c r="R272" s="675">
        <f>T_CEFF!L255</f>
        <v>9.2439999999999994E-2</v>
      </c>
      <c r="S272" s="675">
        <f>T_CEFF!M255</f>
        <v>9.2439999999999994E-2</v>
      </c>
      <c r="T272" s="675">
        <f>T_CEFF!N255</f>
        <v>9.2439999999999994E-2</v>
      </c>
      <c r="U272" s="675">
        <f>T_CEFF!O255</f>
        <v>9.2439999999999994E-2</v>
      </c>
      <c r="V272" s="675">
        <f>T_CEFF!P255</f>
        <v>9.2439999999999994E-2</v>
      </c>
      <c r="W272" s="675">
        <f>T_CEFF!Q255</f>
        <v>9.2439999999999994E-2</v>
      </c>
      <c r="X272" s="675">
        <f>T_CEFF!R255</f>
        <v>9.2439999999999994E-2</v>
      </c>
      <c r="Y272" s="675">
        <f>T_CEFF!S255</f>
        <v>9.2439999999999994E-2</v>
      </c>
      <c r="Z272" s="675">
        <f>T_CEFF!T255</f>
        <v>9.2439999999999994E-2</v>
      </c>
      <c r="AA272" s="675">
        <f>T_CEFF!U255</f>
        <v>9.2439999999999994E-2</v>
      </c>
      <c r="AB272" s="675">
        <f>T_CEFF!V255</f>
        <v>9.2439999999999994E-2</v>
      </c>
    </row>
    <row r="273" spans="1:46" s="83" customFormat="1" x14ac:dyDescent="0.3">
      <c r="A273" s="82"/>
      <c r="B273" s="178" t="str">
        <f t="shared" ref="B273:B282" si="219">B272</f>
        <v>TFMEETH900</v>
      </c>
      <c r="C273" s="178"/>
      <c r="D273" s="179"/>
      <c r="E273" s="178"/>
      <c r="F273" s="182"/>
      <c r="G273" s="324" t="s">
        <v>645</v>
      </c>
      <c r="H273" s="182"/>
      <c r="I273" s="183"/>
      <c r="J273" s="184"/>
      <c r="K273" s="184"/>
      <c r="L273" s="184" t="s">
        <v>1125</v>
      </c>
      <c r="M273" s="184" t="s">
        <v>677</v>
      </c>
      <c r="N273" s="675">
        <f>T_CEFF!H256</f>
        <v>7.3950000000000002E-2</v>
      </c>
      <c r="O273" s="675">
        <f>T_CEFF!I256</f>
        <v>7.3950000000000002E-2</v>
      </c>
      <c r="P273" s="675">
        <f>T_CEFF!J256</f>
        <v>7.3950000000000002E-2</v>
      </c>
      <c r="Q273" s="675">
        <f>T_CEFF!K256</f>
        <v>7.3950000000000002E-2</v>
      </c>
      <c r="R273" s="675">
        <f>T_CEFF!L256</f>
        <v>7.3950000000000002E-2</v>
      </c>
      <c r="S273" s="675">
        <f>T_CEFF!M256</f>
        <v>7.3950000000000002E-2</v>
      </c>
      <c r="T273" s="675">
        <f>T_CEFF!N256</f>
        <v>7.3950000000000002E-2</v>
      </c>
      <c r="U273" s="675">
        <f>T_CEFF!O256</f>
        <v>7.3950000000000002E-2</v>
      </c>
      <c r="V273" s="675">
        <f>T_CEFF!P256</f>
        <v>7.3950000000000002E-2</v>
      </c>
      <c r="W273" s="675">
        <f>T_CEFF!Q256</f>
        <v>7.3950000000000002E-2</v>
      </c>
      <c r="X273" s="675">
        <f>T_CEFF!R256</f>
        <v>7.3950000000000002E-2</v>
      </c>
      <c r="Y273" s="675">
        <f>T_CEFF!S256</f>
        <v>7.3950000000000002E-2</v>
      </c>
      <c r="Z273" s="675">
        <f>T_CEFF!T256</f>
        <v>7.3950000000000002E-2</v>
      </c>
      <c r="AA273" s="675">
        <f>T_CEFF!U256</f>
        <v>7.3950000000000002E-2</v>
      </c>
      <c r="AB273" s="675">
        <f>T_CEFF!V256</f>
        <v>7.3950000000000002E-2</v>
      </c>
    </row>
    <row r="274" spans="1:46" s="83" customFormat="1" x14ac:dyDescent="0.3">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3">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1">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3">
      <c r="A276" s="82"/>
      <c r="B276" s="178" t="str">
        <f>B275</f>
        <v>TFMEETH900</v>
      </c>
      <c r="C276" s="178"/>
      <c r="D276" s="179"/>
      <c r="E276" s="178"/>
      <c r="F276" s="182"/>
      <c r="G276" s="181"/>
      <c r="H276" s="182"/>
      <c r="I276" s="183">
        <f>$M$3</f>
        <v>2019</v>
      </c>
      <c r="J276" s="184"/>
      <c r="K276" s="184"/>
      <c r="L276" s="203" t="s">
        <v>1064</v>
      </c>
      <c r="M276" s="184" t="s">
        <v>747</v>
      </c>
      <c r="N276" s="693">
        <f>LOOKUP($C$271, 'T_Stock_TOTAL_&amp;_City'!$C$106:$C$116, 'T_Stock_TOTAL_&amp;_City'!D$106:D$116)*(1+N229)</f>
        <v>0</v>
      </c>
      <c r="O276" s="693">
        <f>LOOKUP($C$271, 'T_Stock_TOTAL_&amp;_City'!$C$106:$C$116, 'T_Stock_TOTAL_&amp;_City'!E$106:E$116)*(1+O229)</f>
        <v>0</v>
      </c>
      <c r="P276" s="693">
        <f>LOOKUP($C$271, 'T_Stock_TOTAL_&amp;_City'!$C$106:$C$116, 'T_Stock_TOTAL_&amp;_City'!F$106:F$116)*(1+P229)</f>
        <v>0</v>
      </c>
      <c r="Q276" s="693">
        <f>LOOKUP($C$271, 'T_Stock_TOTAL_&amp;_City'!$C$106:$C$116, 'T_Stock_TOTAL_&amp;_City'!G$106:G$116)*(1+Q229)</f>
        <v>0</v>
      </c>
      <c r="R276" s="693">
        <f>LOOKUP($C$271, 'T_Stock_TOTAL_&amp;_City'!$C$106:$C$116, 'T_Stock_TOTAL_&amp;_City'!H$106:H$116)*(1+R229)</f>
        <v>0</v>
      </c>
      <c r="S276" s="693">
        <f>LOOKUP($C$271, 'T_Stock_TOTAL_&amp;_City'!$C$106:$C$116, 'T_Stock_TOTAL_&amp;_City'!I$106:I$116)*(1+S229)</f>
        <v>0</v>
      </c>
      <c r="T276" s="693">
        <f>LOOKUP($C$271, 'T_Stock_TOTAL_&amp;_City'!$C$106:$C$116, 'T_Stock_TOTAL_&amp;_City'!J$106:J$116)*(1+T229)</f>
        <v>0</v>
      </c>
      <c r="U276" s="693">
        <f>LOOKUP($C$271, 'T_Stock_TOTAL_&amp;_City'!$C$106:$C$116, 'T_Stock_TOTAL_&amp;_City'!K$106:K$116)*(1+U229)</f>
        <v>0</v>
      </c>
      <c r="V276" s="693">
        <f>LOOKUP($C$271, 'T_Stock_TOTAL_&amp;_City'!$C$106:$C$116, 'T_Stock_TOTAL_&amp;_City'!L$106:L$116)*(1+V229)</f>
        <v>0</v>
      </c>
      <c r="W276" s="693">
        <f>LOOKUP($C$271, 'T_Stock_TOTAL_&amp;_City'!$C$106:$C$116, 'T_Stock_TOTAL_&amp;_City'!M$106:M$116)*(1+W229)</f>
        <v>0</v>
      </c>
      <c r="X276" s="693">
        <f>LOOKUP($C$271, 'T_Stock_TOTAL_&amp;_City'!$C$106:$C$116, 'T_Stock_TOTAL_&amp;_City'!N$106:N$116)*(1+X229)</f>
        <v>0</v>
      </c>
      <c r="Y276" s="693">
        <f>LOOKUP($C$271, 'T_Stock_TOTAL_&amp;_City'!$C$106:$C$116, 'T_Stock_TOTAL_&amp;_City'!O$106:O$116)*(1+Y229)</f>
        <v>0</v>
      </c>
      <c r="Z276" s="693">
        <f>LOOKUP($C$271, 'T_Stock_TOTAL_&amp;_City'!$C$106:$C$116, 'T_Stock_TOTAL_&amp;_City'!P$106:P$116)*(1+Z229)</f>
        <v>0</v>
      </c>
      <c r="AA276" s="693">
        <f>LOOKUP($C$271, 'T_Stock_TOTAL_&amp;_City'!$C$106:$C$116, 'T_Stock_TOTAL_&amp;_City'!Q$106:Q$116)*(1+AA229)</f>
        <v>0</v>
      </c>
      <c r="AB276" s="693">
        <f>LOOKUP($C$271, 'T_Stock_TOTAL_&amp;_City'!$C$106:$C$116, 'T_Stock_TOTAL_&amp;_City'!R$106:R$116)*(1+AB229)</f>
        <v>0</v>
      </c>
    </row>
    <row r="277" spans="1:46" s="83" customFormat="1" x14ac:dyDescent="0.3">
      <c r="A277" s="82"/>
      <c r="B277" s="178" t="str">
        <f t="shared" si="219"/>
        <v>TFMEETH900</v>
      </c>
      <c r="C277" s="178"/>
      <c r="D277" s="179"/>
      <c r="E277" s="178"/>
      <c r="F277" s="182"/>
      <c r="G277" s="181"/>
      <c r="H277" s="182"/>
      <c r="I277" s="183">
        <f>AF$5</f>
        <v>2016</v>
      </c>
      <c r="J277" s="184"/>
      <c r="K277" s="184"/>
      <c r="L277" s="203" t="s">
        <v>1064</v>
      </c>
      <c r="M277" s="184" t="s">
        <v>747</v>
      </c>
      <c r="N277" s="693">
        <f t="shared" ref="N277:AB277" si="222">N276*LOOKUP($AD271,$AH$4:$AQ$4,$AH$5:$AQ$5)</f>
        <v>0</v>
      </c>
      <c r="O277" s="693">
        <f t="shared" si="222"/>
        <v>0</v>
      </c>
      <c r="P277" s="693">
        <f t="shared" si="222"/>
        <v>0</v>
      </c>
      <c r="Q277" s="693">
        <f t="shared" si="222"/>
        <v>0</v>
      </c>
      <c r="R277" s="693">
        <f t="shared" si="222"/>
        <v>0</v>
      </c>
      <c r="S277" s="693">
        <f t="shared" si="222"/>
        <v>0</v>
      </c>
      <c r="T277" s="693">
        <f t="shared" si="222"/>
        <v>0</v>
      </c>
      <c r="U277" s="693">
        <f t="shared" si="222"/>
        <v>0</v>
      </c>
      <c r="V277" s="693">
        <f t="shared" si="222"/>
        <v>0</v>
      </c>
      <c r="W277" s="693">
        <f t="shared" si="222"/>
        <v>0</v>
      </c>
      <c r="X277" s="693">
        <f t="shared" si="222"/>
        <v>0</v>
      </c>
      <c r="Y277" s="693">
        <f t="shared" si="222"/>
        <v>0</v>
      </c>
      <c r="Z277" s="693">
        <f t="shared" si="222"/>
        <v>0</v>
      </c>
      <c r="AA277" s="693">
        <f t="shared" si="222"/>
        <v>0</v>
      </c>
      <c r="AB277" s="693">
        <f t="shared" si="222"/>
        <v>0</v>
      </c>
    </row>
    <row r="278" spans="1:46" s="83" customFormat="1" x14ac:dyDescent="0.3">
      <c r="A278" s="82"/>
      <c r="B278" s="178" t="str">
        <f t="shared" si="219"/>
        <v>TFMEETH900</v>
      </c>
      <c r="C278" s="178"/>
      <c r="D278" s="179"/>
      <c r="E278" s="178"/>
      <c r="F278" s="182"/>
      <c r="G278" s="181"/>
      <c r="H278" s="182"/>
      <c r="I278" s="183">
        <f>AF$6</f>
        <v>2020</v>
      </c>
      <c r="J278" s="184"/>
      <c r="K278" s="184"/>
      <c r="L278" s="203" t="s">
        <v>1064</v>
      </c>
      <c r="M278" s="184" t="s">
        <v>747</v>
      </c>
      <c r="N278" s="693">
        <f t="shared" ref="N278:AB278" si="223">N276*LOOKUP($AD271,$AH$4:$AQ$4,$AH$6:$AQ$6)</f>
        <v>0</v>
      </c>
      <c r="O278" s="693">
        <f t="shared" si="223"/>
        <v>0</v>
      </c>
      <c r="P278" s="693">
        <f t="shared" si="223"/>
        <v>0</v>
      </c>
      <c r="Q278" s="693">
        <f t="shared" si="223"/>
        <v>0</v>
      </c>
      <c r="R278" s="693">
        <f t="shared" si="223"/>
        <v>0</v>
      </c>
      <c r="S278" s="693">
        <f t="shared" si="223"/>
        <v>0</v>
      </c>
      <c r="T278" s="693">
        <f t="shared" si="223"/>
        <v>0</v>
      </c>
      <c r="U278" s="693">
        <f t="shared" si="223"/>
        <v>0</v>
      </c>
      <c r="V278" s="693">
        <f t="shared" si="223"/>
        <v>0</v>
      </c>
      <c r="W278" s="693">
        <f t="shared" si="223"/>
        <v>0</v>
      </c>
      <c r="X278" s="693">
        <f t="shared" si="223"/>
        <v>0</v>
      </c>
      <c r="Y278" s="693">
        <f t="shared" si="223"/>
        <v>0</v>
      </c>
      <c r="Z278" s="693">
        <f t="shared" si="223"/>
        <v>0</v>
      </c>
      <c r="AA278" s="693">
        <f t="shared" si="223"/>
        <v>0</v>
      </c>
      <c r="AB278" s="693">
        <f t="shared" si="223"/>
        <v>0</v>
      </c>
    </row>
    <row r="279" spans="1:46" s="83" customFormat="1" x14ac:dyDescent="0.3">
      <c r="A279" s="82"/>
      <c r="B279" s="178" t="str">
        <f t="shared" si="219"/>
        <v>TFMEETH900</v>
      </c>
      <c r="C279" s="178"/>
      <c r="D279" s="179"/>
      <c r="E279" s="178"/>
      <c r="F279" s="182"/>
      <c r="G279" s="181"/>
      <c r="H279" s="182"/>
      <c r="I279" s="183">
        <f>AF$7</f>
        <v>2025</v>
      </c>
      <c r="J279" s="184"/>
      <c r="K279" s="184"/>
      <c r="L279" s="203" t="s">
        <v>1064</v>
      </c>
      <c r="M279" s="184" t="s">
        <v>747</v>
      </c>
      <c r="N279" s="693">
        <f t="shared" ref="N279:AB279" si="224">N276*LOOKUP($AD271,$AH$4:$AQ$4,$AH$7:$AQ$7)</f>
        <v>0</v>
      </c>
      <c r="O279" s="693">
        <f t="shared" si="224"/>
        <v>0</v>
      </c>
      <c r="P279" s="693">
        <f t="shared" si="224"/>
        <v>0</v>
      </c>
      <c r="Q279" s="693">
        <f t="shared" si="224"/>
        <v>0</v>
      </c>
      <c r="R279" s="693">
        <f t="shared" si="224"/>
        <v>0</v>
      </c>
      <c r="S279" s="693">
        <f t="shared" si="224"/>
        <v>0</v>
      </c>
      <c r="T279" s="693">
        <f t="shared" si="224"/>
        <v>0</v>
      </c>
      <c r="U279" s="693">
        <f t="shared" si="224"/>
        <v>0</v>
      </c>
      <c r="V279" s="693">
        <f t="shared" si="224"/>
        <v>0</v>
      </c>
      <c r="W279" s="693">
        <f t="shared" si="224"/>
        <v>0</v>
      </c>
      <c r="X279" s="693">
        <f t="shared" si="224"/>
        <v>0</v>
      </c>
      <c r="Y279" s="693">
        <f t="shared" si="224"/>
        <v>0</v>
      </c>
      <c r="Z279" s="693">
        <f t="shared" si="224"/>
        <v>0</v>
      </c>
      <c r="AA279" s="693">
        <f t="shared" si="224"/>
        <v>0</v>
      </c>
      <c r="AB279" s="693">
        <f t="shared" si="224"/>
        <v>0</v>
      </c>
    </row>
    <row r="280" spans="1:46" s="83" customFormat="1" x14ac:dyDescent="0.3">
      <c r="A280" s="82"/>
      <c r="B280" s="178" t="str">
        <f t="shared" si="219"/>
        <v>TFMEETH900</v>
      </c>
      <c r="C280" s="178"/>
      <c r="D280" s="179"/>
      <c r="E280" s="178"/>
      <c r="F280" s="182"/>
      <c r="G280" s="181"/>
      <c r="H280" s="182"/>
      <c r="I280" s="183">
        <f>AF$8</f>
        <v>2030</v>
      </c>
      <c r="J280" s="184"/>
      <c r="K280" s="184"/>
      <c r="L280" s="203" t="s">
        <v>1064</v>
      </c>
      <c r="M280" s="184" t="s">
        <v>747</v>
      </c>
      <c r="N280" s="693">
        <f t="shared" ref="N280:AB280" si="225">N276*LOOKUP($AD271,$AH$4:$AQ$4,$AH$8:$AQ$8)</f>
        <v>0</v>
      </c>
      <c r="O280" s="693">
        <f t="shared" si="225"/>
        <v>0</v>
      </c>
      <c r="P280" s="693">
        <f t="shared" si="225"/>
        <v>0</v>
      </c>
      <c r="Q280" s="693">
        <f t="shared" si="225"/>
        <v>0</v>
      </c>
      <c r="R280" s="693">
        <f t="shared" si="225"/>
        <v>0</v>
      </c>
      <c r="S280" s="693">
        <f t="shared" si="225"/>
        <v>0</v>
      </c>
      <c r="T280" s="693">
        <f t="shared" si="225"/>
        <v>0</v>
      </c>
      <c r="U280" s="693">
        <f t="shared" si="225"/>
        <v>0</v>
      </c>
      <c r="V280" s="693">
        <f t="shared" si="225"/>
        <v>0</v>
      </c>
      <c r="W280" s="693">
        <f t="shared" si="225"/>
        <v>0</v>
      </c>
      <c r="X280" s="693">
        <f t="shared" si="225"/>
        <v>0</v>
      </c>
      <c r="Y280" s="693">
        <f t="shared" si="225"/>
        <v>0</v>
      </c>
      <c r="Z280" s="693">
        <f t="shared" si="225"/>
        <v>0</v>
      </c>
      <c r="AA280" s="693">
        <f t="shared" si="225"/>
        <v>0</v>
      </c>
      <c r="AB280" s="693">
        <f t="shared" si="225"/>
        <v>0</v>
      </c>
    </row>
    <row r="281" spans="1:46" s="83" customFormat="1" x14ac:dyDescent="0.3">
      <c r="A281" s="82"/>
      <c r="B281" s="178" t="str">
        <f t="shared" si="219"/>
        <v>TFMEETH900</v>
      </c>
      <c r="C281" s="178"/>
      <c r="D281" s="179"/>
      <c r="E281" s="178"/>
      <c r="F281" s="182"/>
      <c r="G281" s="181"/>
      <c r="H281" s="182"/>
      <c r="I281" s="183">
        <f>AF$9</f>
        <v>2040</v>
      </c>
      <c r="J281" s="184"/>
      <c r="K281" s="184"/>
      <c r="L281" s="203" t="s">
        <v>1064</v>
      </c>
      <c r="M281" s="184" t="s">
        <v>747</v>
      </c>
      <c r="N281" s="693">
        <f t="shared" ref="N281:AB281" si="226">N276*LOOKUP($AD271,$AH$4:$AQ$4,$AH$9:$AQ$9)</f>
        <v>0</v>
      </c>
      <c r="O281" s="693">
        <f t="shared" si="226"/>
        <v>0</v>
      </c>
      <c r="P281" s="693">
        <f t="shared" si="226"/>
        <v>0</v>
      </c>
      <c r="Q281" s="693">
        <f t="shared" si="226"/>
        <v>0</v>
      </c>
      <c r="R281" s="693">
        <f t="shared" si="226"/>
        <v>0</v>
      </c>
      <c r="S281" s="693">
        <f t="shared" si="226"/>
        <v>0</v>
      </c>
      <c r="T281" s="693">
        <f t="shared" si="226"/>
        <v>0</v>
      </c>
      <c r="U281" s="693">
        <f t="shared" si="226"/>
        <v>0</v>
      </c>
      <c r="V281" s="693">
        <f t="shared" si="226"/>
        <v>0</v>
      </c>
      <c r="W281" s="693">
        <f t="shared" si="226"/>
        <v>0</v>
      </c>
      <c r="X281" s="693">
        <f t="shared" si="226"/>
        <v>0</v>
      </c>
      <c r="Y281" s="693">
        <f t="shared" si="226"/>
        <v>0</v>
      </c>
      <c r="Z281" s="693">
        <f t="shared" si="226"/>
        <v>0</v>
      </c>
      <c r="AA281" s="693">
        <f t="shared" si="226"/>
        <v>0</v>
      </c>
      <c r="AB281" s="693">
        <f t="shared" si="226"/>
        <v>0</v>
      </c>
    </row>
    <row r="282" spans="1:46" s="83" customFormat="1" x14ac:dyDescent="0.3">
      <c r="A282" s="82"/>
      <c r="B282" s="204" t="str">
        <f t="shared" si="219"/>
        <v>TFMEETH900</v>
      </c>
      <c r="C282" s="204"/>
      <c r="D282" s="205"/>
      <c r="E282" s="204"/>
      <c r="F282" s="206"/>
      <c r="G282" s="207"/>
      <c r="H282" s="206"/>
      <c r="I282" s="208">
        <f>AF$10</f>
        <v>2050</v>
      </c>
      <c r="J282" s="209"/>
      <c r="K282" s="209"/>
      <c r="L282" s="210" t="s">
        <v>1064</v>
      </c>
      <c r="M282" s="209" t="s">
        <v>747</v>
      </c>
      <c r="N282" s="694">
        <f t="shared" ref="N282:AB282" si="227">N276*LOOKUP($AD271,$AH$4:$AQ$4,$AH$10:$AQ$10)</f>
        <v>0</v>
      </c>
      <c r="O282" s="694">
        <f t="shared" si="227"/>
        <v>0</v>
      </c>
      <c r="P282" s="694">
        <f t="shared" si="227"/>
        <v>0</v>
      </c>
      <c r="Q282" s="694">
        <f t="shared" si="227"/>
        <v>0</v>
      </c>
      <c r="R282" s="694">
        <f t="shared" si="227"/>
        <v>0</v>
      </c>
      <c r="S282" s="694">
        <f t="shared" si="227"/>
        <v>0</v>
      </c>
      <c r="T282" s="694">
        <f t="shared" si="227"/>
        <v>0</v>
      </c>
      <c r="U282" s="694">
        <f t="shared" si="227"/>
        <v>0</v>
      </c>
      <c r="V282" s="694">
        <f t="shared" si="227"/>
        <v>0</v>
      </c>
      <c r="W282" s="694">
        <f t="shared" si="227"/>
        <v>0</v>
      </c>
      <c r="X282" s="694">
        <f t="shared" si="227"/>
        <v>0</v>
      </c>
      <c r="Y282" s="694">
        <f t="shared" si="227"/>
        <v>0</v>
      </c>
      <c r="Z282" s="694">
        <f t="shared" si="227"/>
        <v>0</v>
      </c>
      <c r="AA282" s="694">
        <f t="shared" si="227"/>
        <v>0</v>
      </c>
      <c r="AB282" s="694">
        <f t="shared" si="227"/>
        <v>0</v>
      </c>
    </row>
    <row r="283" spans="1:46" s="83" customFormat="1" x14ac:dyDescent="0.3">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3">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3">
      <c r="A285" s="82"/>
      <c r="B285" s="178" t="str">
        <f>B284</f>
        <v>TFMEGAS900</v>
      </c>
      <c r="C285" s="178"/>
      <c r="D285" s="179"/>
      <c r="E285" s="178"/>
      <c r="F285" s="182"/>
      <c r="G285" s="324" t="s">
        <v>642</v>
      </c>
      <c r="H285" s="182"/>
      <c r="I285" s="183"/>
      <c r="J285" s="184"/>
      <c r="K285" s="184"/>
      <c r="L285" s="184" t="s">
        <v>1125</v>
      </c>
      <c r="M285" s="184" t="s">
        <v>677</v>
      </c>
      <c r="N285" s="675">
        <f>T_CEFF!H257</f>
        <v>8.4620000000000001E-2</v>
      </c>
      <c r="O285" s="675">
        <f>T_CEFF!I257</f>
        <v>8.4620000000000001E-2</v>
      </c>
      <c r="P285" s="675">
        <f>T_CEFF!J257</f>
        <v>8.4620000000000001E-2</v>
      </c>
      <c r="Q285" s="675">
        <f>T_CEFF!K257</f>
        <v>8.4620000000000001E-2</v>
      </c>
      <c r="R285" s="675">
        <f>T_CEFF!L257</f>
        <v>8.4620000000000001E-2</v>
      </c>
      <c r="S285" s="675">
        <f>T_CEFF!M257</f>
        <v>8.4620000000000001E-2</v>
      </c>
      <c r="T285" s="675">
        <f>T_CEFF!N257</f>
        <v>8.4620000000000001E-2</v>
      </c>
      <c r="U285" s="675">
        <f>T_CEFF!O257</f>
        <v>8.4620000000000001E-2</v>
      </c>
      <c r="V285" s="675">
        <f>T_CEFF!P257</f>
        <v>8.4620000000000001E-2</v>
      </c>
      <c r="W285" s="675">
        <f>T_CEFF!Q257</f>
        <v>8.4620000000000001E-2</v>
      </c>
      <c r="X285" s="675">
        <f>T_CEFF!R257</f>
        <v>8.4620000000000001E-2</v>
      </c>
      <c r="Y285" s="675">
        <f>T_CEFF!S257</f>
        <v>8.4620000000000001E-2</v>
      </c>
      <c r="Z285" s="675">
        <f>T_CEFF!T257</f>
        <v>8.4620000000000001E-2</v>
      </c>
      <c r="AA285" s="675">
        <f>T_CEFF!U257</f>
        <v>8.4620000000000001E-2</v>
      </c>
      <c r="AB285" s="675">
        <f>T_CEFF!V257</f>
        <v>8.4620000000000001E-2</v>
      </c>
    </row>
    <row r="286" spans="1:46" s="83" customFormat="1" x14ac:dyDescent="0.3">
      <c r="A286" s="82"/>
      <c r="B286" s="178" t="str">
        <f t="shared" ref="B286:B295" si="229">B285</f>
        <v>TFMEGAS900</v>
      </c>
      <c r="C286" s="178"/>
      <c r="D286" s="179"/>
      <c r="E286" s="178"/>
      <c r="F286" s="182"/>
      <c r="G286" s="324" t="s">
        <v>645</v>
      </c>
      <c r="H286" s="182"/>
      <c r="I286" s="183"/>
      <c r="J286" s="184"/>
      <c r="K286" s="184"/>
      <c r="L286" s="184" t="s">
        <v>1125</v>
      </c>
      <c r="M286" s="184" t="s">
        <v>677</v>
      </c>
      <c r="N286" s="675">
        <f>T_CEFF!H258</f>
        <v>6.769E-2</v>
      </c>
      <c r="O286" s="675">
        <f>T_CEFF!I258</f>
        <v>6.769E-2</v>
      </c>
      <c r="P286" s="675">
        <f>T_CEFF!J258</f>
        <v>6.769E-2</v>
      </c>
      <c r="Q286" s="675">
        <f>T_CEFF!K258</f>
        <v>6.769E-2</v>
      </c>
      <c r="R286" s="675">
        <f>T_CEFF!L258</f>
        <v>6.769E-2</v>
      </c>
      <c r="S286" s="675">
        <f>T_CEFF!M258</f>
        <v>6.769E-2</v>
      </c>
      <c r="T286" s="675">
        <f>T_CEFF!N258</f>
        <v>6.769E-2</v>
      </c>
      <c r="U286" s="675">
        <f>T_CEFF!O258</f>
        <v>6.769E-2</v>
      </c>
      <c r="V286" s="675">
        <f>T_CEFF!P258</f>
        <v>6.769E-2</v>
      </c>
      <c r="W286" s="675">
        <f>T_CEFF!Q258</f>
        <v>6.769E-2</v>
      </c>
      <c r="X286" s="675">
        <f>T_CEFF!R258</f>
        <v>6.769E-2</v>
      </c>
      <c r="Y286" s="675">
        <f>T_CEFF!S258</f>
        <v>6.769E-2</v>
      </c>
      <c r="Z286" s="675">
        <f>T_CEFF!T258</f>
        <v>6.769E-2</v>
      </c>
      <c r="AA286" s="675">
        <f>T_CEFF!U258</f>
        <v>6.769E-2</v>
      </c>
      <c r="AB286" s="675">
        <f>T_CEFF!V258</f>
        <v>6.769E-2</v>
      </c>
    </row>
    <row r="287" spans="1:46" s="83" customFormat="1" x14ac:dyDescent="0.3">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3">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1">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3">
      <c r="A289" s="82"/>
      <c r="B289" s="178" t="str">
        <f t="shared" si="229"/>
        <v>TFMEGAS900</v>
      </c>
      <c r="C289" s="178"/>
      <c r="D289" s="179"/>
      <c r="E289" s="178"/>
      <c r="F289" s="182"/>
      <c r="G289" s="181"/>
      <c r="H289" s="182"/>
      <c r="I289" s="183">
        <f>$M$3</f>
        <v>2019</v>
      </c>
      <c r="J289" s="184"/>
      <c r="K289" s="184"/>
      <c r="L289" s="203" t="s">
        <v>1064</v>
      </c>
      <c r="M289" s="184" t="s">
        <v>747</v>
      </c>
      <c r="N289" s="693">
        <f>LOOKUP($C$283, 'T_Stock_TOTAL_&amp;_City'!$C$106:$C$116, 'T_Stock_TOTAL_&amp;_City'!D$106:D$116)*(1+N229)</f>
        <v>0</v>
      </c>
      <c r="O289" s="693">
        <f>LOOKUP($C$283, 'T_Stock_TOTAL_&amp;_City'!$C$106:$C$116, 'T_Stock_TOTAL_&amp;_City'!E$106:E$116)*(1+O229)</f>
        <v>0</v>
      </c>
      <c r="P289" s="693">
        <f>LOOKUP($C$283, 'T_Stock_TOTAL_&amp;_City'!$C$106:$C$116, 'T_Stock_TOTAL_&amp;_City'!F$106:F$116)*(1+P229)</f>
        <v>0</v>
      </c>
      <c r="Q289" s="693">
        <f>LOOKUP($C$283, 'T_Stock_TOTAL_&amp;_City'!$C$106:$C$116, 'T_Stock_TOTAL_&amp;_City'!G$106:G$116)*(1+Q229)</f>
        <v>0</v>
      </c>
      <c r="R289" s="693">
        <f>LOOKUP($C$283, 'T_Stock_TOTAL_&amp;_City'!$C$106:$C$116, 'T_Stock_TOTAL_&amp;_City'!H$106:H$116)*(1+R229)</f>
        <v>0</v>
      </c>
      <c r="S289" s="693">
        <f>LOOKUP($C$283, 'T_Stock_TOTAL_&amp;_City'!$C$106:$C$116, 'T_Stock_TOTAL_&amp;_City'!I$106:I$116)*(1+S229)</f>
        <v>0</v>
      </c>
      <c r="T289" s="693">
        <f>LOOKUP($C$283, 'T_Stock_TOTAL_&amp;_City'!$C$106:$C$116, 'T_Stock_TOTAL_&amp;_City'!J$106:J$116)*(1+T229)</f>
        <v>0</v>
      </c>
      <c r="U289" s="693">
        <f>LOOKUP($C$283, 'T_Stock_TOTAL_&amp;_City'!$C$106:$C$116, 'T_Stock_TOTAL_&amp;_City'!K$106:K$116)*(1+U229)</f>
        <v>0</v>
      </c>
      <c r="V289" s="693">
        <f>LOOKUP($C$283, 'T_Stock_TOTAL_&amp;_City'!$C$106:$C$116, 'T_Stock_TOTAL_&amp;_City'!L$106:L$116)*(1+V229)</f>
        <v>0</v>
      </c>
      <c r="W289" s="693">
        <f>LOOKUP($C$283, 'T_Stock_TOTAL_&amp;_City'!$C$106:$C$116, 'T_Stock_TOTAL_&amp;_City'!M$106:M$116)*(1+W229)</f>
        <v>0</v>
      </c>
      <c r="X289" s="693">
        <f>LOOKUP($C$283, 'T_Stock_TOTAL_&amp;_City'!$C$106:$C$116, 'T_Stock_TOTAL_&amp;_City'!N$106:N$116)*(1+X229)</f>
        <v>0</v>
      </c>
      <c r="Y289" s="693">
        <f>LOOKUP($C$283, 'T_Stock_TOTAL_&amp;_City'!$C$106:$C$116, 'T_Stock_TOTAL_&amp;_City'!O$106:O$116)*(1+Y229)</f>
        <v>0</v>
      </c>
      <c r="Z289" s="693">
        <f>LOOKUP($C$283, 'T_Stock_TOTAL_&amp;_City'!$C$106:$C$116, 'T_Stock_TOTAL_&amp;_City'!P$106:P$116)*(1+Z229)</f>
        <v>0</v>
      </c>
      <c r="AA289" s="693">
        <f>LOOKUP($C$283, 'T_Stock_TOTAL_&amp;_City'!$C$106:$C$116, 'T_Stock_TOTAL_&amp;_City'!Q$106:Q$116)*(1+AA229)</f>
        <v>0</v>
      </c>
      <c r="AB289" s="693">
        <f>LOOKUP($C$283, 'T_Stock_TOTAL_&amp;_City'!$C$106:$C$116, 'T_Stock_TOTAL_&amp;_City'!R$106:R$116)*(1+AB229)</f>
        <v>0</v>
      </c>
    </row>
    <row r="290" spans="1:46" s="83" customFormat="1" x14ac:dyDescent="0.3">
      <c r="A290" s="82"/>
      <c r="B290" s="178" t="str">
        <f t="shared" si="229"/>
        <v>TFMEGAS900</v>
      </c>
      <c r="C290" s="178"/>
      <c r="D290" s="179"/>
      <c r="E290" s="178"/>
      <c r="F290" s="182"/>
      <c r="G290" s="181"/>
      <c r="H290" s="182"/>
      <c r="I290" s="183">
        <f>AF$5</f>
        <v>2016</v>
      </c>
      <c r="J290" s="184"/>
      <c r="K290" s="184"/>
      <c r="L290" s="203" t="s">
        <v>1064</v>
      </c>
      <c r="M290" s="184" t="s">
        <v>747</v>
      </c>
      <c r="N290" s="693">
        <f t="shared" ref="N290:AB290" si="232">N289*LOOKUP($AD283,$AH$4:$AQ$4,$AH$5:$AQ$5)</f>
        <v>0</v>
      </c>
      <c r="O290" s="693">
        <f t="shared" si="232"/>
        <v>0</v>
      </c>
      <c r="P290" s="693">
        <f t="shared" si="232"/>
        <v>0</v>
      </c>
      <c r="Q290" s="693">
        <f t="shared" si="232"/>
        <v>0</v>
      </c>
      <c r="R290" s="693">
        <f t="shared" si="232"/>
        <v>0</v>
      </c>
      <c r="S290" s="693">
        <f t="shared" si="232"/>
        <v>0</v>
      </c>
      <c r="T290" s="693">
        <f t="shared" si="232"/>
        <v>0</v>
      </c>
      <c r="U290" s="693">
        <f t="shared" si="232"/>
        <v>0</v>
      </c>
      <c r="V290" s="693">
        <f t="shared" si="232"/>
        <v>0</v>
      </c>
      <c r="W290" s="693">
        <f t="shared" si="232"/>
        <v>0</v>
      </c>
      <c r="X290" s="693">
        <f t="shared" si="232"/>
        <v>0</v>
      </c>
      <c r="Y290" s="693">
        <f t="shared" si="232"/>
        <v>0</v>
      </c>
      <c r="Z290" s="693">
        <f t="shared" si="232"/>
        <v>0</v>
      </c>
      <c r="AA290" s="693">
        <f t="shared" si="232"/>
        <v>0</v>
      </c>
      <c r="AB290" s="693">
        <f t="shared" si="232"/>
        <v>0</v>
      </c>
    </row>
    <row r="291" spans="1:46" s="83" customFormat="1" x14ac:dyDescent="0.3">
      <c r="A291" s="82"/>
      <c r="B291" s="178" t="str">
        <f t="shared" si="229"/>
        <v>TFMEGAS900</v>
      </c>
      <c r="C291" s="178"/>
      <c r="D291" s="179"/>
      <c r="E291" s="178"/>
      <c r="F291" s="182"/>
      <c r="G291" s="181"/>
      <c r="H291" s="182"/>
      <c r="I291" s="183">
        <f>AF$6</f>
        <v>2020</v>
      </c>
      <c r="J291" s="184"/>
      <c r="K291" s="184"/>
      <c r="L291" s="203" t="s">
        <v>1064</v>
      </c>
      <c r="M291" s="184" t="s">
        <v>747</v>
      </c>
      <c r="N291" s="693">
        <f t="shared" ref="N291:AB291" si="233">N289*LOOKUP($AD283,$AH$4:$AQ$4,$AH$6:$AQ$6)</f>
        <v>0</v>
      </c>
      <c r="O291" s="693">
        <f t="shared" si="233"/>
        <v>0</v>
      </c>
      <c r="P291" s="693">
        <f t="shared" si="233"/>
        <v>0</v>
      </c>
      <c r="Q291" s="693">
        <f t="shared" si="233"/>
        <v>0</v>
      </c>
      <c r="R291" s="693">
        <f t="shared" si="233"/>
        <v>0</v>
      </c>
      <c r="S291" s="693">
        <f t="shared" si="233"/>
        <v>0</v>
      </c>
      <c r="T291" s="693">
        <f t="shared" si="233"/>
        <v>0</v>
      </c>
      <c r="U291" s="693">
        <f t="shared" si="233"/>
        <v>0</v>
      </c>
      <c r="V291" s="693">
        <f t="shared" si="233"/>
        <v>0</v>
      </c>
      <c r="W291" s="693">
        <f t="shared" si="233"/>
        <v>0</v>
      </c>
      <c r="X291" s="693">
        <f t="shared" si="233"/>
        <v>0</v>
      </c>
      <c r="Y291" s="693">
        <f t="shared" si="233"/>
        <v>0</v>
      </c>
      <c r="Z291" s="693">
        <f t="shared" si="233"/>
        <v>0</v>
      </c>
      <c r="AA291" s="693">
        <f t="shared" si="233"/>
        <v>0</v>
      </c>
      <c r="AB291" s="693">
        <f t="shared" si="233"/>
        <v>0</v>
      </c>
    </row>
    <row r="292" spans="1:46" s="83" customFormat="1" x14ac:dyDescent="0.3">
      <c r="A292" s="82"/>
      <c r="B292" s="178" t="str">
        <f t="shared" si="229"/>
        <v>TFMEGAS900</v>
      </c>
      <c r="C292" s="178"/>
      <c r="D292" s="179"/>
      <c r="E292" s="178"/>
      <c r="F292" s="182"/>
      <c r="G292" s="181"/>
      <c r="H292" s="182"/>
      <c r="I292" s="183">
        <f>AF$7</f>
        <v>2025</v>
      </c>
      <c r="J292" s="184"/>
      <c r="K292" s="184"/>
      <c r="L292" s="203" t="s">
        <v>1064</v>
      </c>
      <c r="M292" s="184" t="s">
        <v>747</v>
      </c>
      <c r="N292" s="693">
        <f t="shared" ref="N292:AB292" si="234">N289*LOOKUP($AD283,$AH$4:$AQ$4,$AH$7:$AQ$7)</f>
        <v>0</v>
      </c>
      <c r="O292" s="693">
        <f t="shared" si="234"/>
        <v>0</v>
      </c>
      <c r="P292" s="693">
        <f t="shared" si="234"/>
        <v>0</v>
      </c>
      <c r="Q292" s="693">
        <f t="shared" si="234"/>
        <v>0</v>
      </c>
      <c r="R292" s="693">
        <f t="shared" si="234"/>
        <v>0</v>
      </c>
      <c r="S292" s="693">
        <f t="shared" si="234"/>
        <v>0</v>
      </c>
      <c r="T292" s="693">
        <f t="shared" si="234"/>
        <v>0</v>
      </c>
      <c r="U292" s="693">
        <f t="shared" si="234"/>
        <v>0</v>
      </c>
      <c r="V292" s="693">
        <f t="shared" si="234"/>
        <v>0</v>
      </c>
      <c r="W292" s="693">
        <f t="shared" si="234"/>
        <v>0</v>
      </c>
      <c r="X292" s="693">
        <f t="shared" si="234"/>
        <v>0</v>
      </c>
      <c r="Y292" s="693">
        <f t="shared" si="234"/>
        <v>0</v>
      </c>
      <c r="Z292" s="693">
        <f t="shared" si="234"/>
        <v>0</v>
      </c>
      <c r="AA292" s="693">
        <f t="shared" si="234"/>
        <v>0</v>
      </c>
      <c r="AB292" s="693">
        <f t="shared" si="234"/>
        <v>0</v>
      </c>
    </row>
    <row r="293" spans="1:46" s="83" customFormat="1" x14ac:dyDescent="0.3">
      <c r="A293" s="82"/>
      <c r="B293" s="178" t="str">
        <f t="shared" si="229"/>
        <v>TFMEGAS900</v>
      </c>
      <c r="C293" s="178"/>
      <c r="D293" s="179"/>
      <c r="E293" s="178"/>
      <c r="F293" s="182"/>
      <c r="G293" s="181"/>
      <c r="H293" s="182"/>
      <c r="I293" s="183">
        <f>AF$8</f>
        <v>2030</v>
      </c>
      <c r="J293" s="184"/>
      <c r="K293" s="184"/>
      <c r="L293" s="203" t="s">
        <v>1064</v>
      </c>
      <c r="M293" s="184" t="s">
        <v>747</v>
      </c>
      <c r="N293" s="693">
        <f t="shared" ref="N293:AB293" si="235">N289*LOOKUP($AD283,$AH$4:$AQ$4,$AH$8:$AQ$8)</f>
        <v>0</v>
      </c>
      <c r="O293" s="693">
        <f t="shared" si="235"/>
        <v>0</v>
      </c>
      <c r="P293" s="693">
        <f t="shared" si="235"/>
        <v>0</v>
      </c>
      <c r="Q293" s="693">
        <f t="shared" si="235"/>
        <v>0</v>
      </c>
      <c r="R293" s="693">
        <f t="shared" si="235"/>
        <v>0</v>
      </c>
      <c r="S293" s="693">
        <f t="shared" si="235"/>
        <v>0</v>
      </c>
      <c r="T293" s="693">
        <f t="shared" si="235"/>
        <v>0</v>
      </c>
      <c r="U293" s="693">
        <f t="shared" si="235"/>
        <v>0</v>
      </c>
      <c r="V293" s="693">
        <f t="shared" si="235"/>
        <v>0</v>
      </c>
      <c r="W293" s="693">
        <f t="shared" si="235"/>
        <v>0</v>
      </c>
      <c r="X293" s="693">
        <f t="shared" si="235"/>
        <v>0</v>
      </c>
      <c r="Y293" s="693">
        <f t="shared" si="235"/>
        <v>0</v>
      </c>
      <c r="Z293" s="693">
        <f t="shared" si="235"/>
        <v>0</v>
      </c>
      <c r="AA293" s="693">
        <f t="shared" si="235"/>
        <v>0</v>
      </c>
      <c r="AB293" s="693">
        <f t="shared" si="235"/>
        <v>0</v>
      </c>
    </row>
    <row r="294" spans="1:46" s="83" customFormat="1" x14ac:dyDescent="0.3">
      <c r="A294" s="82"/>
      <c r="B294" s="178" t="str">
        <f t="shared" si="229"/>
        <v>TFMEGAS900</v>
      </c>
      <c r="C294" s="178"/>
      <c r="D294" s="179"/>
      <c r="E294" s="178"/>
      <c r="F294" s="182"/>
      <c r="G294" s="181"/>
      <c r="H294" s="182"/>
      <c r="I294" s="183">
        <f>AF$9</f>
        <v>2040</v>
      </c>
      <c r="J294" s="184"/>
      <c r="K294" s="184"/>
      <c r="L294" s="203" t="s">
        <v>1064</v>
      </c>
      <c r="M294" s="184" t="s">
        <v>747</v>
      </c>
      <c r="N294" s="693">
        <f t="shared" ref="N294:AB294" si="236">N289*LOOKUP($AD283,$AH$4:$AQ$4,$AH$9:$AQ$9)</f>
        <v>0</v>
      </c>
      <c r="O294" s="693">
        <f t="shared" si="236"/>
        <v>0</v>
      </c>
      <c r="P294" s="693">
        <f t="shared" si="236"/>
        <v>0</v>
      </c>
      <c r="Q294" s="693">
        <f t="shared" si="236"/>
        <v>0</v>
      </c>
      <c r="R294" s="693">
        <f t="shared" si="236"/>
        <v>0</v>
      </c>
      <c r="S294" s="693">
        <f t="shared" si="236"/>
        <v>0</v>
      </c>
      <c r="T294" s="693">
        <f t="shared" si="236"/>
        <v>0</v>
      </c>
      <c r="U294" s="693">
        <f t="shared" si="236"/>
        <v>0</v>
      </c>
      <c r="V294" s="693">
        <f t="shared" si="236"/>
        <v>0</v>
      </c>
      <c r="W294" s="693">
        <f t="shared" si="236"/>
        <v>0</v>
      </c>
      <c r="X294" s="693">
        <f t="shared" si="236"/>
        <v>0</v>
      </c>
      <c r="Y294" s="693">
        <f t="shared" si="236"/>
        <v>0</v>
      </c>
      <c r="Z294" s="693">
        <f t="shared" si="236"/>
        <v>0</v>
      </c>
      <c r="AA294" s="693">
        <f t="shared" si="236"/>
        <v>0</v>
      </c>
      <c r="AB294" s="693">
        <f t="shared" si="236"/>
        <v>0</v>
      </c>
    </row>
    <row r="295" spans="1:46" s="83" customFormat="1" x14ac:dyDescent="0.3">
      <c r="A295" s="82"/>
      <c r="B295" s="204" t="str">
        <f t="shared" si="229"/>
        <v>TFMEGAS900</v>
      </c>
      <c r="C295" s="204"/>
      <c r="D295" s="205"/>
      <c r="E295" s="204"/>
      <c r="F295" s="206"/>
      <c r="G295" s="207"/>
      <c r="H295" s="206"/>
      <c r="I295" s="208">
        <f>AF$10</f>
        <v>2050</v>
      </c>
      <c r="J295" s="209"/>
      <c r="K295" s="209"/>
      <c r="L295" s="210" t="s">
        <v>1064</v>
      </c>
      <c r="M295" s="209" t="s">
        <v>747</v>
      </c>
      <c r="N295" s="694">
        <f t="shared" ref="N295:AB295" si="237">N289*LOOKUP($AD283,$AH$4:$AQ$4,$AH$10:$AQ$10)</f>
        <v>0</v>
      </c>
      <c r="O295" s="694">
        <f t="shared" si="237"/>
        <v>0</v>
      </c>
      <c r="P295" s="694">
        <f t="shared" si="237"/>
        <v>0</v>
      </c>
      <c r="Q295" s="694">
        <f t="shared" si="237"/>
        <v>0</v>
      </c>
      <c r="R295" s="694">
        <f t="shared" si="237"/>
        <v>0</v>
      </c>
      <c r="S295" s="694">
        <f t="shared" si="237"/>
        <v>0</v>
      </c>
      <c r="T295" s="694">
        <f t="shared" si="237"/>
        <v>0</v>
      </c>
      <c r="U295" s="694">
        <f t="shared" si="237"/>
        <v>0</v>
      </c>
      <c r="V295" s="694">
        <f t="shared" si="237"/>
        <v>0</v>
      </c>
      <c r="W295" s="694">
        <f t="shared" si="237"/>
        <v>0</v>
      </c>
      <c r="X295" s="694">
        <f t="shared" si="237"/>
        <v>0</v>
      </c>
      <c r="Y295" s="694">
        <f t="shared" si="237"/>
        <v>0</v>
      </c>
      <c r="Z295" s="694">
        <f t="shared" si="237"/>
        <v>0</v>
      </c>
      <c r="AA295" s="694">
        <f t="shared" si="237"/>
        <v>0</v>
      </c>
      <c r="AB295" s="694">
        <f t="shared" si="237"/>
        <v>0</v>
      </c>
    </row>
    <row r="296" spans="1:46" s="83" customFormat="1" x14ac:dyDescent="0.3">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3">
      <c r="A297" s="82"/>
      <c r="B297" s="178" t="str">
        <f>B296</f>
        <v>TFMEGSL900</v>
      </c>
      <c r="C297" s="178"/>
      <c r="D297" s="179"/>
      <c r="E297" s="407" t="s">
        <v>1011</v>
      </c>
      <c r="F297" s="182"/>
      <c r="G297" s="181"/>
      <c r="H297" s="182"/>
      <c r="I297" s="183"/>
      <c r="J297" s="184" t="s">
        <v>1156</v>
      </c>
      <c r="K297" s="184"/>
      <c r="L297" s="203" t="s">
        <v>101</v>
      </c>
      <c r="M297" s="184"/>
      <c r="N297" s="390">
        <f>N$29</f>
        <v>5.0999999999999997E-2</v>
      </c>
      <c r="O297" s="390">
        <f t="shared" ref="O297:AB297" si="239">O$29</f>
        <v>5.0999999999999997E-2</v>
      </c>
      <c r="P297" s="390">
        <f t="shared" si="239"/>
        <v>5.0999999999999997E-2</v>
      </c>
      <c r="Q297" s="390">
        <f t="shared" si="239"/>
        <v>5.0999999999999997E-2</v>
      </c>
      <c r="R297" s="390">
        <f t="shared" si="239"/>
        <v>5.0999999999999997E-2</v>
      </c>
      <c r="S297" s="390">
        <f t="shared" si="239"/>
        <v>5.0999999999999997E-2</v>
      </c>
      <c r="T297" s="390">
        <f t="shared" si="239"/>
        <v>5.0999999999999997E-2</v>
      </c>
      <c r="U297" s="390">
        <f t="shared" si="239"/>
        <v>5.0999999999999997E-2</v>
      </c>
      <c r="V297" s="390">
        <f t="shared" si="239"/>
        <v>5.0999999999999997E-2</v>
      </c>
      <c r="W297" s="390">
        <f t="shared" si="239"/>
        <v>5.0999999999999997E-2</v>
      </c>
      <c r="X297" s="390">
        <f t="shared" si="239"/>
        <v>5.0999999999999997E-2</v>
      </c>
      <c r="Y297" s="390">
        <f t="shared" si="239"/>
        <v>5.0999999999999997E-2</v>
      </c>
      <c r="Z297" s="390">
        <f t="shared" si="239"/>
        <v>5.0999999999999997E-2</v>
      </c>
      <c r="AA297" s="390">
        <f t="shared" si="239"/>
        <v>5.0999999999999997E-2</v>
      </c>
      <c r="AB297" s="390">
        <f t="shared" si="239"/>
        <v>5.0999999999999997E-2</v>
      </c>
      <c r="AD297" s="66" t="str">
        <f>IF(COUNTIF($AH$4:$AQ$4,AD296)=1,"ok","MISSING")</f>
        <v>ok</v>
      </c>
    </row>
    <row r="298" spans="1:46" s="83" customFormat="1" x14ac:dyDescent="0.3">
      <c r="A298" s="82"/>
      <c r="B298" s="178" t="str">
        <f>B297</f>
        <v>TFMEGSL900</v>
      </c>
      <c r="C298" s="178"/>
      <c r="D298" s="179"/>
      <c r="E298" s="178"/>
      <c r="F298" s="182"/>
      <c r="G298" s="324" t="s">
        <v>642</v>
      </c>
      <c r="H298" s="182"/>
      <c r="I298" s="183"/>
      <c r="J298" s="184"/>
      <c r="K298" s="184"/>
      <c r="L298" s="184" t="s">
        <v>1125</v>
      </c>
      <c r="M298" s="184" t="s">
        <v>677</v>
      </c>
      <c r="N298" s="675">
        <f>T_CEFF!H259</f>
        <v>9.2439999999999994E-2</v>
      </c>
      <c r="O298" s="675">
        <f>T_CEFF!I259</f>
        <v>9.2439999999999994E-2</v>
      </c>
      <c r="P298" s="675">
        <f>T_CEFF!J259</f>
        <v>9.2439999999999994E-2</v>
      </c>
      <c r="Q298" s="675">
        <f>T_CEFF!K259</f>
        <v>9.2439999999999994E-2</v>
      </c>
      <c r="R298" s="675">
        <f>T_CEFF!L259</f>
        <v>9.2439999999999994E-2</v>
      </c>
      <c r="S298" s="675">
        <f>T_CEFF!M259</f>
        <v>9.2439999999999994E-2</v>
      </c>
      <c r="T298" s="675">
        <f>T_CEFF!N259</f>
        <v>9.2439999999999994E-2</v>
      </c>
      <c r="U298" s="675">
        <f>T_CEFF!O259</f>
        <v>9.2439999999999994E-2</v>
      </c>
      <c r="V298" s="675">
        <f>T_CEFF!P259</f>
        <v>9.2439999999999994E-2</v>
      </c>
      <c r="W298" s="675">
        <f>T_CEFF!Q259</f>
        <v>9.2439999999999994E-2</v>
      </c>
      <c r="X298" s="675">
        <f>T_CEFF!R259</f>
        <v>9.2439999999999994E-2</v>
      </c>
      <c r="Y298" s="675">
        <f>T_CEFF!S259</f>
        <v>9.2439999999999994E-2</v>
      </c>
      <c r="Z298" s="675">
        <f>T_CEFF!T259</f>
        <v>9.2439999999999994E-2</v>
      </c>
      <c r="AA298" s="675">
        <f>T_CEFF!U259</f>
        <v>9.2439999999999994E-2</v>
      </c>
      <c r="AB298" s="675">
        <f>T_CEFF!V259</f>
        <v>9.2439999999999994E-2</v>
      </c>
    </row>
    <row r="299" spans="1:46" s="83" customFormat="1" x14ac:dyDescent="0.3">
      <c r="A299" s="82"/>
      <c r="B299" s="178" t="str">
        <f>B298</f>
        <v>TFMEGSL900</v>
      </c>
      <c r="C299" s="178"/>
      <c r="D299" s="179"/>
      <c r="E299" s="178"/>
      <c r="F299" s="182"/>
      <c r="G299" s="324" t="s">
        <v>645</v>
      </c>
      <c r="H299" s="182"/>
      <c r="I299" s="183"/>
      <c r="J299" s="184"/>
      <c r="K299" s="184"/>
      <c r="L299" s="184" t="s">
        <v>1125</v>
      </c>
      <c r="M299" s="184" t="s">
        <v>677</v>
      </c>
      <c r="N299" s="675">
        <f>T_CEFF!H260</f>
        <v>7.3950000000000002E-2</v>
      </c>
      <c r="O299" s="675">
        <f>T_CEFF!I260</f>
        <v>7.3950000000000002E-2</v>
      </c>
      <c r="P299" s="675">
        <f>T_CEFF!J260</f>
        <v>7.3950000000000002E-2</v>
      </c>
      <c r="Q299" s="675">
        <f>T_CEFF!K260</f>
        <v>7.3950000000000002E-2</v>
      </c>
      <c r="R299" s="675">
        <f>T_CEFF!L260</f>
        <v>7.3950000000000002E-2</v>
      </c>
      <c r="S299" s="675">
        <f>T_CEFF!M260</f>
        <v>7.3950000000000002E-2</v>
      </c>
      <c r="T299" s="675">
        <f>T_CEFF!N260</f>
        <v>7.3950000000000002E-2</v>
      </c>
      <c r="U299" s="675">
        <f>T_CEFF!O260</f>
        <v>7.3950000000000002E-2</v>
      </c>
      <c r="V299" s="675">
        <f>T_CEFF!P260</f>
        <v>7.3950000000000002E-2</v>
      </c>
      <c r="W299" s="675">
        <f>T_CEFF!Q260</f>
        <v>7.3950000000000002E-2</v>
      </c>
      <c r="X299" s="675">
        <f>T_CEFF!R260</f>
        <v>7.3950000000000002E-2</v>
      </c>
      <c r="Y299" s="675">
        <f>T_CEFF!S260</f>
        <v>7.3950000000000002E-2</v>
      </c>
      <c r="Z299" s="675">
        <f>T_CEFF!T260</f>
        <v>7.3950000000000002E-2</v>
      </c>
      <c r="AA299" s="675">
        <f>T_CEFF!U260</f>
        <v>7.3950000000000002E-2</v>
      </c>
      <c r="AB299" s="675">
        <f>T_CEFF!V260</f>
        <v>7.3950000000000002E-2</v>
      </c>
    </row>
    <row r="300" spans="1:46" s="83" customFormat="1" x14ac:dyDescent="0.3">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3">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1">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3">
      <c r="A302" s="82"/>
      <c r="B302" s="178" t="str">
        <f t="shared" si="240"/>
        <v>TFMEGSL900</v>
      </c>
      <c r="C302" s="178"/>
      <c r="D302" s="179"/>
      <c r="E302" s="178"/>
      <c r="F302" s="182"/>
      <c r="G302" s="181"/>
      <c r="H302" s="182"/>
      <c r="I302" s="183">
        <f>$M$3</f>
        <v>2019</v>
      </c>
      <c r="J302" s="184"/>
      <c r="K302" s="184"/>
      <c r="L302" s="203" t="s">
        <v>1064</v>
      </c>
      <c r="M302" s="184" t="s">
        <v>747</v>
      </c>
      <c r="N302" s="693">
        <f>LOOKUP($C$296, 'T_Stock_TOTAL_&amp;_City'!$C$106:$C$116, 'T_Stock_TOTAL_&amp;_City'!D$106:D$116)*(1+N229)</f>
        <v>0</v>
      </c>
      <c r="O302" s="693">
        <f>LOOKUP($C$296, 'T_Stock_TOTAL_&amp;_City'!$C$106:$C$116, 'T_Stock_TOTAL_&amp;_City'!E$106:E$116)*(1+O229)</f>
        <v>0</v>
      </c>
      <c r="P302" s="693">
        <f>LOOKUP($C$296, 'T_Stock_TOTAL_&amp;_City'!$C$106:$C$116, 'T_Stock_TOTAL_&amp;_City'!F$106:F$116)*(1+P229)</f>
        <v>0</v>
      </c>
      <c r="Q302" s="693">
        <f>LOOKUP($C$296, 'T_Stock_TOTAL_&amp;_City'!$C$106:$C$116, 'T_Stock_TOTAL_&amp;_City'!G$106:G$116)*(1+Q229)</f>
        <v>0</v>
      </c>
      <c r="R302" s="693">
        <f>LOOKUP($C$296, 'T_Stock_TOTAL_&amp;_City'!$C$106:$C$116, 'T_Stock_TOTAL_&amp;_City'!H$106:H$116)*(1+R229)</f>
        <v>0</v>
      </c>
      <c r="S302" s="693">
        <f>LOOKUP($C$296, 'T_Stock_TOTAL_&amp;_City'!$C$106:$C$116, 'T_Stock_TOTAL_&amp;_City'!I$106:I$116)*(1+S229)</f>
        <v>0</v>
      </c>
      <c r="T302" s="693">
        <f>LOOKUP($C$296, 'T_Stock_TOTAL_&amp;_City'!$C$106:$C$116, 'T_Stock_TOTAL_&amp;_City'!J$106:J$116)*(1+T229)</f>
        <v>0</v>
      </c>
      <c r="U302" s="693">
        <f>LOOKUP($C$296, 'T_Stock_TOTAL_&amp;_City'!$C$106:$C$116, 'T_Stock_TOTAL_&amp;_City'!K$106:K$116)*(1+U229)</f>
        <v>0</v>
      </c>
      <c r="V302" s="693">
        <f>LOOKUP($C$296, 'T_Stock_TOTAL_&amp;_City'!$C$106:$C$116, 'T_Stock_TOTAL_&amp;_City'!L$106:L$116)*(1+V229)</f>
        <v>0</v>
      </c>
      <c r="W302" s="693">
        <f>LOOKUP($C$296, 'T_Stock_TOTAL_&amp;_City'!$C$106:$C$116, 'T_Stock_TOTAL_&amp;_City'!M$106:M$116)*(1+W229)</f>
        <v>0</v>
      </c>
      <c r="X302" s="693">
        <f>LOOKUP($C$296, 'T_Stock_TOTAL_&amp;_City'!$C$106:$C$116, 'T_Stock_TOTAL_&amp;_City'!N$106:N$116)*(1+X229)</f>
        <v>0</v>
      </c>
      <c r="Y302" s="693">
        <f>LOOKUP($C$296, 'T_Stock_TOTAL_&amp;_City'!$C$106:$C$116, 'T_Stock_TOTAL_&amp;_City'!O$106:O$116)*(1+Y229)</f>
        <v>0</v>
      </c>
      <c r="Z302" s="693">
        <f>LOOKUP($C$296, 'T_Stock_TOTAL_&amp;_City'!$C$106:$C$116, 'T_Stock_TOTAL_&amp;_City'!P$106:P$116)*(1+Z229)</f>
        <v>0</v>
      </c>
      <c r="AA302" s="693">
        <f>LOOKUP($C$296, 'T_Stock_TOTAL_&amp;_City'!$C$106:$C$116, 'T_Stock_TOTAL_&amp;_City'!Q$106:Q$116)*(1+AA229)</f>
        <v>0</v>
      </c>
      <c r="AB302" s="693">
        <f>LOOKUP($C$296, 'T_Stock_TOTAL_&amp;_City'!$C$106:$C$116, 'T_Stock_TOTAL_&amp;_City'!R$106:R$116)*(1+AB229)</f>
        <v>0</v>
      </c>
    </row>
    <row r="303" spans="1:46" s="83" customFormat="1" x14ac:dyDescent="0.3">
      <c r="A303" s="82"/>
      <c r="B303" s="178" t="str">
        <f t="shared" si="240"/>
        <v>TFMEGSL900</v>
      </c>
      <c r="C303" s="178"/>
      <c r="D303" s="179"/>
      <c r="E303" s="178"/>
      <c r="F303" s="182"/>
      <c r="G303" s="181"/>
      <c r="H303" s="182"/>
      <c r="I303" s="183">
        <f>AF$5</f>
        <v>2016</v>
      </c>
      <c r="J303" s="184"/>
      <c r="K303" s="184"/>
      <c r="L303" s="203" t="s">
        <v>1064</v>
      </c>
      <c r="M303" s="184" t="s">
        <v>747</v>
      </c>
      <c r="N303" s="693">
        <f t="shared" ref="N303:AB303" si="243">N302*LOOKUP($AD296,$AH$4:$AQ$4,$AH$5:$AQ$5)</f>
        <v>0</v>
      </c>
      <c r="O303" s="693">
        <f t="shared" si="243"/>
        <v>0</v>
      </c>
      <c r="P303" s="693">
        <f t="shared" si="243"/>
        <v>0</v>
      </c>
      <c r="Q303" s="693">
        <f t="shared" si="243"/>
        <v>0</v>
      </c>
      <c r="R303" s="693">
        <f t="shared" si="243"/>
        <v>0</v>
      </c>
      <c r="S303" s="693">
        <f t="shared" si="243"/>
        <v>0</v>
      </c>
      <c r="T303" s="693">
        <f t="shared" si="243"/>
        <v>0</v>
      </c>
      <c r="U303" s="693">
        <f t="shared" si="243"/>
        <v>0</v>
      </c>
      <c r="V303" s="693">
        <f t="shared" si="243"/>
        <v>0</v>
      </c>
      <c r="W303" s="693">
        <f t="shared" si="243"/>
        <v>0</v>
      </c>
      <c r="X303" s="693">
        <f t="shared" si="243"/>
        <v>0</v>
      </c>
      <c r="Y303" s="693">
        <f t="shared" si="243"/>
        <v>0</v>
      </c>
      <c r="Z303" s="693">
        <f t="shared" si="243"/>
        <v>0</v>
      </c>
      <c r="AA303" s="693">
        <f t="shared" si="243"/>
        <v>0</v>
      </c>
      <c r="AB303" s="693">
        <f t="shared" si="243"/>
        <v>0</v>
      </c>
    </row>
    <row r="304" spans="1:46" s="83" customFormat="1" x14ac:dyDescent="0.3">
      <c r="A304" s="82"/>
      <c r="B304" s="178" t="str">
        <f t="shared" si="240"/>
        <v>TFMEGSL900</v>
      </c>
      <c r="C304" s="178"/>
      <c r="D304" s="179"/>
      <c r="E304" s="178"/>
      <c r="F304" s="182"/>
      <c r="G304" s="181"/>
      <c r="H304" s="182"/>
      <c r="I304" s="183">
        <f>AF$6</f>
        <v>2020</v>
      </c>
      <c r="J304" s="184"/>
      <c r="K304" s="184"/>
      <c r="L304" s="203" t="s">
        <v>1064</v>
      </c>
      <c r="M304" s="184" t="s">
        <v>747</v>
      </c>
      <c r="N304" s="693">
        <f t="shared" ref="N304:AB304" si="244">N302*LOOKUP($AD296,$AH$4:$AQ$4,$AH$6:$AQ$6)</f>
        <v>0</v>
      </c>
      <c r="O304" s="693">
        <f t="shared" si="244"/>
        <v>0</v>
      </c>
      <c r="P304" s="693">
        <f t="shared" si="244"/>
        <v>0</v>
      </c>
      <c r="Q304" s="693">
        <f t="shared" si="244"/>
        <v>0</v>
      </c>
      <c r="R304" s="693">
        <f t="shared" si="244"/>
        <v>0</v>
      </c>
      <c r="S304" s="693">
        <f t="shared" si="244"/>
        <v>0</v>
      </c>
      <c r="T304" s="693">
        <f t="shared" si="244"/>
        <v>0</v>
      </c>
      <c r="U304" s="693">
        <f t="shared" si="244"/>
        <v>0</v>
      </c>
      <c r="V304" s="693">
        <f t="shared" si="244"/>
        <v>0</v>
      </c>
      <c r="W304" s="693">
        <f t="shared" si="244"/>
        <v>0</v>
      </c>
      <c r="X304" s="693">
        <f t="shared" si="244"/>
        <v>0</v>
      </c>
      <c r="Y304" s="693">
        <f t="shared" si="244"/>
        <v>0</v>
      </c>
      <c r="Z304" s="693">
        <f t="shared" si="244"/>
        <v>0</v>
      </c>
      <c r="AA304" s="693">
        <f t="shared" si="244"/>
        <v>0</v>
      </c>
      <c r="AB304" s="693">
        <f t="shared" si="244"/>
        <v>0</v>
      </c>
    </row>
    <row r="305" spans="1:46" s="83" customFormat="1" x14ac:dyDescent="0.3">
      <c r="A305" s="82"/>
      <c r="B305" s="178" t="str">
        <f t="shared" si="240"/>
        <v>TFMEGSL900</v>
      </c>
      <c r="C305" s="178"/>
      <c r="D305" s="179"/>
      <c r="E305" s="178"/>
      <c r="F305" s="182"/>
      <c r="G305" s="181"/>
      <c r="H305" s="182"/>
      <c r="I305" s="183">
        <f>AF$7</f>
        <v>2025</v>
      </c>
      <c r="J305" s="184"/>
      <c r="K305" s="184"/>
      <c r="L305" s="203" t="s">
        <v>1064</v>
      </c>
      <c r="M305" s="184" t="s">
        <v>747</v>
      </c>
      <c r="N305" s="693">
        <f t="shared" ref="N305:AB305" si="245">N302*LOOKUP($AD296,$AH$4:$AQ$4,$AH$7:$AQ$7)</f>
        <v>0</v>
      </c>
      <c r="O305" s="693">
        <f t="shared" si="245"/>
        <v>0</v>
      </c>
      <c r="P305" s="693">
        <f t="shared" si="245"/>
        <v>0</v>
      </c>
      <c r="Q305" s="693">
        <f t="shared" si="245"/>
        <v>0</v>
      </c>
      <c r="R305" s="693">
        <f t="shared" si="245"/>
        <v>0</v>
      </c>
      <c r="S305" s="693">
        <f t="shared" si="245"/>
        <v>0</v>
      </c>
      <c r="T305" s="693">
        <f t="shared" si="245"/>
        <v>0</v>
      </c>
      <c r="U305" s="693">
        <f t="shared" si="245"/>
        <v>0</v>
      </c>
      <c r="V305" s="693">
        <f t="shared" si="245"/>
        <v>0</v>
      </c>
      <c r="W305" s="693">
        <f t="shared" si="245"/>
        <v>0</v>
      </c>
      <c r="X305" s="693">
        <f t="shared" si="245"/>
        <v>0</v>
      </c>
      <c r="Y305" s="693">
        <f t="shared" si="245"/>
        <v>0</v>
      </c>
      <c r="Z305" s="693">
        <f t="shared" si="245"/>
        <v>0</v>
      </c>
      <c r="AA305" s="693">
        <f t="shared" si="245"/>
        <v>0</v>
      </c>
      <c r="AB305" s="693">
        <f t="shared" si="245"/>
        <v>0</v>
      </c>
    </row>
    <row r="306" spans="1:46" s="83" customFormat="1" x14ac:dyDescent="0.3">
      <c r="A306" s="82"/>
      <c r="B306" s="178" t="str">
        <f t="shared" si="240"/>
        <v>TFMEGSL900</v>
      </c>
      <c r="C306" s="178"/>
      <c r="D306" s="179"/>
      <c r="E306" s="178"/>
      <c r="F306" s="182"/>
      <c r="G306" s="181"/>
      <c r="H306" s="182"/>
      <c r="I306" s="183">
        <f>AF$8</f>
        <v>2030</v>
      </c>
      <c r="J306" s="184"/>
      <c r="K306" s="184"/>
      <c r="L306" s="203" t="s">
        <v>1064</v>
      </c>
      <c r="M306" s="184" t="s">
        <v>747</v>
      </c>
      <c r="N306" s="693">
        <f t="shared" ref="N306:AB306" si="246">N302*LOOKUP($AD296,$AH$4:$AQ$4,$AH$8:$AQ$8)</f>
        <v>0</v>
      </c>
      <c r="O306" s="693">
        <f t="shared" si="246"/>
        <v>0</v>
      </c>
      <c r="P306" s="693">
        <f t="shared" si="246"/>
        <v>0</v>
      </c>
      <c r="Q306" s="693">
        <f t="shared" si="246"/>
        <v>0</v>
      </c>
      <c r="R306" s="693">
        <f t="shared" si="246"/>
        <v>0</v>
      </c>
      <c r="S306" s="693">
        <f t="shared" si="246"/>
        <v>0</v>
      </c>
      <c r="T306" s="693">
        <f t="shared" si="246"/>
        <v>0</v>
      </c>
      <c r="U306" s="693">
        <f t="shared" si="246"/>
        <v>0</v>
      </c>
      <c r="V306" s="693">
        <f t="shared" si="246"/>
        <v>0</v>
      </c>
      <c r="W306" s="693">
        <f t="shared" si="246"/>
        <v>0</v>
      </c>
      <c r="X306" s="693">
        <f t="shared" si="246"/>
        <v>0</v>
      </c>
      <c r="Y306" s="693">
        <f t="shared" si="246"/>
        <v>0</v>
      </c>
      <c r="Z306" s="693">
        <f t="shared" si="246"/>
        <v>0</v>
      </c>
      <c r="AA306" s="693">
        <f t="shared" si="246"/>
        <v>0</v>
      </c>
      <c r="AB306" s="693">
        <f t="shared" si="246"/>
        <v>0</v>
      </c>
    </row>
    <row r="307" spans="1:46" s="83" customFormat="1" x14ac:dyDescent="0.3">
      <c r="A307" s="82"/>
      <c r="B307" s="178" t="str">
        <f t="shared" si="240"/>
        <v>TFMEGSL900</v>
      </c>
      <c r="C307" s="178"/>
      <c r="D307" s="179"/>
      <c r="E307" s="178"/>
      <c r="F307" s="182"/>
      <c r="G307" s="181"/>
      <c r="H307" s="182"/>
      <c r="I307" s="183">
        <f>AF$9</f>
        <v>2040</v>
      </c>
      <c r="J307" s="184"/>
      <c r="K307" s="184"/>
      <c r="L307" s="203" t="s">
        <v>1064</v>
      </c>
      <c r="M307" s="184" t="s">
        <v>747</v>
      </c>
      <c r="N307" s="693">
        <f t="shared" ref="N307:AB307" si="247">N302*LOOKUP($AD296,$AH$4:$AQ$4,$AH$9:$AQ$9)</f>
        <v>0</v>
      </c>
      <c r="O307" s="693">
        <f t="shared" si="247"/>
        <v>0</v>
      </c>
      <c r="P307" s="693">
        <f t="shared" si="247"/>
        <v>0</v>
      </c>
      <c r="Q307" s="693">
        <f t="shared" si="247"/>
        <v>0</v>
      </c>
      <c r="R307" s="693">
        <f t="shared" si="247"/>
        <v>0</v>
      </c>
      <c r="S307" s="693">
        <f t="shared" si="247"/>
        <v>0</v>
      </c>
      <c r="T307" s="693">
        <f t="shared" si="247"/>
        <v>0</v>
      </c>
      <c r="U307" s="693">
        <f t="shared" si="247"/>
        <v>0</v>
      </c>
      <c r="V307" s="693">
        <f t="shared" si="247"/>
        <v>0</v>
      </c>
      <c r="W307" s="693">
        <f t="shared" si="247"/>
        <v>0</v>
      </c>
      <c r="X307" s="693">
        <f t="shared" si="247"/>
        <v>0</v>
      </c>
      <c r="Y307" s="693">
        <f t="shared" si="247"/>
        <v>0</v>
      </c>
      <c r="Z307" s="693">
        <f t="shared" si="247"/>
        <v>0</v>
      </c>
      <c r="AA307" s="693">
        <f t="shared" si="247"/>
        <v>0</v>
      </c>
      <c r="AB307" s="693">
        <f t="shared" si="247"/>
        <v>0</v>
      </c>
    </row>
    <row r="308" spans="1:46" s="83" customFormat="1" x14ac:dyDescent="0.3">
      <c r="A308" s="82"/>
      <c r="B308" s="204" t="str">
        <f t="shared" si="240"/>
        <v>TFMEGSL900</v>
      </c>
      <c r="C308" s="204"/>
      <c r="D308" s="205"/>
      <c r="E308" s="204"/>
      <c r="F308" s="206"/>
      <c r="G308" s="207"/>
      <c r="H308" s="206"/>
      <c r="I308" s="208">
        <f>AF$10</f>
        <v>2050</v>
      </c>
      <c r="J308" s="209"/>
      <c r="K308" s="209"/>
      <c r="L308" s="210" t="s">
        <v>1064</v>
      </c>
      <c r="M308" s="209" t="s">
        <v>747</v>
      </c>
      <c r="N308" s="694">
        <f t="shared" ref="N308:AB308" si="248">N302*LOOKUP($AD296,$AH$4:$AQ$4,$AH$10:$AQ$10)</f>
        <v>0</v>
      </c>
      <c r="O308" s="694">
        <f t="shared" si="248"/>
        <v>0</v>
      </c>
      <c r="P308" s="694">
        <f t="shared" si="248"/>
        <v>0</v>
      </c>
      <c r="Q308" s="694">
        <f t="shared" si="248"/>
        <v>0</v>
      </c>
      <c r="R308" s="694">
        <f t="shared" si="248"/>
        <v>0</v>
      </c>
      <c r="S308" s="694">
        <f t="shared" si="248"/>
        <v>0</v>
      </c>
      <c r="T308" s="694">
        <f t="shared" si="248"/>
        <v>0</v>
      </c>
      <c r="U308" s="694">
        <f t="shared" si="248"/>
        <v>0</v>
      </c>
      <c r="V308" s="694">
        <f t="shared" si="248"/>
        <v>0</v>
      </c>
      <c r="W308" s="694">
        <f t="shared" si="248"/>
        <v>0</v>
      </c>
      <c r="X308" s="694">
        <f t="shared" si="248"/>
        <v>0</v>
      </c>
      <c r="Y308" s="694">
        <f t="shared" si="248"/>
        <v>0</v>
      </c>
      <c r="Z308" s="694">
        <f t="shared" si="248"/>
        <v>0</v>
      </c>
      <c r="AA308" s="694">
        <f t="shared" si="248"/>
        <v>0</v>
      </c>
      <c r="AB308" s="694">
        <f t="shared" si="248"/>
        <v>0</v>
      </c>
    </row>
    <row r="309" spans="1:46" s="83" customFormat="1" x14ac:dyDescent="0.3">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3">
      <c r="A310" s="82"/>
      <c r="B310" s="178" t="str">
        <f>B309</f>
        <v>TFMEHYD900</v>
      </c>
      <c r="C310" s="178"/>
      <c r="D310" s="179"/>
      <c r="E310" s="407" t="s">
        <v>987</v>
      </c>
      <c r="F310" s="182"/>
      <c r="G310" s="181"/>
      <c r="H310" s="182"/>
      <c r="I310" s="183"/>
      <c r="J310" s="184" t="s">
        <v>1222</v>
      </c>
      <c r="K310" s="184"/>
      <c r="L310" s="203" t="s">
        <v>101</v>
      </c>
      <c r="M310" s="184"/>
      <c r="N310" s="390">
        <f t="shared" ref="N310:AB310" si="250">N$28</f>
        <v>0.17499999999999999</v>
      </c>
      <c r="O310" s="390">
        <f t="shared" si="250"/>
        <v>0.17499999999999999</v>
      </c>
      <c r="P310" s="390">
        <f t="shared" si="250"/>
        <v>0.17499999999999999</v>
      </c>
      <c r="Q310" s="390">
        <f t="shared" si="250"/>
        <v>0.17499999999999999</v>
      </c>
      <c r="R310" s="390">
        <f t="shared" si="250"/>
        <v>0.17499999999999999</v>
      </c>
      <c r="S310" s="390">
        <f t="shared" si="250"/>
        <v>0.17499999999999999</v>
      </c>
      <c r="T310" s="390">
        <f t="shared" si="250"/>
        <v>0.17499999999999999</v>
      </c>
      <c r="U310" s="390">
        <f t="shared" si="250"/>
        <v>0.17499999999999999</v>
      </c>
      <c r="V310" s="390">
        <f t="shared" si="250"/>
        <v>0.17499999999999999</v>
      </c>
      <c r="W310" s="390">
        <f t="shared" si="250"/>
        <v>0.17499999999999999</v>
      </c>
      <c r="X310" s="390">
        <f t="shared" si="250"/>
        <v>0.17499999999999999</v>
      </c>
      <c r="Y310" s="390">
        <f t="shared" si="250"/>
        <v>0.17499999999999999</v>
      </c>
      <c r="Z310" s="390">
        <f t="shared" si="250"/>
        <v>0.17499999999999999</v>
      </c>
      <c r="AA310" s="390">
        <f t="shared" si="250"/>
        <v>0.17499999999999999</v>
      </c>
      <c r="AB310" s="390">
        <f t="shared" si="250"/>
        <v>0.17499999999999999</v>
      </c>
      <c r="AD310" s="66" t="str">
        <f>IF(COUNTIF($AH$4:$AQ$4,AD309)=1,"ok","MISSING")</f>
        <v>ok</v>
      </c>
      <c r="AF310" s="333"/>
    </row>
    <row r="311" spans="1:46" s="83" customFormat="1" x14ac:dyDescent="0.3">
      <c r="B311" s="178" t="str">
        <f t="shared" ref="B311:B321" si="251">B310</f>
        <v>TFMEHYD900</v>
      </c>
      <c r="C311" s="178"/>
      <c r="D311" s="179"/>
      <c r="E311" s="178"/>
      <c r="F311" s="182"/>
      <c r="G311" s="324" t="s">
        <v>642</v>
      </c>
      <c r="H311" s="182"/>
      <c r="I311" s="183"/>
      <c r="J311" s="184"/>
      <c r="K311" s="184"/>
      <c r="L311" s="184" t="s">
        <v>1125</v>
      </c>
      <c r="M311" s="184" t="s">
        <v>677</v>
      </c>
      <c r="N311" s="675">
        <f>T_CEFF!H261</f>
        <v>0.1134</v>
      </c>
      <c r="O311" s="675">
        <f>T_CEFF!I261</f>
        <v>0.1134</v>
      </c>
      <c r="P311" s="675">
        <f>T_CEFF!J261</f>
        <v>0.1134</v>
      </c>
      <c r="Q311" s="675">
        <f>T_CEFF!K261</f>
        <v>0.1134</v>
      </c>
      <c r="R311" s="675">
        <f>T_CEFF!L261</f>
        <v>0.1134</v>
      </c>
      <c r="S311" s="675">
        <f>T_CEFF!M261</f>
        <v>0.1134</v>
      </c>
      <c r="T311" s="675">
        <f>T_CEFF!N261</f>
        <v>0.1134</v>
      </c>
      <c r="U311" s="675">
        <f>T_CEFF!O261</f>
        <v>0.1134</v>
      </c>
      <c r="V311" s="675">
        <f>T_CEFF!P261</f>
        <v>0.1134</v>
      </c>
      <c r="W311" s="675">
        <f>T_CEFF!Q261</f>
        <v>0.1134</v>
      </c>
      <c r="X311" s="675">
        <f>T_CEFF!R261</f>
        <v>0.1134</v>
      </c>
      <c r="Y311" s="675">
        <f>T_CEFF!S261</f>
        <v>0.1134</v>
      </c>
      <c r="Z311" s="675">
        <f>T_CEFF!T261</f>
        <v>0.1134</v>
      </c>
      <c r="AA311" s="675">
        <f>T_CEFF!U261</f>
        <v>0.1134</v>
      </c>
      <c r="AB311" s="675">
        <f>T_CEFF!V261</f>
        <v>0.1134</v>
      </c>
    </row>
    <row r="312" spans="1:46" s="83" customFormat="1" x14ac:dyDescent="0.3">
      <c r="B312" s="178" t="str">
        <f t="shared" si="251"/>
        <v>TFMEHYD900</v>
      </c>
      <c r="C312" s="178"/>
      <c r="D312" s="179"/>
      <c r="E312" s="178"/>
      <c r="F312" s="182"/>
      <c r="G312" s="324" t="s">
        <v>645</v>
      </c>
      <c r="H312" s="182"/>
      <c r="I312" s="183"/>
      <c r="J312" s="184"/>
      <c r="K312" s="184"/>
      <c r="L312" s="184" t="s">
        <v>1125</v>
      </c>
      <c r="M312" s="184" t="s">
        <v>677</v>
      </c>
      <c r="N312" s="675">
        <f>T_CEFF!H262</f>
        <v>9.0719999999999995E-2</v>
      </c>
      <c r="O312" s="675">
        <f>T_CEFF!I262</f>
        <v>9.0719999999999995E-2</v>
      </c>
      <c r="P312" s="675">
        <f>T_CEFF!J262</f>
        <v>9.0719999999999995E-2</v>
      </c>
      <c r="Q312" s="675">
        <f>T_CEFF!K262</f>
        <v>9.0719999999999995E-2</v>
      </c>
      <c r="R312" s="675">
        <f>T_CEFF!L262</f>
        <v>9.0719999999999995E-2</v>
      </c>
      <c r="S312" s="675">
        <f>T_CEFF!M262</f>
        <v>9.0719999999999995E-2</v>
      </c>
      <c r="T312" s="675">
        <f>T_CEFF!N262</f>
        <v>9.0719999999999995E-2</v>
      </c>
      <c r="U312" s="675">
        <f>T_CEFF!O262</f>
        <v>9.0719999999999995E-2</v>
      </c>
      <c r="V312" s="675">
        <f>T_CEFF!P262</f>
        <v>9.0719999999999995E-2</v>
      </c>
      <c r="W312" s="675">
        <f>T_CEFF!Q262</f>
        <v>9.0719999999999995E-2</v>
      </c>
      <c r="X312" s="675">
        <f>T_CEFF!R262</f>
        <v>9.0719999999999995E-2</v>
      </c>
      <c r="Y312" s="675">
        <f>T_CEFF!S262</f>
        <v>9.0719999999999995E-2</v>
      </c>
      <c r="Z312" s="675">
        <f>T_CEFF!T262</f>
        <v>9.0719999999999995E-2</v>
      </c>
      <c r="AA312" s="675">
        <f>T_CEFF!U262</f>
        <v>9.0719999999999995E-2</v>
      </c>
      <c r="AB312" s="675">
        <f>T_CEFF!V262</f>
        <v>9.0719999999999995E-2</v>
      </c>
    </row>
    <row r="313" spans="1:46" s="83" customFormat="1" x14ac:dyDescent="0.3">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3">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1">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3">
      <c r="B315" s="178" t="str">
        <f>B314</f>
        <v>TFMEHYD900</v>
      </c>
      <c r="C315" s="178"/>
      <c r="D315" s="179"/>
      <c r="E315" s="178"/>
      <c r="F315" s="182"/>
      <c r="G315" s="181"/>
      <c r="H315" s="182"/>
      <c r="I315" s="183">
        <f>$M$3</f>
        <v>2019</v>
      </c>
      <c r="J315" s="184"/>
      <c r="K315" s="184"/>
      <c r="L315" s="203" t="s">
        <v>1064</v>
      </c>
      <c r="M315" s="184" t="s">
        <v>747</v>
      </c>
      <c r="N315" s="693">
        <f>LOOKUP($C$309, 'T_Stock_TOTAL_&amp;_City'!$C$106:$C$116, 'T_Stock_TOTAL_&amp;_City'!D$106:D$116)*(1+N229)</f>
        <v>0</v>
      </c>
      <c r="O315" s="693">
        <f>LOOKUP($C$309, 'T_Stock_TOTAL_&amp;_City'!$C$106:$C$116, 'T_Stock_TOTAL_&amp;_City'!E$106:E$116)*(1+O229)</f>
        <v>0</v>
      </c>
      <c r="P315" s="693">
        <f>LOOKUP($C$309, 'T_Stock_TOTAL_&amp;_City'!$C$106:$C$116, 'T_Stock_TOTAL_&amp;_City'!F$106:F$116)*(1+P229)</f>
        <v>0</v>
      </c>
      <c r="Q315" s="693">
        <f>LOOKUP($C$309, 'T_Stock_TOTAL_&amp;_City'!$C$106:$C$116, 'T_Stock_TOTAL_&amp;_City'!G$106:G$116)*(1+Q229)</f>
        <v>0</v>
      </c>
      <c r="R315" s="693">
        <f>LOOKUP($C$309, 'T_Stock_TOTAL_&amp;_City'!$C$106:$C$116, 'T_Stock_TOTAL_&amp;_City'!H$106:H$116)*(1+R229)</f>
        <v>0</v>
      </c>
      <c r="S315" s="693">
        <f>LOOKUP($C$309, 'T_Stock_TOTAL_&amp;_City'!$C$106:$C$116, 'T_Stock_TOTAL_&amp;_City'!I$106:I$116)*(1+S229)</f>
        <v>0</v>
      </c>
      <c r="T315" s="693">
        <f>LOOKUP($C$309, 'T_Stock_TOTAL_&amp;_City'!$C$106:$C$116, 'T_Stock_TOTAL_&amp;_City'!J$106:J$116)*(1+T229)</f>
        <v>0</v>
      </c>
      <c r="U315" s="693">
        <f>LOOKUP($C$309, 'T_Stock_TOTAL_&amp;_City'!$C$106:$C$116, 'T_Stock_TOTAL_&amp;_City'!K$106:K$116)*(1+U229)</f>
        <v>0</v>
      </c>
      <c r="V315" s="693">
        <f>LOOKUP($C$309, 'T_Stock_TOTAL_&amp;_City'!$C$106:$C$116, 'T_Stock_TOTAL_&amp;_City'!L$106:L$116)*(1+V229)</f>
        <v>0</v>
      </c>
      <c r="W315" s="693">
        <f>LOOKUP($C$309, 'T_Stock_TOTAL_&amp;_City'!$C$106:$C$116, 'T_Stock_TOTAL_&amp;_City'!M$106:M$116)*(1+W229)</f>
        <v>0</v>
      </c>
      <c r="X315" s="693">
        <f>LOOKUP($C$309, 'T_Stock_TOTAL_&amp;_City'!$C$106:$C$116, 'T_Stock_TOTAL_&amp;_City'!N$106:N$116)*(1+X229)</f>
        <v>0</v>
      </c>
      <c r="Y315" s="693">
        <f>LOOKUP($C$309, 'T_Stock_TOTAL_&amp;_City'!$C$106:$C$116, 'T_Stock_TOTAL_&amp;_City'!O$106:O$116)*(1+Y229)</f>
        <v>0</v>
      </c>
      <c r="Z315" s="693">
        <f>LOOKUP($C$309, 'T_Stock_TOTAL_&amp;_City'!$C$106:$C$116, 'T_Stock_TOTAL_&amp;_City'!P$106:P$116)*(1+Z229)</f>
        <v>0</v>
      </c>
      <c r="AA315" s="693">
        <f>LOOKUP($C$309, 'T_Stock_TOTAL_&amp;_City'!$C$106:$C$116, 'T_Stock_TOTAL_&amp;_City'!Q$106:Q$116)*(1+AA229)</f>
        <v>0</v>
      </c>
      <c r="AB315" s="693">
        <f>LOOKUP($C$309, 'T_Stock_TOTAL_&amp;_City'!$C$106:$C$116, 'T_Stock_TOTAL_&amp;_City'!R$106:R$116)*(1+AB229)</f>
        <v>0</v>
      </c>
    </row>
    <row r="316" spans="1:46" s="83" customFormat="1" x14ac:dyDescent="0.3">
      <c r="B316" s="178" t="str">
        <f t="shared" si="251"/>
        <v>TFMEHYD900</v>
      </c>
      <c r="C316" s="178"/>
      <c r="D316" s="179"/>
      <c r="E316" s="178"/>
      <c r="F316" s="182"/>
      <c r="G316" s="181"/>
      <c r="H316" s="182"/>
      <c r="I316" s="183">
        <f>AF$5</f>
        <v>2016</v>
      </c>
      <c r="J316" s="184"/>
      <c r="K316" s="184"/>
      <c r="L316" s="203" t="s">
        <v>1064</v>
      </c>
      <c r="M316" s="184" t="s">
        <v>747</v>
      </c>
      <c r="N316" s="693">
        <f t="shared" ref="N316:AB316" si="254">N315*LOOKUP($AD309,$AH$4:$AQ$4,$AH$5:$AQ$5)</f>
        <v>0</v>
      </c>
      <c r="O316" s="693">
        <f t="shared" si="254"/>
        <v>0</v>
      </c>
      <c r="P316" s="693">
        <f t="shared" si="254"/>
        <v>0</v>
      </c>
      <c r="Q316" s="693">
        <f t="shared" si="254"/>
        <v>0</v>
      </c>
      <c r="R316" s="693">
        <f t="shared" si="254"/>
        <v>0</v>
      </c>
      <c r="S316" s="693">
        <f t="shared" si="254"/>
        <v>0</v>
      </c>
      <c r="T316" s="693">
        <f t="shared" si="254"/>
        <v>0</v>
      </c>
      <c r="U316" s="693">
        <f t="shared" si="254"/>
        <v>0</v>
      </c>
      <c r="V316" s="693">
        <f t="shared" si="254"/>
        <v>0</v>
      </c>
      <c r="W316" s="693">
        <f t="shared" si="254"/>
        <v>0</v>
      </c>
      <c r="X316" s="693">
        <f t="shared" si="254"/>
        <v>0</v>
      </c>
      <c r="Y316" s="693">
        <f t="shared" si="254"/>
        <v>0</v>
      </c>
      <c r="Z316" s="693">
        <f t="shared" si="254"/>
        <v>0</v>
      </c>
      <c r="AA316" s="693">
        <f t="shared" si="254"/>
        <v>0</v>
      </c>
      <c r="AB316" s="693">
        <f t="shared" si="254"/>
        <v>0</v>
      </c>
    </row>
    <row r="317" spans="1:46" s="83" customFormat="1" x14ac:dyDescent="0.3">
      <c r="B317" s="178" t="str">
        <f t="shared" si="251"/>
        <v>TFMEHYD900</v>
      </c>
      <c r="C317" s="178"/>
      <c r="D317" s="179"/>
      <c r="E317" s="178"/>
      <c r="F317" s="182"/>
      <c r="G317" s="181"/>
      <c r="H317" s="182"/>
      <c r="I317" s="183">
        <f>AF$6</f>
        <v>2020</v>
      </c>
      <c r="J317" s="184"/>
      <c r="K317" s="184"/>
      <c r="L317" s="203" t="s">
        <v>1064</v>
      </c>
      <c r="M317" s="184" t="s">
        <v>747</v>
      </c>
      <c r="N317" s="693">
        <f t="shared" ref="N317:AB317" si="255">N315*LOOKUP($AD309,$AH$4:$AQ$4,$AH$6:$AQ$6)</f>
        <v>0</v>
      </c>
      <c r="O317" s="693">
        <f t="shared" si="255"/>
        <v>0</v>
      </c>
      <c r="P317" s="693">
        <f t="shared" si="255"/>
        <v>0</v>
      </c>
      <c r="Q317" s="693">
        <f t="shared" si="255"/>
        <v>0</v>
      </c>
      <c r="R317" s="693">
        <f t="shared" si="255"/>
        <v>0</v>
      </c>
      <c r="S317" s="693">
        <f t="shared" si="255"/>
        <v>0</v>
      </c>
      <c r="T317" s="693">
        <f t="shared" si="255"/>
        <v>0</v>
      </c>
      <c r="U317" s="693">
        <f t="shared" si="255"/>
        <v>0</v>
      </c>
      <c r="V317" s="693">
        <f t="shared" si="255"/>
        <v>0</v>
      </c>
      <c r="W317" s="693">
        <f t="shared" si="255"/>
        <v>0</v>
      </c>
      <c r="X317" s="693">
        <f t="shared" si="255"/>
        <v>0</v>
      </c>
      <c r="Y317" s="693">
        <f t="shared" si="255"/>
        <v>0</v>
      </c>
      <c r="Z317" s="693">
        <f t="shared" si="255"/>
        <v>0</v>
      </c>
      <c r="AA317" s="693">
        <f t="shared" si="255"/>
        <v>0</v>
      </c>
      <c r="AB317" s="693">
        <f t="shared" si="255"/>
        <v>0</v>
      </c>
    </row>
    <row r="318" spans="1:46" s="83" customFormat="1" x14ac:dyDescent="0.3">
      <c r="B318" s="178" t="str">
        <f t="shared" si="251"/>
        <v>TFMEHYD900</v>
      </c>
      <c r="C318" s="178"/>
      <c r="D318" s="179"/>
      <c r="E318" s="178"/>
      <c r="F318" s="182"/>
      <c r="G318" s="181"/>
      <c r="H318" s="182"/>
      <c r="I318" s="183">
        <f>AF$7</f>
        <v>2025</v>
      </c>
      <c r="J318" s="184"/>
      <c r="K318" s="184"/>
      <c r="L318" s="203" t="s">
        <v>1064</v>
      </c>
      <c r="M318" s="184" t="s">
        <v>747</v>
      </c>
      <c r="N318" s="693">
        <f t="shared" ref="N318:AB318" si="256">N315*LOOKUP($AD309,$AH$4:$AQ$4,$AH$7:$AQ$7)</f>
        <v>0</v>
      </c>
      <c r="O318" s="693">
        <f t="shared" si="256"/>
        <v>0</v>
      </c>
      <c r="P318" s="693">
        <f t="shared" si="256"/>
        <v>0</v>
      </c>
      <c r="Q318" s="693">
        <f t="shared" si="256"/>
        <v>0</v>
      </c>
      <c r="R318" s="693">
        <f t="shared" si="256"/>
        <v>0</v>
      </c>
      <c r="S318" s="693">
        <f t="shared" si="256"/>
        <v>0</v>
      </c>
      <c r="T318" s="693">
        <f t="shared" si="256"/>
        <v>0</v>
      </c>
      <c r="U318" s="693">
        <f t="shared" si="256"/>
        <v>0</v>
      </c>
      <c r="V318" s="693">
        <f t="shared" si="256"/>
        <v>0</v>
      </c>
      <c r="W318" s="693">
        <f t="shared" si="256"/>
        <v>0</v>
      </c>
      <c r="X318" s="693">
        <f t="shared" si="256"/>
        <v>0</v>
      </c>
      <c r="Y318" s="693">
        <f t="shared" si="256"/>
        <v>0</v>
      </c>
      <c r="Z318" s="693">
        <f t="shared" si="256"/>
        <v>0</v>
      </c>
      <c r="AA318" s="693">
        <f t="shared" si="256"/>
        <v>0</v>
      </c>
      <c r="AB318" s="693">
        <f t="shared" si="256"/>
        <v>0</v>
      </c>
    </row>
    <row r="319" spans="1:46" s="83" customFormat="1" x14ac:dyDescent="0.3">
      <c r="B319" s="178" t="str">
        <f t="shared" si="251"/>
        <v>TFMEHYD900</v>
      </c>
      <c r="C319" s="178"/>
      <c r="D319" s="179"/>
      <c r="E319" s="178"/>
      <c r="F319" s="182"/>
      <c r="G319" s="181"/>
      <c r="H319" s="182"/>
      <c r="I319" s="183">
        <f>AF$8</f>
        <v>2030</v>
      </c>
      <c r="J319" s="184"/>
      <c r="K319" s="184"/>
      <c r="L319" s="203" t="s">
        <v>1064</v>
      </c>
      <c r="M319" s="184" t="s">
        <v>747</v>
      </c>
      <c r="N319" s="693">
        <f t="shared" ref="N319:AB319" si="257">N315*LOOKUP($AD309,$AH$4:$AQ$4,$AH$8:$AQ$8)</f>
        <v>0</v>
      </c>
      <c r="O319" s="693">
        <f t="shared" si="257"/>
        <v>0</v>
      </c>
      <c r="P319" s="693">
        <f t="shared" si="257"/>
        <v>0</v>
      </c>
      <c r="Q319" s="693">
        <f t="shared" si="257"/>
        <v>0</v>
      </c>
      <c r="R319" s="693">
        <f t="shared" si="257"/>
        <v>0</v>
      </c>
      <c r="S319" s="693">
        <f t="shared" si="257"/>
        <v>0</v>
      </c>
      <c r="T319" s="693">
        <f t="shared" si="257"/>
        <v>0</v>
      </c>
      <c r="U319" s="693">
        <f t="shared" si="257"/>
        <v>0</v>
      </c>
      <c r="V319" s="693">
        <f t="shared" si="257"/>
        <v>0</v>
      </c>
      <c r="W319" s="693">
        <f t="shared" si="257"/>
        <v>0</v>
      </c>
      <c r="X319" s="693">
        <f t="shared" si="257"/>
        <v>0</v>
      </c>
      <c r="Y319" s="693">
        <f t="shared" si="257"/>
        <v>0</v>
      </c>
      <c r="Z319" s="693">
        <f t="shared" si="257"/>
        <v>0</v>
      </c>
      <c r="AA319" s="693">
        <f t="shared" si="257"/>
        <v>0</v>
      </c>
      <c r="AB319" s="693">
        <f t="shared" si="257"/>
        <v>0</v>
      </c>
    </row>
    <row r="320" spans="1:46" s="83" customFormat="1" x14ac:dyDescent="0.3">
      <c r="B320" s="178" t="str">
        <f t="shared" si="251"/>
        <v>TFMEHYD900</v>
      </c>
      <c r="C320" s="178"/>
      <c r="D320" s="179"/>
      <c r="E320" s="178"/>
      <c r="F320" s="182"/>
      <c r="G320" s="181"/>
      <c r="H320" s="182"/>
      <c r="I320" s="183">
        <f>AF$9</f>
        <v>2040</v>
      </c>
      <c r="J320" s="184"/>
      <c r="K320" s="184"/>
      <c r="L320" s="203" t="s">
        <v>1064</v>
      </c>
      <c r="M320" s="184" t="s">
        <v>747</v>
      </c>
      <c r="N320" s="693">
        <f t="shared" ref="N320:AB320" si="258">N315*LOOKUP($AD309,$AH$4:$AQ$4,$AH$9:$AQ$9)</f>
        <v>0</v>
      </c>
      <c r="O320" s="693">
        <f t="shared" si="258"/>
        <v>0</v>
      </c>
      <c r="P320" s="693">
        <f t="shared" si="258"/>
        <v>0</v>
      </c>
      <c r="Q320" s="693">
        <f t="shared" si="258"/>
        <v>0</v>
      </c>
      <c r="R320" s="693">
        <f t="shared" si="258"/>
        <v>0</v>
      </c>
      <c r="S320" s="693">
        <f t="shared" si="258"/>
        <v>0</v>
      </c>
      <c r="T320" s="693">
        <f t="shared" si="258"/>
        <v>0</v>
      </c>
      <c r="U320" s="693">
        <f t="shared" si="258"/>
        <v>0</v>
      </c>
      <c r="V320" s="693">
        <f t="shared" si="258"/>
        <v>0</v>
      </c>
      <c r="W320" s="693">
        <f t="shared" si="258"/>
        <v>0</v>
      </c>
      <c r="X320" s="693">
        <f t="shared" si="258"/>
        <v>0</v>
      </c>
      <c r="Y320" s="693">
        <f t="shared" si="258"/>
        <v>0</v>
      </c>
      <c r="Z320" s="693">
        <f t="shared" si="258"/>
        <v>0</v>
      </c>
      <c r="AA320" s="693">
        <f t="shared" si="258"/>
        <v>0</v>
      </c>
      <c r="AB320" s="693">
        <f t="shared" si="258"/>
        <v>0</v>
      </c>
    </row>
    <row r="321" spans="1:52" s="83" customFormat="1" x14ac:dyDescent="0.3">
      <c r="B321" s="204" t="str">
        <f t="shared" si="251"/>
        <v>TFMEHYD900</v>
      </c>
      <c r="C321" s="204"/>
      <c r="D321" s="205"/>
      <c r="E321" s="204"/>
      <c r="F321" s="206"/>
      <c r="G321" s="207"/>
      <c r="H321" s="206"/>
      <c r="I321" s="208">
        <f>AF$10</f>
        <v>2050</v>
      </c>
      <c r="J321" s="209"/>
      <c r="K321" s="209"/>
      <c r="L321" s="210" t="s">
        <v>1064</v>
      </c>
      <c r="M321" s="209" t="s">
        <v>747</v>
      </c>
      <c r="N321" s="694">
        <f t="shared" ref="N321:AB321" si="259">N315*LOOKUP($AD309,$AH$4:$AQ$4,$AH$10:$AQ$10)</f>
        <v>0</v>
      </c>
      <c r="O321" s="694">
        <f t="shared" si="259"/>
        <v>0</v>
      </c>
      <c r="P321" s="694">
        <f t="shared" si="259"/>
        <v>0</v>
      </c>
      <c r="Q321" s="694">
        <f t="shared" si="259"/>
        <v>0</v>
      </c>
      <c r="R321" s="694">
        <f t="shared" si="259"/>
        <v>0</v>
      </c>
      <c r="S321" s="694">
        <f t="shared" si="259"/>
        <v>0</v>
      </c>
      <c r="T321" s="694">
        <f t="shared" si="259"/>
        <v>0</v>
      </c>
      <c r="U321" s="694">
        <f t="shared" si="259"/>
        <v>0</v>
      </c>
      <c r="V321" s="694">
        <f t="shared" si="259"/>
        <v>0</v>
      </c>
      <c r="W321" s="694">
        <f t="shared" si="259"/>
        <v>0</v>
      </c>
      <c r="X321" s="694">
        <f t="shared" si="259"/>
        <v>0</v>
      </c>
      <c r="Y321" s="694">
        <f t="shared" si="259"/>
        <v>0</v>
      </c>
      <c r="Z321" s="694">
        <f t="shared" si="259"/>
        <v>0</v>
      </c>
      <c r="AA321" s="694">
        <f t="shared" si="259"/>
        <v>0</v>
      </c>
      <c r="AB321" s="694">
        <f t="shared" si="259"/>
        <v>0</v>
      </c>
    </row>
    <row r="322" spans="1:52" s="83" customFormat="1" x14ac:dyDescent="0.3">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3">
      <c r="A323" s="82"/>
      <c r="B323" s="178" t="str">
        <f>B322</f>
        <v>TFMEHYG900</v>
      </c>
      <c r="C323" s="178"/>
      <c r="D323" s="179"/>
      <c r="E323" s="407" t="s">
        <v>1011</v>
      </c>
      <c r="F323" s="182"/>
      <c r="G323" s="181"/>
      <c r="H323" s="182"/>
      <c r="I323" s="183"/>
      <c r="J323" s="184" t="s">
        <v>1156</v>
      </c>
      <c r="K323" s="184"/>
      <c r="L323" s="203" t="s">
        <v>101</v>
      </c>
      <c r="M323" s="184"/>
      <c r="N323" s="390">
        <f>N$29</f>
        <v>5.0999999999999997E-2</v>
      </c>
      <c r="O323" s="390">
        <f t="shared" ref="O323:AB323" si="261">O$29</f>
        <v>5.0999999999999997E-2</v>
      </c>
      <c r="P323" s="390">
        <f t="shared" si="261"/>
        <v>5.0999999999999997E-2</v>
      </c>
      <c r="Q323" s="390">
        <f t="shared" si="261"/>
        <v>5.0999999999999997E-2</v>
      </c>
      <c r="R323" s="390">
        <f t="shared" si="261"/>
        <v>5.0999999999999997E-2</v>
      </c>
      <c r="S323" s="390">
        <f t="shared" si="261"/>
        <v>5.0999999999999997E-2</v>
      </c>
      <c r="T323" s="390">
        <f t="shared" si="261"/>
        <v>5.0999999999999997E-2</v>
      </c>
      <c r="U323" s="390">
        <f t="shared" si="261"/>
        <v>5.0999999999999997E-2</v>
      </c>
      <c r="V323" s="390">
        <f t="shared" si="261"/>
        <v>5.0999999999999997E-2</v>
      </c>
      <c r="W323" s="390">
        <f t="shared" si="261"/>
        <v>5.0999999999999997E-2</v>
      </c>
      <c r="X323" s="390">
        <f t="shared" si="261"/>
        <v>5.0999999999999997E-2</v>
      </c>
      <c r="Y323" s="390">
        <f t="shared" si="261"/>
        <v>5.0999999999999997E-2</v>
      </c>
      <c r="Z323" s="390">
        <f t="shared" si="261"/>
        <v>5.0999999999999997E-2</v>
      </c>
      <c r="AA323" s="390">
        <f t="shared" si="261"/>
        <v>5.0999999999999997E-2</v>
      </c>
      <c r="AB323" s="390">
        <f t="shared" si="261"/>
        <v>5.0999999999999997E-2</v>
      </c>
      <c r="AD323" s="66" t="str">
        <f>IF(COUNTIF($AH$4:$AQ$4,AD322)=1,"ok","MISSING")</f>
        <v>ok</v>
      </c>
      <c r="AF323" s="333"/>
    </row>
    <row r="324" spans="1:52" s="83" customFormat="1" x14ac:dyDescent="0.3">
      <c r="B324" s="178" t="str">
        <f t="shared" ref="B324:B334" si="262">B323</f>
        <v>TFMEHYG900</v>
      </c>
      <c r="C324" s="178"/>
      <c r="D324" s="179"/>
      <c r="E324" s="178"/>
      <c r="F324" s="182"/>
      <c r="G324" s="324" t="s">
        <v>642</v>
      </c>
      <c r="H324" s="182"/>
      <c r="I324" s="183"/>
      <c r="J324" s="184"/>
      <c r="K324" s="184"/>
      <c r="L324" s="184" t="s">
        <v>1125</v>
      </c>
      <c r="M324" s="184" t="s">
        <v>677</v>
      </c>
      <c r="N324" s="675">
        <f>T_CEFF!H263</f>
        <v>0.11579</v>
      </c>
      <c r="O324" s="675">
        <f>T_CEFF!I263</f>
        <v>0.11579</v>
      </c>
      <c r="P324" s="675">
        <f>T_CEFF!J263</f>
        <v>0.11579</v>
      </c>
      <c r="Q324" s="675">
        <f>T_CEFF!K263</f>
        <v>0.11579</v>
      </c>
      <c r="R324" s="675">
        <f>T_CEFF!L263</f>
        <v>0.11579</v>
      </c>
      <c r="S324" s="675">
        <f>T_CEFF!M263</f>
        <v>0.11579</v>
      </c>
      <c r="T324" s="675">
        <f>T_CEFF!N263</f>
        <v>0.11579</v>
      </c>
      <c r="U324" s="675">
        <f>T_CEFF!O263</f>
        <v>0.11579</v>
      </c>
      <c r="V324" s="675">
        <f>T_CEFF!P263</f>
        <v>0.11579</v>
      </c>
      <c r="W324" s="675">
        <f>T_CEFF!Q263</f>
        <v>0.11579</v>
      </c>
      <c r="X324" s="675">
        <f>T_CEFF!R263</f>
        <v>0.11579</v>
      </c>
      <c r="Y324" s="675">
        <f>T_CEFF!S263</f>
        <v>0.11579</v>
      </c>
      <c r="Z324" s="675">
        <f>T_CEFF!T263</f>
        <v>0.11579</v>
      </c>
      <c r="AA324" s="675">
        <f>T_CEFF!U263</f>
        <v>0.11579</v>
      </c>
      <c r="AB324" s="675">
        <f>T_CEFF!V263</f>
        <v>0.11579</v>
      </c>
    </row>
    <row r="325" spans="1:52" s="83" customFormat="1" x14ac:dyDescent="0.3">
      <c r="B325" s="178" t="str">
        <f t="shared" si="262"/>
        <v>TFMEHYG900</v>
      </c>
      <c r="C325" s="178"/>
      <c r="D325" s="179"/>
      <c r="E325" s="178"/>
      <c r="F325" s="182"/>
      <c r="G325" s="324" t="s">
        <v>645</v>
      </c>
      <c r="H325" s="182"/>
      <c r="I325" s="183"/>
      <c r="J325" s="184"/>
      <c r="K325" s="184"/>
      <c r="L325" s="184" t="s">
        <v>1125</v>
      </c>
      <c r="M325" s="184" t="s">
        <v>677</v>
      </c>
      <c r="N325" s="675">
        <f>T_CEFF!H264</f>
        <v>9.2630000000000004E-2</v>
      </c>
      <c r="O325" s="675">
        <f>T_CEFF!I264</f>
        <v>9.2630000000000004E-2</v>
      </c>
      <c r="P325" s="675">
        <f>T_CEFF!J264</f>
        <v>9.2630000000000004E-2</v>
      </c>
      <c r="Q325" s="675">
        <f>T_CEFF!K264</f>
        <v>9.2630000000000004E-2</v>
      </c>
      <c r="R325" s="675">
        <f>T_CEFF!L264</f>
        <v>9.2630000000000004E-2</v>
      </c>
      <c r="S325" s="675">
        <f>T_CEFF!M264</f>
        <v>9.2630000000000004E-2</v>
      </c>
      <c r="T325" s="675">
        <f>T_CEFF!N264</f>
        <v>9.2630000000000004E-2</v>
      </c>
      <c r="U325" s="675">
        <f>T_CEFF!O264</f>
        <v>9.2630000000000004E-2</v>
      </c>
      <c r="V325" s="675">
        <f>T_CEFF!P264</f>
        <v>9.2630000000000004E-2</v>
      </c>
      <c r="W325" s="675">
        <f>T_CEFF!Q264</f>
        <v>9.2630000000000004E-2</v>
      </c>
      <c r="X325" s="675">
        <f>T_CEFF!R264</f>
        <v>9.2630000000000004E-2</v>
      </c>
      <c r="Y325" s="675">
        <f>T_CEFF!S264</f>
        <v>9.2630000000000004E-2</v>
      </c>
      <c r="Z325" s="675">
        <f>T_CEFF!T264</f>
        <v>9.2630000000000004E-2</v>
      </c>
      <c r="AA325" s="675">
        <f>T_CEFF!U264</f>
        <v>9.2630000000000004E-2</v>
      </c>
      <c r="AB325" s="675">
        <f>T_CEFF!V264</f>
        <v>9.2630000000000004E-2</v>
      </c>
    </row>
    <row r="326" spans="1:52" s="83" customFormat="1" x14ac:dyDescent="0.3">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3">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1">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3">
      <c r="B328" s="178" t="str">
        <f>B327</f>
        <v>TFMEHYG900</v>
      </c>
      <c r="C328" s="178"/>
      <c r="D328" s="179"/>
      <c r="E328" s="178"/>
      <c r="F328" s="182"/>
      <c r="G328" s="181"/>
      <c r="H328" s="182"/>
      <c r="I328" s="183">
        <f>$M$3</f>
        <v>2019</v>
      </c>
      <c r="J328" s="184"/>
      <c r="K328" s="184"/>
      <c r="L328" s="203" t="s">
        <v>1064</v>
      </c>
      <c r="M328" s="184" t="s">
        <v>747</v>
      </c>
      <c r="N328" s="693">
        <f>LOOKUP($C$322, 'T_Stock_TOTAL_&amp;_City'!$C$106:$C$116, 'T_Stock_TOTAL_&amp;_City'!D$106:D$116)*(1+N229)</f>
        <v>0</v>
      </c>
      <c r="O328" s="693">
        <f>LOOKUP($C$322, 'T_Stock_TOTAL_&amp;_City'!$C$106:$C$116, 'T_Stock_TOTAL_&amp;_City'!E$106:E$116)*(1+O229)</f>
        <v>0</v>
      </c>
      <c r="P328" s="693">
        <f>LOOKUP($C$322, 'T_Stock_TOTAL_&amp;_City'!$C$106:$C$116, 'T_Stock_TOTAL_&amp;_City'!F$106:F$116)*(1+P229)</f>
        <v>0</v>
      </c>
      <c r="Q328" s="693">
        <f>LOOKUP($C$322, 'T_Stock_TOTAL_&amp;_City'!$C$106:$C$116, 'T_Stock_TOTAL_&amp;_City'!G$106:G$116)*(1+Q229)</f>
        <v>0</v>
      </c>
      <c r="R328" s="693">
        <f>LOOKUP($C$322, 'T_Stock_TOTAL_&amp;_City'!$C$106:$C$116, 'T_Stock_TOTAL_&amp;_City'!H$106:H$116)*(1+R229)</f>
        <v>0</v>
      </c>
      <c r="S328" s="693">
        <f>LOOKUP($C$322, 'T_Stock_TOTAL_&amp;_City'!$C$106:$C$116, 'T_Stock_TOTAL_&amp;_City'!I$106:I$116)*(1+S229)</f>
        <v>0</v>
      </c>
      <c r="T328" s="693">
        <f>LOOKUP($C$322, 'T_Stock_TOTAL_&amp;_City'!$C$106:$C$116, 'T_Stock_TOTAL_&amp;_City'!J$106:J$116)*(1+T229)</f>
        <v>0</v>
      </c>
      <c r="U328" s="693">
        <f>LOOKUP($C$322, 'T_Stock_TOTAL_&amp;_City'!$C$106:$C$116, 'T_Stock_TOTAL_&amp;_City'!K$106:K$116)*(1+U229)</f>
        <v>0</v>
      </c>
      <c r="V328" s="693">
        <f>LOOKUP($C$322, 'T_Stock_TOTAL_&amp;_City'!$C$106:$C$116, 'T_Stock_TOTAL_&amp;_City'!L$106:L$116)*(1+V229)</f>
        <v>0</v>
      </c>
      <c r="W328" s="693">
        <f>LOOKUP($C$322, 'T_Stock_TOTAL_&amp;_City'!$C$106:$C$116, 'T_Stock_TOTAL_&amp;_City'!M$106:M$116)*(1+W229)</f>
        <v>0</v>
      </c>
      <c r="X328" s="693">
        <f>LOOKUP($C$322, 'T_Stock_TOTAL_&amp;_City'!$C$106:$C$116, 'T_Stock_TOTAL_&amp;_City'!N$106:N$116)*(1+X229)</f>
        <v>0</v>
      </c>
      <c r="Y328" s="693">
        <f>LOOKUP($C$322, 'T_Stock_TOTAL_&amp;_City'!$C$106:$C$116, 'T_Stock_TOTAL_&amp;_City'!O$106:O$116)*(1+Y229)</f>
        <v>0</v>
      </c>
      <c r="Z328" s="693">
        <f>LOOKUP($C$322, 'T_Stock_TOTAL_&amp;_City'!$C$106:$C$116, 'T_Stock_TOTAL_&amp;_City'!P$106:P$116)*(1+Z229)</f>
        <v>0</v>
      </c>
      <c r="AA328" s="693">
        <f>LOOKUP($C$322, 'T_Stock_TOTAL_&amp;_City'!$C$106:$C$116, 'T_Stock_TOTAL_&amp;_City'!Q$106:Q$116)*(1+AA229)</f>
        <v>0</v>
      </c>
      <c r="AB328" s="693">
        <f>LOOKUP($C$322, 'T_Stock_TOTAL_&amp;_City'!$C$106:$C$116, 'T_Stock_TOTAL_&amp;_City'!R$106:R$116)*(1+AB229)</f>
        <v>0</v>
      </c>
    </row>
    <row r="329" spans="1:52" s="83" customFormat="1" x14ac:dyDescent="0.3">
      <c r="B329" s="178" t="str">
        <f t="shared" si="262"/>
        <v>TFMEHYG900</v>
      </c>
      <c r="C329" s="178"/>
      <c r="D329" s="179"/>
      <c r="E329" s="178"/>
      <c r="F329" s="182"/>
      <c r="G329" s="181"/>
      <c r="H329" s="182"/>
      <c r="I329" s="183">
        <f>AF$5</f>
        <v>2016</v>
      </c>
      <c r="J329" s="184"/>
      <c r="K329" s="184"/>
      <c r="L329" s="203" t="s">
        <v>1064</v>
      </c>
      <c r="M329" s="184" t="s">
        <v>747</v>
      </c>
      <c r="N329" s="693">
        <f t="shared" ref="N329:AB329" si="265">N328*LOOKUP($AD322,$AH$4:$AQ$4,$AH$5:$AQ$5)</f>
        <v>0</v>
      </c>
      <c r="O329" s="693">
        <f t="shared" si="265"/>
        <v>0</v>
      </c>
      <c r="P329" s="693">
        <f t="shared" si="265"/>
        <v>0</v>
      </c>
      <c r="Q329" s="693">
        <f t="shared" si="265"/>
        <v>0</v>
      </c>
      <c r="R329" s="693">
        <f t="shared" si="265"/>
        <v>0</v>
      </c>
      <c r="S329" s="693">
        <f t="shared" si="265"/>
        <v>0</v>
      </c>
      <c r="T329" s="693">
        <f t="shared" si="265"/>
        <v>0</v>
      </c>
      <c r="U329" s="693">
        <f t="shared" si="265"/>
        <v>0</v>
      </c>
      <c r="V329" s="693">
        <f t="shared" si="265"/>
        <v>0</v>
      </c>
      <c r="W329" s="693">
        <f t="shared" si="265"/>
        <v>0</v>
      </c>
      <c r="X329" s="693">
        <f t="shared" si="265"/>
        <v>0</v>
      </c>
      <c r="Y329" s="693">
        <f t="shared" si="265"/>
        <v>0</v>
      </c>
      <c r="Z329" s="693">
        <f t="shared" si="265"/>
        <v>0</v>
      </c>
      <c r="AA329" s="693">
        <f t="shared" si="265"/>
        <v>0</v>
      </c>
      <c r="AB329" s="693">
        <f t="shared" si="265"/>
        <v>0</v>
      </c>
    </row>
    <row r="330" spans="1:52" s="83" customFormat="1" x14ac:dyDescent="0.3">
      <c r="B330" s="178" t="str">
        <f t="shared" si="262"/>
        <v>TFMEHYG900</v>
      </c>
      <c r="C330" s="178"/>
      <c r="D330" s="179"/>
      <c r="E330" s="178"/>
      <c r="F330" s="182"/>
      <c r="G330" s="181"/>
      <c r="H330" s="182"/>
      <c r="I330" s="183">
        <f>AF$6</f>
        <v>2020</v>
      </c>
      <c r="J330" s="184"/>
      <c r="K330" s="184"/>
      <c r="L330" s="203" t="s">
        <v>1064</v>
      </c>
      <c r="M330" s="184" t="s">
        <v>747</v>
      </c>
      <c r="N330" s="693">
        <f t="shared" ref="N330:AB330" si="266">N328*LOOKUP($AD322,$AH$4:$AQ$4,$AH$6:$AQ$6)</f>
        <v>0</v>
      </c>
      <c r="O330" s="693">
        <f t="shared" si="266"/>
        <v>0</v>
      </c>
      <c r="P330" s="693">
        <f t="shared" si="266"/>
        <v>0</v>
      </c>
      <c r="Q330" s="693">
        <f t="shared" si="266"/>
        <v>0</v>
      </c>
      <c r="R330" s="693">
        <f t="shared" si="266"/>
        <v>0</v>
      </c>
      <c r="S330" s="693">
        <f t="shared" si="266"/>
        <v>0</v>
      </c>
      <c r="T330" s="693">
        <f t="shared" si="266"/>
        <v>0</v>
      </c>
      <c r="U330" s="693">
        <f t="shared" si="266"/>
        <v>0</v>
      </c>
      <c r="V330" s="693">
        <f t="shared" si="266"/>
        <v>0</v>
      </c>
      <c r="W330" s="693">
        <f t="shared" si="266"/>
        <v>0</v>
      </c>
      <c r="X330" s="693">
        <f t="shared" si="266"/>
        <v>0</v>
      </c>
      <c r="Y330" s="693">
        <f t="shared" si="266"/>
        <v>0</v>
      </c>
      <c r="Z330" s="693">
        <f t="shared" si="266"/>
        <v>0</v>
      </c>
      <c r="AA330" s="693">
        <f t="shared" si="266"/>
        <v>0</v>
      </c>
      <c r="AB330" s="693">
        <f t="shared" si="266"/>
        <v>0</v>
      </c>
    </row>
    <row r="331" spans="1:52" s="83" customFormat="1" x14ac:dyDescent="0.3">
      <c r="B331" s="178" t="str">
        <f t="shared" si="262"/>
        <v>TFMEHYG900</v>
      </c>
      <c r="C331" s="178"/>
      <c r="D331" s="179"/>
      <c r="E331" s="178"/>
      <c r="F331" s="182"/>
      <c r="G331" s="181"/>
      <c r="H331" s="182"/>
      <c r="I331" s="183">
        <f>AF$7</f>
        <v>2025</v>
      </c>
      <c r="J331" s="184"/>
      <c r="K331" s="184"/>
      <c r="L331" s="203" t="s">
        <v>1064</v>
      </c>
      <c r="M331" s="184" t="s">
        <v>747</v>
      </c>
      <c r="N331" s="693">
        <f t="shared" ref="N331:AB331" si="267">N328*LOOKUP($AD322,$AH$4:$AQ$4,$AH$7:$AQ$7)</f>
        <v>0</v>
      </c>
      <c r="O331" s="693">
        <f t="shared" si="267"/>
        <v>0</v>
      </c>
      <c r="P331" s="693">
        <f t="shared" si="267"/>
        <v>0</v>
      </c>
      <c r="Q331" s="693">
        <f t="shared" si="267"/>
        <v>0</v>
      </c>
      <c r="R331" s="693">
        <f t="shared" si="267"/>
        <v>0</v>
      </c>
      <c r="S331" s="693">
        <f t="shared" si="267"/>
        <v>0</v>
      </c>
      <c r="T331" s="693">
        <f t="shared" si="267"/>
        <v>0</v>
      </c>
      <c r="U331" s="693">
        <f t="shared" si="267"/>
        <v>0</v>
      </c>
      <c r="V331" s="693">
        <f t="shared" si="267"/>
        <v>0</v>
      </c>
      <c r="W331" s="693">
        <f t="shared" si="267"/>
        <v>0</v>
      </c>
      <c r="X331" s="693">
        <f t="shared" si="267"/>
        <v>0</v>
      </c>
      <c r="Y331" s="693">
        <f t="shared" si="267"/>
        <v>0</v>
      </c>
      <c r="Z331" s="693">
        <f t="shared" si="267"/>
        <v>0</v>
      </c>
      <c r="AA331" s="693">
        <f t="shared" si="267"/>
        <v>0</v>
      </c>
      <c r="AB331" s="693">
        <f t="shared" si="267"/>
        <v>0</v>
      </c>
    </row>
    <row r="332" spans="1:52" s="83" customFormat="1" x14ac:dyDescent="0.3">
      <c r="B332" s="178" t="str">
        <f t="shared" si="262"/>
        <v>TFMEHYG900</v>
      </c>
      <c r="C332" s="178"/>
      <c r="D332" s="179"/>
      <c r="E332" s="178"/>
      <c r="F332" s="182"/>
      <c r="G332" s="181"/>
      <c r="H332" s="182"/>
      <c r="I332" s="183">
        <f>AF$8</f>
        <v>2030</v>
      </c>
      <c r="J332" s="184"/>
      <c r="K332" s="184"/>
      <c r="L332" s="203" t="s">
        <v>1064</v>
      </c>
      <c r="M332" s="184" t="s">
        <v>747</v>
      </c>
      <c r="N332" s="693">
        <f t="shared" ref="N332:AB332" si="268">N328*LOOKUP($AD322,$AH$4:$AQ$4,$AH$8:$AQ$8)</f>
        <v>0</v>
      </c>
      <c r="O332" s="693">
        <f t="shared" si="268"/>
        <v>0</v>
      </c>
      <c r="P332" s="693">
        <f t="shared" si="268"/>
        <v>0</v>
      </c>
      <c r="Q332" s="693">
        <f t="shared" si="268"/>
        <v>0</v>
      </c>
      <c r="R332" s="693">
        <f t="shared" si="268"/>
        <v>0</v>
      </c>
      <c r="S332" s="693">
        <f t="shared" si="268"/>
        <v>0</v>
      </c>
      <c r="T332" s="693">
        <f t="shared" si="268"/>
        <v>0</v>
      </c>
      <c r="U332" s="693">
        <f t="shared" si="268"/>
        <v>0</v>
      </c>
      <c r="V332" s="693">
        <f t="shared" si="268"/>
        <v>0</v>
      </c>
      <c r="W332" s="693">
        <f t="shared" si="268"/>
        <v>0</v>
      </c>
      <c r="X332" s="693">
        <f t="shared" si="268"/>
        <v>0</v>
      </c>
      <c r="Y332" s="693">
        <f t="shared" si="268"/>
        <v>0</v>
      </c>
      <c r="Z332" s="693">
        <f t="shared" si="268"/>
        <v>0</v>
      </c>
      <c r="AA332" s="693">
        <f t="shared" si="268"/>
        <v>0</v>
      </c>
      <c r="AB332" s="693">
        <f t="shared" si="268"/>
        <v>0</v>
      </c>
    </row>
    <row r="333" spans="1:52" s="83" customFormat="1" x14ac:dyDescent="0.3">
      <c r="B333" s="178" t="str">
        <f t="shared" si="262"/>
        <v>TFMEHYG900</v>
      </c>
      <c r="C333" s="178"/>
      <c r="D333" s="179"/>
      <c r="E333" s="178"/>
      <c r="F333" s="182"/>
      <c r="G333" s="181"/>
      <c r="H333" s="182"/>
      <c r="I333" s="183">
        <f>AF$9</f>
        <v>2040</v>
      </c>
      <c r="J333" s="184"/>
      <c r="K333" s="184"/>
      <c r="L333" s="203" t="s">
        <v>1064</v>
      </c>
      <c r="M333" s="184" t="s">
        <v>747</v>
      </c>
      <c r="N333" s="693">
        <f t="shared" ref="N333:AB333" si="269">N328*LOOKUP($AD322,$AH$4:$AQ$4,$AH$9:$AQ$9)</f>
        <v>0</v>
      </c>
      <c r="O333" s="693">
        <f t="shared" si="269"/>
        <v>0</v>
      </c>
      <c r="P333" s="693">
        <f t="shared" si="269"/>
        <v>0</v>
      </c>
      <c r="Q333" s="693">
        <f t="shared" si="269"/>
        <v>0</v>
      </c>
      <c r="R333" s="693">
        <f t="shared" si="269"/>
        <v>0</v>
      </c>
      <c r="S333" s="693">
        <f t="shared" si="269"/>
        <v>0</v>
      </c>
      <c r="T333" s="693">
        <f t="shared" si="269"/>
        <v>0</v>
      </c>
      <c r="U333" s="693">
        <f t="shared" si="269"/>
        <v>0</v>
      </c>
      <c r="V333" s="693">
        <f t="shared" si="269"/>
        <v>0</v>
      </c>
      <c r="W333" s="693">
        <f t="shared" si="269"/>
        <v>0</v>
      </c>
      <c r="X333" s="693">
        <f t="shared" si="269"/>
        <v>0</v>
      </c>
      <c r="Y333" s="693">
        <f t="shared" si="269"/>
        <v>0</v>
      </c>
      <c r="Z333" s="693">
        <f t="shared" si="269"/>
        <v>0</v>
      </c>
      <c r="AA333" s="693">
        <f t="shared" si="269"/>
        <v>0</v>
      </c>
      <c r="AB333" s="693">
        <f t="shared" si="269"/>
        <v>0</v>
      </c>
    </row>
    <row r="334" spans="1:52" s="83" customFormat="1" x14ac:dyDescent="0.3">
      <c r="B334" s="204" t="str">
        <f t="shared" si="262"/>
        <v>TFMEHYG900</v>
      </c>
      <c r="C334" s="204"/>
      <c r="D334" s="205"/>
      <c r="E334" s="204"/>
      <c r="F334" s="206"/>
      <c r="G334" s="207"/>
      <c r="H334" s="206"/>
      <c r="I334" s="208">
        <f>AF$10</f>
        <v>2050</v>
      </c>
      <c r="J334" s="209"/>
      <c r="K334" s="209"/>
      <c r="L334" s="210" t="s">
        <v>1064</v>
      </c>
      <c r="M334" s="209" t="s">
        <v>747</v>
      </c>
      <c r="N334" s="694">
        <f t="shared" ref="N334:AB334" si="270">N328*LOOKUP($AD322,$AH$4:$AQ$4,$AH$10:$AQ$10)</f>
        <v>0</v>
      </c>
      <c r="O334" s="694">
        <f t="shared" si="270"/>
        <v>0</v>
      </c>
      <c r="P334" s="694">
        <f t="shared" si="270"/>
        <v>0</v>
      </c>
      <c r="Q334" s="694">
        <f t="shared" si="270"/>
        <v>0</v>
      </c>
      <c r="R334" s="694">
        <f t="shared" si="270"/>
        <v>0</v>
      </c>
      <c r="S334" s="694">
        <f t="shared" si="270"/>
        <v>0</v>
      </c>
      <c r="T334" s="694">
        <f t="shared" si="270"/>
        <v>0</v>
      </c>
      <c r="U334" s="694">
        <f t="shared" si="270"/>
        <v>0</v>
      </c>
      <c r="V334" s="694">
        <f t="shared" si="270"/>
        <v>0</v>
      </c>
      <c r="W334" s="694">
        <f t="shared" si="270"/>
        <v>0</v>
      </c>
      <c r="X334" s="694">
        <f t="shared" si="270"/>
        <v>0</v>
      </c>
      <c r="Y334" s="694">
        <f t="shared" si="270"/>
        <v>0</v>
      </c>
      <c r="Z334" s="694">
        <f t="shared" si="270"/>
        <v>0</v>
      </c>
      <c r="AA334" s="694">
        <f t="shared" si="270"/>
        <v>0</v>
      </c>
      <c r="AB334" s="694">
        <f t="shared" si="270"/>
        <v>0</v>
      </c>
    </row>
    <row r="335" spans="1:52" s="83" customFormat="1" x14ac:dyDescent="0.3">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3">
      <c r="A336" s="22"/>
      <c r="B336" s="186" t="str">
        <f t="shared" ref="B336:B346" si="272">B335</f>
        <v>TFMELPG900</v>
      </c>
      <c r="C336" s="186"/>
      <c r="D336" s="187"/>
      <c r="E336" s="186"/>
      <c r="F336" s="170"/>
      <c r="G336" s="324" t="s">
        <v>642</v>
      </c>
      <c r="H336" s="170"/>
      <c r="I336" s="190"/>
      <c r="J336" s="191"/>
      <c r="K336" s="191"/>
      <c r="L336" s="191" t="s">
        <v>1125</v>
      </c>
      <c r="M336" s="191" t="s">
        <v>677</v>
      </c>
      <c r="N336" s="675">
        <f>T_CEFF!H265</f>
        <v>9.2439999999999994E-2</v>
      </c>
      <c r="O336" s="675">
        <f>T_CEFF!I265</f>
        <v>9.2439999999999994E-2</v>
      </c>
      <c r="P336" s="675">
        <f>T_CEFF!J265</f>
        <v>9.2439999999999994E-2</v>
      </c>
      <c r="Q336" s="675">
        <f>T_CEFF!K265</f>
        <v>9.2439999999999994E-2</v>
      </c>
      <c r="R336" s="675">
        <f>T_CEFF!L265</f>
        <v>9.2439999999999994E-2</v>
      </c>
      <c r="S336" s="675">
        <f>T_CEFF!M265</f>
        <v>9.2439999999999994E-2</v>
      </c>
      <c r="T336" s="675">
        <f>T_CEFF!N265</f>
        <v>9.2439999999999994E-2</v>
      </c>
      <c r="U336" s="675">
        <f>T_CEFF!O265</f>
        <v>9.2439999999999994E-2</v>
      </c>
      <c r="V336" s="675">
        <f>T_CEFF!P265</f>
        <v>9.2439999999999994E-2</v>
      </c>
      <c r="W336" s="675">
        <f>T_CEFF!Q265</f>
        <v>9.2439999999999994E-2</v>
      </c>
      <c r="X336" s="675">
        <f>T_CEFF!R265</f>
        <v>9.2439999999999994E-2</v>
      </c>
      <c r="Y336" s="675">
        <f>T_CEFF!S265</f>
        <v>9.2439999999999994E-2</v>
      </c>
      <c r="Z336" s="675">
        <f>T_CEFF!T265</f>
        <v>9.2439999999999994E-2</v>
      </c>
      <c r="AA336" s="675">
        <f>T_CEFF!U265</f>
        <v>9.2439999999999994E-2</v>
      </c>
      <c r="AB336" s="675">
        <f>T_CEFF!V265</f>
        <v>9.2439999999999994E-2</v>
      </c>
      <c r="AC336" s="35"/>
      <c r="AD336" s="66" t="str">
        <f>IF(COUNTIF($AH$4:$AQ$4,AD335)=1,"ok","MISSING")</f>
        <v>ok</v>
      </c>
      <c r="AU336" s="35"/>
      <c r="AV336" s="35"/>
      <c r="AW336" s="35"/>
      <c r="AX336" s="35"/>
      <c r="AY336" s="35"/>
      <c r="AZ336" s="35"/>
    </row>
    <row r="337" spans="1:52" x14ac:dyDescent="0.3">
      <c r="A337" s="22"/>
      <c r="B337" s="186" t="str">
        <f t="shared" si="272"/>
        <v>TFMELPG900</v>
      </c>
      <c r="C337" s="186"/>
      <c r="D337" s="187"/>
      <c r="E337" s="186"/>
      <c r="F337" s="170"/>
      <c r="G337" s="324" t="s">
        <v>645</v>
      </c>
      <c r="H337" s="170"/>
      <c r="I337" s="190"/>
      <c r="J337" s="191"/>
      <c r="K337" s="191"/>
      <c r="L337" s="191" t="s">
        <v>1125</v>
      </c>
      <c r="M337" s="191" t="s">
        <v>677</v>
      </c>
      <c r="N337" s="675">
        <f>T_CEFF!H266</f>
        <v>7.3950000000000002E-2</v>
      </c>
      <c r="O337" s="675">
        <f>T_CEFF!I266</f>
        <v>7.3950000000000002E-2</v>
      </c>
      <c r="P337" s="675">
        <f>T_CEFF!J266</f>
        <v>7.3950000000000002E-2</v>
      </c>
      <c r="Q337" s="675">
        <f>T_CEFF!K266</f>
        <v>7.3950000000000002E-2</v>
      </c>
      <c r="R337" s="675">
        <f>T_CEFF!L266</f>
        <v>7.3950000000000002E-2</v>
      </c>
      <c r="S337" s="675">
        <f>T_CEFF!M266</f>
        <v>7.3950000000000002E-2</v>
      </c>
      <c r="T337" s="675">
        <f>T_CEFF!N266</f>
        <v>7.3950000000000002E-2</v>
      </c>
      <c r="U337" s="675">
        <f>T_CEFF!O266</f>
        <v>7.3950000000000002E-2</v>
      </c>
      <c r="V337" s="675">
        <f>T_CEFF!P266</f>
        <v>7.3950000000000002E-2</v>
      </c>
      <c r="W337" s="675">
        <f>T_CEFF!Q266</f>
        <v>7.3950000000000002E-2</v>
      </c>
      <c r="X337" s="675">
        <f>T_CEFF!R266</f>
        <v>7.3950000000000002E-2</v>
      </c>
      <c r="Y337" s="675">
        <f>T_CEFF!S266</f>
        <v>7.3950000000000002E-2</v>
      </c>
      <c r="Z337" s="675">
        <f>T_CEFF!T266</f>
        <v>7.3950000000000002E-2</v>
      </c>
      <c r="AA337" s="675">
        <f>T_CEFF!U266</f>
        <v>7.3950000000000002E-2</v>
      </c>
      <c r="AB337" s="675">
        <f>T_CEFF!V266</f>
        <v>7.3950000000000002E-2</v>
      </c>
    </row>
    <row r="338" spans="1:52" x14ac:dyDescent="0.3">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3">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1">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3">
      <c r="A340" s="22"/>
      <c r="B340" s="186" t="str">
        <f t="shared" si="272"/>
        <v>TFMELPG900</v>
      </c>
      <c r="C340" s="186"/>
      <c r="D340" s="187"/>
      <c r="E340" s="186"/>
      <c r="F340" s="170"/>
      <c r="G340" s="189"/>
      <c r="H340" s="170"/>
      <c r="I340" s="190">
        <f>$M$3</f>
        <v>2019</v>
      </c>
      <c r="J340" s="191"/>
      <c r="K340" s="191"/>
      <c r="L340" s="211" t="s">
        <v>1064</v>
      </c>
      <c r="M340" s="191" t="s">
        <v>747</v>
      </c>
      <c r="N340" s="693">
        <f>LOOKUP($C$335, 'T_Stock_TOTAL_&amp;_City'!$C$106:$C$116, 'T_Stock_TOTAL_&amp;_City'!D$106:D$116)*(1+N229)</f>
        <v>0</v>
      </c>
      <c r="O340" s="693">
        <f>LOOKUP($C$335, 'T_Stock_TOTAL_&amp;_City'!$C$106:$C$116, 'T_Stock_TOTAL_&amp;_City'!E$106:E$116)*(1+O229)</f>
        <v>0</v>
      </c>
      <c r="P340" s="693">
        <f>LOOKUP($C$335, 'T_Stock_TOTAL_&amp;_City'!$C$106:$C$116, 'T_Stock_TOTAL_&amp;_City'!F$106:F$116)*(1+P229)</f>
        <v>0</v>
      </c>
      <c r="Q340" s="693">
        <f>LOOKUP($C$335, 'T_Stock_TOTAL_&amp;_City'!$C$106:$C$116, 'T_Stock_TOTAL_&amp;_City'!G$106:G$116)*(1+Q229)</f>
        <v>0</v>
      </c>
      <c r="R340" s="693">
        <f>LOOKUP($C$335, 'T_Stock_TOTAL_&amp;_City'!$C$106:$C$116, 'T_Stock_TOTAL_&amp;_City'!H$106:H$116)*(1+R229)</f>
        <v>0</v>
      </c>
      <c r="S340" s="693">
        <f>LOOKUP($C$335, 'T_Stock_TOTAL_&amp;_City'!$C$106:$C$116, 'T_Stock_TOTAL_&amp;_City'!I$106:I$116)*(1+S229)</f>
        <v>0</v>
      </c>
      <c r="T340" s="693">
        <f>LOOKUP($C$335, 'T_Stock_TOTAL_&amp;_City'!$C$106:$C$116, 'T_Stock_TOTAL_&amp;_City'!J$106:J$116)*(1+T229)</f>
        <v>0</v>
      </c>
      <c r="U340" s="693">
        <f>LOOKUP($C$335, 'T_Stock_TOTAL_&amp;_City'!$C$106:$C$116, 'T_Stock_TOTAL_&amp;_City'!K$106:K$116)*(1+U229)</f>
        <v>0</v>
      </c>
      <c r="V340" s="693">
        <f>LOOKUP($C$335, 'T_Stock_TOTAL_&amp;_City'!$C$106:$C$116, 'T_Stock_TOTAL_&amp;_City'!L$106:L$116)*(1+V229)</f>
        <v>0</v>
      </c>
      <c r="W340" s="693">
        <f>LOOKUP($C$335, 'T_Stock_TOTAL_&amp;_City'!$C$106:$C$116, 'T_Stock_TOTAL_&amp;_City'!M$106:M$116)*(1+W229)</f>
        <v>0</v>
      </c>
      <c r="X340" s="693">
        <f>LOOKUP($C$335, 'T_Stock_TOTAL_&amp;_City'!$C$106:$C$116, 'T_Stock_TOTAL_&amp;_City'!N$106:N$116)*(1+X229)</f>
        <v>0</v>
      </c>
      <c r="Y340" s="693">
        <f>LOOKUP($C$335, 'T_Stock_TOTAL_&amp;_City'!$C$106:$C$116, 'T_Stock_TOTAL_&amp;_City'!O$106:O$116)*(1+Y229)</f>
        <v>0</v>
      </c>
      <c r="Z340" s="693">
        <f>LOOKUP($C$335, 'T_Stock_TOTAL_&amp;_City'!$C$106:$C$116, 'T_Stock_TOTAL_&amp;_City'!P$106:P$116)*(1+Z229)</f>
        <v>0</v>
      </c>
      <c r="AA340" s="693">
        <f>LOOKUP($C$335, 'T_Stock_TOTAL_&amp;_City'!$C$106:$C$116, 'T_Stock_TOTAL_&amp;_City'!Q$106:Q$116)*(1+AA229)</f>
        <v>0</v>
      </c>
      <c r="AB340" s="693">
        <f>LOOKUP($C$335, 'T_Stock_TOTAL_&amp;_City'!$C$106:$C$116, 'T_Stock_TOTAL_&amp;_City'!R$106:R$116)*(1+AB229)</f>
        <v>0</v>
      </c>
    </row>
    <row r="341" spans="1:52" x14ac:dyDescent="0.3">
      <c r="A341" s="22"/>
      <c r="B341" s="186" t="str">
        <f t="shared" si="272"/>
        <v>TFMELPG900</v>
      </c>
      <c r="C341" s="186"/>
      <c r="D341" s="187"/>
      <c r="E341" s="186"/>
      <c r="F341" s="170"/>
      <c r="G341" s="189"/>
      <c r="H341" s="170"/>
      <c r="I341" s="183">
        <f>AF$5</f>
        <v>2016</v>
      </c>
      <c r="J341" s="191"/>
      <c r="K341" s="191"/>
      <c r="L341" s="211" t="s">
        <v>1064</v>
      </c>
      <c r="M341" s="191" t="s">
        <v>747</v>
      </c>
      <c r="N341" s="693">
        <f t="shared" ref="N341:AB341" si="275">N340*LOOKUP($AD335,$AH$4:$AQ$4,$AH$5:$AQ$5)</f>
        <v>0</v>
      </c>
      <c r="O341" s="693">
        <f t="shared" si="275"/>
        <v>0</v>
      </c>
      <c r="P341" s="693">
        <f t="shared" si="275"/>
        <v>0</v>
      </c>
      <c r="Q341" s="693">
        <f t="shared" si="275"/>
        <v>0</v>
      </c>
      <c r="R341" s="693">
        <f t="shared" si="275"/>
        <v>0</v>
      </c>
      <c r="S341" s="693">
        <f t="shared" si="275"/>
        <v>0</v>
      </c>
      <c r="T341" s="693">
        <f t="shared" si="275"/>
        <v>0</v>
      </c>
      <c r="U341" s="693">
        <f t="shared" si="275"/>
        <v>0</v>
      </c>
      <c r="V341" s="693">
        <f t="shared" si="275"/>
        <v>0</v>
      </c>
      <c r="W341" s="693">
        <f t="shared" si="275"/>
        <v>0</v>
      </c>
      <c r="X341" s="693">
        <f t="shared" si="275"/>
        <v>0</v>
      </c>
      <c r="Y341" s="693">
        <f t="shared" si="275"/>
        <v>0</v>
      </c>
      <c r="Z341" s="693">
        <f t="shared" si="275"/>
        <v>0</v>
      </c>
      <c r="AA341" s="693">
        <f t="shared" si="275"/>
        <v>0</v>
      </c>
      <c r="AB341" s="693">
        <f t="shared" si="275"/>
        <v>0</v>
      </c>
    </row>
    <row r="342" spans="1:52" x14ac:dyDescent="0.3">
      <c r="A342" s="22"/>
      <c r="B342" s="186" t="str">
        <f t="shared" si="272"/>
        <v>TFMELPG900</v>
      </c>
      <c r="C342" s="186"/>
      <c r="D342" s="187"/>
      <c r="E342" s="186"/>
      <c r="F342" s="170"/>
      <c r="G342" s="189"/>
      <c r="H342" s="170"/>
      <c r="I342" s="183">
        <f>AF$6</f>
        <v>2020</v>
      </c>
      <c r="J342" s="191"/>
      <c r="K342" s="191"/>
      <c r="L342" s="211" t="s">
        <v>1064</v>
      </c>
      <c r="M342" s="191" t="s">
        <v>747</v>
      </c>
      <c r="N342" s="693">
        <f t="shared" ref="N342:AB342" si="276">N340*LOOKUP($AD335,$AH$4:$AQ$4,$AH$6:$AQ$6)</f>
        <v>0</v>
      </c>
      <c r="O342" s="693">
        <f t="shared" si="276"/>
        <v>0</v>
      </c>
      <c r="P342" s="693">
        <f t="shared" si="276"/>
        <v>0</v>
      </c>
      <c r="Q342" s="693">
        <f t="shared" si="276"/>
        <v>0</v>
      </c>
      <c r="R342" s="693">
        <f t="shared" si="276"/>
        <v>0</v>
      </c>
      <c r="S342" s="693">
        <f t="shared" si="276"/>
        <v>0</v>
      </c>
      <c r="T342" s="693">
        <f t="shared" si="276"/>
        <v>0</v>
      </c>
      <c r="U342" s="693">
        <f t="shared" si="276"/>
        <v>0</v>
      </c>
      <c r="V342" s="693">
        <f t="shared" si="276"/>
        <v>0</v>
      </c>
      <c r="W342" s="693">
        <f t="shared" si="276"/>
        <v>0</v>
      </c>
      <c r="X342" s="693">
        <f t="shared" si="276"/>
        <v>0</v>
      </c>
      <c r="Y342" s="693">
        <f t="shared" si="276"/>
        <v>0</v>
      </c>
      <c r="Z342" s="693">
        <f t="shared" si="276"/>
        <v>0</v>
      </c>
      <c r="AA342" s="693">
        <f t="shared" si="276"/>
        <v>0</v>
      </c>
      <c r="AB342" s="693">
        <f t="shared" si="276"/>
        <v>0</v>
      </c>
    </row>
    <row r="343" spans="1:52" x14ac:dyDescent="0.3">
      <c r="A343" s="22"/>
      <c r="B343" s="186" t="str">
        <f t="shared" si="272"/>
        <v>TFMELPG900</v>
      </c>
      <c r="C343" s="186"/>
      <c r="D343" s="187"/>
      <c r="E343" s="186"/>
      <c r="F343" s="170"/>
      <c r="G343" s="189"/>
      <c r="H343" s="170"/>
      <c r="I343" s="183">
        <f>AF$7</f>
        <v>2025</v>
      </c>
      <c r="J343" s="191"/>
      <c r="K343" s="191"/>
      <c r="L343" s="211" t="s">
        <v>1064</v>
      </c>
      <c r="M343" s="191" t="s">
        <v>747</v>
      </c>
      <c r="N343" s="693">
        <f t="shared" ref="N343:AB343" si="277">N340*LOOKUP($AD335,$AH$4:$AQ$4,$AH$7:$AQ$7)</f>
        <v>0</v>
      </c>
      <c r="O343" s="693">
        <f t="shared" si="277"/>
        <v>0</v>
      </c>
      <c r="P343" s="693">
        <f t="shared" si="277"/>
        <v>0</v>
      </c>
      <c r="Q343" s="693">
        <f t="shared" si="277"/>
        <v>0</v>
      </c>
      <c r="R343" s="693">
        <f t="shared" si="277"/>
        <v>0</v>
      </c>
      <c r="S343" s="693">
        <f t="shared" si="277"/>
        <v>0</v>
      </c>
      <c r="T343" s="693">
        <f t="shared" si="277"/>
        <v>0</v>
      </c>
      <c r="U343" s="693">
        <f t="shared" si="277"/>
        <v>0</v>
      </c>
      <c r="V343" s="693">
        <f t="shared" si="277"/>
        <v>0</v>
      </c>
      <c r="W343" s="693">
        <f t="shared" si="277"/>
        <v>0</v>
      </c>
      <c r="X343" s="693">
        <f t="shared" si="277"/>
        <v>0</v>
      </c>
      <c r="Y343" s="693">
        <f t="shared" si="277"/>
        <v>0</v>
      </c>
      <c r="Z343" s="693">
        <f t="shared" si="277"/>
        <v>0</v>
      </c>
      <c r="AA343" s="693">
        <f t="shared" si="277"/>
        <v>0</v>
      </c>
      <c r="AB343" s="693">
        <f t="shared" si="277"/>
        <v>0</v>
      </c>
    </row>
    <row r="344" spans="1:52" x14ac:dyDescent="0.3">
      <c r="A344" s="22"/>
      <c r="B344" s="186" t="str">
        <f t="shared" si="272"/>
        <v>TFMELPG900</v>
      </c>
      <c r="C344" s="186"/>
      <c r="D344" s="187"/>
      <c r="E344" s="186"/>
      <c r="F344" s="170"/>
      <c r="G344" s="189"/>
      <c r="H344" s="170"/>
      <c r="I344" s="183">
        <f>AF$8</f>
        <v>2030</v>
      </c>
      <c r="J344" s="191"/>
      <c r="K344" s="191"/>
      <c r="L344" s="211" t="s">
        <v>1064</v>
      </c>
      <c r="M344" s="191" t="s">
        <v>747</v>
      </c>
      <c r="N344" s="693">
        <f t="shared" ref="N344:AB344" si="278">N340*LOOKUP($AD335,$AH$4:$AQ$4,$AH$8:$AQ$8)</f>
        <v>0</v>
      </c>
      <c r="O344" s="693">
        <f t="shared" si="278"/>
        <v>0</v>
      </c>
      <c r="P344" s="693">
        <f t="shared" si="278"/>
        <v>0</v>
      </c>
      <c r="Q344" s="693">
        <f t="shared" si="278"/>
        <v>0</v>
      </c>
      <c r="R344" s="693">
        <f t="shared" si="278"/>
        <v>0</v>
      </c>
      <c r="S344" s="693">
        <f t="shared" si="278"/>
        <v>0</v>
      </c>
      <c r="T344" s="693">
        <f t="shared" si="278"/>
        <v>0</v>
      </c>
      <c r="U344" s="693">
        <f t="shared" si="278"/>
        <v>0</v>
      </c>
      <c r="V344" s="693">
        <f t="shared" si="278"/>
        <v>0</v>
      </c>
      <c r="W344" s="693">
        <f t="shared" si="278"/>
        <v>0</v>
      </c>
      <c r="X344" s="693">
        <f t="shared" si="278"/>
        <v>0</v>
      </c>
      <c r="Y344" s="693">
        <f t="shared" si="278"/>
        <v>0</v>
      </c>
      <c r="Z344" s="693">
        <f t="shared" si="278"/>
        <v>0</v>
      </c>
      <c r="AA344" s="693">
        <f t="shared" si="278"/>
        <v>0</v>
      </c>
      <c r="AB344" s="693">
        <f t="shared" si="278"/>
        <v>0</v>
      </c>
    </row>
    <row r="345" spans="1:52" x14ac:dyDescent="0.3">
      <c r="A345" s="22"/>
      <c r="B345" s="186" t="str">
        <f t="shared" si="272"/>
        <v>TFMELPG900</v>
      </c>
      <c r="C345" s="186"/>
      <c r="D345" s="187"/>
      <c r="E345" s="186"/>
      <c r="F345" s="170"/>
      <c r="G345" s="189"/>
      <c r="H345" s="170"/>
      <c r="I345" s="183">
        <f>AF$9</f>
        <v>2040</v>
      </c>
      <c r="J345" s="191"/>
      <c r="K345" s="191"/>
      <c r="L345" s="211" t="s">
        <v>1064</v>
      </c>
      <c r="M345" s="191" t="s">
        <v>747</v>
      </c>
      <c r="N345" s="693">
        <f t="shared" ref="N345:AB345" si="279">N340*LOOKUP($AD335,$AH$4:$AQ$4,$AH$9:$AQ$9)</f>
        <v>0</v>
      </c>
      <c r="O345" s="693">
        <f t="shared" si="279"/>
        <v>0</v>
      </c>
      <c r="P345" s="693">
        <f t="shared" si="279"/>
        <v>0</v>
      </c>
      <c r="Q345" s="693">
        <f t="shared" si="279"/>
        <v>0</v>
      </c>
      <c r="R345" s="693">
        <f t="shared" si="279"/>
        <v>0</v>
      </c>
      <c r="S345" s="693">
        <f t="shared" si="279"/>
        <v>0</v>
      </c>
      <c r="T345" s="693">
        <f t="shared" si="279"/>
        <v>0</v>
      </c>
      <c r="U345" s="693">
        <f t="shared" si="279"/>
        <v>0</v>
      </c>
      <c r="V345" s="693">
        <f t="shared" si="279"/>
        <v>0</v>
      </c>
      <c r="W345" s="693">
        <f t="shared" si="279"/>
        <v>0</v>
      </c>
      <c r="X345" s="693">
        <f t="shared" si="279"/>
        <v>0</v>
      </c>
      <c r="Y345" s="693">
        <f t="shared" si="279"/>
        <v>0</v>
      </c>
      <c r="Z345" s="693">
        <f t="shared" si="279"/>
        <v>0</v>
      </c>
      <c r="AA345" s="693">
        <f t="shared" si="279"/>
        <v>0</v>
      </c>
      <c r="AB345" s="693">
        <f t="shared" si="279"/>
        <v>0</v>
      </c>
    </row>
    <row r="346" spans="1:52" x14ac:dyDescent="0.3">
      <c r="A346" s="22"/>
      <c r="B346" s="193" t="str">
        <f t="shared" si="272"/>
        <v>TFMELPG900</v>
      </c>
      <c r="C346" s="193"/>
      <c r="D346" s="194"/>
      <c r="E346" s="193"/>
      <c r="F346" s="196"/>
      <c r="G346" s="195"/>
      <c r="H346" s="196"/>
      <c r="I346" s="208">
        <f>AF$10</f>
        <v>2050</v>
      </c>
      <c r="J346" s="198"/>
      <c r="K346" s="198"/>
      <c r="L346" s="212" t="s">
        <v>1064</v>
      </c>
      <c r="M346" s="198" t="s">
        <v>747</v>
      </c>
      <c r="N346" s="694">
        <f t="shared" ref="N346:AB346" si="280">N340*LOOKUP($AD335,$AH$4:$AQ$4,$AH$10:$AQ$10)</f>
        <v>0</v>
      </c>
      <c r="O346" s="694">
        <f t="shared" si="280"/>
        <v>0</v>
      </c>
      <c r="P346" s="694">
        <f t="shared" si="280"/>
        <v>0</v>
      </c>
      <c r="Q346" s="694">
        <f t="shared" si="280"/>
        <v>0</v>
      </c>
      <c r="R346" s="694">
        <f t="shared" si="280"/>
        <v>0</v>
      </c>
      <c r="S346" s="694">
        <f t="shared" si="280"/>
        <v>0</v>
      </c>
      <c r="T346" s="694">
        <f t="shared" si="280"/>
        <v>0</v>
      </c>
      <c r="U346" s="694">
        <f t="shared" si="280"/>
        <v>0</v>
      </c>
      <c r="V346" s="694">
        <f t="shared" si="280"/>
        <v>0</v>
      </c>
      <c r="W346" s="694">
        <f t="shared" si="280"/>
        <v>0</v>
      </c>
      <c r="X346" s="694">
        <f t="shared" si="280"/>
        <v>0</v>
      </c>
      <c r="Y346" s="694">
        <f t="shared" si="280"/>
        <v>0</v>
      </c>
      <c r="Z346" s="694">
        <f t="shared" si="280"/>
        <v>0</v>
      </c>
      <c r="AA346" s="694">
        <f t="shared" si="280"/>
        <v>0</v>
      </c>
      <c r="AB346" s="694">
        <f t="shared" si="280"/>
        <v>0</v>
      </c>
    </row>
    <row r="347" spans="1:52" x14ac:dyDescent="0.3">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3">
      <c r="A348" s="82"/>
      <c r="B348" s="178" t="str">
        <f>B347</f>
        <v>TFMEPYD900</v>
      </c>
      <c r="C348" s="178"/>
      <c r="D348" s="179"/>
      <c r="E348" s="407" t="s">
        <v>987</v>
      </c>
      <c r="F348" s="182"/>
      <c r="G348" s="181"/>
      <c r="H348" s="182"/>
      <c r="I348" s="183"/>
      <c r="J348" s="184" t="s">
        <v>1222</v>
      </c>
      <c r="K348" s="184"/>
      <c r="L348" s="203" t="s">
        <v>101</v>
      </c>
      <c r="M348" s="184"/>
      <c r="N348" s="390">
        <f>N$28</f>
        <v>0.17499999999999999</v>
      </c>
      <c r="O348" s="390">
        <f t="shared" ref="O348:AB348" si="282">O$28</f>
        <v>0.17499999999999999</v>
      </c>
      <c r="P348" s="390">
        <f t="shared" si="282"/>
        <v>0.17499999999999999</v>
      </c>
      <c r="Q348" s="390">
        <f t="shared" si="282"/>
        <v>0.17499999999999999</v>
      </c>
      <c r="R348" s="390">
        <f t="shared" si="282"/>
        <v>0.17499999999999999</v>
      </c>
      <c r="S348" s="390">
        <f t="shared" si="282"/>
        <v>0.17499999999999999</v>
      </c>
      <c r="T348" s="390">
        <f t="shared" si="282"/>
        <v>0.17499999999999999</v>
      </c>
      <c r="U348" s="390">
        <f t="shared" si="282"/>
        <v>0.17499999999999999</v>
      </c>
      <c r="V348" s="390">
        <f t="shared" si="282"/>
        <v>0.17499999999999999</v>
      </c>
      <c r="W348" s="390">
        <f t="shared" si="282"/>
        <v>0.17499999999999999</v>
      </c>
      <c r="X348" s="390">
        <f t="shared" si="282"/>
        <v>0.17499999999999999</v>
      </c>
      <c r="Y348" s="390">
        <f t="shared" si="282"/>
        <v>0.17499999999999999</v>
      </c>
      <c r="Z348" s="390">
        <f t="shared" si="282"/>
        <v>0.17499999999999999</v>
      </c>
      <c r="AA348" s="390">
        <f t="shared" si="282"/>
        <v>0.17499999999999999</v>
      </c>
      <c r="AB348" s="390">
        <f t="shared" si="282"/>
        <v>0.17499999999999999</v>
      </c>
      <c r="AD348" s="66" t="str">
        <f>IF(COUNTIF($AH$4:$AQ$4,AD347)=1,"ok","MISSING")</f>
        <v>ok</v>
      </c>
      <c r="AF348" s="333"/>
    </row>
    <row r="349" spans="1:52" s="83" customFormat="1" x14ac:dyDescent="0.3">
      <c r="B349" s="178" t="str">
        <f t="shared" ref="B349:B359" si="283">B348</f>
        <v>TFMEPYD900</v>
      </c>
      <c r="C349" s="178"/>
      <c r="D349" s="179"/>
      <c r="E349" s="178"/>
      <c r="F349" s="182"/>
      <c r="G349" s="324" t="s">
        <v>642</v>
      </c>
      <c r="H349" s="182"/>
      <c r="I349" s="183"/>
      <c r="J349" s="184"/>
      <c r="K349" s="184"/>
      <c r="L349" s="184" t="s">
        <v>1125</v>
      </c>
      <c r="M349" s="184" t="s">
        <v>677</v>
      </c>
      <c r="N349" s="675">
        <f>T_CEFF!H267</f>
        <v>0.11937</v>
      </c>
      <c r="O349" s="675">
        <f>T_CEFF!I267</f>
        <v>0.11937</v>
      </c>
      <c r="P349" s="675">
        <f>T_CEFF!J267</f>
        <v>0.11937</v>
      </c>
      <c r="Q349" s="675">
        <f>T_CEFF!K267</f>
        <v>0.11937</v>
      </c>
      <c r="R349" s="675">
        <f>T_CEFF!L267</f>
        <v>0.11937</v>
      </c>
      <c r="S349" s="675">
        <f>T_CEFF!M267</f>
        <v>0.11937</v>
      </c>
      <c r="T349" s="675">
        <f>T_CEFF!N267</f>
        <v>0.11937</v>
      </c>
      <c r="U349" s="675">
        <f>T_CEFF!O267</f>
        <v>0.11937</v>
      </c>
      <c r="V349" s="675">
        <f>T_CEFF!P267</f>
        <v>0.11937</v>
      </c>
      <c r="W349" s="675">
        <f>T_CEFF!Q267</f>
        <v>0.11937</v>
      </c>
      <c r="X349" s="675">
        <f>T_CEFF!R267</f>
        <v>0.11937</v>
      </c>
      <c r="Y349" s="675">
        <f>T_CEFF!S267</f>
        <v>0.11937</v>
      </c>
      <c r="Z349" s="675">
        <f>T_CEFF!T267</f>
        <v>0.11937</v>
      </c>
      <c r="AA349" s="675">
        <f>T_CEFF!U267</f>
        <v>0.11937</v>
      </c>
      <c r="AB349" s="675">
        <f>T_CEFF!V267</f>
        <v>0.11937</v>
      </c>
    </row>
    <row r="350" spans="1:52" s="83" customFormat="1" x14ac:dyDescent="0.3">
      <c r="B350" s="178" t="str">
        <f t="shared" si="283"/>
        <v>TFMEPYD900</v>
      </c>
      <c r="C350" s="178"/>
      <c r="D350" s="179"/>
      <c r="E350" s="178"/>
      <c r="F350" s="182"/>
      <c r="G350" s="324" t="s">
        <v>645</v>
      </c>
      <c r="H350" s="182"/>
      <c r="I350" s="183"/>
      <c r="J350" s="184"/>
      <c r="K350" s="184"/>
      <c r="L350" s="184" t="s">
        <v>1125</v>
      </c>
      <c r="M350" s="184" t="s">
        <v>677</v>
      </c>
      <c r="N350" s="675">
        <f>T_CEFF!H268</f>
        <v>9.5500000000000002E-2</v>
      </c>
      <c r="O350" s="675">
        <f>T_CEFF!I268</f>
        <v>9.5500000000000002E-2</v>
      </c>
      <c r="P350" s="675">
        <f>T_CEFF!J268</f>
        <v>9.5500000000000002E-2</v>
      </c>
      <c r="Q350" s="675">
        <f>T_CEFF!K268</f>
        <v>9.5500000000000002E-2</v>
      </c>
      <c r="R350" s="675">
        <f>T_CEFF!L268</f>
        <v>9.5500000000000002E-2</v>
      </c>
      <c r="S350" s="675">
        <f>T_CEFF!M268</f>
        <v>9.5500000000000002E-2</v>
      </c>
      <c r="T350" s="675">
        <f>T_CEFF!N268</f>
        <v>9.5500000000000002E-2</v>
      </c>
      <c r="U350" s="675">
        <f>T_CEFF!O268</f>
        <v>9.5500000000000002E-2</v>
      </c>
      <c r="V350" s="675">
        <f>T_CEFF!P268</f>
        <v>9.5500000000000002E-2</v>
      </c>
      <c r="W350" s="675">
        <f>T_CEFF!Q268</f>
        <v>9.5500000000000002E-2</v>
      </c>
      <c r="X350" s="675">
        <f>T_CEFF!R268</f>
        <v>9.5500000000000002E-2</v>
      </c>
      <c r="Y350" s="675">
        <f>T_CEFF!S268</f>
        <v>9.5500000000000002E-2</v>
      </c>
      <c r="Z350" s="675">
        <f>T_CEFF!T268</f>
        <v>9.5500000000000002E-2</v>
      </c>
      <c r="AA350" s="675">
        <f>T_CEFF!U268</f>
        <v>9.5500000000000002E-2</v>
      </c>
      <c r="AB350" s="675">
        <f>T_CEFF!V268</f>
        <v>9.5500000000000002E-2</v>
      </c>
    </row>
    <row r="351" spans="1:52" s="83" customFormat="1" x14ac:dyDescent="0.3">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3">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1">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3">
      <c r="B353" s="178" t="str">
        <f>B352</f>
        <v>TFMEPYD900</v>
      </c>
      <c r="C353" s="178"/>
      <c r="D353" s="179"/>
      <c r="E353" s="178"/>
      <c r="F353" s="182"/>
      <c r="G353" s="181"/>
      <c r="H353" s="182"/>
      <c r="I353" s="183">
        <f>$M$3</f>
        <v>2019</v>
      </c>
      <c r="J353" s="184"/>
      <c r="K353" s="184"/>
      <c r="L353" s="203" t="s">
        <v>1064</v>
      </c>
      <c r="M353" s="184" t="s">
        <v>747</v>
      </c>
      <c r="N353" s="693">
        <f>LOOKUP($C$347, 'T_Stock_TOTAL_&amp;_City'!$C$106:$C$116, 'T_Stock_TOTAL_&amp;_City'!D$106:D$116)*(1+N229)</f>
        <v>0</v>
      </c>
      <c r="O353" s="693">
        <f>LOOKUP($C$347, 'T_Stock_TOTAL_&amp;_City'!$C$106:$C$116, 'T_Stock_TOTAL_&amp;_City'!E$106:E$116)*(1+O229)</f>
        <v>0</v>
      </c>
      <c r="P353" s="693">
        <f>LOOKUP($C$347, 'T_Stock_TOTAL_&amp;_City'!$C$106:$C$116, 'T_Stock_TOTAL_&amp;_City'!F$106:F$116)*(1+P229)</f>
        <v>0</v>
      </c>
      <c r="Q353" s="693">
        <f>LOOKUP($C$347, 'T_Stock_TOTAL_&amp;_City'!$C$106:$C$116, 'T_Stock_TOTAL_&amp;_City'!G$106:G$116)*(1+Q229)</f>
        <v>0</v>
      </c>
      <c r="R353" s="693">
        <f>LOOKUP($C$347, 'T_Stock_TOTAL_&amp;_City'!$C$106:$C$116, 'T_Stock_TOTAL_&amp;_City'!H$106:H$116)*(1+R229)</f>
        <v>0</v>
      </c>
      <c r="S353" s="693">
        <f>LOOKUP($C$347, 'T_Stock_TOTAL_&amp;_City'!$C$106:$C$116, 'T_Stock_TOTAL_&amp;_City'!I$106:I$116)*(1+S229)</f>
        <v>0</v>
      </c>
      <c r="T353" s="693">
        <f>LOOKUP($C$347, 'T_Stock_TOTAL_&amp;_City'!$C$106:$C$116, 'T_Stock_TOTAL_&amp;_City'!J$106:J$116)*(1+T229)</f>
        <v>0</v>
      </c>
      <c r="U353" s="693">
        <f>LOOKUP($C$347, 'T_Stock_TOTAL_&amp;_City'!$C$106:$C$116, 'T_Stock_TOTAL_&amp;_City'!K$106:K$116)*(1+U229)</f>
        <v>0</v>
      </c>
      <c r="V353" s="693">
        <f>LOOKUP($C$347, 'T_Stock_TOTAL_&amp;_City'!$C$106:$C$116, 'T_Stock_TOTAL_&amp;_City'!L$106:L$116)*(1+V229)</f>
        <v>0</v>
      </c>
      <c r="W353" s="693">
        <f>LOOKUP($C$347, 'T_Stock_TOTAL_&amp;_City'!$C$106:$C$116, 'T_Stock_TOTAL_&amp;_City'!M$106:M$116)*(1+W229)</f>
        <v>0</v>
      </c>
      <c r="X353" s="693">
        <f>LOOKUP($C$347, 'T_Stock_TOTAL_&amp;_City'!$C$106:$C$116, 'T_Stock_TOTAL_&amp;_City'!N$106:N$116)*(1+X229)</f>
        <v>0</v>
      </c>
      <c r="Y353" s="693">
        <f>LOOKUP($C$347, 'T_Stock_TOTAL_&amp;_City'!$C$106:$C$116, 'T_Stock_TOTAL_&amp;_City'!O$106:O$116)*(1+Y229)</f>
        <v>0</v>
      </c>
      <c r="Z353" s="693">
        <f>LOOKUP($C$347, 'T_Stock_TOTAL_&amp;_City'!$C$106:$C$116, 'T_Stock_TOTAL_&amp;_City'!P$106:P$116)*(1+Z229)</f>
        <v>0</v>
      </c>
      <c r="AA353" s="693">
        <f>LOOKUP($C$347, 'T_Stock_TOTAL_&amp;_City'!$C$106:$C$116, 'T_Stock_TOTAL_&amp;_City'!Q$106:Q$116)*(1+AA229)</f>
        <v>0</v>
      </c>
      <c r="AB353" s="693">
        <f>LOOKUP($C$347, 'T_Stock_TOTAL_&amp;_City'!$C$106:$C$116, 'T_Stock_TOTAL_&amp;_City'!R$106:R$116)*(1+AB229)</f>
        <v>0</v>
      </c>
    </row>
    <row r="354" spans="1:46" s="83" customFormat="1" x14ac:dyDescent="0.3">
      <c r="B354" s="178" t="str">
        <f t="shared" si="283"/>
        <v>TFMEPYD900</v>
      </c>
      <c r="C354" s="178"/>
      <c r="D354" s="179"/>
      <c r="E354" s="178"/>
      <c r="F354" s="182"/>
      <c r="G354" s="181"/>
      <c r="H354" s="182"/>
      <c r="I354" s="183">
        <f>AF$5</f>
        <v>2016</v>
      </c>
      <c r="J354" s="184"/>
      <c r="K354" s="184"/>
      <c r="L354" s="203" t="s">
        <v>1064</v>
      </c>
      <c r="M354" s="184" t="s">
        <v>747</v>
      </c>
      <c r="N354" s="693">
        <f t="shared" ref="N354:AB354" si="286">N353*LOOKUP($AD347,$AH$4:$AQ$4,$AH$5:$AQ$5)</f>
        <v>0</v>
      </c>
      <c r="O354" s="693">
        <f t="shared" si="286"/>
        <v>0</v>
      </c>
      <c r="P354" s="693">
        <f t="shared" si="286"/>
        <v>0</v>
      </c>
      <c r="Q354" s="693">
        <f t="shared" si="286"/>
        <v>0</v>
      </c>
      <c r="R354" s="693">
        <f t="shared" si="286"/>
        <v>0</v>
      </c>
      <c r="S354" s="693">
        <f t="shared" si="286"/>
        <v>0</v>
      </c>
      <c r="T354" s="693">
        <f t="shared" si="286"/>
        <v>0</v>
      </c>
      <c r="U354" s="693">
        <f t="shared" si="286"/>
        <v>0</v>
      </c>
      <c r="V354" s="693">
        <f t="shared" si="286"/>
        <v>0</v>
      </c>
      <c r="W354" s="693">
        <f t="shared" si="286"/>
        <v>0</v>
      </c>
      <c r="X354" s="693">
        <f t="shared" si="286"/>
        <v>0</v>
      </c>
      <c r="Y354" s="693">
        <f t="shared" si="286"/>
        <v>0</v>
      </c>
      <c r="Z354" s="693">
        <f t="shared" si="286"/>
        <v>0</v>
      </c>
      <c r="AA354" s="693">
        <f t="shared" si="286"/>
        <v>0</v>
      </c>
      <c r="AB354" s="693">
        <f t="shared" si="286"/>
        <v>0</v>
      </c>
    </row>
    <row r="355" spans="1:46" s="83" customFormat="1" x14ac:dyDescent="0.3">
      <c r="B355" s="178" t="str">
        <f t="shared" si="283"/>
        <v>TFMEPYD900</v>
      </c>
      <c r="C355" s="178"/>
      <c r="D355" s="179"/>
      <c r="E355" s="178"/>
      <c r="F355" s="182"/>
      <c r="G355" s="181"/>
      <c r="H355" s="182"/>
      <c r="I355" s="183">
        <f>AF$6</f>
        <v>2020</v>
      </c>
      <c r="J355" s="184"/>
      <c r="K355" s="184"/>
      <c r="L355" s="203" t="s">
        <v>1064</v>
      </c>
      <c r="M355" s="184" t="s">
        <v>747</v>
      </c>
      <c r="N355" s="693">
        <f t="shared" ref="N355:AB355" si="287">N353*LOOKUP($AD347,$AH$4:$AQ$4,$AH$6:$AQ$6)</f>
        <v>0</v>
      </c>
      <c r="O355" s="693">
        <f t="shared" si="287"/>
        <v>0</v>
      </c>
      <c r="P355" s="693">
        <f t="shared" si="287"/>
        <v>0</v>
      </c>
      <c r="Q355" s="693">
        <f t="shared" si="287"/>
        <v>0</v>
      </c>
      <c r="R355" s="693">
        <f t="shared" si="287"/>
        <v>0</v>
      </c>
      <c r="S355" s="693">
        <f t="shared" si="287"/>
        <v>0</v>
      </c>
      <c r="T355" s="693">
        <f t="shared" si="287"/>
        <v>0</v>
      </c>
      <c r="U355" s="693">
        <f t="shared" si="287"/>
        <v>0</v>
      </c>
      <c r="V355" s="693">
        <f t="shared" si="287"/>
        <v>0</v>
      </c>
      <c r="W355" s="693">
        <f t="shared" si="287"/>
        <v>0</v>
      </c>
      <c r="X355" s="693">
        <f t="shared" si="287"/>
        <v>0</v>
      </c>
      <c r="Y355" s="693">
        <f t="shared" si="287"/>
        <v>0</v>
      </c>
      <c r="Z355" s="693">
        <f t="shared" si="287"/>
        <v>0</v>
      </c>
      <c r="AA355" s="693">
        <f t="shared" si="287"/>
        <v>0</v>
      </c>
      <c r="AB355" s="693">
        <f t="shared" si="287"/>
        <v>0</v>
      </c>
    </row>
    <row r="356" spans="1:46" s="83" customFormat="1" x14ac:dyDescent="0.3">
      <c r="B356" s="178" t="str">
        <f t="shared" si="283"/>
        <v>TFMEPYD900</v>
      </c>
      <c r="C356" s="178"/>
      <c r="D356" s="179"/>
      <c r="E356" s="178"/>
      <c r="F356" s="182"/>
      <c r="G356" s="181"/>
      <c r="H356" s="182"/>
      <c r="I356" s="183">
        <f>AF$7</f>
        <v>2025</v>
      </c>
      <c r="J356" s="184"/>
      <c r="K356" s="184"/>
      <c r="L356" s="203" t="s">
        <v>1064</v>
      </c>
      <c r="M356" s="184" t="s">
        <v>747</v>
      </c>
      <c r="N356" s="693">
        <f t="shared" ref="N356:AB356" si="288">N353*LOOKUP($AD347,$AH$4:$AQ$4,$AH$7:$AQ$7)</f>
        <v>0</v>
      </c>
      <c r="O356" s="693">
        <f t="shared" si="288"/>
        <v>0</v>
      </c>
      <c r="P356" s="693">
        <f t="shared" si="288"/>
        <v>0</v>
      </c>
      <c r="Q356" s="693">
        <f t="shared" si="288"/>
        <v>0</v>
      </c>
      <c r="R356" s="693">
        <f t="shared" si="288"/>
        <v>0</v>
      </c>
      <c r="S356" s="693">
        <f t="shared" si="288"/>
        <v>0</v>
      </c>
      <c r="T356" s="693">
        <f t="shared" si="288"/>
        <v>0</v>
      </c>
      <c r="U356" s="693">
        <f t="shared" si="288"/>
        <v>0</v>
      </c>
      <c r="V356" s="693">
        <f t="shared" si="288"/>
        <v>0</v>
      </c>
      <c r="W356" s="693">
        <f t="shared" si="288"/>
        <v>0</v>
      </c>
      <c r="X356" s="693">
        <f t="shared" si="288"/>
        <v>0</v>
      </c>
      <c r="Y356" s="693">
        <f t="shared" si="288"/>
        <v>0</v>
      </c>
      <c r="Z356" s="693">
        <f t="shared" si="288"/>
        <v>0</v>
      </c>
      <c r="AA356" s="693">
        <f t="shared" si="288"/>
        <v>0</v>
      </c>
      <c r="AB356" s="693">
        <f t="shared" si="288"/>
        <v>0</v>
      </c>
    </row>
    <row r="357" spans="1:46" s="83" customFormat="1" x14ac:dyDescent="0.3">
      <c r="B357" s="178" t="str">
        <f t="shared" si="283"/>
        <v>TFMEPYD900</v>
      </c>
      <c r="C357" s="178"/>
      <c r="D357" s="179"/>
      <c r="E357" s="178"/>
      <c r="F357" s="182"/>
      <c r="G357" s="181"/>
      <c r="H357" s="182"/>
      <c r="I357" s="183">
        <f>AF$8</f>
        <v>2030</v>
      </c>
      <c r="J357" s="184"/>
      <c r="K357" s="184"/>
      <c r="L357" s="203" t="s">
        <v>1064</v>
      </c>
      <c r="M357" s="184" t="s">
        <v>747</v>
      </c>
      <c r="N357" s="693">
        <f t="shared" ref="N357:AB357" si="289">N353*LOOKUP($AD347,$AH$4:$AQ$4,$AH$8:$AQ$8)</f>
        <v>0</v>
      </c>
      <c r="O357" s="693">
        <f t="shared" si="289"/>
        <v>0</v>
      </c>
      <c r="P357" s="693">
        <f t="shared" si="289"/>
        <v>0</v>
      </c>
      <c r="Q357" s="693">
        <f t="shared" si="289"/>
        <v>0</v>
      </c>
      <c r="R357" s="693">
        <f t="shared" si="289"/>
        <v>0</v>
      </c>
      <c r="S357" s="693">
        <f t="shared" si="289"/>
        <v>0</v>
      </c>
      <c r="T357" s="693">
        <f t="shared" si="289"/>
        <v>0</v>
      </c>
      <c r="U357" s="693">
        <f t="shared" si="289"/>
        <v>0</v>
      </c>
      <c r="V357" s="693">
        <f t="shared" si="289"/>
        <v>0</v>
      </c>
      <c r="W357" s="693">
        <f t="shared" si="289"/>
        <v>0</v>
      </c>
      <c r="X357" s="693">
        <f t="shared" si="289"/>
        <v>0</v>
      </c>
      <c r="Y357" s="693">
        <f t="shared" si="289"/>
        <v>0</v>
      </c>
      <c r="Z357" s="693">
        <f t="shared" si="289"/>
        <v>0</v>
      </c>
      <c r="AA357" s="693">
        <f t="shared" si="289"/>
        <v>0</v>
      </c>
      <c r="AB357" s="693">
        <f t="shared" si="289"/>
        <v>0</v>
      </c>
    </row>
    <row r="358" spans="1:46" s="83" customFormat="1" x14ac:dyDescent="0.3">
      <c r="B358" s="178" t="str">
        <f t="shared" si="283"/>
        <v>TFMEPYD900</v>
      </c>
      <c r="C358" s="178"/>
      <c r="D358" s="179"/>
      <c r="E358" s="178"/>
      <c r="F358" s="182"/>
      <c r="G358" s="181"/>
      <c r="H358" s="182"/>
      <c r="I358" s="183">
        <f>AF$9</f>
        <v>2040</v>
      </c>
      <c r="J358" s="184"/>
      <c r="K358" s="184"/>
      <c r="L358" s="203" t="s">
        <v>1064</v>
      </c>
      <c r="M358" s="184" t="s">
        <v>747</v>
      </c>
      <c r="N358" s="693">
        <f t="shared" ref="N358:AB358" si="290">N353*LOOKUP($AD347,$AH$4:$AQ$4,$AH$9:$AQ$9)</f>
        <v>0</v>
      </c>
      <c r="O358" s="693">
        <f t="shared" si="290"/>
        <v>0</v>
      </c>
      <c r="P358" s="693">
        <f t="shared" si="290"/>
        <v>0</v>
      </c>
      <c r="Q358" s="693">
        <f t="shared" si="290"/>
        <v>0</v>
      </c>
      <c r="R358" s="693">
        <f t="shared" si="290"/>
        <v>0</v>
      </c>
      <c r="S358" s="693">
        <f t="shared" si="290"/>
        <v>0</v>
      </c>
      <c r="T358" s="693">
        <f t="shared" si="290"/>
        <v>0</v>
      </c>
      <c r="U358" s="693">
        <f t="shared" si="290"/>
        <v>0</v>
      </c>
      <c r="V358" s="693">
        <f t="shared" si="290"/>
        <v>0</v>
      </c>
      <c r="W358" s="693">
        <f t="shared" si="290"/>
        <v>0</v>
      </c>
      <c r="X358" s="693">
        <f t="shared" si="290"/>
        <v>0</v>
      </c>
      <c r="Y358" s="693">
        <f t="shared" si="290"/>
        <v>0</v>
      </c>
      <c r="Z358" s="693">
        <f t="shared" si="290"/>
        <v>0</v>
      </c>
      <c r="AA358" s="693">
        <f t="shared" si="290"/>
        <v>0</v>
      </c>
      <c r="AB358" s="693">
        <f t="shared" si="290"/>
        <v>0</v>
      </c>
    </row>
    <row r="359" spans="1:46" s="83" customFormat="1" x14ac:dyDescent="0.3">
      <c r="B359" s="204" t="str">
        <f t="shared" si="283"/>
        <v>TFMEPYD900</v>
      </c>
      <c r="C359" s="204"/>
      <c r="D359" s="205"/>
      <c r="E359" s="204"/>
      <c r="F359" s="206"/>
      <c r="G359" s="207"/>
      <c r="H359" s="206"/>
      <c r="I359" s="208">
        <f>AF$10</f>
        <v>2050</v>
      </c>
      <c r="J359" s="209"/>
      <c r="K359" s="209"/>
      <c r="L359" s="210" t="s">
        <v>1064</v>
      </c>
      <c r="M359" s="209" t="s">
        <v>747</v>
      </c>
      <c r="N359" s="694">
        <f t="shared" ref="N359:AB359" si="291">N353*LOOKUP($AD347,$AH$4:$AQ$4,$AH$10:$AQ$10)</f>
        <v>0</v>
      </c>
      <c r="O359" s="694">
        <f t="shared" si="291"/>
        <v>0</v>
      </c>
      <c r="P359" s="694">
        <f t="shared" si="291"/>
        <v>0</v>
      </c>
      <c r="Q359" s="694">
        <f t="shared" si="291"/>
        <v>0</v>
      </c>
      <c r="R359" s="694">
        <f t="shared" si="291"/>
        <v>0</v>
      </c>
      <c r="S359" s="694">
        <f t="shared" si="291"/>
        <v>0</v>
      </c>
      <c r="T359" s="694">
        <f t="shared" si="291"/>
        <v>0</v>
      </c>
      <c r="U359" s="694">
        <f t="shared" si="291"/>
        <v>0</v>
      </c>
      <c r="V359" s="694">
        <f t="shared" si="291"/>
        <v>0</v>
      </c>
      <c r="W359" s="694">
        <f t="shared" si="291"/>
        <v>0</v>
      </c>
      <c r="X359" s="694">
        <f t="shared" si="291"/>
        <v>0</v>
      </c>
      <c r="Y359" s="694">
        <f t="shared" si="291"/>
        <v>0</v>
      </c>
      <c r="Z359" s="694">
        <f t="shared" si="291"/>
        <v>0</v>
      </c>
      <c r="AA359" s="694">
        <f t="shared" si="291"/>
        <v>0</v>
      </c>
      <c r="AB359" s="694">
        <f t="shared" si="291"/>
        <v>0</v>
      </c>
    </row>
    <row r="360" spans="1:46" s="83" customFormat="1" x14ac:dyDescent="0.3">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3">
      <c r="A361" s="82"/>
      <c r="B361" s="178" t="str">
        <f>B360</f>
        <v>TFMEPYG900</v>
      </c>
      <c r="C361" s="178"/>
      <c r="D361" s="179"/>
      <c r="E361" s="407" t="s">
        <v>1011</v>
      </c>
      <c r="F361" s="182"/>
      <c r="G361" s="181"/>
      <c r="H361" s="182"/>
      <c r="I361" s="183"/>
      <c r="J361" s="184" t="s">
        <v>1156</v>
      </c>
      <c r="K361" s="184"/>
      <c r="L361" s="203" t="s">
        <v>101</v>
      </c>
      <c r="M361" s="184"/>
      <c r="N361" s="390">
        <f>N$29</f>
        <v>5.0999999999999997E-2</v>
      </c>
      <c r="O361" s="390">
        <f t="shared" ref="O361:AB361" si="293">O$29</f>
        <v>5.0999999999999997E-2</v>
      </c>
      <c r="P361" s="390">
        <f t="shared" si="293"/>
        <v>5.0999999999999997E-2</v>
      </c>
      <c r="Q361" s="390">
        <f t="shared" si="293"/>
        <v>5.0999999999999997E-2</v>
      </c>
      <c r="R361" s="390">
        <f t="shared" si="293"/>
        <v>5.0999999999999997E-2</v>
      </c>
      <c r="S361" s="390">
        <f t="shared" si="293"/>
        <v>5.0999999999999997E-2</v>
      </c>
      <c r="T361" s="390">
        <f t="shared" si="293"/>
        <v>5.0999999999999997E-2</v>
      </c>
      <c r="U361" s="390">
        <f t="shared" si="293"/>
        <v>5.0999999999999997E-2</v>
      </c>
      <c r="V361" s="390">
        <f t="shared" si="293"/>
        <v>5.0999999999999997E-2</v>
      </c>
      <c r="W361" s="390">
        <f t="shared" si="293"/>
        <v>5.0999999999999997E-2</v>
      </c>
      <c r="X361" s="390">
        <f t="shared" si="293"/>
        <v>5.0999999999999997E-2</v>
      </c>
      <c r="Y361" s="390">
        <f t="shared" si="293"/>
        <v>5.0999999999999997E-2</v>
      </c>
      <c r="Z361" s="390">
        <f t="shared" si="293"/>
        <v>5.0999999999999997E-2</v>
      </c>
      <c r="AA361" s="390">
        <f t="shared" si="293"/>
        <v>5.0999999999999997E-2</v>
      </c>
      <c r="AB361" s="390">
        <f t="shared" si="293"/>
        <v>5.0999999999999997E-2</v>
      </c>
      <c r="AD361" s="66" t="str">
        <f>IF(COUNTIF($AH$4:$AQ$4,AD360)=1,"ok","MISSING")</f>
        <v>ok</v>
      </c>
      <c r="AF361" s="333"/>
    </row>
    <row r="362" spans="1:46" s="83" customFormat="1" x14ac:dyDescent="0.3">
      <c r="B362" s="178" t="str">
        <f t="shared" ref="B362:B372" si="294">B361</f>
        <v>TFMEPYG900</v>
      </c>
      <c r="C362" s="178"/>
      <c r="D362" s="179"/>
      <c r="E362" s="178"/>
      <c r="F362" s="182"/>
      <c r="G362" s="324" t="s">
        <v>642</v>
      </c>
      <c r="H362" s="182"/>
      <c r="I362" s="183"/>
      <c r="J362" s="184"/>
      <c r="K362" s="184"/>
      <c r="L362" s="184" t="s">
        <v>1125</v>
      </c>
      <c r="M362" s="184" t="s">
        <v>677</v>
      </c>
      <c r="N362" s="676">
        <f>T_CEFF!H269</f>
        <v>90.909090000000006</v>
      </c>
      <c r="O362" s="676">
        <f>T_CEFF!I269</f>
        <v>90.909090000000006</v>
      </c>
      <c r="P362" s="676">
        <f>T_CEFF!J269</f>
        <v>90.909090000000006</v>
      </c>
      <c r="Q362" s="676">
        <f>T_CEFF!K269</f>
        <v>90.909090000000006</v>
      </c>
      <c r="R362" s="676">
        <f>T_CEFF!L269</f>
        <v>90.909090000000006</v>
      </c>
      <c r="S362" s="676">
        <f>T_CEFF!M269</f>
        <v>90.909090000000006</v>
      </c>
      <c r="T362" s="676">
        <f>T_CEFF!N269</f>
        <v>90.909090000000006</v>
      </c>
      <c r="U362" s="676">
        <f>T_CEFF!O269</f>
        <v>90.909090000000006</v>
      </c>
      <c r="V362" s="676">
        <f>T_CEFF!P269</f>
        <v>90.909090000000006</v>
      </c>
      <c r="W362" s="676">
        <f>T_CEFF!Q269</f>
        <v>90.909090000000006</v>
      </c>
      <c r="X362" s="676">
        <f>T_CEFF!R269</f>
        <v>90.909090000000006</v>
      </c>
      <c r="Y362" s="676">
        <f>T_CEFF!S269</f>
        <v>90.909090000000006</v>
      </c>
      <c r="Z362" s="676">
        <f>T_CEFF!T269</f>
        <v>90.909090000000006</v>
      </c>
      <c r="AA362" s="676">
        <f>T_CEFF!U269</f>
        <v>90.909090000000006</v>
      </c>
      <c r="AB362" s="676">
        <f>T_CEFF!V269</f>
        <v>90.909090000000006</v>
      </c>
    </row>
    <row r="363" spans="1:46" s="83" customFormat="1" x14ac:dyDescent="0.3">
      <c r="B363" s="178" t="str">
        <f t="shared" si="294"/>
        <v>TFMEPYG900</v>
      </c>
      <c r="C363" s="178"/>
      <c r="D363" s="179"/>
      <c r="E363" s="178"/>
      <c r="F363" s="182"/>
      <c r="G363" s="324" t="s">
        <v>645</v>
      </c>
      <c r="H363" s="182"/>
      <c r="I363" s="183"/>
      <c r="J363" s="184"/>
      <c r="K363" s="184"/>
      <c r="L363" s="184" t="s">
        <v>1125</v>
      </c>
      <c r="M363" s="184" t="s">
        <v>677</v>
      </c>
      <c r="N363" s="676">
        <f>T_CEFF!H270</f>
        <v>90.909090000000006</v>
      </c>
      <c r="O363" s="676">
        <f>T_CEFF!I270</f>
        <v>90.909090000000006</v>
      </c>
      <c r="P363" s="676">
        <f>T_CEFF!J270</f>
        <v>90.909090000000006</v>
      </c>
      <c r="Q363" s="676">
        <f>T_CEFF!K270</f>
        <v>90.909090000000006</v>
      </c>
      <c r="R363" s="676">
        <f>T_CEFF!L270</f>
        <v>90.909090000000006</v>
      </c>
      <c r="S363" s="676">
        <f>T_CEFF!M270</f>
        <v>90.909090000000006</v>
      </c>
      <c r="T363" s="676">
        <f>T_CEFF!N270</f>
        <v>90.909090000000006</v>
      </c>
      <c r="U363" s="676">
        <f>T_CEFF!O270</f>
        <v>90.909090000000006</v>
      </c>
      <c r="V363" s="676">
        <f>T_CEFF!P270</f>
        <v>90.909090000000006</v>
      </c>
      <c r="W363" s="676">
        <f>T_CEFF!Q270</f>
        <v>90.909090000000006</v>
      </c>
      <c r="X363" s="676">
        <f>T_CEFF!R270</f>
        <v>90.909090000000006</v>
      </c>
      <c r="Y363" s="676">
        <f>T_CEFF!S270</f>
        <v>90.909090000000006</v>
      </c>
      <c r="Z363" s="676">
        <f>T_CEFF!T270</f>
        <v>90.909090000000006</v>
      </c>
      <c r="AA363" s="676">
        <f>T_CEFF!U270</f>
        <v>90.909090000000006</v>
      </c>
      <c r="AB363" s="676">
        <f>T_CEFF!V270</f>
        <v>90.909090000000006</v>
      </c>
    </row>
    <row r="364" spans="1:46" s="83" customFormat="1" x14ac:dyDescent="0.3">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3">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1">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3">
      <c r="B366" s="178" t="str">
        <f>B365</f>
        <v>TFMEPYG900</v>
      </c>
      <c r="C366" s="178"/>
      <c r="D366" s="179"/>
      <c r="E366" s="178"/>
      <c r="F366" s="182"/>
      <c r="G366" s="181"/>
      <c r="H366" s="182"/>
      <c r="I366" s="183">
        <f>$M$3</f>
        <v>2019</v>
      </c>
      <c r="J366" s="184"/>
      <c r="K366" s="184"/>
      <c r="L366" s="203" t="s">
        <v>1064</v>
      </c>
      <c r="M366" s="184" t="s">
        <v>747</v>
      </c>
      <c r="N366" s="693">
        <f>LOOKUP($C$360, 'T_Stock_TOTAL_&amp;_City'!$C$106:$C$116, 'T_Stock_TOTAL_&amp;_City'!D$106:D$116)*(1+N229)</f>
        <v>0</v>
      </c>
      <c r="O366" s="693">
        <f>LOOKUP($C$360, 'T_Stock_TOTAL_&amp;_City'!$C$106:$C$116, 'T_Stock_TOTAL_&amp;_City'!E$106:E$116)*(1+O229)</f>
        <v>0</v>
      </c>
      <c r="P366" s="693">
        <f>LOOKUP($C$360, 'T_Stock_TOTAL_&amp;_City'!$C$106:$C$116, 'T_Stock_TOTAL_&amp;_City'!F$106:F$116)*(1+P229)</f>
        <v>0</v>
      </c>
      <c r="Q366" s="693">
        <f>LOOKUP($C$360, 'T_Stock_TOTAL_&amp;_City'!$C$106:$C$116, 'T_Stock_TOTAL_&amp;_City'!G$106:G$116)*(1+Q229)</f>
        <v>0</v>
      </c>
      <c r="R366" s="693">
        <f>LOOKUP($C$360, 'T_Stock_TOTAL_&amp;_City'!$C$106:$C$116, 'T_Stock_TOTAL_&amp;_City'!H$106:H$116)*(1+R229)</f>
        <v>0</v>
      </c>
      <c r="S366" s="693">
        <f>LOOKUP($C$360, 'T_Stock_TOTAL_&amp;_City'!$C$106:$C$116, 'T_Stock_TOTAL_&amp;_City'!I$106:I$116)*(1+S229)</f>
        <v>0</v>
      </c>
      <c r="T366" s="693">
        <f>LOOKUP($C$360, 'T_Stock_TOTAL_&amp;_City'!$C$106:$C$116, 'T_Stock_TOTAL_&amp;_City'!J$106:J$116)*(1+T229)</f>
        <v>0</v>
      </c>
      <c r="U366" s="693">
        <f>LOOKUP($C$360, 'T_Stock_TOTAL_&amp;_City'!$C$106:$C$116, 'T_Stock_TOTAL_&amp;_City'!K$106:K$116)*(1+U229)</f>
        <v>0</v>
      </c>
      <c r="V366" s="693">
        <f>LOOKUP($C$360, 'T_Stock_TOTAL_&amp;_City'!$C$106:$C$116, 'T_Stock_TOTAL_&amp;_City'!L$106:L$116)*(1+V229)</f>
        <v>0</v>
      </c>
      <c r="W366" s="693">
        <f>LOOKUP($C$360, 'T_Stock_TOTAL_&amp;_City'!$C$106:$C$116, 'T_Stock_TOTAL_&amp;_City'!M$106:M$116)*(1+W229)</f>
        <v>0</v>
      </c>
      <c r="X366" s="693">
        <f>LOOKUP($C$360, 'T_Stock_TOTAL_&amp;_City'!$C$106:$C$116, 'T_Stock_TOTAL_&amp;_City'!N$106:N$116)*(1+X229)</f>
        <v>0</v>
      </c>
      <c r="Y366" s="693">
        <f>LOOKUP($C$360, 'T_Stock_TOTAL_&amp;_City'!$C$106:$C$116, 'T_Stock_TOTAL_&amp;_City'!O$106:O$116)*(1+Y229)</f>
        <v>0</v>
      </c>
      <c r="Z366" s="693">
        <f>LOOKUP($C$360, 'T_Stock_TOTAL_&amp;_City'!$C$106:$C$116, 'T_Stock_TOTAL_&amp;_City'!P$106:P$116)*(1+Z229)</f>
        <v>0</v>
      </c>
      <c r="AA366" s="693">
        <f>LOOKUP($C$360, 'T_Stock_TOTAL_&amp;_City'!$C$106:$C$116, 'T_Stock_TOTAL_&amp;_City'!Q$106:Q$116)*(1+AA229)</f>
        <v>0</v>
      </c>
      <c r="AB366" s="693">
        <f>LOOKUP($C$360, 'T_Stock_TOTAL_&amp;_City'!$C$106:$C$116, 'T_Stock_TOTAL_&amp;_City'!R$106:R$116)*(1+AB229)</f>
        <v>0</v>
      </c>
    </row>
    <row r="367" spans="1:46" s="83" customFormat="1" x14ac:dyDescent="0.3">
      <c r="B367" s="178" t="str">
        <f t="shared" si="294"/>
        <v>TFMEPYG900</v>
      </c>
      <c r="C367" s="178"/>
      <c r="D367" s="179"/>
      <c r="E367" s="178"/>
      <c r="F367" s="182"/>
      <c r="G367" s="181"/>
      <c r="H367" s="182"/>
      <c r="I367" s="183">
        <f>AF$5</f>
        <v>2016</v>
      </c>
      <c r="J367" s="184"/>
      <c r="K367" s="184"/>
      <c r="L367" s="203" t="s">
        <v>1064</v>
      </c>
      <c r="M367" s="184" t="s">
        <v>747</v>
      </c>
      <c r="N367" s="693">
        <f t="shared" ref="N367:AB367" si="297">N366*LOOKUP($AD360,$AH$4:$AQ$4,$AH$5:$AQ$5)</f>
        <v>0</v>
      </c>
      <c r="O367" s="693">
        <f t="shared" si="297"/>
        <v>0</v>
      </c>
      <c r="P367" s="693">
        <f t="shared" si="297"/>
        <v>0</v>
      </c>
      <c r="Q367" s="693">
        <f t="shared" si="297"/>
        <v>0</v>
      </c>
      <c r="R367" s="693">
        <f t="shared" si="297"/>
        <v>0</v>
      </c>
      <c r="S367" s="693">
        <f t="shared" si="297"/>
        <v>0</v>
      </c>
      <c r="T367" s="693">
        <f t="shared" si="297"/>
        <v>0</v>
      </c>
      <c r="U367" s="693">
        <f t="shared" si="297"/>
        <v>0</v>
      </c>
      <c r="V367" s="693">
        <f t="shared" si="297"/>
        <v>0</v>
      </c>
      <c r="W367" s="693">
        <f t="shared" si="297"/>
        <v>0</v>
      </c>
      <c r="X367" s="693">
        <f t="shared" si="297"/>
        <v>0</v>
      </c>
      <c r="Y367" s="693">
        <f t="shared" si="297"/>
        <v>0</v>
      </c>
      <c r="Z367" s="693">
        <f t="shared" si="297"/>
        <v>0</v>
      </c>
      <c r="AA367" s="693">
        <f t="shared" si="297"/>
        <v>0</v>
      </c>
      <c r="AB367" s="693">
        <f t="shared" si="297"/>
        <v>0</v>
      </c>
    </row>
    <row r="368" spans="1:46" s="83" customFormat="1" x14ac:dyDescent="0.3">
      <c r="B368" s="178" t="str">
        <f t="shared" si="294"/>
        <v>TFMEPYG900</v>
      </c>
      <c r="C368" s="178"/>
      <c r="D368" s="179"/>
      <c r="E368" s="178"/>
      <c r="F368" s="182"/>
      <c r="G368" s="181"/>
      <c r="H368" s="182"/>
      <c r="I368" s="183">
        <f>AF$6</f>
        <v>2020</v>
      </c>
      <c r="J368" s="184"/>
      <c r="K368" s="184"/>
      <c r="L368" s="203" t="s">
        <v>1064</v>
      </c>
      <c r="M368" s="184" t="s">
        <v>747</v>
      </c>
      <c r="N368" s="693">
        <f t="shared" ref="N368:AB368" si="298">N366*LOOKUP($AD360,$AH$4:$AQ$4,$AH$6:$AQ$6)</f>
        <v>0</v>
      </c>
      <c r="O368" s="693">
        <f t="shared" si="298"/>
        <v>0</v>
      </c>
      <c r="P368" s="693">
        <f t="shared" si="298"/>
        <v>0</v>
      </c>
      <c r="Q368" s="693">
        <f t="shared" si="298"/>
        <v>0</v>
      </c>
      <c r="R368" s="693">
        <f t="shared" si="298"/>
        <v>0</v>
      </c>
      <c r="S368" s="693">
        <f t="shared" si="298"/>
        <v>0</v>
      </c>
      <c r="T368" s="693">
        <f t="shared" si="298"/>
        <v>0</v>
      </c>
      <c r="U368" s="693">
        <f t="shared" si="298"/>
        <v>0</v>
      </c>
      <c r="V368" s="693">
        <f t="shared" si="298"/>
        <v>0</v>
      </c>
      <c r="W368" s="693">
        <f t="shared" si="298"/>
        <v>0</v>
      </c>
      <c r="X368" s="693">
        <f t="shared" si="298"/>
        <v>0</v>
      </c>
      <c r="Y368" s="693">
        <f t="shared" si="298"/>
        <v>0</v>
      </c>
      <c r="Z368" s="693">
        <f t="shared" si="298"/>
        <v>0</v>
      </c>
      <c r="AA368" s="693">
        <f t="shared" si="298"/>
        <v>0</v>
      </c>
      <c r="AB368" s="693">
        <f t="shared" si="298"/>
        <v>0</v>
      </c>
    </row>
    <row r="369" spans="1:52" s="83" customFormat="1" x14ac:dyDescent="0.3">
      <c r="B369" s="178" t="str">
        <f t="shared" si="294"/>
        <v>TFMEPYG900</v>
      </c>
      <c r="C369" s="178"/>
      <c r="D369" s="179"/>
      <c r="E369" s="178"/>
      <c r="F369" s="182"/>
      <c r="G369" s="181"/>
      <c r="H369" s="182"/>
      <c r="I369" s="183">
        <f>AF$7</f>
        <v>2025</v>
      </c>
      <c r="J369" s="184"/>
      <c r="K369" s="184"/>
      <c r="L369" s="203" t="s">
        <v>1064</v>
      </c>
      <c r="M369" s="184" t="s">
        <v>747</v>
      </c>
      <c r="N369" s="693">
        <f t="shared" ref="N369:AB369" si="299">N366*LOOKUP($AD360,$AH$4:$AQ$4,$AH$7:$AQ$7)</f>
        <v>0</v>
      </c>
      <c r="O369" s="693">
        <f t="shared" si="299"/>
        <v>0</v>
      </c>
      <c r="P369" s="693">
        <f t="shared" si="299"/>
        <v>0</v>
      </c>
      <c r="Q369" s="693">
        <f t="shared" si="299"/>
        <v>0</v>
      </c>
      <c r="R369" s="693">
        <f t="shared" si="299"/>
        <v>0</v>
      </c>
      <c r="S369" s="693">
        <f t="shared" si="299"/>
        <v>0</v>
      </c>
      <c r="T369" s="693">
        <f t="shared" si="299"/>
        <v>0</v>
      </c>
      <c r="U369" s="693">
        <f t="shared" si="299"/>
        <v>0</v>
      </c>
      <c r="V369" s="693">
        <f t="shared" si="299"/>
        <v>0</v>
      </c>
      <c r="W369" s="693">
        <f t="shared" si="299"/>
        <v>0</v>
      </c>
      <c r="X369" s="693">
        <f t="shared" si="299"/>
        <v>0</v>
      </c>
      <c r="Y369" s="693">
        <f t="shared" si="299"/>
        <v>0</v>
      </c>
      <c r="Z369" s="693">
        <f t="shared" si="299"/>
        <v>0</v>
      </c>
      <c r="AA369" s="693">
        <f t="shared" si="299"/>
        <v>0</v>
      </c>
      <c r="AB369" s="693">
        <f t="shared" si="299"/>
        <v>0</v>
      </c>
    </row>
    <row r="370" spans="1:52" s="83" customFormat="1" x14ac:dyDescent="0.3">
      <c r="B370" s="178" t="str">
        <f t="shared" si="294"/>
        <v>TFMEPYG900</v>
      </c>
      <c r="C370" s="178"/>
      <c r="D370" s="179"/>
      <c r="E370" s="178"/>
      <c r="F370" s="182"/>
      <c r="G370" s="181"/>
      <c r="H370" s="182"/>
      <c r="I370" s="183">
        <f>AF$8</f>
        <v>2030</v>
      </c>
      <c r="J370" s="184"/>
      <c r="K370" s="184"/>
      <c r="L370" s="203" t="s">
        <v>1064</v>
      </c>
      <c r="M370" s="184" t="s">
        <v>747</v>
      </c>
      <c r="N370" s="693">
        <f t="shared" ref="N370:AB370" si="300">N366*LOOKUP($AD360,$AH$4:$AQ$4,$AH$8:$AQ$8)</f>
        <v>0</v>
      </c>
      <c r="O370" s="693">
        <f t="shared" si="300"/>
        <v>0</v>
      </c>
      <c r="P370" s="693">
        <f t="shared" si="300"/>
        <v>0</v>
      </c>
      <c r="Q370" s="693">
        <f t="shared" si="300"/>
        <v>0</v>
      </c>
      <c r="R370" s="693">
        <f t="shared" si="300"/>
        <v>0</v>
      </c>
      <c r="S370" s="693">
        <f t="shared" si="300"/>
        <v>0</v>
      </c>
      <c r="T370" s="693">
        <f t="shared" si="300"/>
        <v>0</v>
      </c>
      <c r="U370" s="693">
        <f t="shared" si="300"/>
        <v>0</v>
      </c>
      <c r="V370" s="693">
        <f t="shared" si="300"/>
        <v>0</v>
      </c>
      <c r="W370" s="693">
        <f t="shared" si="300"/>
        <v>0</v>
      </c>
      <c r="X370" s="693">
        <f t="shared" si="300"/>
        <v>0</v>
      </c>
      <c r="Y370" s="693">
        <f t="shared" si="300"/>
        <v>0</v>
      </c>
      <c r="Z370" s="693">
        <f t="shared" si="300"/>
        <v>0</v>
      </c>
      <c r="AA370" s="693">
        <f t="shared" si="300"/>
        <v>0</v>
      </c>
      <c r="AB370" s="693">
        <f t="shared" si="300"/>
        <v>0</v>
      </c>
    </row>
    <row r="371" spans="1:52" s="83" customFormat="1" x14ac:dyDescent="0.3">
      <c r="B371" s="178" t="str">
        <f t="shared" si="294"/>
        <v>TFMEPYG900</v>
      </c>
      <c r="C371" s="178"/>
      <c r="D371" s="179"/>
      <c r="E371" s="178"/>
      <c r="F371" s="182"/>
      <c r="G371" s="181"/>
      <c r="H371" s="182"/>
      <c r="I371" s="183">
        <f>AF$9</f>
        <v>2040</v>
      </c>
      <c r="J371" s="184"/>
      <c r="K371" s="184"/>
      <c r="L371" s="203" t="s">
        <v>1064</v>
      </c>
      <c r="M371" s="184" t="s">
        <v>747</v>
      </c>
      <c r="N371" s="693">
        <f t="shared" ref="N371:AB371" si="301">N366*LOOKUP($AD360,$AH$4:$AQ$4,$AH$9:$AQ$9)</f>
        <v>0</v>
      </c>
      <c r="O371" s="693">
        <f t="shared" si="301"/>
        <v>0</v>
      </c>
      <c r="P371" s="693">
        <f t="shared" si="301"/>
        <v>0</v>
      </c>
      <c r="Q371" s="693">
        <f t="shared" si="301"/>
        <v>0</v>
      </c>
      <c r="R371" s="693">
        <f t="shared" si="301"/>
        <v>0</v>
      </c>
      <c r="S371" s="693">
        <f t="shared" si="301"/>
        <v>0</v>
      </c>
      <c r="T371" s="693">
        <f t="shared" si="301"/>
        <v>0</v>
      </c>
      <c r="U371" s="693">
        <f t="shared" si="301"/>
        <v>0</v>
      </c>
      <c r="V371" s="693">
        <f t="shared" si="301"/>
        <v>0</v>
      </c>
      <c r="W371" s="693">
        <f t="shared" si="301"/>
        <v>0</v>
      </c>
      <c r="X371" s="693">
        <f t="shared" si="301"/>
        <v>0</v>
      </c>
      <c r="Y371" s="693">
        <f t="shared" si="301"/>
        <v>0</v>
      </c>
      <c r="Z371" s="693">
        <f t="shared" si="301"/>
        <v>0</v>
      </c>
      <c r="AA371" s="693">
        <f t="shared" si="301"/>
        <v>0</v>
      </c>
      <c r="AB371" s="693">
        <f t="shared" si="301"/>
        <v>0</v>
      </c>
    </row>
    <row r="372" spans="1:52" s="83" customFormat="1" x14ac:dyDescent="0.3">
      <c r="B372" s="204" t="str">
        <f t="shared" si="294"/>
        <v>TFMEPYG900</v>
      </c>
      <c r="C372" s="204"/>
      <c r="D372" s="205"/>
      <c r="E372" s="204"/>
      <c r="F372" s="206"/>
      <c r="G372" s="207"/>
      <c r="H372" s="206"/>
      <c r="I372" s="208">
        <f>AF$10</f>
        <v>2050</v>
      </c>
      <c r="J372" s="209"/>
      <c r="K372" s="209"/>
      <c r="L372" s="210" t="s">
        <v>1064</v>
      </c>
      <c r="M372" s="209" t="s">
        <v>747</v>
      </c>
      <c r="N372" s="694">
        <f t="shared" ref="N372:AB372" si="302">N366*LOOKUP($AD360,$AH$4:$AQ$4,$AH$10:$AQ$10)</f>
        <v>0</v>
      </c>
      <c r="O372" s="694">
        <f t="shared" si="302"/>
        <v>0</v>
      </c>
      <c r="P372" s="694">
        <f t="shared" si="302"/>
        <v>0</v>
      </c>
      <c r="Q372" s="694">
        <f t="shared" si="302"/>
        <v>0</v>
      </c>
      <c r="R372" s="694">
        <f t="shared" si="302"/>
        <v>0</v>
      </c>
      <c r="S372" s="694">
        <f t="shared" si="302"/>
        <v>0</v>
      </c>
      <c r="T372" s="694">
        <f t="shared" si="302"/>
        <v>0</v>
      </c>
      <c r="U372" s="694">
        <f t="shared" si="302"/>
        <v>0</v>
      </c>
      <c r="V372" s="694">
        <f t="shared" si="302"/>
        <v>0</v>
      </c>
      <c r="W372" s="694">
        <f t="shared" si="302"/>
        <v>0</v>
      </c>
      <c r="X372" s="694">
        <f t="shared" si="302"/>
        <v>0</v>
      </c>
      <c r="Y372" s="694">
        <f t="shared" si="302"/>
        <v>0</v>
      </c>
      <c r="Z372" s="694">
        <f t="shared" si="302"/>
        <v>0</v>
      </c>
      <c r="AA372" s="694">
        <f t="shared" si="302"/>
        <v>0</v>
      </c>
      <c r="AB372" s="694">
        <f t="shared" si="302"/>
        <v>0</v>
      </c>
    </row>
    <row r="373" spans="1:52" s="83" customFormat="1" x14ac:dyDescent="0.3">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3">
      <c r="B375" s="555" t="s">
        <v>1132</v>
      </c>
      <c r="D375" s="44"/>
      <c r="M375" s="473" t="s">
        <v>1151</v>
      </c>
      <c r="N375" s="481">
        <v>0</v>
      </c>
      <c r="O375" s="481">
        <f>N375</f>
        <v>0</v>
      </c>
      <c r="P375" s="481">
        <f>O375</f>
        <v>0</v>
      </c>
      <c r="Q375" s="481">
        <f t="shared" ref="Q375:AB375" si="303">P375</f>
        <v>0</v>
      </c>
      <c r="R375" s="481">
        <f t="shared" si="303"/>
        <v>0</v>
      </c>
      <c r="S375" s="481">
        <f t="shared" si="303"/>
        <v>0</v>
      </c>
      <c r="T375" s="481">
        <f t="shared" si="303"/>
        <v>0</v>
      </c>
      <c r="U375" s="481">
        <f t="shared" si="303"/>
        <v>0</v>
      </c>
      <c r="V375" s="481">
        <f t="shared" si="303"/>
        <v>0</v>
      </c>
      <c r="W375" s="481">
        <f t="shared" si="303"/>
        <v>0</v>
      </c>
      <c r="X375" s="481">
        <f t="shared" si="303"/>
        <v>0</v>
      </c>
      <c r="Y375" s="481">
        <f t="shared" si="303"/>
        <v>0</v>
      </c>
      <c r="Z375" s="481">
        <f t="shared" si="303"/>
        <v>0</v>
      </c>
      <c r="AA375" s="481">
        <f t="shared" si="303"/>
        <v>0</v>
      </c>
      <c r="AB375" s="481">
        <f t="shared" si="303"/>
        <v>0</v>
      </c>
    </row>
    <row r="376" spans="1:52" x14ac:dyDescent="0.3">
      <c r="B376" s="32" t="s">
        <v>1224</v>
      </c>
      <c r="C376" s="26"/>
      <c r="D376" s="26"/>
      <c r="I376" s="36"/>
      <c r="M376" s="473" t="s">
        <v>1153</v>
      </c>
      <c r="N376" s="481">
        <v>0</v>
      </c>
      <c r="O376" s="481">
        <f>N376</f>
        <v>0</v>
      </c>
      <c r="P376" s="481">
        <f t="shared" ref="P376:AB376" si="304">O376</f>
        <v>0</v>
      </c>
      <c r="Q376" s="481">
        <f t="shared" si="304"/>
        <v>0</v>
      </c>
      <c r="R376" s="481">
        <f t="shared" si="304"/>
        <v>0</v>
      </c>
      <c r="S376" s="481">
        <f t="shared" si="304"/>
        <v>0</v>
      </c>
      <c r="T376" s="481">
        <f t="shared" si="304"/>
        <v>0</v>
      </c>
      <c r="U376" s="481">
        <f t="shared" si="304"/>
        <v>0</v>
      </c>
      <c r="V376" s="481">
        <f t="shared" si="304"/>
        <v>0</v>
      </c>
      <c r="W376" s="481">
        <f t="shared" si="304"/>
        <v>0</v>
      </c>
      <c r="X376" s="481">
        <f t="shared" si="304"/>
        <v>0</v>
      </c>
      <c r="Y376" s="481">
        <f t="shared" si="304"/>
        <v>0</v>
      </c>
      <c r="Z376" s="481">
        <f t="shared" si="304"/>
        <v>0</v>
      </c>
      <c r="AA376" s="481">
        <f t="shared" si="304"/>
        <v>0</v>
      </c>
      <c r="AB376" s="481">
        <f t="shared" si="304"/>
        <v>0</v>
      </c>
    </row>
    <row r="377" spans="1:52" x14ac:dyDescent="0.3">
      <c r="M377" s="35"/>
    </row>
    <row r="378" spans="1:52" x14ac:dyDescent="0.3">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3">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3">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4" t="str">
        <f>IF(AE381-SUM(N14:AB15)&lt;0,"too small",IF(AE381-SUM(N14:AB15)&gt;0.001,"Too big","ok"))</f>
        <v>ok</v>
      </c>
      <c r="AF380" s="618" t="str">
        <f t="shared" ref="AF380:AT380" si="307">IF(AF381-SUM(N14:N15)&lt;0,"too small",IF(AF381-SUM(N14:N15)&gt;0.001,"Too big","ok"))</f>
        <v>ok</v>
      </c>
      <c r="AG380" s="618" t="str">
        <f t="shared" si="307"/>
        <v>ok</v>
      </c>
      <c r="AH380" s="618" t="str">
        <f t="shared" si="307"/>
        <v>ok</v>
      </c>
      <c r="AI380" s="618" t="str">
        <f t="shared" si="307"/>
        <v>ok</v>
      </c>
      <c r="AJ380" s="618" t="str">
        <f t="shared" si="307"/>
        <v>ok</v>
      </c>
      <c r="AK380" s="618" t="str">
        <f t="shared" si="307"/>
        <v>ok</v>
      </c>
      <c r="AL380" s="618" t="str">
        <f t="shared" si="307"/>
        <v>ok</v>
      </c>
      <c r="AM380" s="618" t="str">
        <f t="shared" si="307"/>
        <v>ok</v>
      </c>
      <c r="AN380" s="618" t="str">
        <f t="shared" si="307"/>
        <v>ok</v>
      </c>
      <c r="AO380" s="618" t="str">
        <f t="shared" si="307"/>
        <v>ok</v>
      </c>
      <c r="AP380" s="618" t="str">
        <f t="shared" si="307"/>
        <v>ok</v>
      </c>
      <c r="AQ380" s="618" t="str">
        <f t="shared" si="307"/>
        <v>ok</v>
      </c>
      <c r="AR380" s="618" t="str">
        <f t="shared" si="307"/>
        <v>ok</v>
      </c>
      <c r="AS380" s="618" t="str">
        <f t="shared" si="307"/>
        <v>ok</v>
      </c>
      <c r="AT380" s="618" t="str">
        <f t="shared" si="307"/>
        <v>ok</v>
      </c>
    </row>
    <row r="381" spans="1:52" s="22" customFormat="1" x14ac:dyDescent="0.3">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5">
        <f t="shared" ref="AF381:AT381" si="309">SUM(AF385:AF512)</f>
        <v>0</v>
      </c>
      <c r="AG381" s="585">
        <f t="shared" si="309"/>
        <v>0</v>
      </c>
      <c r="AH381" s="585">
        <f t="shared" si="309"/>
        <v>0</v>
      </c>
      <c r="AI381" s="585">
        <f t="shared" si="309"/>
        <v>0</v>
      </c>
      <c r="AJ381" s="585">
        <f t="shared" si="309"/>
        <v>0</v>
      </c>
      <c r="AK381" s="585">
        <f t="shared" si="309"/>
        <v>0</v>
      </c>
      <c r="AL381" s="585">
        <f t="shared" si="309"/>
        <v>0</v>
      </c>
      <c r="AM381" s="585">
        <f t="shared" si="309"/>
        <v>0</v>
      </c>
      <c r="AN381" s="585">
        <f t="shared" si="309"/>
        <v>0</v>
      </c>
      <c r="AO381" s="585">
        <f t="shared" si="309"/>
        <v>0</v>
      </c>
      <c r="AP381" s="585">
        <f t="shared" si="309"/>
        <v>0</v>
      </c>
      <c r="AQ381" s="585">
        <f t="shared" si="309"/>
        <v>0</v>
      </c>
      <c r="AR381" s="585">
        <f t="shared" si="309"/>
        <v>0</v>
      </c>
      <c r="AS381" s="585">
        <f t="shared" si="309"/>
        <v>0</v>
      </c>
      <c r="AT381" s="585">
        <f t="shared" si="309"/>
        <v>0</v>
      </c>
      <c r="AU381" s="83"/>
      <c r="AV381" s="83"/>
      <c r="AW381" s="83"/>
      <c r="AX381" s="83"/>
      <c r="AY381" s="83"/>
      <c r="AZ381" s="83"/>
    </row>
    <row r="382" spans="1:52" s="83" customFormat="1" x14ac:dyDescent="0.3">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3">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3">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3">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1">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3">
      <c r="B386" s="186" t="str">
        <f t="shared" si="310"/>
        <v>TFREBDL900</v>
      </c>
      <c r="C386" s="186"/>
      <c r="D386" s="187"/>
      <c r="E386" s="186"/>
      <c r="F386" s="170"/>
      <c r="G386" s="189"/>
      <c r="H386" s="170"/>
      <c r="I386" s="190">
        <f>$M$3</f>
        <v>2019</v>
      </c>
      <c r="J386" s="191"/>
      <c r="K386" s="191"/>
      <c r="L386" s="211" t="s">
        <v>1064</v>
      </c>
      <c r="M386" s="191" t="s">
        <v>747</v>
      </c>
      <c r="N386" s="693">
        <f>LOOKUP($C$381, 'T_Stock_TOTAL_&amp;_City'!$C$122:$C$133,'T_Stock_TOTAL_&amp;_City'!D$122:D$133)*(1+N376)</f>
        <v>0</v>
      </c>
      <c r="O386" s="693">
        <f>LOOKUP($C$381, 'T_Stock_TOTAL_&amp;_City'!$C$122:$C$133,'T_Stock_TOTAL_&amp;_City'!E$122:E$133)*(1+O376)</f>
        <v>0</v>
      </c>
      <c r="P386" s="693">
        <f>LOOKUP($C$381, 'T_Stock_TOTAL_&amp;_City'!$C$122:$C$133,'T_Stock_TOTAL_&amp;_City'!F$122:F$133)*(1+P376)</f>
        <v>0</v>
      </c>
      <c r="Q386" s="693">
        <f>LOOKUP($C$381, 'T_Stock_TOTAL_&amp;_City'!$C$122:$C$133,'T_Stock_TOTAL_&amp;_City'!G$122:G$133)*(1+Q376)</f>
        <v>0</v>
      </c>
      <c r="R386" s="693">
        <f>LOOKUP($C$381, 'T_Stock_TOTAL_&amp;_City'!$C$122:$C$133,'T_Stock_TOTAL_&amp;_City'!H$122:H$133)*(1+R376)</f>
        <v>0</v>
      </c>
      <c r="S386" s="693">
        <f>LOOKUP($C$381, 'T_Stock_TOTAL_&amp;_City'!$C$122:$C$133,'T_Stock_TOTAL_&amp;_City'!I$122:I$133)*(1+S376)</f>
        <v>0</v>
      </c>
      <c r="T386" s="693">
        <f>LOOKUP($C$381, 'T_Stock_TOTAL_&amp;_City'!$C$122:$C$133,'T_Stock_TOTAL_&amp;_City'!J$122:J$133)*(1+T376)</f>
        <v>0</v>
      </c>
      <c r="U386" s="693">
        <f>LOOKUP($C$381, 'T_Stock_TOTAL_&amp;_City'!$C$122:$C$133,'T_Stock_TOTAL_&amp;_City'!K$122:K$133)*(1+U376)</f>
        <v>0</v>
      </c>
      <c r="V386" s="693">
        <f>LOOKUP($C$381, 'T_Stock_TOTAL_&amp;_City'!$C$122:$C$133,'T_Stock_TOTAL_&amp;_City'!L$122:L$133)*(1+V376)</f>
        <v>0</v>
      </c>
      <c r="W386" s="693">
        <f>LOOKUP($C$381, 'T_Stock_TOTAL_&amp;_City'!$C$122:$C$133,'T_Stock_TOTAL_&amp;_City'!M$122:M$133)*(1+W376)</f>
        <v>0</v>
      </c>
      <c r="X386" s="693">
        <f>LOOKUP($C$381, 'T_Stock_TOTAL_&amp;_City'!$C$122:$C$133,'T_Stock_TOTAL_&amp;_City'!N$122:N$133)*(1+X376)</f>
        <v>0</v>
      </c>
      <c r="Y386" s="693">
        <f>LOOKUP($C$381, 'T_Stock_TOTAL_&amp;_City'!$C$122:$C$133,'T_Stock_TOTAL_&amp;_City'!O$122:O$133)*(1+Y376)</f>
        <v>0</v>
      </c>
      <c r="Z386" s="693">
        <f>LOOKUP($C$381, 'T_Stock_TOTAL_&amp;_City'!$C$122:$C$133,'T_Stock_TOTAL_&amp;_City'!P$122:P$133)*(1+Z376)</f>
        <v>0</v>
      </c>
      <c r="AA386" s="693">
        <f>LOOKUP($C$381, 'T_Stock_TOTAL_&amp;_City'!$C$122:$C$133,'T_Stock_TOTAL_&amp;_City'!Q$122:Q$133)*(1+AA376)</f>
        <v>0</v>
      </c>
      <c r="AB386" s="693">
        <f>LOOKUP($C$381, 'T_Stock_TOTAL_&amp;_City'!$C$122:$C$133,'T_Stock_TOTAL_&amp;_City'!R$122:R$133)*(1+AB376)</f>
        <v>0</v>
      </c>
    </row>
    <row r="387" spans="1:52" x14ac:dyDescent="0.3">
      <c r="B387" s="186" t="str">
        <f t="shared" si="310"/>
        <v>TFREBDL900</v>
      </c>
      <c r="C387" s="186"/>
      <c r="D387" s="187"/>
      <c r="E387" s="186"/>
      <c r="F387" s="170"/>
      <c r="G387" s="189"/>
      <c r="H387" s="170"/>
      <c r="I387" s="183">
        <f>AF$5</f>
        <v>2016</v>
      </c>
      <c r="J387" s="191"/>
      <c r="K387" s="191"/>
      <c r="L387" s="211" t="s">
        <v>1064</v>
      </c>
      <c r="M387" s="191" t="s">
        <v>747</v>
      </c>
      <c r="N387" s="693">
        <f t="shared" ref="N387:AB387" si="313">N386*LOOKUP($AD381,$AH$4:$AQ$4,$AH$5:$AQ$5)</f>
        <v>0</v>
      </c>
      <c r="O387" s="693">
        <f t="shared" si="313"/>
        <v>0</v>
      </c>
      <c r="P387" s="693">
        <f t="shared" si="313"/>
        <v>0</v>
      </c>
      <c r="Q387" s="693">
        <f t="shared" si="313"/>
        <v>0</v>
      </c>
      <c r="R387" s="693">
        <f t="shared" si="313"/>
        <v>0</v>
      </c>
      <c r="S387" s="693">
        <f t="shared" si="313"/>
        <v>0</v>
      </c>
      <c r="T387" s="693">
        <f t="shared" si="313"/>
        <v>0</v>
      </c>
      <c r="U387" s="693">
        <f t="shared" si="313"/>
        <v>0</v>
      </c>
      <c r="V387" s="693">
        <f t="shared" si="313"/>
        <v>0</v>
      </c>
      <c r="W387" s="693">
        <f t="shared" si="313"/>
        <v>0</v>
      </c>
      <c r="X387" s="693">
        <f t="shared" si="313"/>
        <v>0</v>
      </c>
      <c r="Y387" s="693">
        <f t="shared" si="313"/>
        <v>0</v>
      </c>
      <c r="Z387" s="693">
        <f t="shared" si="313"/>
        <v>0</v>
      </c>
      <c r="AA387" s="693">
        <f t="shared" si="313"/>
        <v>0</v>
      </c>
      <c r="AB387" s="693">
        <f t="shared" si="313"/>
        <v>0</v>
      </c>
    </row>
    <row r="388" spans="1:52" x14ac:dyDescent="0.3">
      <c r="B388" s="186" t="str">
        <f t="shared" si="310"/>
        <v>TFREBDL900</v>
      </c>
      <c r="C388" s="186"/>
      <c r="D388" s="187"/>
      <c r="E388" s="186"/>
      <c r="F388" s="170"/>
      <c r="G388" s="189"/>
      <c r="H388" s="170"/>
      <c r="I388" s="183">
        <f>AF$6</f>
        <v>2020</v>
      </c>
      <c r="J388" s="191"/>
      <c r="K388" s="191"/>
      <c r="L388" s="211" t="s">
        <v>1064</v>
      </c>
      <c r="M388" s="191" t="s">
        <v>747</v>
      </c>
      <c r="N388" s="693">
        <f t="shared" ref="N388:AB388" si="314">N386*LOOKUP($AD381,$AH$4:$AQ$4,$AH$6:$AQ$6)</f>
        <v>0</v>
      </c>
      <c r="O388" s="693">
        <f t="shared" si="314"/>
        <v>0</v>
      </c>
      <c r="P388" s="693">
        <f t="shared" si="314"/>
        <v>0</v>
      </c>
      <c r="Q388" s="693">
        <f t="shared" si="314"/>
        <v>0</v>
      </c>
      <c r="R388" s="693">
        <f t="shared" si="314"/>
        <v>0</v>
      </c>
      <c r="S388" s="693">
        <f t="shared" si="314"/>
        <v>0</v>
      </c>
      <c r="T388" s="693">
        <f t="shared" si="314"/>
        <v>0</v>
      </c>
      <c r="U388" s="693">
        <f t="shared" si="314"/>
        <v>0</v>
      </c>
      <c r="V388" s="693">
        <f t="shared" si="314"/>
        <v>0</v>
      </c>
      <c r="W388" s="693">
        <f t="shared" si="314"/>
        <v>0</v>
      </c>
      <c r="X388" s="693">
        <f t="shared" si="314"/>
        <v>0</v>
      </c>
      <c r="Y388" s="693">
        <f t="shared" si="314"/>
        <v>0</v>
      </c>
      <c r="Z388" s="693">
        <f t="shared" si="314"/>
        <v>0</v>
      </c>
      <c r="AA388" s="693">
        <f t="shared" si="314"/>
        <v>0</v>
      </c>
      <c r="AB388" s="693">
        <f t="shared" si="314"/>
        <v>0</v>
      </c>
    </row>
    <row r="389" spans="1:52" x14ac:dyDescent="0.3">
      <c r="B389" s="186" t="str">
        <f t="shared" si="310"/>
        <v>TFREBDL900</v>
      </c>
      <c r="C389" s="186"/>
      <c r="D389" s="187"/>
      <c r="E389" s="186"/>
      <c r="F389" s="170"/>
      <c r="G389" s="189"/>
      <c r="H389" s="170"/>
      <c r="I389" s="183">
        <f>AF$7</f>
        <v>2025</v>
      </c>
      <c r="J389" s="191"/>
      <c r="K389" s="191"/>
      <c r="L389" s="211" t="s">
        <v>1064</v>
      </c>
      <c r="M389" s="191" t="s">
        <v>747</v>
      </c>
      <c r="N389" s="693">
        <f t="shared" ref="N389:AB389" si="315">N386*LOOKUP($AD381,$AH$4:$AQ$4,$AH$7:$AQ$7)</f>
        <v>0</v>
      </c>
      <c r="O389" s="693">
        <f t="shared" si="315"/>
        <v>0</v>
      </c>
      <c r="P389" s="693">
        <f t="shared" si="315"/>
        <v>0</v>
      </c>
      <c r="Q389" s="693">
        <f t="shared" si="315"/>
        <v>0</v>
      </c>
      <c r="R389" s="693">
        <f t="shared" si="315"/>
        <v>0</v>
      </c>
      <c r="S389" s="693">
        <f t="shared" si="315"/>
        <v>0</v>
      </c>
      <c r="T389" s="693">
        <f t="shared" si="315"/>
        <v>0</v>
      </c>
      <c r="U389" s="693">
        <f t="shared" si="315"/>
        <v>0</v>
      </c>
      <c r="V389" s="693">
        <f t="shared" si="315"/>
        <v>0</v>
      </c>
      <c r="W389" s="693">
        <f t="shared" si="315"/>
        <v>0</v>
      </c>
      <c r="X389" s="693">
        <f t="shared" si="315"/>
        <v>0</v>
      </c>
      <c r="Y389" s="693">
        <f t="shared" si="315"/>
        <v>0</v>
      </c>
      <c r="Z389" s="693">
        <f t="shared" si="315"/>
        <v>0</v>
      </c>
      <c r="AA389" s="693">
        <f t="shared" si="315"/>
        <v>0</v>
      </c>
      <c r="AB389" s="693">
        <f t="shared" si="315"/>
        <v>0</v>
      </c>
    </row>
    <row r="390" spans="1:52" x14ac:dyDescent="0.3">
      <c r="B390" s="186" t="str">
        <f t="shared" si="310"/>
        <v>TFREBDL900</v>
      </c>
      <c r="C390" s="186"/>
      <c r="D390" s="187"/>
      <c r="E390" s="186"/>
      <c r="F390" s="170"/>
      <c r="G390" s="189"/>
      <c r="H390" s="170"/>
      <c r="I390" s="183">
        <f>AF$8</f>
        <v>2030</v>
      </c>
      <c r="J390" s="191"/>
      <c r="K390" s="191"/>
      <c r="L390" s="211" t="s">
        <v>1064</v>
      </c>
      <c r="M390" s="191" t="s">
        <v>747</v>
      </c>
      <c r="N390" s="693">
        <f t="shared" ref="N390:AB390" si="316">N386*LOOKUP($AD381,$AH$4:$AQ$4,$AH$8:$AQ$8)</f>
        <v>0</v>
      </c>
      <c r="O390" s="693">
        <f t="shared" si="316"/>
        <v>0</v>
      </c>
      <c r="P390" s="693">
        <f t="shared" si="316"/>
        <v>0</v>
      </c>
      <c r="Q390" s="693">
        <f t="shared" si="316"/>
        <v>0</v>
      </c>
      <c r="R390" s="693">
        <f t="shared" si="316"/>
        <v>0</v>
      </c>
      <c r="S390" s="693">
        <f t="shared" si="316"/>
        <v>0</v>
      </c>
      <c r="T390" s="693">
        <f t="shared" si="316"/>
        <v>0</v>
      </c>
      <c r="U390" s="693">
        <f t="shared" si="316"/>
        <v>0</v>
      </c>
      <c r="V390" s="693">
        <f t="shared" si="316"/>
        <v>0</v>
      </c>
      <c r="W390" s="693">
        <f t="shared" si="316"/>
        <v>0</v>
      </c>
      <c r="X390" s="693">
        <f t="shared" si="316"/>
        <v>0</v>
      </c>
      <c r="Y390" s="693">
        <f t="shared" si="316"/>
        <v>0</v>
      </c>
      <c r="Z390" s="693">
        <f t="shared" si="316"/>
        <v>0</v>
      </c>
      <c r="AA390" s="693">
        <f t="shared" si="316"/>
        <v>0</v>
      </c>
      <c r="AB390" s="693">
        <f t="shared" si="316"/>
        <v>0</v>
      </c>
    </row>
    <row r="391" spans="1:52" x14ac:dyDescent="0.3">
      <c r="B391" s="186" t="str">
        <f t="shared" si="310"/>
        <v>TFREBDL900</v>
      </c>
      <c r="C391" s="186"/>
      <c r="D391" s="187"/>
      <c r="E391" s="186"/>
      <c r="F391" s="170"/>
      <c r="G391" s="189"/>
      <c r="H391" s="170"/>
      <c r="I391" s="183">
        <f>AF$9</f>
        <v>2040</v>
      </c>
      <c r="J391" s="191"/>
      <c r="K391" s="191"/>
      <c r="L391" s="211" t="s">
        <v>1064</v>
      </c>
      <c r="M391" s="191" t="s">
        <v>747</v>
      </c>
      <c r="N391" s="693">
        <f t="shared" ref="N391:AB391" si="317">N386*LOOKUP($AD381,$AH$4:$AQ$4,$AH$9:$AQ$9)</f>
        <v>0</v>
      </c>
      <c r="O391" s="693">
        <f t="shared" si="317"/>
        <v>0</v>
      </c>
      <c r="P391" s="693">
        <f t="shared" si="317"/>
        <v>0</v>
      </c>
      <c r="Q391" s="693">
        <f t="shared" si="317"/>
        <v>0</v>
      </c>
      <c r="R391" s="693">
        <f t="shared" si="317"/>
        <v>0</v>
      </c>
      <c r="S391" s="693">
        <f t="shared" si="317"/>
        <v>0</v>
      </c>
      <c r="T391" s="693">
        <f t="shared" si="317"/>
        <v>0</v>
      </c>
      <c r="U391" s="693">
        <f t="shared" si="317"/>
        <v>0</v>
      </c>
      <c r="V391" s="693">
        <f t="shared" si="317"/>
        <v>0</v>
      </c>
      <c r="W391" s="693">
        <f t="shared" si="317"/>
        <v>0</v>
      </c>
      <c r="X391" s="693">
        <f t="shared" si="317"/>
        <v>0</v>
      </c>
      <c r="Y391" s="693">
        <f t="shared" si="317"/>
        <v>0</v>
      </c>
      <c r="Z391" s="693">
        <f t="shared" si="317"/>
        <v>0</v>
      </c>
      <c r="AA391" s="693">
        <f t="shared" si="317"/>
        <v>0</v>
      </c>
      <c r="AB391" s="693">
        <f t="shared" si="317"/>
        <v>0</v>
      </c>
    </row>
    <row r="392" spans="1:52" x14ac:dyDescent="0.3">
      <c r="B392" s="193" t="str">
        <f t="shared" si="310"/>
        <v>TFREBDL900</v>
      </c>
      <c r="C392" s="193"/>
      <c r="D392" s="194"/>
      <c r="E392" s="193"/>
      <c r="F392" s="196"/>
      <c r="G392" s="195"/>
      <c r="H392" s="196"/>
      <c r="I392" s="208">
        <f>AF$10</f>
        <v>2050</v>
      </c>
      <c r="J392" s="198"/>
      <c r="K392" s="198"/>
      <c r="L392" s="212" t="s">
        <v>1064</v>
      </c>
      <c r="M392" s="198" t="s">
        <v>747</v>
      </c>
      <c r="N392" s="694">
        <f t="shared" ref="N392:AB392" si="318">N386*LOOKUP($AD381,$AH$4:$AQ$4,$AH$10:$AQ$10)</f>
        <v>0</v>
      </c>
      <c r="O392" s="694">
        <f t="shared" si="318"/>
        <v>0</v>
      </c>
      <c r="P392" s="694">
        <f t="shared" si="318"/>
        <v>0</v>
      </c>
      <c r="Q392" s="694">
        <f t="shared" si="318"/>
        <v>0</v>
      </c>
      <c r="R392" s="694">
        <f t="shared" si="318"/>
        <v>0</v>
      </c>
      <c r="S392" s="694">
        <f t="shared" si="318"/>
        <v>0</v>
      </c>
      <c r="T392" s="694">
        <f t="shared" si="318"/>
        <v>0</v>
      </c>
      <c r="U392" s="694">
        <f t="shared" si="318"/>
        <v>0</v>
      </c>
      <c r="V392" s="694">
        <f t="shared" si="318"/>
        <v>0</v>
      </c>
      <c r="W392" s="694">
        <f t="shared" si="318"/>
        <v>0</v>
      </c>
      <c r="X392" s="694">
        <f t="shared" si="318"/>
        <v>0</v>
      </c>
      <c r="Y392" s="694">
        <f t="shared" si="318"/>
        <v>0</v>
      </c>
      <c r="Z392" s="694">
        <f t="shared" si="318"/>
        <v>0</v>
      </c>
      <c r="AA392" s="694">
        <f t="shared" si="318"/>
        <v>0</v>
      </c>
      <c r="AB392" s="694">
        <f t="shared" si="318"/>
        <v>0</v>
      </c>
      <c r="AD392" s="400"/>
    </row>
    <row r="393" spans="1:52" x14ac:dyDescent="0.3">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3">
      <c r="A394" s="22"/>
      <c r="B394" s="186" t="str">
        <f>B393</f>
        <v>TFREDST900</v>
      </c>
      <c r="C394" s="186"/>
      <c r="D394" s="187"/>
      <c r="E394" s="258" t="s">
        <v>987</v>
      </c>
      <c r="F394" s="170"/>
      <c r="G394" s="189"/>
      <c r="H394" s="170"/>
      <c r="I394" s="190"/>
      <c r="J394" s="191" t="s">
        <v>1222</v>
      </c>
      <c r="K394" s="191"/>
      <c r="L394" s="211" t="s">
        <v>101</v>
      </c>
      <c r="M394" s="191"/>
      <c r="N394" s="377">
        <f>N$28</f>
        <v>0.17499999999999999</v>
      </c>
      <c r="O394" s="377">
        <f t="shared" ref="O394:AB394" si="320">O$28</f>
        <v>0.17499999999999999</v>
      </c>
      <c r="P394" s="377">
        <f t="shared" si="320"/>
        <v>0.17499999999999999</v>
      </c>
      <c r="Q394" s="377">
        <f t="shared" si="320"/>
        <v>0.17499999999999999</v>
      </c>
      <c r="R394" s="377">
        <f t="shared" si="320"/>
        <v>0.17499999999999999</v>
      </c>
      <c r="S394" s="377">
        <f t="shared" si="320"/>
        <v>0.17499999999999999</v>
      </c>
      <c r="T394" s="377">
        <f t="shared" si="320"/>
        <v>0.17499999999999999</v>
      </c>
      <c r="U394" s="377">
        <f t="shared" si="320"/>
        <v>0.17499999999999999</v>
      </c>
      <c r="V394" s="377">
        <f t="shared" si="320"/>
        <v>0.17499999999999999</v>
      </c>
      <c r="W394" s="377">
        <f t="shared" si="320"/>
        <v>0.17499999999999999</v>
      </c>
      <c r="X394" s="377">
        <f t="shared" si="320"/>
        <v>0.17499999999999999</v>
      </c>
      <c r="Y394" s="377">
        <f t="shared" si="320"/>
        <v>0.17499999999999999</v>
      </c>
      <c r="Z394" s="377">
        <f t="shared" si="320"/>
        <v>0.17499999999999999</v>
      </c>
      <c r="AA394" s="377">
        <f t="shared" si="320"/>
        <v>0.17499999999999999</v>
      </c>
      <c r="AB394" s="377">
        <f t="shared" si="320"/>
        <v>0.17499999999999999</v>
      </c>
      <c r="AC394" s="35"/>
      <c r="AD394" s="66" t="str">
        <f>IF(COUNTIF($AH$4:$AQ$4,AD393)=1,"ok","MISSING")</f>
        <v>ok</v>
      </c>
      <c r="AF394" s="89"/>
      <c r="AU394" s="35"/>
      <c r="AV394" s="35"/>
      <c r="AW394" s="35"/>
      <c r="AX394" s="35"/>
      <c r="AY394" s="35"/>
      <c r="AZ394" s="35"/>
    </row>
    <row r="395" spans="1:52" x14ac:dyDescent="0.3">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3">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3">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3">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1">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3">
      <c r="B399" s="186" t="str">
        <f t="shared" si="321"/>
        <v>TFREDST900</v>
      </c>
      <c r="C399" s="186"/>
      <c r="D399" s="187"/>
      <c r="E399" s="186"/>
      <c r="F399" s="170"/>
      <c r="G399" s="189"/>
      <c r="H399" s="170"/>
      <c r="I399" s="190">
        <f>$M$3</f>
        <v>2019</v>
      </c>
      <c r="J399" s="191"/>
      <c r="K399" s="191"/>
      <c r="L399" s="211" t="s">
        <v>1064</v>
      </c>
      <c r="M399" s="191" t="s">
        <v>747</v>
      </c>
      <c r="N399" s="693">
        <f>LOOKUP($C$393, 'T_Stock_TOTAL_&amp;_City'!$C$122:$C$133,'T_Stock_TOTAL_&amp;_City'!D$122:D$133)*(1+N376)</f>
        <v>0</v>
      </c>
      <c r="O399" s="693">
        <f>LOOKUP($C$393, 'T_Stock_TOTAL_&amp;_City'!$C$122:$C$133,'T_Stock_TOTAL_&amp;_City'!E$122:E$133)*(1+O376)</f>
        <v>0</v>
      </c>
      <c r="P399" s="693">
        <f>LOOKUP($C$393, 'T_Stock_TOTAL_&amp;_City'!$C$122:$C$133,'T_Stock_TOTAL_&amp;_City'!F$122:F$133)*(1+P376)</f>
        <v>0</v>
      </c>
      <c r="Q399" s="693">
        <f>LOOKUP($C$393, 'T_Stock_TOTAL_&amp;_City'!$C$122:$C$133,'T_Stock_TOTAL_&amp;_City'!G$122:G$133)*(1+Q376)</f>
        <v>0</v>
      </c>
      <c r="R399" s="693">
        <f>LOOKUP($C$393, 'T_Stock_TOTAL_&amp;_City'!$C$122:$C$133,'T_Stock_TOTAL_&amp;_City'!H$122:H$133)*(1+R376)</f>
        <v>0</v>
      </c>
      <c r="S399" s="693">
        <f>LOOKUP($C$393, 'T_Stock_TOTAL_&amp;_City'!$C$122:$C$133,'T_Stock_TOTAL_&amp;_City'!I$122:I$133)*(1+S376)</f>
        <v>0</v>
      </c>
      <c r="T399" s="693">
        <f>LOOKUP($C$393, 'T_Stock_TOTAL_&amp;_City'!$C$122:$C$133,'T_Stock_TOTAL_&amp;_City'!J$122:J$133)*(1+T376)</f>
        <v>0</v>
      </c>
      <c r="U399" s="693">
        <f>LOOKUP($C$393, 'T_Stock_TOTAL_&amp;_City'!$C$122:$C$133,'T_Stock_TOTAL_&amp;_City'!K$122:K$133)*(1+U376)</f>
        <v>0</v>
      </c>
      <c r="V399" s="693">
        <f>LOOKUP($C$393, 'T_Stock_TOTAL_&amp;_City'!$C$122:$C$133,'T_Stock_TOTAL_&amp;_City'!L$122:L$133)*(1+V376)</f>
        <v>0</v>
      </c>
      <c r="W399" s="693">
        <f>LOOKUP($C$393, 'T_Stock_TOTAL_&amp;_City'!$C$122:$C$133,'T_Stock_TOTAL_&amp;_City'!M$122:M$133)*(1+W376)</f>
        <v>0</v>
      </c>
      <c r="X399" s="693">
        <f>LOOKUP($C$393, 'T_Stock_TOTAL_&amp;_City'!$C$122:$C$133,'T_Stock_TOTAL_&amp;_City'!N$122:N$133)*(1+X376)</f>
        <v>0</v>
      </c>
      <c r="Y399" s="693">
        <f>LOOKUP($C$393, 'T_Stock_TOTAL_&amp;_City'!$C$122:$C$133,'T_Stock_TOTAL_&amp;_City'!O$122:O$133)*(1+Y376)</f>
        <v>0</v>
      </c>
      <c r="Z399" s="693">
        <f>LOOKUP($C$393, 'T_Stock_TOTAL_&amp;_City'!$C$122:$C$133,'T_Stock_TOTAL_&amp;_City'!P$122:P$133)*(1+Z376)</f>
        <v>0</v>
      </c>
      <c r="AA399" s="693">
        <f>LOOKUP($C$393, 'T_Stock_TOTAL_&amp;_City'!$C$122:$C$133,'T_Stock_TOTAL_&amp;_City'!Q$122:Q$133)*(1+AA376)</f>
        <v>0</v>
      </c>
      <c r="AB399" s="693">
        <f>LOOKUP($C$393, 'T_Stock_TOTAL_&amp;_City'!$C$122:$C$133,'T_Stock_TOTAL_&amp;_City'!R$122:R$133)*(1+AB376)</f>
        <v>0</v>
      </c>
    </row>
    <row r="400" spans="1:52" x14ac:dyDescent="0.3">
      <c r="B400" s="186" t="str">
        <f t="shared" si="321"/>
        <v>TFREDST900</v>
      </c>
      <c r="C400" s="186"/>
      <c r="D400" s="187"/>
      <c r="E400" s="186"/>
      <c r="F400" s="170"/>
      <c r="G400" s="189"/>
      <c r="H400" s="170"/>
      <c r="I400" s="183">
        <f>AF$5</f>
        <v>2016</v>
      </c>
      <c r="J400" s="191"/>
      <c r="K400" s="191"/>
      <c r="L400" s="211" t="s">
        <v>1064</v>
      </c>
      <c r="M400" s="191" t="s">
        <v>747</v>
      </c>
      <c r="N400" s="693">
        <f t="shared" ref="N400:AB400" si="324">N399*LOOKUP($AD393,$AH$4:$AQ$4,$AH$5:$AQ$5)</f>
        <v>0</v>
      </c>
      <c r="O400" s="693">
        <f t="shared" si="324"/>
        <v>0</v>
      </c>
      <c r="P400" s="693">
        <f t="shared" si="324"/>
        <v>0</v>
      </c>
      <c r="Q400" s="693">
        <f t="shared" si="324"/>
        <v>0</v>
      </c>
      <c r="R400" s="693">
        <f t="shared" si="324"/>
        <v>0</v>
      </c>
      <c r="S400" s="693">
        <f t="shared" si="324"/>
        <v>0</v>
      </c>
      <c r="T400" s="693">
        <f t="shared" si="324"/>
        <v>0</v>
      </c>
      <c r="U400" s="693">
        <f t="shared" si="324"/>
        <v>0</v>
      </c>
      <c r="V400" s="693">
        <f t="shared" si="324"/>
        <v>0</v>
      </c>
      <c r="W400" s="693">
        <f t="shared" si="324"/>
        <v>0</v>
      </c>
      <c r="X400" s="693">
        <f t="shared" si="324"/>
        <v>0</v>
      </c>
      <c r="Y400" s="693">
        <f t="shared" si="324"/>
        <v>0</v>
      </c>
      <c r="Z400" s="693">
        <f t="shared" si="324"/>
        <v>0</v>
      </c>
      <c r="AA400" s="693">
        <f t="shared" si="324"/>
        <v>0</v>
      </c>
      <c r="AB400" s="693">
        <f t="shared" si="324"/>
        <v>0</v>
      </c>
    </row>
    <row r="401" spans="1:52" x14ac:dyDescent="0.3">
      <c r="B401" s="186" t="str">
        <f t="shared" si="321"/>
        <v>TFREDST900</v>
      </c>
      <c r="C401" s="186"/>
      <c r="D401" s="187"/>
      <c r="E401" s="186"/>
      <c r="F401" s="170"/>
      <c r="G401" s="189"/>
      <c r="H401" s="170"/>
      <c r="I401" s="183">
        <f>AF$6</f>
        <v>2020</v>
      </c>
      <c r="J401" s="191"/>
      <c r="K401" s="191"/>
      <c r="L401" s="211" t="s">
        <v>1064</v>
      </c>
      <c r="M401" s="191" t="s">
        <v>747</v>
      </c>
      <c r="N401" s="693">
        <f t="shared" ref="N401:AB401" si="325">N399*LOOKUP($AD393,$AH$4:$AQ$4,$AH$6:$AQ$6)</f>
        <v>0</v>
      </c>
      <c r="O401" s="693">
        <f t="shared" si="325"/>
        <v>0</v>
      </c>
      <c r="P401" s="693">
        <f t="shared" si="325"/>
        <v>0</v>
      </c>
      <c r="Q401" s="693">
        <f t="shared" si="325"/>
        <v>0</v>
      </c>
      <c r="R401" s="693">
        <f t="shared" si="325"/>
        <v>0</v>
      </c>
      <c r="S401" s="693">
        <f t="shared" si="325"/>
        <v>0</v>
      </c>
      <c r="T401" s="693">
        <f t="shared" si="325"/>
        <v>0</v>
      </c>
      <c r="U401" s="693">
        <f t="shared" si="325"/>
        <v>0</v>
      </c>
      <c r="V401" s="693">
        <f t="shared" si="325"/>
        <v>0</v>
      </c>
      <c r="W401" s="693">
        <f t="shared" si="325"/>
        <v>0</v>
      </c>
      <c r="X401" s="693">
        <f t="shared" si="325"/>
        <v>0</v>
      </c>
      <c r="Y401" s="693">
        <f t="shared" si="325"/>
        <v>0</v>
      </c>
      <c r="Z401" s="693">
        <f t="shared" si="325"/>
        <v>0</v>
      </c>
      <c r="AA401" s="693">
        <f t="shared" si="325"/>
        <v>0</v>
      </c>
      <c r="AB401" s="693">
        <f t="shared" si="325"/>
        <v>0</v>
      </c>
    </row>
    <row r="402" spans="1:52" x14ac:dyDescent="0.3">
      <c r="B402" s="186" t="str">
        <f t="shared" si="321"/>
        <v>TFREDST900</v>
      </c>
      <c r="C402" s="186"/>
      <c r="D402" s="187"/>
      <c r="E402" s="186"/>
      <c r="F402" s="170"/>
      <c r="G402" s="189"/>
      <c r="H402" s="170"/>
      <c r="I402" s="183">
        <f>AF$7</f>
        <v>2025</v>
      </c>
      <c r="J402" s="191"/>
      <c r="K402" s="191"/>
      <c r="L402" s="211" t="s">
        <v>1064</v>
      </c>
      <c r="M402" s="191" t="s">
        <v>747</v>
      </c>
      <c r="N402" s="693">
        <f t="shared" ref="N402:AB402" si="326">N399*LOOKUP($AD393,$AH$4:$AQ$4,$AH$7:$AQ$7)</f>
        <v>0</v>
      </c>
      <c r="O402" s="693">
        <f t="shared" si="326"/>
        <v>0</v>
      </c>
      <c r="P402" s="693">
        <f t="shared" si="326"/>
        <v>0</v>
      </c>
      <c r="Q402" s="693">
        <f t="shared" si="326"/>
        <v>0</v>
      </c>
      <c r="R402" s="693">
        <f t="shared" si="326"/>
        <v>0</v>
      </c>
      <c r="S402" s="693">
        <f t="shared" si="326"/>
        <v>0</v>
      </c>
      <c r="T402" s="693">
        <f t="shared" si="326"/>
        <v>0</v>
      </c>
      <c r="U402" s="693">
        <f t="shared" si="326"/>
        <v>0</v>
      </c>
      <c r="V402" s="693">
        <f t="shared" si="326"/>
        <v>0</v>
      </c>
      <c r="W402" s="693">
        <f t="shared" si="326"/>
        <v>0</v>
      </c>
      <c r="X402" s="693">
        <f t="shared" si="326"/>
        <v>0</v>
      </c>
      <c r="Y402" s="693">
        <f t="shared" si="326"/>
        <v>0</v>
      </c>
      <c r="Z402" s="693">
        <f t="shared" si="326"/>
        <v>0</v>
      </c>
      <c r="AA402" s="693">
        <f t="shared" si="326"/>
        <v>0</v>
      </c>
      <c r="AB402" s="693">
        <f t="shared" si="326"/>
        <v>0</v>
      </c>
    </row>
    <row r="403" spans="1:52" x14ac:dyDescent="0.3">
      <c r="B403" s="186" t="str">
        <f t="shared" si="321"/>
        <v>TFREDST900</v>
      </c>
      <c r="C403" s="186"/>
      <c r="D403" s="187"/>
      <c r="E403" s="186"/>
      <c r="F403" s="170"/>
      <c r="G403" s="189"/>
      <c r="H403" s="170"/>
      <c r="I403" s="183">
        <f>AF$8</f>
        <v>2030</v>
      </c>
      <c r="J403" s="191"/>
      <c r="K403" s="191"/>
      <c r="L403" s="211" t="s">
        <v>1064</v>
      </c>
      <c r="M403" s="191" t="s">
        <v>747</v>
      </c>
      <c r="N403" s="693">
        <f t="shared" ref="N403:AB403" si="327">N399*LOOKUP($AD393,$AH$4:$AQ$4,$AH$8:$AQ$8)</f>
        <v>0</v>
      </c>
      <c r="O403" s="693">
        <f t="shared" si="327"/>
        <v>0</v>
      </c>
      <c r="P403" s="693">
        <f t="shared" si="327"/>
        <v>0</v>
      </c>
      <c r="Q403" s="693">
        <f t="shared" si="327"/>
        <v>0</v>
      </c>
      <c r="R403" s="693">
        <f t="shared" si="327"/>
        <v>0</v>
      </c>
      <c r="S403" s="693">
        <f t="shared" si="327"/>
        <v>0</v>
      </c>
      <c r="T403" s="693">
        <f t="shared" si="327"/>
        <v>0</v>
      </c>
      <c r="U403" s="693">
        <f t="shared" si="327"/>
        <v>0</v>
      </c>
      <c r="V403" s="693">
        <f t="shared" si="327"/>
        <v>0</v>
      </c>
      <c r="W403" s="693">
        <f t="shared" si="327"/>
        <v>0</v>
      </c>
      <c r="X403" s="693">
        <f t="shared" si="327"/>
        <v>0</v>
      </c>
      <c r="Y403" s="693">
        <f t="shared" si="327"/>
        <v>0</v>
      </c>
      <c r="Z403" s="693">
        <f t="shared" si="327"/>
        <v>0</v>
      </c>
      <c r="AA403" s="693">
        <f t="shared" si="327"/>
        <v>0</v>
      </c>
      <c r="AB403" s="693">
        <f t="shared" si="327"/>
        <v>0</v>
      </c>
    </row>
    <row r="404" spans="1:52" x14ac:dyDescent="0.3">
      <c r="B404" s="186" t="str">
        <f t="shared" si="321"/>
        <v>TFREDST900</v>
      </c>
      <c r="C404" s="186"/>
      <c r="D404" s="187"/>
      <c r="E404" s="186"/>
      <c r="F404" s="170"/>
      <c r="G404" s="189"/>
      <c r="H404" s="170"/>
      <c r="I404" s="183">
        <f>AF$9</f>
        <v>2040</v>
      </c>
      <c r="J404" s="191"/>
      <c r="K404" s="191"/>
      <c r="L404" s="211" t="s">
        <v>1064</v>
      </c>
      <c r="M404" s="191" t="s">
        <v>747</v>
      </c>
      <c r="N404" s="693">
        <f t="shared" ref="N404:AB404" si="328">N399*LOOKUP($AD393,$AH$4:$AQ$4,$AH$9:$AQ$9)</f>
        <v>0</v>
      </c>
      <c r="O404" s="693">
        <f t="shared" si="328"/>
        <v>0</v>
      </c>
      <c r="P404" s="693">
        <f t="shared" si="328"/>
        <v>0</v>
      </c>
      <c r="Q404" s="693">
        <f t="shared" si="328"/>
        <v>0</v>
      </c>
      <c r="R404" s="693">
        <f t="shared" si="328"/>
        <v>0</v>
      </c>
      <c r="S404" s="693">
        <f t="shared" si="328"/>
        <v>0</v>
      </c>
      <c r="T404" s="693">
        <f t="shared" si="328"/>
        <v>0</v>
      </c>
      <c r="U404" s="693">
        <f t="shared" si="328"/>
        <v>0</v>
      </c>
      <c r="V404" s="693">
        <f t="shared" si="328"/>
        <v>0</v>
      </c>
      <c r="W404" s="693">
        <f t="shared" si="328"/>
        <v>0</v>
      </c>
      <c r="X404" s="693">
        <f t="shared" si="328"/>
        <v>0</v>
      </c>
      <c r="Y404" s="693">
        <f t="shared" si="328"/>
        <v>0</v>
      </c>
      <c r="Z404" s="693">
        <f t="shared" si="328"/>
        <v>0</v>
      </c>
      <c r="AA404" s="693">
        <f t="shared" si="328"/>
        <v>0</v>
      </c>
      <c r="AB404" s="693">
        <f t="shared" si="328"/>
        <v>0</v>
      </c>
    </row>
    <row r="405" spans="1:52" x14ac:dyDescent="0.3">
      <c r="B405" s="193" t="str">
        <f t="shared" si="321"/>
        <v>TFREDST900</v>
      </c>
      <c r="C405" s="193"/>
      <c r="D405" s="194"/>
      <c r="E405" s="193"/>
      <c r="F405" s="196"/>
      <c r="G405" s="195"/>
      <c r="H405" s="196"/>
      <c r="I405" s="208">
        <f>AF$10</f>
        <v>2050</v>
      </c>
      <c r="J405" s="198"/>
      <c r="K405" s="198"/>
      <c r="L405" s="212" t="s">
        <v>1064</v>
      </c>
      <c r="M405" s="198" t="s">
        <v>747</v>
      </c>
      <c r="N405" s="694">
        <f t="shared" ref="N405:AB405" si="329">N399*LOOKUP($AD393,$AH$4:$AQ$4,$AH$10:$AQ$10)</f>
        <v>0</v>
      </c>
      <c r="O405" s="694">
        <f t="shared" si="329"/>
        <v>0</v>
      </c>
      <c r="P405" s="694">
        <f t="shared" si="329"/>
        <v>0</v>
      </c>
      <c r="Q405" s="694">
        <f t="shared" si="329"/>
        <v>0</v>
      </c>
      <c r="R405" s="694">
        <f t="shared" si="329"/>
        <v>0</v>
      </c>
      <c r="S405" s="694">
        <f t="shared" si="329"/>
        <v>0</v>
      </c>
      <c r="T405" s="694">
        <f t="shared" si="329"/>
        <v>0</v>
      </c>
      <c r="U405" s="694">
        <f t="shared" si="329"/>
        <v>0</v>
      </c>
      <c r="V405" s="694">
        <f t="shared" si="329"/>
        <v>0</v>
      </c>
      <c r="W405" s="694">
        <f t="shared" si="329"/>
        <v>0</v>
      </c>
      <c r="X405" s="694">
        <f t="shared" si="329"/>
        <v>0</v>
      </c>
      <c r="Y405" s="694">
        <f t="shared" si="329"/>
        <v>0</v>
      </c>
      <c r="Z405" s="694">
        <f t="shared" si="329"/>
        <v>0</v>
      </c>
      <c r="AA405" s="694">
        <f t="shared" si="329"/>
        <v>0</v>
      </c>
      <c r="AB405" s="694">
        <f t="shared" si="329"/>
        <v>0</v>
      </c>
      <c r="AD405" s="400"/>
    </row>
    <row r="406" spans="1:52" x14ac:dyDescent="0.3">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3">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3">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3">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3">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1">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3">
      <c r="B411" s="186" t="str">
        <f t="shared" si="331"/>
        <v>TFREELC900</v>
      </c>
      <c r="C411" s="186"/>
      <c r="D411" s="187"/>
      <c r="E411" s="186"/>
      <c r="F411" s="170"/>
      <c r="G411" s="189"/>
      <c r="H411" s="170"/>
      <c r="I411" s="190">
        <f>$M$3</f>
        <v>2019</v>
      </c>
      <c r="J411" s="191"/>
      <c r="K411" s="191"/>
      <c r="L411" s="211" t="s">
        <v>1064</v>
      </c>
      <c r="M411" s="191" t="s">
        <v>747</v>
      </c>
      <c r="N411" s="693">
        <f>LOOKUP($C$406, 'T_Stock_TOTAL_&amp;_City'!$C$122:$C$133,'T_Stock_TOTAL_&amp;_City'!D$122:D$133)*(1+N$376)</f>
        <v>0</v>
      </c>
      <c r="O411" s="693">
        <f>LOOKUP($C$406, 'T_Stock_TOTAL_&amp;_City'!$C$122:$C$133,'T_Stock_TOTAL_&amp;_City'!E$122:E$133)*(1+O376)</f>
        <v>0</v>
      </c>
      <c r="P411" s="693">
        <f>LOOKUP($C$406, 'T_Stock_TOTAL_&amp;_City'!$C$122:$C$133,'T_Stock_TOTAL_&amp;_City'!F$122:F$133)*(1+P376)</f>
        <v>0</v>
      </c>
      <c r="Q411" s="693">
        <f>LOOKUP($C$406, 'T_Stock_TOTAL_&amp;_City'!$C$122:$C$133,'T_Stock_TOTAL_&amp;_City'!G$122:G$133)*(1+Q376)</f>
        <v>0</v>
      </c>
      <c r="R411" s="693">
        <f>LOOKUP($C$406, 'T_Stock_TOTAL_&amp;_City'!$C$122:$C$133,'T_Stock_TOTAL_&amp;_City'!H$122:H$133)*(1+R376)</f>
        <v>0</v>
      </c>
      <c r="S411" s="693">
        <f>LOOKUP($C$406, 'T_Stock_TOTAL_&amp;_City'!$C$122:$C$133,'T_Stock_TOTAL_&amp;_City'!I$122:I$133)*(1+S376)</f>
        <v>0</v>
      </c>
      <c r="T411" s="693">
        <f>LOOKUP($C$406, 'T_Stock_TOTAL_&amp;_City'!$C$122:$C$133,'T_Stock_TOTAL_&amp;_City'!J$122:J$133)*(1+T376)</f>
        <v>0</v>
      </c>
      <c r="U411" s="693">
        <f>LOOKUP($C$406, 'T_Stock_TOTAL_&amp;_City'!$C$122:$C$133,'T_Stock_TOTAL_&amp;_City'!K$122:K$133)*(1+U376)</f>
        <v>0</v>
      </c>
      <c r="V411" s="693">
        <f>LOOKUP($C$406, 'T_Stock_TOTAL_&amp;_City'!$C$122:$C$133,'T_Stock_TOTAL_&amp;_City'!L$122:L$133)*(1+V376)</f>
        <v>0</v>
      </c>
      <c r="W411" s="693">
        <f>LOOKUP($C$406, 'T_Stock_TOTAL_&amp;_City'!$C$122:$C$133,'T_Stock_TOTAL_&amp;_City'!M$122:M$133)*(1+W376)</f>
        <v>0</v>
      </c>
      <c r="X411" s="693">
        <f>LOOKUP($C$406, 'T_Stock_TOTAL_&amp;_City'!$C$122:$C$133,'T_Stock_TOTAL_&amp;_City'!N$122:N$133)*(1+X376)</f>
        <v>0</v>
      </c>
      <c r="Y411" s="693">
        <f>LOOKUP($C$406, 'T_Stock_TOTAL_&amp;_City'!$C$122:$C$133,'T_Stock_TOTAL_&amp;_City'!O$122:O$133)*(1+Y376)</f>
        <v>0</v>
      </c>
      <c r="Z411" s="693">
        <f>LOOKUP($C$406, 'T_Stock_TOTAL_&amp;_City'!$C$122:$C$133,'T_Stock_TOTAL_&amp;_City'!P$122:P$133)*(1+Z376)</f>
        <v>0</v>
      </c>
      <c r="AA411" s="693">
        <f>LOOKUP($C$406, 'T_Stock_TOTAL_&amp;_City'!$C$122:$C$133,'T_Stock_TOTAL_&amp;_City'!Q$122:Q$133)*(1+AA376)</f>
        <v>0</v>
      </c>
      <c r="AB411" s="693">
        <f>LOOKUP($C$406, 'T_Stock_TOTAL_&amp;_City'!$C$122:$C$133,'T_Stock_TOTAL_&amp;_City'!R$122:R$133)*(1+AB376)</f>
        <v>0</v>
      </c>
    </row>
    <row r="412" spans="1:52" x14ac:dyDescent="0.3">
      <c r="B412" s="186" t="str">
        <f t="shared" si="331"/>
        <v>TFREELC900</v>
      </c>
      <c r="C412" s="186"/>
      <c r="D412" s="187"/>
      <c r="E412" s="186"/>
      <c r="F412" s="170"/>
      <c r="G412" s="189"/>
      <c r="H412" s="170"/>
      <c r="I412" s="183">
        <f>AF$5</f>
        <v>2016</v>
      </c>
      <c r="J412" s="191"/>
      <c r="K412" s="191"/>
      <c r="L412" s="211" t="s">
        <v>1064</v>
      </c>
      <c r="M412" s="191" t="s">
        <v>747</v>
      </c>
      <c r="N412" s="693">
        <f t="shared" ref="N412:AB412" si="334">N411*LOOKUP($AD406,$AH$4:$AQ$4,$AH$5:$AQ$5)</f>
        <v>0</v>
      </c>
      <c r="O412" s="693">
        <f t="shared" si="334"/>
        <v>0</v>
      </c>
      <c r="P412" s="693">
        <f t="shared" si="334"/>
        <v>0</v>
      </c>
      <c r="Q412" s="693">
        <f t="shared" si="334"/>
        <v>0</v>
      </c>
      <c r="R412" s="693">
        <f t="shared" si="334"/>
        <v>0</v>
      </c>
      <c r="S412" s="693">
        <f t="shared" si="334"/>
        <v>0</v>
      </c>
      <c r="T412" s="693">
        <f t="shared" si="334"/>
        <v>0</v>
      </c>
      <c r="U412" s="693">
        <f t="shared" si="334"/>
        <v>0</v>
      </c>
      <c r="V412" s="693">
        <f t="shared" si="334"/>
        <v>0</v>
      </c>
      <c r="W412" s="693">
        <f t="shared" si="334"/>
        <v>0</v>
      </c>
      <c r="X412" s="693">
        <f t="shared" si="334"/>
        <v>0</v>
      </c>
      <c r="Y412" s="693">
        <f t="shared" si="334"/>
        <v>0</v>
      </c>
      <c r="Z412" s="693">
        <f t="shared" si="334"/>
        <v>0</v>
      </c>
      <c r="AA412" s="693">
        <f t="shared" si="334"/>
        <v>0</v>
      </c>
      <c r="AB412" s="693">
        <f t="shared" si="334"/>
        <v>0</v>
      </c>
    </row>
    <row r="413" spans="1:52" x14ac:dyDescent="0.3">
      <c r="B413" s="186" t="str">
        <f t="shared" si="331"/>
        <v>TFREELC900</v>
      </c>
      <c r="C413" s="186"/>
      <c r="D413" s="187"/>
      <c r="E413" s="186"/>
      <c r="F413" s="170"/>
      <c r="G413" s="189"/>
      <c r="H413" s="170"/>
      <c r="I413" s="183">
        <f>AF$6</f>
        <v>2020</v>
      </c>
      <c r="J413" s="191"/>
      <c r="K413" s="191"/>
      <c r="L413" s="211" t="s">
        <v>1064</v>
      </c>
      <c r="M413" s="191" t="s">
        <v>747</v>
      </c>
      <c r="N413" s="693">
        <f t="shared" ref="N413:AB413" si="335">N411*LOOKUP($AD406,$AH$4:$AQ$4,$AH$6:$AQ$6)</f>
        <v>0</v>
      </c>
      <c r="O413" s="693">
        <f t="shared" si="335"/>
        <v>0</v>
      </c>
      <c r="P413" s="693">
        <f t="shared" si="335"/>
        <v>0</v>
      </c>
      <c r="Q413" s="693">
        <f t="shared" si="335"/>
        <v>0</v>
      </c>
      <c r="R413" s="693">
        <f t="shared" si="335"/>
        <v>0</v>
      </c>
      <c r="S413" s="693">
        <f t="shared" si="335"/>
        <v>0</v>
      </c>
      <c r="T413" s="693">
        <f t="shared" si="335"/>
        <v>0</v>
      </c>
      <c r="U413" s="693">
        <f t="shared" si="335"/>
        <v>0</v>
      </c>
      <c r="V413" s="693">
        <f t="shared" si="335"/>
        <v>0</v>
      </c>
      <c r="W413" s="693">
        <f t="shared" si="335"/>
        <v>0</v>
      </c>
      <c r="X413" s="693">
        <f t="shared" si="335"/>
        <v>0</v>
      </c>
      <c r="Y413" s="693">
        <f t="shared" si="335"/>
        <v>0</v>
      </c>
      <c r="Z413" s="693">
        <f t="shared" si="335"/>
        <v>0</v>
      </c>
      <c r="AA413" s="693">
        <f t="shared" si="335"/>
        <v>0</v>
      </c>
      <c r="AB413" s="693">
        <f t="shared" si="335"/>
        <v>0</v>
      </c>
    </row>
    <row r="414" spans="1:52" x14ac:dyDescent="0.3">
      <c r="B414" s="186" t="str">
        <f t="shared" si="331"/>
        <v>TFREELC900</v>
      </c>
      <c r="C414" s="186"/>
      <c r="D414" s="187"/>
      <c r="E414" s="186"/>
      <c r="F414" s="170"/>
      <c r="G414" s="189"/>
      <c r="H414" s="170"/>
      <c r="I414" s="183">
        <f>AF$7</f>
        <v>2025</v>
      </c>
      <c r="J414" s="191"/>
      <c r="K414" s="191"/>
      <c r="L414" s="211" t="s">
        <v>1064</v>
      </c>
      <c r="M414" s="191" t="s">
        <v>747</v>
      </c>
      <c r="N414" s="693">
        <f t="shared" ref="N414:AB414" si="336">N411*LOOKUP($AD406,$AH$4:$AQ$4,$AH$7:$AQ$7)</f>
        <v>0</v>
      </c>
      <c r="O414" s="693">
        <f t="shared" si="336"/>
        <v>0</v>
      </c>
      <c r="P414" s="693">
        <f t="shared" si="336"/>
        <v>0</v>
      </c>
      <c r="Q414" s="693">
        <f t="shared" si="336"/>
        <v>0</v>
      </c>
      <c r="R414" s="693">
        <f t="shared" si="336"/>
        <v>0</v>
      </c>
      <c r="S414" s="693">
        <f t="shared" si="336"/>
        <v>0</v>
      </c>
      <c r="T414" s="693">
        <f t="shared" si="336"/>
        <v>0</v>
      </c>
      <c r="U414" s="693">
        <f t="shared" si="336"/>
        <v>0</v>
      </c>
      <c r="V414" s="693">
        <f t="shared" si="336"/>
        <v>0</v>
      </c>
      <c r="W414" s="693">
        <f t="shared" si="336"/>
        <v>0</v>
      </c>
      <c r="X414" s="693">
        <f t="shared" si="336"/>
        <v>0</v>
      </c>
      <c r="Y414" s="693">
        <f t="shared" si="336"/>
        <v>0</v>
      </c>
      <c r="Z414" s="693">
        <f t="shared" si="336"/>
        <v>0</v>
      </c>
      <c r="AA414" s="693">
        <f t="shared" si="336"/>
        <v>0</v>
      </c>
      <c r="AB414" s="693">
        <f t="shared" si="336"/>
        <v>0</v>
      </c>
    </row>
    <row r="415" spans="1:52" x14ac:dyDescent="0.3">
      <c r="B415" s="186" t="str">
        <f t="shared" si="331"/>
        <v>TFREELC900</v>
      </c>
      <c r="C415" s="186"/>
      <c r="D415" s="187"/>
      <c r="E415" s="186"/>
      <c r="F415" s="170"/>
      <c r="G415" s="189"/>
      <c r="H415" s="170"/>
      <c r="I415" s="183">
        <f>AF$8</f>
        <v>2030</v>
      </c>
      <c r="J415" s="191"/>
      <c r="K415" s="191"/>
      <c r="L415" s="211" t="s">
        <v>1064</v>
      </c>
      <c r="M415" s="191" t="s">
        <v>747</v>
      </c>
      <c r="N415" s="693">
        <f t="shared" ref="N415:AB415" si="337">N411*LOOKUP($AD406,$AH$4:$AQ$4,$AH$8:$AQ$8)</f>
        <v>0</v>
      </c>
      <c r="O415" s="693">
        <f t="shared" si="337"/>
        <v>0</v>
      </c>
      <c r="P415" s="693">
        <f t="shared" si="337"/>
        <v>0</v>
      </c>
      <c r="Q415" s="693">
        <f t="shared" si="337"/>
        <v>0</v>
      </c>
      <c r="R415" s="693">
        <f t="shared" si="337"/>
        <v>0</v>
      </c>
      <c r="S415" s="693">
        <f t="shared" si="337"/>
        <v>0</v>
      </c>
      <c r="T415" s="693">
        <f t="shared" si="337"/>
        <v>0</v>
      </c>
      <c r="U415" s="693">
        <f t="shared" si="337"/>
        <v>0</v>
      </c>
      <c r="V415" s="693">
        <f t="shared" si="337"/>
        <v>0</v>
      </c>
      <c r="W415" s="693">
        <f t="shared" si="337"/>
        <v>0</v>
      </c>
      <c r="X415" s="693">
        <f t="shared" si="337"/>
        <v>0</v>
      </c>
      <c r="Y415" s="693">
        <f t="shared" si="337"/>
        <v>0</v>
      </c>
      <c r="Z415" s="693">
        <f t="shared" si="337"/>
        <v>0</v>
      </c>
      <c r="AA415" s="693">
        <f t="shared" si="337"/>
        <v>0</v>
      </c>
      <c r="AB415" s="693">
        <f t="shared" si="337"/>
        <v>0</v>
      </c>
    </row>
    <row r="416" spans="1:52" x14ac:dyDescent="0.3">
      <c r="B416" s="186" t="str">
        <f t="shared" si="331"/>
        <v>TFREELC900</v>
      </c>
      <c r="C416" s="186"/>
      <c r="D416" s="187"/>
      <c r="E416" s="186"/>
      <c r="F416" s="170"/>
      <c r="G416" s="189"/>
      <c r="H416" s="170"/>
      <c r="I416" s="183">
        <f>AF$9</f>
        <v>2040</v>
      </c>
      <c r="J416" s="191"/>
      <c r="K416" s="191"/>
      <c r="L416" s="211" t="s">
        <v>1064</v>
      </c>
      <c r="M416" s="191" t="s">
        <v>747</v>
      </c>
      <c r="N416" s="693">
        <f t="shared" ref="N416:AB416" si="338">N411*LOOKUP($AD406,$AH$4:$AQ$4,$AH$9:$AQ$9)</f>
        <v>0</v>
      </c>
      <c r="O416" s="693">
        <f t="shared" si="338"/>
        <v>0</v>
      </c>
      <c r="P416" s="693">
        <f t="shared" si="338"/>
        <v>0</v>
      </c>
      <c r="Q416" s="693">
        <f t="shared" si="338"/>
        <v>0</v>
      </c>
      <c r="R416" s="693">
        <f t="shared" si="338"/>
        <v>0</v>
      </c>
      <c r="S416" s="693">
        <f t="shared" si="338"/>
        <v>0</v>
      </c>
      <c r="T416" s="693">
        <f t="shared" si="338"/>
        <v>0</v>
      </c>
      <c r="U416" s="693">
        <f t="shared" si="338"/>
        <v>0</v>
      </c>
      <c r="V416" s="693">
        <f t="shared" si="338"/>
        <v>0</v>
      </c>
      <c r="W416" s="693">
        <f t="shared" si="338"/>
        <v>0</v>
      </c>
      <c r="X416" s="693">
        <f t="shared" si="338"/>
        <v>0</v>
      </c>
      <c r="Y416" s="693">
        <f t="shared" si="338"/>
        <v>0</v>
      </c>
      <c r="Z416" s="693">
        <f t="shared" si="338"/>
        <v>0</v>
      </c>
      <c r="AA416" s="693">
        <f t="shared" si="338"/>
        <v>0</v>
      </c>
      <c r="AB416" s="693">
        <f t="shared" si="338"/>
        <v>0</v>
      </c>
    </row>
    <row r="417" spans="1:52" x14ac:dyDescent="0.3">
      <c r="B417" s="193" t="str">
        <f t="shared" si="331"/>
        <v>TFREELC900</v>
      </c>
      <c r="C417" s="193"/>
      <c r="D417" s="194"/>
      <c r="E417" s="193"/>
      <c r="F417" s="196"/>
      <c r="G417" s="195"/>
      <c r="H417" s="196"/>
      <c r="I417" s="208">
        <f>AF$10</f>
        <v>2050</v>
      </c>
      <c r="J417" s="198"/>
      <c r="K417" s="198"/>
      <c r="L417" s="212" t="s">
        <v>1064</v>
      </c>
      <c r="M417" s="198" t="s">
        <v>747</v>
      </c>
      <c r="N417" s="694">
        <f t="shared" ref="N417:AB417" si="339">N411*LOOKUP($AD406,$AH$4:$AQ$4,$AH$10:$AQ$10)</f>
        <v>0</v>
      </c>
      <c r="O417" s="694">
        <f t="shared" si="339"/>
        <v>0</v>
      </c>
      <c r="P417" s="694">
        <f t="shared" si="339"/>
        <v>0</v>
      </c>
      <c r="Q417" s="694">
        <f t="shared" si="339"/>
        <v>0</v>
      </c>
      <c r="R417" s="694">
        <f t="shared" si="339"/>
        <v>0</v>
      </c>
      <c r="S417" s="694">
        <f t="shared" si="339"/>
        <v>0</v>
      </c>
      <c r="T417" s="694">
        <f t="shared" si="339"/>
        <v>0</v>
      </c>
      <c r="U417" s="694">
        <f t="shared" si="339"/>
        <v>0</v>
      </c>
      <c r="V417" s="694">
        <f t="shared" si="339"/>
        <v>0</v>
      </c>
      <c r="W417" s="694">
        <f t="shared" si="339"/>
        <v>0</v>
      </c>
      <c r="X417" s="694">
        <f t="shared" si="339"/>
        <v>0</v>
      </c>
      <c r="Y417" s="694">
        <f t="shared" si="339"/>
        <v>0</v>
      </c>
      <c r="Z417" s="694">
        <f t="shared" si="339"/>
        <v>0</v>
      </c>
      <c r="AA417" s="694">
        <f t="shared" si="339"/>
        <v>0</v>
      </c>
      <c r="AB417" s="694">
        <f t="shared" si="339"/>
        <v>0</v>
      </c>
    </row>
    <row r="418" spans="1:52" x14ac:dyDescent="0.3">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3">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3">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3">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3">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30.176615384615381</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1">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3">
      <c r="A423" s="22"/>
      <c r="B423" s="186" t="str">
        <f>B422</f>
        <v>TFREETH900</v>
      </c>
      <c r="C423" s="186"/>
      <c r="D423" s="187"/>
      <c r="E423" s="186"/>
      <c r="F423" s="170"/>
      <c r="G423" s="189"/>
      <c r="H423" s="170"/>
      <c r="I423" s="190">
        <f>$M$3</f>
        <v>2019</v>
      </c>
      <c r="J423" s="191"/>
      <c r="K423" s="191"/>
      <c r="L423" s="211" t="s">
        <v>1064</v>
      </c>
      <c r="M423" s="191" t="s">
        <v>747</v>
      </c>
      <c r="N423" s="693">
        <f>LOOKUP($C$418, 'T_Stock_TOTAL_&amp;_City'!$C$122:$C$133,'T_Stock_TOTAL_&amp;_City'!D$122:D$133)*(1+N$376)</f>
        <v>0</v>
      </c>
      <c r="O423" s="693">
        <f>LOOKUP($C$418, 'T_Stock_TOTAL_&amp;_City'!$C$122:$C$133,'T_Stock_TOTAL_&amp;_City'!E$122:E$133)*(1+O$376)</f>
        <v>0</v>
      </c>
      <c r="P423" s="693">
        <f>LOOKUP($C$418, 'T_Stock_TOTAL_&amp;_City'!$C$122:$C$133,'T_Stock_TOTAL_&amp;_City'!F$122:F$133)*(1+P$376)</f>
        <v>0</v>
      </c>
      <c r="Q423" s="693">
        <f>LOOKUP($C$418, 'T_Stock_TOTAL_&amp;_City'!$C$122:$C$133,'T_Stock_TOTAL_&amp;_City'!G$122:G$133)*(1+Q$376)</f>
        <v>0</v>
      </c>
      <c r="R423" s="693">
        <f>LOOKUP($C$418, 'T_Stock_TOTAL_&amp;_City'!$C$122:$C$133,'T_Stock_TOTAL_&amp;_City'!H$122:H$133)*(1+R$376)</f>
        <v>0</v>
      </c>
      <c r="S423" s="693">
        <f>LOOKUP($C$418, 'T_Stock_TOTAL_&amp;_City'!$C$122:$C$133,'T_Stock_TOTAL_&amp;_City'!I$122:I$133)*(1+S$376)</f>
        <v>0</v>
      </c>
      <c r="T423" s="693">
        <f>LOOKUP($C$418, 'T_Stock_TOTAL_&amp;_City'!$C$122:$C$133,'T_Stock_TOTAL_&amp;_City'!J$122:J$133)*(1+T$376)</f>
        <v>0</v>
      </c>
      <c r="U423" s="693">
        <f>LOOKUP($C$418, 'T_Stock_TOTAL_&amp;_City'!$C$122:$C$133,'T_Stock_TOTAL_&amp;_City'!K$122:K$133)*(1+U$376)</f>
        <v>0</v>
      </c>
      <c r="V423" s="693">
        <f>LOOKUP($C$418, 'T_Stock_TOTAL_&amp;_City'!$C$122:$C$133,'T_Stock_TOTAL_&amp;_City'!L$122:L$133)*(1+V$376)</f>
        <v>0</v>
      </c>
      <c r="W423" s="693">
        <f>LOOKUP($C$418, 'T_Stock_TOTAL_&amp;_City'!$C$122:$C$133,'T_Stock_TOTAL_&amp;_City'!M$122:M$133)*(1+W$376)</f>
        <v>0</v>
      </c>
      <c r="X423" s="693">
        <f>LOOKUP($C$418, 'T_Stock_TOTAL_&amp;_City'!$C$122:$C$133,'T_Stock_TOTAL_&amp;_City'!N$122:N$133)*(1+X$376)</f>
        <v>0</v>
      </c>
      <c r="Y423" s="693">
        <f>LOOKUP($C$418, 'T_Stock_TOTAL_&amp;_City'!$C$122:$C$133,'T_Stock_TOTAL_&amp;_City'!O$122:O$133)*(1+Y$376)</f>
        <v>0</v>
      </c>
      <c r="Z423" s="693">
        <f>LOOKUP($C$418, 'T_Stock_TOTAL_&amp;_City'!$C$122:$C$133,'T_Stock_TOTAL_&amp;_City'!P$122:P$133)*(1+Z$376)</f>
        <v>0</v>
      </c>
      <c r="AA423" s="693">
        <f>LOOKUP($C$418, 'T_Stock_TOTAL_&amp;_City'!$C$122:$C$133,'T_Stock_TOTAL_&amp;_City'!Q$122:Q$133)*(1+AA$376)</f>
        <v>0</v>
      </c>
      <c r="AB423" s="693">
        <f>LOOKUP($C$418, 'T_Stock_TOTAL_&amp;_City'!$C$122:$C$133,'T_Stock_TOTAL_&amp;_City'!R$122:R$133)*(1+AB$376)</f>
        <v>0</v>
      </c>
    </row>
    <row r="424" spans="1:52" x14ac:dyDescent="0.3">
      <c r="A424" s="22"/>
      <c r="B424" s="186" t="str">
        <f t="shared" si="341"/>
        <v>TFREETH900</v>
      </c>
      <c r="C424" s="186"/>
      <c r="D424" s="187"/>
      <c r="E424" s="186"/>
      <c r="F424" s="170"/>
      <c r="G424" s="189"/>
      <c r="H424" s="170"/>
      <c r="I424" s="183">
        <f>AF$5</f>
        <v>2016</v>
      </c>
      <c r="J424" s="191"/>
      <c r="K424" s="191"/>
      <c r="L424" s="211" t="s">
        <v>1064</v>
      </c>
      <c r="M424" s="191" t="s">
        <v>747</v>
      </c>
      <c r="N424" s="693">
        <f t="shared" ref="N424:AB424" si="344">N423*LOOKUP($AD418,$AH$4:$AQ$4,$AH$5:$AQ$5)</f>
        <v>0</v>
      </c>
      <c r="O424" s="693">
        <f t="shared" si="344"/>
        <v>0</v>
      </c>
      <c r="P424" s="693">
        <f t="shared" si="344"/>
        <v>0</v>
      </c>
      <c r="Q424" s="693">
        <f t="shared" si="344"/>
        <v>0</v>
      </c>
      <c r="R424" s="693">
        <f t="shared" si="344"/>
        <v>0</v>
      </c>
      <c r="S424" s="693">
        <f t="shared" si="344"/>
        <v>0</v>
      </c>
      <c r="T424" s="693">
        <f t="shared" si="344"/>
        <v>0</v>
      </c>
      <c r="U424" s="693">
        <f t="shared" si="344"/>
        <v>0</v>
      </c>
      <c r="V424" s="693">
        <f t="shared" si="344"/>
        <v>0</v>
      </c>
      <c r="W424" s="693">
        <f t="shared" si="344"/>
        <v>0</v>
      </c>
      <c r="X424" s="693">
        <f t="shared" si="344"/>
        <v>0</v>
      </c>
      <c r="Y424" s="693">
        <f t="shared" si="344"/>
        <v>0</v>
      </c>
      <c r="Z424" s="693">
        <f t="shared" si="344"/>
        <v>0</v>
      </c>
      <c r="AA424" s="693">
        <f t="shared" si="344"/>
        <v>0</v>
      </c>
      <c r="AB424" s="693">
        <f t="shared" si="344"/>
        <v>0</v>
      </c>
    </row>
    <row r="425" spans="1:52" x14ac:dyDescent="0.3">
      <c r="A425" s="22"/>
      <c r="B425" s="186" t="str">
        <f t="shared" si="341"/>
        <v>TFREETH900</v>
      </c>
      <c r="C425" s="186"/>
      <c r="D425" s="187"/>
      <c r="E425" s="186"/>
      <c r="F425" s="170"/>
      <c r="G425" s="189"/>
      <c r="H425" s="170"/>
      <c r="I425" s="183">
        <f>AF$6</f>
        <v>2020</v>
      </c>
      <c r="J425" s="191"/>
      <c r="K425" s="191"/>
      <c r="L425" s="211" t="s">
        <v>1064</v>
      </c>
      <c r="M425" s="191" t="s">
        <v>747</v>
      </c>
      <c r="N425" s="693">
        <f t="shared" ref="N425:AB425" si="345">N423*LOOKUP($AD418,$AH$4:$AQ$4,$AH$6:$AQ$6)</f>
        <v>0</v>
      </c>
      <c r="O425" s="693">
        <f t="shared" si="345"/>
        <v>0</v>
      </c>
      <c r="P425" s="693">
        <f t="shared" si="345"/>
        <v>0</v>
      </c>
      <c r="Q425" s="693">
        <f t="shared" si="345"/>
        <v>0</v>
      </c>
      <c r="R425" s="693">
        <f t="shared" si="345"/>
        <v>0</v>
      </c>
      <c r="S425" s="693">
        <f t="shared" si="345"/>
        <v>0</v>
      </c>
      <c r="T425" s="693">
        <f t="shared" si="345"/>
        <v>0</v>
      </c>
      <c r="U425" s="693">
        <f t="shared" si="345"/>
        <v>0</v>
      </c>
      <c r="V425" s="693">
        <f t="shared" si="345"/>
        <v>0</v>
      </c>
      <c r="W425" s="693">
        <f t="shared" si="345"/>
        <v>0</v>
      </c>
      <c r="X425" s="693">
        <f t="shared" si="345"/>
        <v>0</v>
      </c>
      <c r="Y425" s="693">
        <f t="shared" si="345"/>
        <v>0</v>
      </c>
      <c r="Z425" s="693">
        <f t="shared" si="345"/>
        <v>0</v>
      </c>
      <c r="AA425" s="693">
        <f t="shared" si="345"/>
        <v>0</v>
      </c>
      <c r="AB425" s="693">
        <f t="shared" si="345"/>
        <v>0</v>
      </c>
    </row>
    <row r="426" spans="1:52" x14ac:dyDescent="0.3">
      <c r="A426" s="22"/>
      <c r="B426" s="186" t="str">
        <f t="shared" si="341"/>
        <v>TFREETH900</v>
      </c>
      <c r="C426" s="186"/>
      <c r="D426" s="186"/>
      <c r="E426" s="186"/>
      <c r="F426" s="170"/>
      <c r="G426" s="189"/>
      <c r="H426" s="170"/>
      <c r="I426" s="183">
        <f>AF$7</f>
        <v>2025</v>
      </c>
      <c r="J426" s="191"/>
      <c r="K426" s="191"/>
      <c r="L426" s="211" t="s">
        <v>1064</v>
      </c>
      <c r="M426" s="191" t="s">
        <v>747</v>
      </c>
      <c r="N426" s="693">
        <f t="shared" ref="N426:AB426" si="346">N423*LOOKUP($AD418,$AH$4:$AQ$4,$AH$7:$AQ$7)</f>
        <v>0</v>
      </c>
      <c r="O426" s="693">
        <f t="shared" si="346"/>
        <v>0</v>
      </c>
      <c r="P426" s="693">
        <f t="shared" si="346"/>
        <v>0</v>
      </c>
      <c r="Q426" s="693">
        <f t="shared" si="346"/>
        <v>0</v>
      </c>
      <c r="R426" s="693">
        <f t="shared" si="346"/>
        <v>0</v>
      </c>
      <c r="S426" s="693">
        <f t="shared" si="346"/>
        <v>0</v>
      </c>
      <c r="T426" s="693">
        <f t="shared" si="346"/>
        <v>0</v>
      </c>
      <c r="U426" s="693">
        <f t="shared" si="346"/>
        <v>0</v>
      </c>
      <c r="V426" s="693">
        <f t="shared" si="346"/>
        <v>0</v>
      </c>
      <c r="W426" s="693">
        <f t="shared" si="346"/>
        <v>0</v>
      </c>
      <c r="X426" s="693">
        <f t="shared" si="346"/>
        <v>0</v>
      </c>
      <c r="Y426" s="693">
        <f t="shared" si="346"/>
        <v>0</v>
      </c>
      <c r="Z426" s="693">
        <f t="shared" si="346"/>
        <v>0</v>
      </c>
      <c r="AA426" s="693">
        <f t="shared" si="346"/>
        <v>0</v>
      </c>
      <c r="AB426" s="693">
        <f t="shared" si="346"/>
        <v>0</v>
      </c>
    </row>
    <row r="427" spans="1:52" x14ac:dyDescent="0.3">
      <c r="A427" s="22"/>
      <c r="B427" s="186" t="str">
        <f t="shared" si="341"/>
        <v>TFREETH900</v>
      </c>
      <c r="C427" s="186"/>
      <c r="D427" s="186"/>
      <c r="E427" s="186"/>
      <c r="F427" s="170"/>
      <c r="G427" s="189"/>
      <c r="H427" s="170"/>
      <c r="I427" s="183">
        <f>AF$8</f>
        <v>2030</v>
      </c>
      <c r="J427" s="191"/>
      <c r="K427" s="191"/>
      <c r="L427" s="211" t="s">
        <v>1064</v>
      </c>
      <c r="M427" s="191" t="s">
        <v>747</v>
      </c>
      <c r="N427" s="693">
        <f t="shared" ref="N427:AB427" si="347">N423*LOOKUP($AD418,$AH$4:$AQ$4,$AH$8:$AQ$8)</f>
        <v>0</v>
      </c>
      <c r="O427" s="693">
        <f t="shared" si="347"/>
        <v>0</v>
      </c>
      <c r="P427" s="693">
        <f t="shared" si="347"/>
        <v>0</v>
      </c>
      <c r="Q427" s="693">
        <f t="shared" si="347"/>
        <v>0</v>
      </c>
      <c r="R427" s="693">
        <f t="shared" si="347"/>
        <v>0</v>
      </c>
      <c r="S427" s="693">
        <f t="shared" si="347"/>
        <v>0</v>
      </c>
      <c r="T427" s="693">
        <f t="shared" si="347"/>
        <v>0</v>
      </c>
      <c r="U427" s="693">
        <f t="shared" si="347"/>
        <v>0</v>
      </c>
      <c r="V427" s="693">
        <f t="shared" si="347"/>
        <v>0</v>
      </c>
      <c r="W427" s="693">
        <f t="shared" si="347"/>
        <v>0</v>
      </c>
      <c r="X427" s="693">
        <f t="shared" si="347"/>
        <v>0</v>
      </c>
      <c r="Y427" s="693">
        <f t="shared" si="347"/>
        <v>0</v>
      </c>
      <c r="Z427" s="693">
        <f t="shared" si="347"/>
        <v>0</v>
      </c>
      <c r="AA427" s="693">
        <f t="shared" si="347"/>
        <v>0</v>
      </c>
      <c r="AB427" s="693">
        <f t="shared" si="347"/>
        <v>0</v>
      </c>
    </row>
    <row r="428" spans="1:52" x14ac:dyDescent="0.3">
      <c r="A428" s="22"/>
      <c r="B428" s="186" t="str">
        <f t="shared" si="341"/>
        <v>TFREETH900</v>
      </c>
      <c r="C428" s="186"/>
      <c r="D428" s="186"/>
      <c r="E428" s="186"/>
      <c r="F428" s="170"/>
      <c r="G428" s="189"/>
      <c r="H428" s="170"/>
      <c r="I428" s="183">
        <f>AF$9</f>
        <v>2040</v>
      </c>
      <c r="J428" s="191"/>
      <c r="K428" s="191"/>
      <c r="L428" s="211" t="s">
        <v>1064</v>
      </c>
      <c r="M428" s="191" t="s">
        <v>747</v>
      </c>
      <c r="N428" s="693">
        <f t="shared" ref="N428:AB428" si="348">N423*LOOKUP($AD418,$AH$4:$AQ$4,$AH$9:$AQ$9)</f>
        <v>0</v>
      </c>
      <c r="O428" s="693">
        <f t="shared" si="348"/>
        <v>0</v>
      </c>
      <c r="P428" s="693">
        <f t="shared" si="348"/>
        <v>0</v>
      </c>
      <c r="Q428" s="693">
        <f t="shared" si="348"/>
        <v>0</v>
      </c>
      <c r="R428" s="693">
        <f t="shared" si="348"/>
        <v>0</v>
      </c>
      <c r="S428" s="693">
        <f t="shared" si="348"/>
        <v>0</v>
      </c>
      <c r="T428" s="693">
        <f t="shared" si="348"/>
        <v>0</v>
      </c>
      <c r="U428" s="693">
        <f t="shared" si="348"/>
        <v>0</v>
      </c>
      <c r="V428" s="693">
        <f t="shared" si="348"/>
        <v>0</v>
      </c>
      <c r="W428" s="693">
        <f t="shared" si="348"/>
        <v>0</v>
      </c>
      <c r="X428" s="693">
        <f t="shared" si="348"/>
        <v>0</v>
      </c>
      <c r="Y428" s="693">
        <f t="shared" si="348"/>
        <v>0</v>
      </c>
      <c r="Z428" s="693">
        <f t="shared" si="348"/>
        <v>0</v>
      </c>
      <c r="AA428" s="693">
        <f t="shared" si="348"/>
        <v>0</v>
      </c>
      <c r="AB428" s="693">
        <f t="shared" si="348"/>
        <v>0</v>
      </c>
    </row>
    <row r="429" spans="1:52" x14ac:dyDescent="0.3">
      <c r="A429" s="22"/>
      <c r="B429" s="193" t="str">
        <f t="shared" si="341"/>
        <v>TFREETH900</v>
      </c>
      <c r="C429" s="193"/>
      <c r="D429" s="193"/>
      <c r="E429" s="193"/>
      <c r="F429" s="196"/>
      <c r="G429" s="195"/>
      <c r="H429" s="196"/>
      <c r="I429" s="208">
        <f>AF$10</f>
        <v>2050</v>
      </c>
      <c r="J429" s="198"/>
      <c r="K429" s="198"/>
      <c r="L429" s="212" t="s">
        <v>1064</v>
      </c>
      <c r="M429" s="198" t="s">
        <v>747</v>
      </c>
      <c r="N429" s="694">
        <f t="shared" ref="N429:AB429" si="349">N423*LOOKUP($AD418,$AH$4:$AQ$4,$AH$10:$AQ$10)</f>
        <v>0</v>
      </c>
      <c r="O429" s="694">
        <f t="shared" si="349"/>
        <v>0</v>
      </c>
      <c r="P429" s="694">
        <f t="shared" si="349"/>
        <v>0</v>
      </c>
      <c r="Q429" s="694">
        <f t="shared" si="349"/>
        <v>0</v>
      </c>
      <c r="R429" s="694">
        <f t="shared" si="349"/>
        <v>0</v>
      </c>
      <c r="S429" s="694">
        <f t="shared" si="349"/>
        <v>0</v>
      </c>
      <c r="T429" s="694">
        <f t="shared" si="349"/>
        <v>0</v>
      </c>
      <c r="U429" s="694">
        <f t="shared" si="349"/>
        <v>0</v>
      </c>
      <c r="V429" s="694">
        <f t="shared" si="349"/>
        <v>0</v>
      </c>
      <c r="W429" s="694">
        <f t="shared" si="349"/>
        <v>0</v>
      </c>
      <c r="X429" s="694">
        <f t="shared" si="349"/>
        <v>0</v>
      </c>
      <c r="Y429" s="694">
        <f t="shared" si="349"/>
        <v>0</v>
      </c>
      <c r="Z429" s="694">
        <f t="shared" si="349"/>
        <v>0</v>
      </c>
      <c r="AA429" s="694">
        <f t="shared" si="349"/>
        <v>0</v>
      </c>
      <c r="AB429" s="694">
        <f t="shared" si="349"/>
        <v>0</v>
      </c>
    </row>
    <row r="430" spans="1:52" x14ac:dyDescent="0.3">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3">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3">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3">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3">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3">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29.592641657334823</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1">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3">
      <c r="A436" s="22"/>
      <c r="B436" s="186" t="str">
        <f t="shared" si="351"/>
        <v>TFREGAS900</v>
      </c>
      <c r="C436" s="186"/>
      <c r="D436" s="187"/>
      <c r="E436" s="186"/>
      <c r="F436" s="170"/>
      <c r="G436" s="189"/>
      <c r="H436" s="170"/>
      <c r="I436" s="190">
        <f>$M$3</f>
        <v>2019</v>
      </c>
      <c r="J436" s="191"/>
      <c r="K436" s="191"/>
      <c r="L436" s="211" t="s">
        <v>1064</v>
      </c>
      <c r="M436" s="191" t="s">
        <v>747</v>
      </c>
      <c r="N436" s="693">
        <f>LOOKUP($C$430, 'T_Stock_TOTAL_&amp;_City'!$C$122:$C$133,'T_Stock_TOTAL_&amp;_City'!D$122:D$133)*(1+N$376)</f>
        <v>0</v>
      </c>
      <c r="O436" s="693">
        <f>LOOKUP($C$430, 'T_Stock_TOTAL_&amp;_City'!$C$122:$C$133,'T_Stock_TOTAL_&amp;_City'!E$122:E$133)*(1+O$376)</f>
        <v>0</v>
      </c>
      <c r="P436" s="693">
        <f>LOOKUP($C$430, 'T_Stock_TOTAL_&amp;_City'!$C$122:$C$133,'T_Stock_TOTAL_&amp;_City'!F$122:F$133)*(1+P$376)</f>
        <v>0</v>
      </c>
      <c r="Q436" s="693">
        <f>LOOKUP($C$430, 'T_Stock_TOTAL_&amp;_City'!$C$122:$C$133,'T_Stock_TOTAL_&amp;_City'!G$122:G$133)*(1+Q$376)</f>
        <v>0</v>
      </c>
      <c r="R436" s="693">
        <f>LOOKUP($C$430, 'T_Stock_TOTAL_&amp;_City'!$C$122:$C$133,'T_Stock_TOTAL_&amp;_City'!H$122:H$133)*(1+R$376)</f>
        <v>0</v>
      </c>
      <c r="S436" s="693">
        <f>LOOKUP($C$430, 'T_Stock_TOTAL_&amp;_City'!$C$122:$C$133,'T_Stock_TOTAL_&amp;_City'!I$122:I$133)*(1+S$376)</f>
        <v>0</v>
      </c>
      <c r="T436" s="693">
        <f>LOOKUP($C$430, 'T_Stock_TOTAL_&amp;_City'!$C$122:$C$133,'T_Stock_TOTAL_&amp;_City'!J$122:J$133)*(1+T$376)</f>
        <v>0</v>
      </c>
      <c r="U436" s="693">
        <f>LOOKUP($C$430, 'T_Stock_TOTAL_&amp;_City'!$C$122:$C$133,'T_Stock_TOTAL_&amp;_City'!K$122:K$133)*(1+U$376)</f>
        <v>0</v>
      </c>
      <c r="V436" s="693">
        <f>LOOKUP($C$430, 'T_Stock_TOTAL_&amp;_City'!$C$122:$C$133,'T_Stock_TOTAL_&amp;_City'!L$122:L$133)*(1+V$376)</f>
        <v>0</v>
      </c>
      <c r="W436" s="693">
        <f>LOOKUP($C$430, 'T_Stock_TOTAL_&amp;_City'!$C$122:$C$133,'T_Stock_TOTAL_&amp;_City'!M$122:M$133)*(1+W$376)</f>
        <v>0</v>
      </c>
      <c r="X436" s="693">
        <f>LOOKUP($C$430, 'T_Stock_TOTAL_&amp;_City'!$C$122:$C$133,'T_Stock_TOTAL_&amp;_City'!N$122:N$133)*(1+X$376)</f>
        <v>0</v>
      </c>
      <c r="Y436" s="693">
        <f>LOOKUP($C$430, 'T_Stock_TOTAL_&amp;_City'!$C$122:$C$133,'T_Stock_TOTAL_&amp;_City'!O$122:O$133)*(1+Y$376)</f>
        <v>0</v>
      </c>
      <c r="Z436" s="693">
        <f>LOOKUP($C$430, 'T_Stock_TOTAL_&amp;_City'!$C$122:$C$133,'T_Stock_TOTAL_&amp;_City'!P$122:P$133)*(1+Z$376)</f>
        <v>0</v>
      </c>
      <c r="AA436" s="693">
        <f>LOOKUP($C$430, 'T_Stock_TOTAL_&amp;_City'!$C$122:$C$133,'T_Stock_TOTAL_&amp;_City'!Q$122:Q$133)*(1+AA$376)</f>
        <v>0</v>
      </c>
      <c r="AB436" s="693">
        <f>LOOKUP($C$430, 'T_Stock_TOTAL_&amp;_City'!$C$122:$C$133,'T_Stock_TOTAL_&amp;_City'!R$122:R$133)*(1+AB$376)</f>
        <v>0</v>
      </c>
    </row>
    <row r="437" spans="1:52" x14ac:dyDescent="0.3">
      <c r="A437" s="22"/>
      <c r="B437" s="186" t="str">
        <f t="shared" si="351"/>
        <v>TFREGAS900</v>
      </c>
      <c r="C437" s="186"/>
      <c r="D437" s="187"/>
      <c r="E437" s="186"/>
      <c r="F437" s="170"/>
      <c r="G437" s="189"/>
      <c r="H437" s="170"/>
      <c r="I437" s="183">
        <f>AF$5</f>
        <v>2016</v>
      </c>
      <c r="J437" s="191"/>
      <c r="K437" s="191"/>
      <c r="L437" s="211" t="s">
        <v>1064</v>
      </c>
      <c r="M437" s="191" t="s">
        <v>747</v>
      </c>
      <c r="N437" s="693">
        <f t="shared" ref="N437:AB437" si="354">N436*LOOKUP($AD430,$AH$4:$AQ$4,$AH$5:$AQ$5)</f>
        <v>0</v>
      </c>
      <c r="O437" s="693">
        <f t="shared" si="354"/>
        <v>0</v>
      </c>
      <c r="P437" s="693">
        <f t="shared" si="354"/>
        <v>0</v>
      </c>
      <c r="Q437" s="693">
        <f t="shared" si="354"/>
        <v>0</v>
      </c>
      <c r="R437" s="693">
        <f t="shared" si="354"/>
        <v>0</v>
      </c>
      <c r="S437" s="693">
        <f t="shared" si="354"/>
        <v>0</v>
      </c>
      <c r="T437" s="693">
        <f t="shared" si="354"/>
        <v>0</v>
      </c>
      <c r="U437" s="693">
        <f t="shared" si="354"/>
        <v>0</v>
      </c>
      <c r="V437" s="693">
        <f t="shared" si="354"/>
        <v>0</v>
      </c>
      <c r="W437" s="693">
        <f t="shared" si="354"/>
        <v>0</v>
      </c>
      <c r="X437" s="693">
        <f t="shared" si="354"/>
        <v>0</v>
      </c>
      <c r="Y437" s="693">
        <f t="shared" si="354"/>
        <v>0</v>
      </c>
      <c r="Z437" s="693">
        <f t="shared" si="354"/>
        <v>0</v>
      </c>
      <c r="AA437" s="693">
        <f t="shared" si="354"/>
        <v>0</v>
      </c>
      <c r="AB437" s="693">
        <f t="shared" si="354"/>
        <v>0</v>
      </c>
    </row>
    <row r="438" spans="1:52" x14ac:dyDescent="0.3">
      <c r="A438" s="22"/>
      <c r="B438" s="186" t="str">
        <f t="shared" si="351"/>
        <v>TFREGAS900</v>
      </c>
      <c r="C438" s="186"/>
      <c r="D438" s="186"/>
      <c r="E438" s="186"/>
      <c r="F438" s="170"/>
      <c r="G438" s="189"/>
      <c r="H438" s="170"/>
      <c r="I438" s="183">
        <f>AF$6</f>
        <v>2020</v>
      </c>
      <c r="J438" s="191"/>
      <c r="K438" s="191"/>
      <c r="L438" s="211" t="s">
        <v>1064</v>
      </c>
      <c r="M438" s="191" t="s">
        <v>747</v>
      </c>
      <c r="N438" s="693">
        <f t="shared" ref="N438:AB438" si="355">N436*LOOKUP($AD430,$AH$4:$AQ$4,$AH$6:$AQ$6)</f>
        <v>0</v>
      </c>
      <c r="O438" s="693">
        <f t="shared" si="355"/>
        <v>0</v>
      </c>
      <c r="P438" s="693">
        <f t="shared" si="355"/>
        <v>0</v>
      </c>
      <c r="Q438" s="693">
        <f t="shared" si="355"/>
        <v>0</v>
      </c>
      <c r="R438" s="693">
        <f t="shared" si="355"/>
        <v>0</v>
      </c>
      <c r="S438" s="693">
        <f t="shared" si="355"/>
        <v>0</v>
      </c>
      <c r="T438" s="693">
        <f t="shared" si="355"/>
        <v>0</v>
      </c>
      <c r="U438" s="693">
        <f t="shared" si="355"/>
        <v>0</v>
      </c>
      <c r="V438" s="693">
        <f t="shared" si="355"/>
        <v>0</v>
      </c>
      <c r="W438" s="693">
        <f t="shared" si="355"/>
        <v>0</v>
      </c>
      <c r="X438" s="693">
        <f t="shared" si="355"/>
        <v>0</v>
      </c>
      <c r="Y438" s="693">
        <f t="shared" si="355"/>
        <v>0</v>
      </c>
      <c r="Z438" s="693">
        <f t="shared" si="355"/>
        <v>0</v>
      </c>
      <c r="AA438" s="693">
        <f t="shared" si="355"/>
        <v>0</v>
      </c>
      <c r="AB438" s="693">
        <f t="shared" si="355"/>
        <v>0</v>
      </c>
    </row>
    <row r="439" spans="1:52" x14ac:dyDescent="0.3">
      <c r="A439" s="22"/>
      <c r="B439" s="186" t="str">
        <f t="shared" si="351"/>
        <v>TFREGAS900</v>
      </c>
      <c r="C439" s="186"/>
      <c r="D439" s="186"/>
      <c r="E439" s="186"/>
      <c r="F439" s="170"/>
      <c r="G439" s="189"/>
      <c r="H439" s="170"/>
      <c r="I439" s="183">
        <f>AF$7</f>
        <v>2025</v>
      </c>
      <c r="J439" s="191"/>
      <c r="K439" s="191"/>
      <c r="L439" s="211" t="s">
        <v>1064</v>
      </c>
      <c r="M439" s="191" t="s">
        <v>747</v>
      </c>
      <c r="N439" s="693">
        <f t="shared" ref="N439:AB439" si="356">N436*LOOKUP($AD430,$AH$4:$AQ$4,$AH$7:$AQ$7)</f>
        <v>0</v>
      </c>
      <c r="O439" s="693">
        <f t="shared" si="356"/>
        <v>0</v>
      </c>
      <c r="P439" s="693">
        <f t="shared" si="356"/>
        <v>0</v>
      </c>
      <c r="Q439" s="693">
        <f t="shared" si="356"/>
        <v>0</v>
      </c>
      <c r="R439" s="693">
        <f t="shared" si="356"/>
        <v>0</v>
      </c>
      <c r="S439" s="693">
        <f t="shared" si="356"/>
        <v>0</v>
      </c>
      <c r="T439" s="693">
        <f t="shared" si="356"/>
        <v>0</v>
      </c>
      <c r="U439" s="693">
        <f t="shared" si="356"/>
        <v>0</v>
      </c>
      <c r="V439" s="693">
        <f t="shared" si="356"/>
        <v>0</v>
      </c>
      <c r="W439" s="693">
        <f t="shared" si="356"/>
        <v>0</v>
      </c>
      <c r="X439" s="693">
        <f t="shared" si="356"/>
        <v>0</v>
      </c>
      <c r="Y439" s="693">
        <f t="shared" si="356"/>
        <v>0</v>
      </c>
      <c r="Z439" s="693">
        <f t="shared" si="356"/>
        <v>0</v>
      </c>
      <c r="AA439" s="693">
        <f t="shared" si="356"/>
        <v>0</v>
      </c>
      <c r="AB439" s="693">
        <f t="shared" si="356"/>
        <v>0</v>
      </c>
    </row>
    <row r="440" spans="1:52" x14ac:dyDescent="0.3">
      <c r="A440" s="22"/>
      <c r="B440" s="186" t="str">
        <f t="shared" si="351"/>
        <v>TFREGAS900</v>
      </c>
      <c r="C440" s="186"/>
      <c r="D440" s="186"/>
      <c r="E440" s="186"/>
      <c r="F440" s="170"/>
      <c r="G440" s="189"/>
      <c r="H440" s="170"/>
      <c r="I440" s="183">
        <f>AF$8</f>
        <v>2030</v>
      </c>
      <c r="J440" s="191"/>
      <c r="K440" s="191"/>
      <c r="L440" s="211" t="s">
        <v>1064</v>
      </c>
      <c r="M440" s="191" t="s">
        <v>747</v>
      </c>
      <c r="N440" s="693">
        <f t="shared" ref="N440:AB440" si="357">N436*LOOKUP($AD430,$AH$4:$AQ$4,$AH$8:$AQ$8)</f>
        <v>0</v>
      </c>
      <c r="O440" s="693">
        <f t="shared" si="357"/>
        <v>0</v>
      </c>
      <c r="P440" s="693">
        <f t="shared" si="357"/>
        <v>0</v>
      </c>
      <c r="Q440" s="693">
        <f t="shared" si="357"/>
        <v>0</v>
      </c>
      <c r="R440" s="693">
        <f t="shared" si="357"/>
        <v>0</v>
      </c>
      <c r="S440" s="693">
        <f t="shared" si="357"/>
        <v>0</v>
      </c>
      <c r="T440" s="693">
        <f t="shared" si="357"/>
        <v>0</v>
      </c>
      <c r="U440" s="693">
        <f t="shared" si="357"/>
        <v>0</v>
      </c>
      <c r="V440" s="693">
        <f t="shared" si="357"/>
        <v>0</v>
      </c>
      <c r="W440" s="693">
        <f t="shared" si="357"/>
        <v>0</v>
      </c>
      <c r="X440" s="693">
        <f t="shared" si="357"/>
        <v>0</v>
      </c>
      <c r="Y440" s="693">
        <f t="shared" si="357"/>
        <v>0</v>
      </c>
      <c r="Z440" s="693">
        <f t="shared" si="357"/>
        <v>0</v>
      </c>
      <c r="AA440" s="693">
        <f t="shared" si="357"/>
        <v>0</v>
      </c>
      <c r="AB440" s="693">
        <f t="shared" si="357"/>
        <v>0</v>
      </c>
    </row>
    <row r="441" spans="1:52" x14ac:dyDescent="0.3">
      <c r="A441" s="22"/>
      <c r="B441" s="186" t="str">
        <f t="shared" si="351"/>
        <v>TFREGAS900</v>
      </c>
      <c r="C441" s="186"/>
      <c r="D441" s="186"/>
      <c r="E441" s="186"/>
      <c r="F441" s="170"/>
      <c r="G441" s="189"/>
      <c r="H441" s="170"/>
      <c r="I441" s="183">
        <f>AF$9</f>
        <v>2040</v>
      </c>
      <c r="J441" s="191"/>
      <c r="K441" s="191"/>
      <c r="L441" s="211" t="s">
        <v>1064</v>
      </c>
      <c r="M441" s="191" t="s">
        <v>747</v>
      </c>
      <c r="N441" s="693">
        <f t="shared" ref="N441:AB441" si="358">N436*LOOKUP($AD430,$AH$4:$AQ$4,$AH$9:$AQ$9)</f>
        <v>0</v>
      </c>
      <c r="O441" s="693">
        <f t="shared" si="358"/>
        <v>0</v>
      </c>
      <c r="P441" s="693">
        <f t="shared" si="358"/>
        <v>0</v>
      </c>
      <c r="Q441" s="693">
        <f t="shared" si="358"/>
        <v>0</v>
      </c>
      <c r="R441" s="693">
        <f t="shared" si="358"/>
        <v>0</v>
      </c>
      <c r="S441" s="693">
        <f t="shared" si="358"/>
        <v>0</v>
      </c>
      <c r="T441" s="693">
        <f t="shared" si="358"/>
        <v>0</v>
      </c>
      <c r="U441" s="693">
        <f t="shared" si="358"/>
        <v>0</v>
      </c>
      <c r="V441" s="693">
        <f t="shared" si="358"/>
        <v>0</v>
      </c>
      <c r="W441" s="693">
        <f t="shared" si="358"/>
        <v>0</v>
      </c>
      <c r="X441" s="693">
        <f t="shared" si="358"/>
        <v>0</v>
      </c>
      <c r="Y441" s="693">
        <f t="shared" si="358"/>
        <v>0</v>
      </c>
      <c r="Z441" s="693">
        <f t="shared" si="358"/>
        <v>0</v>
      </c>
      <c r="AA441" s="693">
        <f t="shared" si="358"/>
        <v>0</v>
      </c>
      <c r="AB441" s="693">
        <f t="shared" si="358"/>
        <v>0</v>
      </c>
    </row>
    <row r="442" spans="1:52" x14ac:dyDescent="0.3">
      <c r="A442" s="22"/>
      <c r="B442" s="193" t="str">
        <f t="shared" si="351"/>
        <v>TFREGAS900</v>
      </c>
      <c r="C442" s="193"/>
      <c r="D442" s="193"/>
      <c r="E442" s="193"/>
      <c r="F442" s="196"/>
      <c r="G442" s="195"/>
      <c r="H442" s="196"/>
      <c r="I442" s="208">
        <f>AF$10</f>
        <v>2050</v>
      </c>
      <c r="J442" s="198"/>
      <c r="K442" s="198"/>
      <c r="L442" s="212" t="s">
        <v>1064</v>
      </c>
      <c r="M442" s="198" t="s">
        <v>747</v>
      </c>
      <c r="N442" s="694">
        <f t="shared" ref="N442:AB442" si="359">N436*LOOKUP($AD430,$AH$4:$AQ$4,$AH$10:$AQ$10)</f>
        <v>0</v>
      </c>
      <c r="O442" s="694">
        <f t="shared" si="359"/>
        <v>0</v>
      </c>
      <c r="P442" s="694">
        <f t="shared" si="359"/>
        <v>0</v>
      </c>
      <c r="Q442" s="694">
        <f t="shared" si="359"/>
        <v>0</v>
      </c>
      <c r="R442" s="694">
        <f t="shared" si="359"/>
        <v>0</v>
      </c>
      <c r="S442" s="694">
        <f t="shared" si="359"/>
        <v>0</v>
      </c>
      <c r="T442" s="694">
        <f t="shared" si="359"/>
        <v>0</v>
      </c>
      <c r="U442" s="694">
        <f t="shared" si="359"/>
        <v>0</v>
      </c>
      <c r="V442" s="694">
        <f t="shared" si="359"/>
        <v>0</v>
      </c>
      <c r="W442" s="694">
        <f t="shared" si="359"/>
        <v>0</v>
      </c>
      <c r="X442" s="694">
        <f t="shared" si="359"/>
        <v>0</v>
      </c>
      <c r="Y442" s="694">
        <f t="shared" si="359"/>
        <v>0</v>
      </c>
      <c r="Z442" s="694">
        <f t="shared" si="359"/>
        <v>0</v>
      </c>
      <c r="AA442" s="694">
        <f t="shared" si="359"/>
        <v>0</v>
      </c>
      <c r="AB442" s="694">
        <f t="shared" si="359"/>
        <v>0</v>
      </c>
    </row>
    <row r="443" spans="1:52" x14ac:dyDescent="0.3">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3">
      <c r="A444" s="22"/>
      <c r="B444" s="186" t="str">
        <f>B443</f>
        <v>TFREGSL900</v>
      </c>
      <c r="C444" s="186"/>
      <c r="D444" s="187"/>
      <c r="E444" s="258" t="s">
        <v>1011</v>
      </c>
      <c r="F444" s="170"/>
      <c r="G444" s="189"/>
      <c r="H444" s="170"/>
      <c r="I444" s="190"/>
      <c r="J444" s="191" t="s">
        <v>1156</v>
      </c>
      <c r="K444" s="191"/>
      <c r="L444" s="211" t="s">
        <v>101</v>
      </c>
      <c r="M444" s="191"/>
      <c r="N444" s="377">
        <f>N$29</f>
        <v>5.0999999999999997E-2</v>
      </c>
      <c r="O444" s="377">
        <f t="shared" ref="O444:AB444" si="361">O$29</f>
        <v>5.0999999999999997E-2</v>
      </c>
      <c r="P444" s="377">
        <f t="shared" si="361"/>
        <v>5.0999999999999997E-2</v>
      </c>
      <c r="Q444" s="377">
        <f t="shared" si="361"/>
        <v>5.0999999999999997E-2</v>
      </c>
      <c r="R444" s="377">
        <f t="shared" si="361"/>
        <v>5.0999999999999997E-2</v>
      </c>
      <c r="S444" s="377">
        <f t="shared" si="361"/>
        <v>5.0999999999999997E-2</v>
      </c>
      <c r="T444" s="377">
        <f t="shared" si="361"/>
        <v>5.0999999999999997E-2</v>
      </c>
      <c r="U444" s="377">
        <f t="shared" si="361"/>
        <v>5.0999999999999997E-2</v>
      </c>
      <c r="V444" s="377">
        <f t="shared" si="361"/>
        <v>5.0999999999999997E-2</v>
      </c>
      <c r="W444" s="377">
        <f t="shared" si="361"/>
        <v>5.0999999999999997E-2</v>
      </c>
      <c r="X444" s="377">
        <f t="shared" si="361"/>
        <v>5.0999999999999997E-2</v>
      </c>
      <c r="Y444" s="377">
        <f t="shared" si="361"/>
        <v>5.0999999999999997E-2</v>
      </c>
      <c r="Z444" s="377">
        <f t="shared" si="361"/>
        <v>5.0999999999999997E-2</v>
      </c>
      <c r="AA444" s="377">
        <f t="shared" si="361"/>
        <v>5.0999999999999997E-2</v>
      </c>
      <c r="AB444" s="377">
        <f t="shared" si="361"/>
        <v>5.0999999999999997E-2</v>
      </c>
      <c r="AC444" s="35"/>
      <c r="AD444" s="66" t="str">
        <f>IF(COUNTIF($AH$4:$AQ$4,AD443)=1,"ok","MISSING")</f>
        <v>ok</v>
      </c>
      <c r="AU444" s="35"/>
      <c r="AV444" s="35"/>
      <c r="AW444" s="35"/>
      <c r="AX444" s="35"/>
      <c r="AY444" s="35"/>
      <c r="AZ444" s="35"/>
    </row>
    <row r="445" spans="1:52" x14ac:dyDescent="0.3">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3">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3">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3">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4.2720369833212475</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1">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3">
      <c r="A449" s="22"/>
      <c r="B449" s="186" t="str">
        <f t="shared" si="362"/>
        <v>TFREGSL900</v>
      </c>
      <c r="C449" s="186"/>
      <c r="D449" s="187"/>
      <c r="E449" s="186"/>
      <c r="F449" s="170"/>
      <c r="G449" s="189"/>
      <c r="H449" s="170"/>
      <c r="I449" s="190">
        <f>$M$3</f>
        <v>2019</v>
      </c>
      <c r="J449" s="191"/>
      <c r="K449" s="191"/>
      <c r="L449" s="211" t="s">
        <v>1064</v>
      </c>
      <c r="M449" s="191" t="s">
        <v>747</v>
      </c>
      <c r="N449" s="693">
        <f>LOOKUP($C$443, 'T_Stock_TOTAL_&amp;_City'!$C$122:$C$133,'T_Stock_TOTAL_&amp;_City'!D$122:D$133)*(1+N$376)</f>
        <v>0</v>
      </c>
      <c r="O449" s="693">
        <f>LOOKUP($C$443, 'T_Stock_TOTAL_&amp;_City'!$C$122:$C$133,'T_Stock_TOTAL_&amp;_City'!E$122:E$133)*(1+O$376)</f>
        <v>0</v>
      </c>
      <c r="P449" s="693">
        <f>LOOKUP($C$443, 'T_Stock_TOTAL_&amp;_City'!$C$122:$C$133,'T_Stock_TOTAL_&amp;_City'!F$122:F$133)*(1+P$376)</f>
        <v>0</v>
      </c>
      <c r="Q449" s="693">
        <f>LOOKUP($C$443, 'T_Stock_TOTAL_&amp;_City'!$C$122:$C$133,'T_Stock_TOTAL_&amp;_City'!G$122:G$133)*(1+Q$376)</f>
        <v>0</v>
      </c>
      <c r="R449" s="693">
        <f>LOOKUP($C$443, 'T_Stock_TOTAL_&amp;_City'!$C$122:$C$133,'T_Stock_TOTAL_&amp;_City'!H$122:H$133)*(1+R$376)</f>
        <v>0</v>
      </c>
      <c r="S449" s="693">
        <f>LOOKUP($C$443, 'T_Stock_TOTAL_&amp;_City'!$C$122:$C$133,'T_Stock_TOTAL_&amp;_City'!I$122:I$133)*(1+S$376)</f>
        <v>0</v>
      </c>
      <c r="T449" s="693">
        <f>LOOKUP($C$443, 'T_Stock_TOTAL_&amp;_City'!$C$122:$C$133,'T_Stock_TOTAL_&amp;_City'!J$122:J$133)*(1+T$376)</f>
        <v>0</v>
      </c>
      <c r="U449" s="693">
        <f>LOOKUP($C$443, 'T_Stock_TOTAL_&amp;_City'!$C$122:$C$133,'T_Stock_TOTAL_&amp;_City'!K$122:K$133)*(1+U$376)</f>
        <v>0</v>
      </c>
      <c r="V449" s="693">
        <f>LOOKUP($C$443, 'T_Stock_TOTAL_&amp;_City'!$C$122:$C$133,'T_Stock_TOTAL_&amp;_City'!L$122:L$133)*(1+V$376)</f>
        <v>0</v>
      </c>
      <c r="W449" s="693">
        <f>LOOKUP($C$443, 'T_Stock_TOTAL_&amp;_City'!$C$122:$C$133,'T_Stock_TOTAL_&amp;_City'!M$122:M$133)*(1+W$376)</f>
        <v>0</v>
      </c>
      <c r="X449" s="693">
        <f>LOOKUP($C$443, 'T_Stock_TOTAL_&amp;_City'!$C$122:$C$133,'T_Stock_TOTAL_&amp;_City'!N$122:N$133)*(1+X$376)</f>
        <v>0</v>
      </c>
      <c r="Y449" s="693">
        <f>LOOKUP($C$443, 'T_Stock_TOTAL_&amp;_City'!$C$122:$C$133,'T_Stock_TOTAL_&amp;_City'!O$122:O$133)*(1+Y$376)</f>
        <v>0</v>
      </c>
      <c r="Z449" s="693">
        <f>LOOKUP($C$443, 'T_Stock_TOTAL_&amp;_City'!$C$122:$C$133,'T_Stock_TOTAL_&amp;_City'!P$122:P$133)*(1+Z$376)</f>
        <v>0</v>
      </c>
      <c r="AA449" s="693">
        <f>LOOKUP($C$443, 'T_Stock_TOTAL_&amp;_City'!$C$122:$C$133,'T_Stock_TOTAL_&amp;_City'!Q$122:Q$133)*(1+AA$376)</f>
        <v>0</v>
      </c>
      <c r="AB449" s="693">
        <f>LOOKUP($C$443, 'T_Stock_TOTAL_&amp;_City'!$C$122:$C$133,'T_Stock_TOTAL_&amp;_City'!R$122:R$133)*(1+AB$376)</f>
        <v>0</v>
      </c>
    </row>
    <row r="450" spans="1:52" x14ac:dyDescent="0.3">
      <c r="A450" s="22"/>
      <c r="B450" s="186" t="str">
        <f t="shared" si="362"/>
        <v>TFREGSL900</v>
      </c>
      <c r="C450" s="186"/>
      <c r="D450" s="186"/>
      <c r="E450" s="186"/>
      <c r="F450" s="170"/>
      <c r="G450" s="189"/>
      <c r="H450" s="170"/>
      <c r="I450" s="183">
        <f>AF$5</f>
        <v>2016</v>
      </c>
      <c r="J450" s="191"/>
      <c r="K450" s="191"/>
      <c r="L450" s="211" t="s">
        <v>1064</v>
      </c>
      <c r="M450" s="191" t="s">
        <v>747</v>
      </c>
      <c r="N450" s="693">
        <f t="shared" ref="N450:AB450" si="365">N449*LOOKUP($AD443,$AH$4:$AQ$4,$AH$5:$AQ$5)</f>
        <v>0</v>
      </c>
      <c r="O450" s="693">
        <f t="shared" si="365"/>
        <v>0</v>
      </c>
      <c r="P450" s="693">
        <f t="shared" si="365"/>
        <v>0</v>
      </c>
      <c r="Q450" s="693">
        <f t="shared" si="365"/>
        <v>0</v>
      </c>
      <c r="R450" s="693">
        <f t="shared" si="365"/>
        <v>0</v>
      </c>
      <c r="S450" s="693">
        <f t="shared" si="365"/>
        <v>0</v>
      </c>
      <c r="T450" s="693">
        <f t="shared" si="365"/>
        <v>0</v>
      </c>
      <c r="U450" s="693">
        <f t="shared" si="365"/>
        <v>0</v>
      </c>
      <c r="V450" s="693">
        <f t="shared" si="365"/>
        <v>0</v>
      </c>
      <c r="W450" s="693">
        <f t="shared" si="365"/>
        <v>0</v>
      </c>
      <c r="X450" s="693">
        <f t="shared" si="365"/>
        <v>0</v>
      </c>
      <c r="Y450" s="693">
        <f t="shared" si="365"/>
        <v>0</v>
      </c>
      <c r="Z450" s="693">
        <f t="shared" si="365"/>
        <v>0</v>
      </c>
      <c r="AA450" s="693">
        <f t="shared" si="365"/>
        <v>0</v>
      </c>
      <c r="AB450" s="693">
        <f t="shared" si="365"/>
        <v>0</v>
      </c>
    </row>
    <row r="451" spans="1:52" x14ac:dyDescent="0.3">
      <c r="A451" s="22"/>
      <c r="B451" s="186" t="str">
        <f t="shared" si="362"/>
        <v>TFREGSL900</v>
      </c>
      <c r="C451" s="186"/>
      <c r="D451" s="186"/>
      <c r="E451" s="186"/>
      <c r="F451" s="170"/>
      <c r="G451" s="189"/>
      <c r="H451" s="170"/>
      <c r="I451" s="183">
        <f>AF$6</f>
        <v>2020</v>
      </c>
      <c r="J451" s="191"/>
      <c r="K451" s="191"/>
      <c r="L451" s="211" t="s">
        <v>1064</v>
      </c>
      <c r="M451" s="191" t="s">
        <v>747</v>
      </c>
      <c r="N451" s="693">
        <f t="shared" ref="N451:AB451" si="366">N449*LOOKUP($AD443,$AH$4:$AQ$4,$AH$6:$AQ$6)</f>
        <v>0</v>
      </c>
      <c r="O451" s="693">
        <f t="shared" si="366"/>
        <v>0</v>
      </c>
      <c r="P451" s="693">
        <f t="shared" si="366"/>
        <v>0</v>
      </c>
      <c r="Q451" s="693">
        <f t="shared" si="366"/>
        <v>0</v>
      </c>
      <c r="R451" s="693">
        <f t="shared" si="366"/>
        <v>0</v>
      </c>
      <c r="S451" s="693">
        <f t="shared" si="366"/>
        <v>0</v>
      </c>
      <c r="T451" s="693">
        <f t="shared" si="366"/>
        <v>0</v>
      </c>
      <c r="U451" s="693">
        <f t="shared" si="366"/>
        <v>0</v>
      </c>
      <c r="V451" s="693">
        <f t="shared" si="366"/>
        <v>0</v>
      </c>
      <c r="W451" s="693">
        <f t="shared" si="366"/>
        <v>0</v>
      </c>
      <c r="X451" s="693">
        <f t="shared" si="366"/>
        <v>0</v>
      </c>
      <c r="Y451" s="693">
        <f t="shared" si="366"/>
        <v>0</v>
      </c>
      <c r="Z451" s="693">
        <f t="shared" si="366"/>
        <v>0</v>
      </c>
      <c r="AA451" s="693">
        <f t="shared" si="366"/>
        <v>0</v>
      </c>
      <c r="AB451" s="693">
        <f t="shared" si="366"/>
        <v>0</v>
      </c>
    </row>
    <row r="452" spans="1:52" x14ac:dyDescent="0.3">
      <c r="A452" s="22"/>
      <c r="B452" s="186" t="str">
        <f t="shared" si="362"/>
        <v>TFREGSL900</v>
      </c>
      <c r="C452" s="186"/>
      <c r="D452" s="186"/>
      <c r="E452" s="186"/>
      <c r="F452" s="170"/>
      <c r="G452" s="189"/>
      <c r="H452" s="170"/>
      <c r="I452" s="183">
        <f>AF$7</f>
        <v>2025</v>
      </c>
      <c r="J452" s="191"/>
      <c r="K452" s="191"/>
      <c r="L452" s="211" t="s">
        <v>1064</v>
      </c>
      <c r="M452" s="191" t="s">
        <v>747</v>
      </c>
      <c r="N452" s="693">
        <f t="shared" ref="N452:AB452" si="367">N449*LOOKUP($AD443,$AH$4:$AQ$4,$AH$7:$AQ$7)</f>
        <v>0</v>
      </c>
      <c r="O452" s="693">
        <f t="shared" si="367"/>
        <v>0</v>
      </c>
      <c r="P452" s="693">
        <f t="shared" si="367"/>
        <v>0</v>
      </c>
      <c r="Q452" s="693">
        <f t="shared" si="367"/>
        <v>0</v>
      </c>
      <c r="R452" s="693">
        <f t="shared" si="367"/>
        <v>0</v>
      </c>
      <c r="S452" s="693">
        <f t="shared" si="367"/>
        <v>0</v>
      </c>
      <c r="T452" s="693">
        <f t="shared" si="367"/>
        <v>0</v>
      </c>
      <c r="U452" s="693">
        <f t="shared" si="367"/>
        <v>0</v>
      </c>
      <c r="V452" s="693">
        <f t="shared" si="367"/>
        <v>0</v>
      </c>
      <c r="W452" s="693">
        <f t="shared" si="367"/>
        <v>0</v>
      </c>
      <c r="X452" s="693">
        <f t="shared" si="367"/>
        <v>0</v>
      </c>
      <c r="Y452" s="693">
        <f t="shared" si="367"/>
        <v>0</v>
      </c>
      <c r="Z452" s="693">
        <f t="shared" si="367"/>
        <v>0</v>
      </c>
      <c r="AA452" s="693">
        <f t="shared" si="367"/>
        <v>0</v>
      </c>
      <c r="AB452" s="693">
        <f t="shared" si="367"/>
        <v>0</v>
      </c>
    </row>
    <row r="453" spans="1:52" x14ac:dyDescent="0.3">
      <c r="A453" s="22"/>
      <c r="B453" s="186" t="str">
        <f t="shared" si="362"/>
        <v>TFREGSL900</v>
      </c>
      <c r="C453" s="186"/>
      <c r="D453" s="186"/>
      <c r="E453" s="186"/>
      <c r="F453" s="170"/>
      <c r="G453" s="189"/>
      <c r="H453" s="170"/>
      <c r="I453" s="183">
        <f>AF$8</f>
        <v>2030</v>
      </c>
      <c r="J453" s="191"/>
      <c r="K453" s="191"/>
      <c r="L453" s="211" t="s">
        <v>1064</v>
      </c>
      <c r="M453" s="191" t="s">
        <v>747</v>
      </c>
      <c r="N453" s="693">
        <f t="shared" ref="N453:AB453" si="368">N449*LOOKUP($AD443,$AH$4:$AQ$4,$AH$8:$AQ$8)</f>
        <v>0</v>
      </c>
      <c r="O453" s="693">
        <f t="shared" si="368"/>
        <v>0</v>
      </c>
      <c r="P453" s="693">
        <f t="shared" si="368"/>
        <v>0</v>
      </c>
      <c r="Q453" s="693">
        <f t="shared" si="368"/>
        <v>0</v>
      </c>
      <c r="R453" s="693">
        <f t="shared" si="368"/>
        <v>0</v>
      </c>
      <c r="S453" s="693">
        <f t="shared" si="368"/>
        <v>0</v>
      </c>
      <c r="T453" s="693">
        <f t="shared" si="368"/>
        <v>0</v>
      </c>
      <c r="U453" s="693">
        <f t="shared" si="368"/>
        <v>0</v>
      </c>
      <c r="V453" s="693">
        <f t="shared" si="368"/>
        <v>0</v>
      </c>
      <c r="W453" s="693">
        <f t="shared" si="368"/>
        <v>0</v>
      </c>
      <c r="X453" s="693">
        <f t="shared" si="368"/>
        <v>0</v>
      </c>
      <c r="Y453" s="693">
        <f t="shared" si="368"/>
        <v>0</v>
      </c>
      <c r="Z453" s="693">
        <f t="shared" si="368"/>
        <v>0</v>
      </c>
      <c r="AA453" s="693">
        <f t="shared" si="368"/>
        <v>0</v>
      </c>
      <c r="AB453" s="693">
        <f t="shared" si="368"/>
        <v>0</v>
      </c>
    </row>
    <row r="454" spans="1:52" x14ac:dyDescent="0.3">
      <c r="A454" s="22"/>
      <c r="B454" s="186" t="str">
        <f t="shared" si="362"/>
        <v>TFREGSL900</v>
      </c>
      <c r="C454" s="186"/>
      <c r="D454" s="186"/>
      <c r="E454" s="186"/>
      <c r="F454" s="170"/>
      <c r="G454" s="189"/>
      <c r="H454" s="170"/>
      <c r="I454" s="183">
        <f>AF$9</f>
        <v>2040</v>
      </c>
      <c r="J454" s="191"/>
      <c r="K454" s="191"/>
      <c r="L454" s="211" t="s">
        <v>1064</v>
      </c>
      <c r="M454" s="191" t="s">
        <v>747</v>
      </c>
      <c r="N454" s="693">
        <f t="shared" ref="N454:AB454" si="369">N449*LOOKUP($AD443,$AH$4:$AQ$4,$AH$9:$AQ$9)</f>
        <v>0</v>
      </c>
      <c r="O454" s="693">
        <f t="shared" si="369"/>
        <v>0</v>
      </c>
      <c r="P454" s="693">
        <f t="shared" si="369"/>
        <v>0</v>
      </c>
      <c r="Q454" s="693">
        <f t="shared" si="369"/>
        <v>0</v>
      </c>
      <c r="R454" s="693">
        <f t="shared" si="369"/>
        <v>0</v>
      </c>
      <c r="S454" s="693">
        <f t="shared" si="369"/>
        <v>0</v>
      </c>
      <c r="T454" s="693">
        <f t="shared" si="369"/>
        <v>0</v>
      </c>
      <c r="U454" s="693">
        <f t="shared" si="369"/>
        <v>0</v>
      </c>
      <c r="V454" s="693">
        <f t="shared" si="369"/>
        <v>0</v>
      </c>
      <c r="W454" s="693">
        <f t="shared" si="369"/>
        <v>0</v>
      </c>
      <c r="X454" s="693">
        <f t="shared" si="369"/>
        <v>0</v>
      </c>
      <c r="Y454" s="693">
        <f t="shared" si="369"/>
        <v>0</v>
      </c>
      <c r="Z454" s="693">
        <f t="shared" si="369"/>
        <v>0</v>
      </c>
      <c r="AA454" s="693">
        <f t="shared" si="369"/>
        <v>0</v>
      </c>
      <c r="AB454" s="693">
        <f t="shared" si="369"/>
        <v>0</v>
      </c>
    </row>
    <row r="455" spans="1:52" x14ac:dyDescent="0.3">
      <c r="A455" s="22"/>
      <c r="B455" s="193" t="str">
        <f t="shared" si="362"/>
        <v>TFREGSL900</v>
      </c>
      <c r="C455" s="193"/>
      <c r="D455" s="193"/>
      <c r="E455" s="193"/>
      <c r="F455" s="196"/>
      <c r="G455" s="195"/>
      <c r="H455" s="196"/>
      <c r="I455" s="208">
        <f>AF$10</f>
        <v>2050</v>
      </c>
      <c r="J455" s="198"/>
      <c r="K455" s="198"/>
      <c r="L455" s="212" t="s">
        <v>1064</v>
      </c>
      <c r="M455" s="198" t="s">
        <v>747</v>
      </c>
      <c r="N455" s="694">
        <f t="shared" ref="N455:AB455" si="370">N449*LOOKUP($AD443,$AH$4:$AQ$4,$AH$10:$AQ$10)</f>
        <v>0</v>
      </c>
      <c r="O455" s="694">
        <f t="shared" si="370"/>
        <v>0</v>
      </c>
      <c r="P455" s="694">
        <f t="shared" si="370"/>
        <v>0</v>
      </c>
      <c r="Q455" s="694">
        <f t="shared" si="370"/>
        <v>0</v>
      </c>
      <c r="R455" s="694">
        <f t="shared" si="370"/>
        <v>0</v>
      </c>
      <c r="S455" s="694">
        <f t="shared" si="370"/>
        <v>0</v>
      </c>
      <c r="T455" s="694">
        <f t="shared" si="370"/>
        <v>0</v>
      </c>
      <c r="U455" s="694">
        <f t="shared" si="370"/>
        <v>0</v>
      </c>
      <c r="V455" s="694">
        <f t="shared" si="370"/>
        <v>0</v>
      </c>
      <c r="W455" s="694">
        <f t="shared" si="370"/>
        <v>0</v>
      </c>
      <c r="X455" s="694">
        <f t="shared" si="370"/>
        <v>0</v>
      </c>
      <c r="Y455" s="694">
        <f t="shared" si="370"/>
        <v>0</v>
      </c>
      <c r="Z455" s="694">
        <f t="shared" si="370"/>
        <v>0</v>
      </c>
      <c r="AA455" s="694">
        <f t="shared" si="370"/>
        <v>0</v>
      </c>
      <c r="AB455" s="694">
        <f t="shared" si="370"/>
        <v>0</v>
      </c>
    </row>
    <row r="456" spans="1:52" x14ac:dyDescent="0.3">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3">
      <c r="A457" s="22"/>
      <c r="B457" s="186" t="str">
        <f>B456</f>
        <v>TFREHYD900</v>
      </c>
      <c r="C457" s="186"/>
      <c r="D457" s="187"/>
      <c r="E457" s="258" t="s">
        <v>987</v>
      </c>
      <c r="F457" s="170"/>
      <c r="G457" s="189"/>
      <c r="H457" s="170"/>
      <c r="I457" s="190"/>
      <c r="J457" s="191" t="s">
        <v>1222</v>
      </c>
      <c r="K457" s="191"/>
      <c r="L457" s="211" t="s">
        <v>101</v>
      </c>
      <c r="M457" s="191"/>
      <c r="N457" s="377">
        <f>N$28</f>
        <v>0.17499999999999999</v>
      </c>
      <c r="O457" s="377">
        <f t="shared" ref="O457:AB457" si="372">O$28</f>
        <v>0.17499999999999999</v>
      </c>
      <c r="P457" s="377">
        <f t="shared" si="372"/>
        <v>0.17499999999999999</v>
      </c>
      <c r="Q457" s="377">
        <f t="shared" si="372"/>
        <v>0.17499999999999999</v>
      </c>
      <c r="R457" s="377">
        <f t="shared" si="372"/>
        <v>0.17499999999999999</v>
      </c>
      <c r="S457" s="377">
        <f t="shared" si="372"/>
        <v>0.17499999999999999</v>
      </c>
      <c r="T457" s="377">
        <f t="shared" si="372"/>
        <v>0.17499999999999999</v>
      </c>
      <c r="U457" s="377">
        <f t="shared" si="372"/>
        <v>0.17499999999999999</v>
      </c>
      <c r="V457" s="377">
        <f t="shared" si="372"/>
        <v>0.17499999999999999</v>
      </c>
      <c r="W457" s="377">
        <f t="shared" si="372"/>
        <v>0.17499999999999999</v>
      </c>
      <c r="X457" s="377">
        <f t="shared" si="372"/>
        <v>0.17499999999999999</v>
      </c>
      <c r="Y457" s="377">
        <f t="shared" si="372"/>
        <v>0.17499999999999999</v>
      </c>
      <c r="Z457" s="377">
        <f t="shared" si="372"/>
        <v>0.17499999999999999</v>
      </c>
      <c r="AA457" s="377">
        <f t="shared" si="372"/>
        <v>0.17499999999999999</v>
      </c>
      <c r="AB457" s="377">
        <f t="shared" si="372"/>
        <v>0.17499999999999999</v>
      </c>
      <c r="AC457" s="35"/>
      <c r="AD457" s="66" t="str">
        <f>IF(COUNTIF($AH$4:$AQ$4,AD456)=1,"ok","MISSING")</f>
        <v>ok</v>
      </c>
      <c r="AF457" s="89"/>
      <c r="AU457" s="35"/>
      <c r="AV457" s="35"/>
      <c r="AW457" s="35"/>
      <c r="AX457" s="35"/>
      <c r="AY457" s="35"/>
      <c r="AZ457" s="35"/>
    </row>
    <row r="458" spans="1:52" x14ac:dyDescent="0.3">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3">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3">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3">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36</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1">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3">
      <c r="B462" s="186" t="str">
        <f t="shared" si="373"/>
        <v>TFREHYD900</v>
      </c>
      <c r="C462" s="186"/>
      <c r="D462" s="187"/>
      <c r="E462" s="186"/>
      <c r="F462" s="170"/>
      <c r="G462" s="189"/>
      <c r="H462" s="170"/>
      <c r="I462" s="190">
        <f>$M$3</f>
        <v>2019</v>
      </c>
      <c r="J462" s="191"/>
      <c r="K462" s="191"/>
      <c r="L462" s="211" t="s">
        <v>1064</v>
      </c>
      <c r="M462" s="191" t="s">
        <v>747</v>
      </c>
      <c r="N462" s="693">
        <f>LOOKUP($C$456, 'T_Stock_TOTAL_&amp;_City'!$C$122:$C$133,'T_Stock_TOTAL_&amp;_City'!D$122:D$133)*(1+N$376)</f>
        <v>0</v>
      </c>
      <c r="O462" s="693">
        <f>LOOKUP($C$456, 'T_Stock_TOTAL_&amp;_City'!$C$122:$C$133,'T_Stock_TOTAL_&amp;_City'!E$122:E$133)*(1+O$376)</f>
        <v>0</v>
      </c>
      <c r="P462" s="693">
        <f>LOOKUP($C$456, 'T_Stock_TOTAL_&amp;_City'!$C$122:$C$133,'T_Stock_TOTAL_&amp;_City'!F$122:F$133)*(1+P$376)</f>
        <v>0</v>
      </c>
      <c r="Q462" s="693">
        <f>LOOKUP($C$456, 'T_Stock_TOTAL_&amp;_City'!$C$122:$C$133,'T_Stock_TOTAL_&amp;_City'!G$122:G$133)*(1+Q$376)</f>
        <v>0</v>
      </c>
      <c r="R462" s="693">
        <f>LOOKUP($C$456, 'T_Stock_TOTAL_&amp;_City'!$C$122:$C$133,'T_Stock_TOTAL_&amp;_City'!H$122:H$133)*(1+R$376)</f>
        <v>0</v>
      </c>
      <c r="S462" s="693">
        <f>LOOKUP($C$456, 'T_Stock_TOTAL_&amp;_City'!$C$122:$C$133,'T_Stock_TOTAL_&amp;_City'!I$122:I$133)*(1+S$376)</f>
        <v>0</v>
      </c>
      <c r="T462" s="693">
        <f>LOOKUP($C$456, 'T_Stock_TOTAL_&amp;_City'!$C$122:$C$133,'T_Stock_TOTAL_&amp;_City'!J$122:J$133)*(1+T$376)</f>
        <v>0</v>
      </c>
      <c r="U462" s="693">
        <f>LOOKUP($C$456, 'T_Stock_TOTAL_&amp;_City'!$C$122:$C$133,'T_Stock_TOTAL_&amp;_City'!K$122:K$133)*(1+U$376)</f>
        <v>0</v>
      </c>
      <c r="V462" s="693">
        <f>LOOKUP($C$456, 'T_Stock_TOTAL_&amp;_City'!$C$122:$C$133,'T_Stock_TOTAL_&amp;_City'!L$122:L$133)*(1+V$376)</f>
        <v>0</v>
      </c>
      <c r="W462" s="693">
        <f>LOOKUP($C$456, 'T_Stock_TOTAL_&amp;_City'!$C$122:$C$133,'T_Stock_TOTAL_&amp;_City'!M$122:M$133)*(1+W$376)</f>
        <v>0</v>
      </c>
      <c r="X462" s="693">
        <f>LOOKUP($C$456, 'T_Stock_TOTAL_&amp;_City'!$C$122:$C$133,'T_Stock_TOTAL_&amp;_City'!N$122:N$133)*(1+X$376)</f>
        <v>0</v>
      </c>
      <c r="Y462" s="693">
        <f>LOOKUP($C$456, 'T_Stock_TOTAL_&amp;_City'!$C$122:$C$133,'T_Stock_TOTAL_&amp;_City'!O$122:O$133)*(1+Y$376)</f>
        <v>0</v>
      </c>
      <c r="Z462" s="693">
        <f>LOOKUP($C$456, 'T_Stock_TOTAL_&amp;_City'!$C$122:$C$133,'T_Stock_TOTAL_&amp;_City'!P$122:P$133)*(1+Z$376)</f>
        <v>0</v>
      </c>
      <c r="AA462" s="693">
        <f>LOOKUP($C$456, 'T_Stock_TOTAL_&amp;_City'!$C$122:$C$133,'T_Stock_TOTAL_&amp;_City'!Q$122:Q$133)*(1+AA$376)</f>
        <v>0</v>
      </c>
      <c r="AB462" s="693">
        <f>LOOKUP($C$456, 'T_Stock_TOTAL_&amp;_City'!$C$122:$C$133,'T_Stock_TOTAL_&amp;_City'!R$122:R$133)*(1+AB$376)</f>
        <v>0</v>
      </c>
    </row>
    <row r="463" spans="1:52" x14ac:dyDescent="0.3">
      <c r="B463" s="186" t="str">
        <f t="shared" si="373"/>
        <v>TFREHYD900</v>
      </c>
      <c r="C463" s="186"/>
      <c r="D463" s="187"/>
      <c r="E463" s="186"/>
      <c r="F463" s="170"/>
      <c r="G463" s="189"/>
      <c r="H463" s="170"/>
      <c r="I463" s="183">
        <f>AF$5</f>
        <v>2016</v>
      </c>
      <c r="J463" s="191"/>
      <c r="K463" s="191"/>
      <c r="L463" s="211" t="s">
        <v>1064</v>
      </c>
      <c r="M463" s="191" t="s">
        <v>747</v>
      </c>
      <c r="N463" s="693">
        <f t="shared" ref="N463:AB463" si="376">N462*LOOKUP($AD456,$AH$4:$AQ$4,$AH$5:$AQ$5)</f>
        <v>0</v>
      </c>
      <c r="O463" s="693">
        <f t="shared" si="376"/>
        <v>0</v>
      </c>
      <c r="P463" s="693">
        <f t="shared" si="376"/>
        <v>0</v>
      </c>
      <c r="Q463" s="693">
        <f t="shared" si="376"/>
        <v>0</v>
      </c>
      <c r="R463" s="693">
        <f t="shared" si="376"/>
        <v>0</v>
      </c>
      <c r="S463" s="693">
        <f t="shared" si="376"/>
        <v>0</v>
      </c>
      <c r="T463" s="693">
        <f t="shared" si="376"/>
        <v>0</v>
      </c>
      <c r="U463" s="693">
        <f t="shared" si="376"/>
        <v>0</v>
      </c>
      <c r="V463" s="693">
        <f t="shared" si="376"/>
        <v>0</v>
      </c>
      <c r="W463" s="693">
        <f t="shared" si="376"/>
        <v>0</v>
      </c>
      <c r="X463" s="693">
        <f t="shared" si="376"/>
        <v>0</v>
      </c>
      <c r="Y463" s="693">
        <f t="shared" si="376"/>
        <v>0</v>
      </c>
      <c r="Z463" s="693">
        <f t="shared" si="376"/>
        <v>0</v>
      </c>
      <c r="AA463" s="693">
        <f t="shared" si="376"/>
        <v>0</v>
      </c>
      <c r="AB463" s="693">
        <f t="shared" si="376"/>
        <v>0</v>
      </c>
    </row>
    <row r="464" spans="1:52" x14ac:dyDescent="0.3">
      <c r="B464" s="186" t="str">
        <f t="shared" si="373"/>
        <v>TFREHYD900</v>
      </c>
      <c r="C464" s="186"/>
      <c r="D464" s="187"/>
      <c r="E464" s="186"/>
      <c r="F464" s="170"/>
      <c r="G464" s="189"/>
      <c r="H464" s="170"/>
      <c r="I464" s="183">
        <f>AF$6</f>
        <v>2020</v>
      </c>
      <c r="J464" s="191"/>
      <c r="K464" s="191"/>
      <c r="L464" s="211" t="s">
        <v>1064</v>
      </c>
      <c r="M464" s="191" t="s">
        <v>747</v>
      </c>
      <c r="N464" s="693">
        <f t="shared" ref="N464:AB464" si="377">N462*LOOKUP($AD456,$AH$4:$AQ$4,$AH$6:$AQ$6)</f>
        <v>0</v>
      </c>
      <c r="O464" s="693">
        <f t="shared" si="377"/>
        <v>0</v>
      </c>
      <c r="P464" s="693">
        <f t="shared" si="377"/>
        <v>0</v>
      </c>
      <c r="Q464" s="693">
        <f t="shared" si="377"/>
        <v>0</v>
      </c>
      <c r="R464" s="693">
        <f t="shared" si="377"/>
        <v>0</v>
      </c>
      <c r="S464" s="693">
        <f t="shared" si="377"/>
        <v>0</v>
      </c>
      <c r="T464" s="693">
        <f t="shared" si="377"/>
        <v>0</v>
      </c>
      <c r="U464" s="693">
        <f t="shared" si="377"/>
        <v>0</v>
      </c>
      <c r="V464" s="693">
        <f t="shared" si="377"/>
        <v>0</v>
      </c>
      <c r="W464" s="693">
        <f t="shared" si="377"/>
        <v>0</v>
      </c>
      <c r="X464" s="693">
        <f t="shared" si="377"/>
        <v>0</v>
      </c>
      <c r="Y464" s="693">
        <f t="shared" si="377"/>
        <v>0</v>
      </c>
      <c r="Z464" s="693">
        <f t="shared" si="377"/>
        <v>0</v>
      </c>
      <c r="AA464" s="693">
        <f t="shared" si="377"/>
        <v>0</v>
      </c>
      <c r="AB464" s="693">
        <f t="shared" si="377"/>
        <v>0</v>
      </c>
    </row>
    <row r="465" spans="1:52" x14ac:dyDescent="0.3">
      <c r="B465" s="186" t="str">
        <f t="shared" si="373"/>
        <v>TFREHYD900</v>
      </c>
      <c r="C465" s="186"/>
      <c r="D465" s="187"/>
      <c r="E465" s="186"/>
      <c r="F465" s="170"/>
      <c r="G465" s="189"/>
      <c r="H465" s="170"/>
      <c r="I465" s="183">
        <f>AF$7</f>
        <v>2025</v>
      </c>
      <c r="J465" s="191"/>
      <c r="K465" s="191"/>
      <c r="L465" s="211" t="s">
        <v>1064</v>
      </c>
      <c r="M465" s="191" t="s">
        <v>747</v>
      </c>
      <c r="N465" s="693">
        <f t="shared" ref="N465:AB465" si="378">N462*LOOKUP($AD456,$AH$4:$AQ$4,$AH$7:$AQ$7)</f>
        <v>0</v>
      </c>
      <c r="O465" s="693">
        <f t="shared" si="378"/>
        <v>0</v>
      </c>
      <c r="P465" s="693">
        <f t="shared" si="378"/>
        <v>0</v>
      </c>
      <c r="Q465" s="693">
        <f t="shared" si="378"/>
        <v>0</v>
      </c>
      <c r="R465" s="693">
        <f t="shared" si="378"/>
        <v>0</v>
      </c>
      <c r="S465" s="693">
        <f t="shared" si="378"/>
        <v>0</v>
      </c>
      <c r="T465" s="693">
        <f t="shared" si="378"/>
        <v>0</v>
      </c>
      <c r="U465" s="693">
        <f t="shared" si="378"/>
        <v>0</v>
      </c>
      <c r="V465" s="693">
        <f t="shared" si="378"/>
        <v>0</v>
      </c>
      <c r="W465" s="693">
        <f t="shared" si="378"/>
        <v>0</v>
      </c>
      <c r="X465" s="693">
        <f t="shared" si="378"/>
        <v>0</v>
      </c>
      <c r="Y465" s="693">
        <f t="shared" si="378"/>
        <v>0</v>
      </c>
      <c r="Z465" s="693">
        <f t="shared" si="378"/>
        <v>0</v>
      </c>
      <c r="AA465" s="693">
        <f t="shared" si="378"/>
        <v>0</v>
      </c>
      <c r="AB465" s="693">
        <f t="shared" si="378"/>
        <v>0</v>
      </c>
    </row>
    <row r="466" spans="1:52" x14ac:dyDescent="0.3">
      <c r="B466" s="186" t="str">
        <f t="shared" si="373"/>
        <v>TFREHYD900</v>
      </c>
      <c r="C466" s="186"/>
      <c r="D466" s="187"/>
      <c r="E466" s="186"/>
      <c r="F466" s="170"/>
      <c r="G466" s="189"/>
      <c r="H466" s="170"/>
      <c r="I466" s="183">
        <f>AF$8</f>
        <v>2030</v>
      </c>
      <c r="J466" s="191"/>
      <c r="K466" s="191"/>
      <c r="L466" s="211" t="s">
        <v>1064</v>
      </c>
      <c r="M466" s="191" t="s">
        <v>747</v>
      </c>
      <c r="N466" s="693">
        <f t="shared" ref="N466:AB466" si="379">N462*LOOKUP($AD456,$AH$4:$AQ$4,$AH$8:$AQ$8)</f>
        <v>0</v>
      </c>
      <c r="O466" s="693">
        <f t="shared" si="379"/>
        <v>0</v>
      </c>
      <c r="P466" s="693">
        <f t="shared" si="379"/>
        <v>0</v>
      </c>
      <c r="Q466" s="693">
        <f t="shared" si="379"/>
        <v>0</v>
      </c>
      <c r="R466" s="693">
        <f t="shared" si="379"/>
        <v>0</v>
      </c>
      <c r="S466" s="693">
        <f t="shared" si="379"/>
        <v>0</v>
      </c>
      <c r="T466" s="693">
        <f t="shared" si="379"/>
        <v>0</v>
      </c>
      <c r="U466" s="693">
        <f t="shared" si="379"/>
        <v>0</v>
      </c>
      <c r="V466" s="693">
        <f t="shared" si="379"/>
        <v>0</v>
      </c>
      <c r="W466" s="693">
        <f t="shared" si="379"/>
        <v>0</v>
      </c>
      <c r="X466" s="693">
        <f t="shared" si="379"/>
        <v>0</v>
      </c>
      <c r="Y466" s="693">
        <f t="shared" si="379"/>
        <v>0</v>
      </c>
      <c r="Z466" s="693">
        <f t="shared" si="379"/>
        <v>0</v>
      </c>
      <c r="AA466" s="693">
        <f t="shared" si="379"/>
        <v>0</v>
      </c>
      <c r="AB466" s="693">
        <f t="shared" si="379"/>
        <v>0</v>
      </c>
    </row>
    <row r="467" spans="1:52" x14ac:dyDescent="0.3">
      <c r="B467" s="186" t="str">
        <f t="shared" si="373"/>
        <v>TFREHYD900</v>
      </c>
      <c r="C467" s="186"/>
      <c r="D467" s="187"/>
      <c r="E467" s="186"/>
      <c r="F467" s="170"/>
      <c r="G467" s="189"/>
      <c r="H467" s="170"/>
      <c r="I467" s="183">
        <f>AF$9</f>
        <v>2040</v>
      </c>
      <c r="J467" s="191"/>
      <c r="K467" s="191"/>
      <c r="L467" s="211" t="s">
        <v>1064</v>
      </c>
      <c r="M467" s="191" t="s">
        <v>747</v>
      </c>
      <c r="N467" s="693">
        <f t="shared" ref="N467:AB467" si="380">N462*LOOKUP($AD456,$AH$4:$AQ$4,$AH$9:$AQ$9)</f>
        <v>0</v>
      </c>
      <c r="O467" s="693">
        <f t="shared" si="380"/>
        <v>0</v>
      </c>
      <c r="P467" s="693">
        <f t="shared" si="380"/>
        <v>0</v>
      </c>
      <c r="Q467" s="693">
        <f t="shared" si="380"/>
        <v>0</v>
      </c>
      <c r="R467" s="693">
        <f t="shared" si="380"/>
        <v>0</v>
      </c>
      <c r="S467" s="693">
        <f t="shared" si="380"/>
        <v>0</v>
      </c>
      <c r="T467" s="693">
        <f t="shared" si="380"/>
        <v>0</v>
      </c>
      <c r="U467" s="693">
        <f t="shared" si="380"/>
        <v>0</v>
      </c>
      <c r="V467" s="693">
        <f t="shared" si="380"/>
        <v>0</v>
      </c>
      <c r="W467" s="693">
        <f t="shared" si="380"/>
        <v>0</v>
      </c>
      <c r="X467" s="693">
        <f t="shared" si="380"/>
        <v>0</v>
      </c>
      <c r="Y467" s="693">
        <f t="shared" si="380"/>
        <v>0</v>
      </c>
      <c r="Z467" s="693">
        <f t="shared" si="380"/>
        <v>0</v>
      </c>
      <c r="AA467" s="693">
        <f t="shared" si="380"/>
        <v>0</v>
      </c>
      <c r="AB467" s="693">
        <f t="shared" si="380"/>
        <v>0</v>
      </c>
    </row>
    <row r="468" spans="1:52" x14ac:dyDescent="0.3">
      <c r="B468" s="193" t="str">
        <f t="shared" si="373"/>
        <v>TFREHYD900</v>
      </c>
      <c r="C468" s="193"/>
      <c r="D468" s="194"/>
      <c r="E468" s="193"/>
      <c r="F468" s="196"/>
      <c r="G468" s="195"/>
      <c r="H468" s="196"/>
      <c r="I468" s="208">
        <f>AF$10</f>
        <v>2050</v>
      </c>
      <c r="J468" s="198"/>
      <c r="K468" s="198"/>
      <c r="L468" s="212" t="s">
        <v>1064</v>
      </c>
      <c r="M468" s="198" t="s">
        <v>747</v>
      </c>
      <c r="N468" s="694">
        <f t="shared" ref="N468:AB468" si="381">N462*LOOKUP($AD456,$AH$4:$AQ$4,$AH$10:$AQ$10)</f>
        <v>0</v>
      </c>
      <c r="O468" s="694">
        <f t="shared" si="381"/>
        <v>0</v>
      </c>
      <c r="P468" s="694">
        <f t="shared" si="381"/>
        <v>0</v>
      </c>
      <c r="Q468" s="694">
        <f t="shared" si="381"/>
        <v>0</v>
      </c>
      <c r="R468" s="694">
        <f t="shared" si="381"/>
        <v>0</v>
      </c>
      <c r="S468" s="694">
        <f t="shared" si="381"/>
        <v>0</v>
      </c>
      <c r="T468" s="694">
        <f t="shared" si="381"/>
        <v>0</v>
      </c>
      <c r="U468" s="694">
        <f t="shared" si="381"/>
        <v>0</v>
      </c>
      <c r="V468" s="694">
        <f t="shared" si="381"/>
        <v>0</v>
      </c>
      <c r="W468" s="694">
        <f t="shared" si="381"/>
        <v>0</v>
      </c>
      <c r="X468" s="694">
        <f t="shared" si="381"/>
        <v>0</v>
      </c>
      <c r="Y468" s="694">
        <f t="shared" si="381"/>
        <v>0</v>
      </c>
      <c r="Z468" s="694">
        <f t="shared" si="381"/>
        <v>0</v>
      </c>
      <c r="AA468" s="694">
        <f t="shared" si="381"/>
        <v>0</v>
      </c>
      <c r="AB468" s="694">
        <f t="shared" si="381"/>
        <v>0</v>
      </c>
    </row>
    <row r="469" spans="1:52" x14ac:dyDescent="0.3">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3">
      <c r="A470" s="82"/>
      <c r="B470" s="178" t="str">
        <f>B469</f>
        <v>TFREHYG900</v>
      </c>
      <c r="C470" s="178"/>
      <c r="D470" s="179"/>
      <c r="E470" s="407" t="s">
        <v>1011</v>
      </c>
      <c r="F470" s="182"/>
      <c r="G470" s="181"/>
      <c r="H470" s="182"/>
      <c r="I470" s="183"/>
      <c r="J470" s="184" t="s">
        <v>1156</v>
      </c>
      <c r="K470" s="184"/>
      <c r="L470" s="203" t="s">
        <v>101</v>
      </c>
      <c r="M470" s="184"/>
      <c r="N470" s="390">
        <f>N$29</f>
        <v>5.0999999999999997E-2</v>
      </c>
      <c r="O470" s="390">
        <f t="shared" ref="O470:AB470" si="383">O$29</f>
        <v>5.0999999999999997E-2</v>
      </c>
      <c r="P470" s="390">
        <f t="shared" si="383"/>
        <v>5.0999999999999997E-2</v>
      </c>
      <c r="Q470" s="390">
        <f t="shared" si="383"/>
        <v>5.0999999999999997E-2</v>
      </c>
      <c r="R470" s="390">
        <f t="shared" si="383"/>
        <v>5.0999999999999997E-2</v>
      </c>
      <c r="S470" s="390">
        <f t="shared" si="383"/>
        <v>5.0999999999999997E-2</v>
      </c>
      <c r="T470" s="390">
        <f t="shared" si="383"/>
        <v>5.0999999999999997E-2</v>
      </c>
      <c r="U470" s="390">
        <f t="shared" si="383"/>
        <v>5.0999999999999997E-2</v>
      </c>
      <c r="V470" s="390">
        <f t="shared" si="383"/>
        <v>5.0999999999999997E-2</v>
      </c>
      <c r="W470" s="390">
        <f t="shared" si="383"/>
        <v>5.0999999999999997E-2</v>
      </c>
      <c r="X470" s="390">
        <f t="shared" si="383"/>
        <v>5.0999999999999997E-2</v>
      </c>
      <c r="Y470" s="390">
        <f t="shared" si="383"/>
        <v>5.0999999999999997E-2</v>
      </c>
      <c r="Z470" s="390">
        <f t="shared" si="383"/>
        <v>5.0999999999999997E-2</v>
      </c>
      <c r="AA470" s="390">
        <f t="shared" si="383"/>
        <v>5.0999999999999997E-2</v>
      </c>
      <c r="AB470" s="390">
        <f t="shared" si="383"/>
        <v>5.0999999999999997E-2</v>
      </c>
      <c r="AD470" s="66" t="str">
        <f>IF(COUNTIF($AH$4:$AQ$4,AD469)=1,"ok","MISSING")</f>
        <v>ok</v>
      </c>
      <c r="AF470" s="333"/>
    </row>
    <row r="471" spans="1:52" s="83" customFormat="1" x14ac:dyDescent="0.3">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3">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3">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3">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36</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1">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3">
      <c r="B475" s="178" t="str">
        <f>B474</f>
        <v>TFREHYG900</v>
      </c>
      <c r="C475" s="178"/>
      <c r="D475" s="179"/>
      <c r="E475" s="178"/>
      <c r="F475" s="182"/>
      <c r="G475" s="181"/>
      <c r="H475" s="182"/>
      <c r="I475" s="183">
        <f>$M$3</f>
        <v>2019</v>
      </c>
      <c r="J475" s="184"/>
      <c r="K475" s="184"/>
      <c r="L475" s="203" t="s">
        <v>1064</v>
      </c>
      <c r="M475" s="184" t="s">
        <v>747</v>
      </c>
      <c r="N475" s="693">
        <f>LOOKUP($C$469, 'T_Stock_TOTAL_&amp;_City'!$C$122:$C$133,'T_Stock_TOTAL_&amp;_City'!D$122:D$133)*(1+N$376)</f>
        <v>0</v>
      </c>
      <c r="O475" s="693">
        <f>LOOKUP($C$469, 'T_Stock_TOTAL_&amp;_City'!$C$122:$C$133,'T_Stock_TOTAL_&amp;_City'!E$122:E$133)*(1+O$376)</f>
        <v>0</v>
      </c>
      <c r="P475" s="693">
        <f>LOOKUP($C$469, 'T_Stock_TOTAL_&amp;_City'!$C$122:$C$133,'T_Stock_TOTAL_&amp;_City'!F$122:F$133)*(1+P$376)</f>
        <v>0</v>
      </c>
      <c r="Q475" s="693">
        <f>LOOKUP($C$469, 'T_Stock_TOTAL_&amp;_City'!$C$122:$C$133,'T_Stock_TOTAL_&amp;_City'!G$122:G$133)*(1+Q$376)</f>
        <v>0</v>
      </c>
      <c r="R475" s="693">
        <f>LOOKUP($C$469, 'T_Stock_TOTAL_&amp;_City'!$C$122:$C$133,'T_Stock_TOTAL_&amp;_City'!H$122:H$133)*(1+R$376)</f>
        <v>0</v>
      </c>
      <c r="S475" s="693">
        <f>LOOKUP($C$469, 'T_Stock_TOTAL_&amp;_City'!$C$122:$C$133,'T_Stock_TOTAL_&amp;_City'!I$122:I$133)*(1+S$376)</f>
        <v>0</v>
      </c>
      <c r="T475" s="693">
        <f>LOOKUP($C$469, 'T_Stock_TOTAL_&amp;_City'!$C$122:$C$133,'T_Stock_TOTAL_&amp;_City'!J$122:J$133)*(1+T$376)</f>
        <v>0</v>
      </c>
      <c r="U475" s="693">
        <f>LOOKUP($C$469, 'T_Stock_TOTAL_&amp;_City'!$C$122:$C$133,'T_Stock_TOTAL_&amp;_City'!K$122:K$133)*(1+U$376)</f>
        <v>0</v>
      </c>
      <c r="V475" s="693">
        <f>LOOKUP($C$469, 'T_Stock_TOTAL_&amp;_City'!$C$122:$C$133,'T_Stock_TOTAL_&amp;_City'!L$122:L$133)*(1+V$376)</f>
        <v>0</v>
      </c>
      <c r="W475" s="693">
        <f>LOOKUP($C$469, 'T_Stock_TOTAL_&amp;_City'!$C$122:$C$133,'T_Stock_TOTAL_&amp;_City'!M$122:M$133)*(1+W$376)</f>
        <v>0</v>
      </c>
      <c r="X475" s="693">
        <f>LOOKUP($C$469, 'T_Stock_TOTAL_&amp;_City'!$C$122:$C$133,'T_Stock_TOTAL_&amp;_City'!N$122:N$133)*(1+X$376)</f>
        <v>0</v>
      </c>
      <c r="Y475" s="693">
        <f>LOOKUP($C$469, 'T_Stock_TOTAL_&amp;_City'!$C$122:$C$133,'T_Stock_TOTAL_&amp;_City'!O$122:O$133)*(1+Y$376)</f>
        <v>0</v>
      </c>
      <c r="Z475" s="693">
        <f>LOOKUP($C$469, 'T_Stock_TOTAL_&amp;_City'!$C$122:$C$133,'T_Stock_TOTAL_&amp;_City'!P$122:P$133)*(1+Z$376)</f>
        <v>0</v>
      </c>
      <c r="AA475" s="693">
        <f>LOOKUP($C$469, 'T_Stock_TOTAL_&amp;_City'!$C$122:$C$133,'T_Stock_TOTAL_&amp;_City'!Q$122:Q$133)*(1+AA$376)</f>
        <v>0</v>
      </c>
      <c r="AB475" s="693">
        <f>LOOKUP($C$469, 'T_Stock_TOTAL_&amp;_City'!$C$122:$C$133,'T_Stock_TOTAL_&amp;_City'!R$122:R$133)*(1+AB$376)</f>
        <v>0</v>
      </c>
    </row>
    <row r="476" spans="1:52" s="83" customFormat="1" x14ac:dyDescent="0.3">
      <c r="B476" s="178" t="str">
        <f t="shared" si="384"/>
        <v>TFREHYG900</v>
      </c>
      <c r="C476" s="178"/>
      <c r="D476" s="179"/>
      <c r="E476" s="178"/>
      <c r="F476" s="182"/>
      <c r="G476" s="181"/>
      <c r="H476" s="182"/>
      <c r="I476" s="183">
        <f>AF$5</f>
        <v>2016</v>
      </c>
      <c r="J476" s="184"/>
      <c r="K476" s="184"/>
      <c r="L476" s="203" t="s">
        <v>1064</v>
      </c>
      <c r="M476" s="184" t="s">
        <v>747</v>
      </c>
      <c r="N476" s="693">
        <f t="shared" ref="N476:AB476" si="387">N475*LOOKUP($AD469,$AH$4:$AQ$4,$AH$5:$AQ$5)</f>
        <v>0</v>
      </c>
      <c r="O476" s="693">
        <f t="shared" si="387"/>
        <v>0</v>
      </c>
      <c r="P476" s="693">
        <f t="shared" si="387"/>
        <v>0</v>
      </c>
      <c r="Q476" s="693">
        <f t="shared" si="387"/>
        <v>0</v>
      </c>
      <c r="R476" s="693">
        <f t="shared" si="387"/>
        <v>0</v>
      </c>
      <c r="S476" s="693">
        <f t="shared" si="387"/>
        <v>0</v>
      </c>
      <c r="T476" s="693">
        <f t="shared" si="387"/>
        <v>0</v>
      </c>
      <c r="U476" s="693">
        <f t="shared" si="387"/>
        <v>0</v>
      </c>
      <c r="V476" s="693">
        <f t="shared" si="387"/>
        <v>0</v>
      </c>
      <c r="W476" s="693">
        <f t="shared" si="387"/>
        <v>0</v>
      </c>
      <c r="X476" s="693">
        <f t="shared" si="387"/>
        <v>0</v>
      </c>
      <c r="Y476" s="693">
        <f t="shared" si="387"/>
        <v>0</v>
      </c>
      <c r="Z476" s="693">
        <f t="shared" si="387"/>
        <v>0</v>
      </c>
      <c r="AA476" s="693">
        <f t="shared" si="387"/>
        <v>0</v>
      </c>
      <c r="AB476" s="693">
        <f t="shared" si="387"/>
        <v>0</v>
      </c>
    </row>
    <row r="477" spans="1:52" s="83" customFormat="1" x14ac:dyDescent="0.3">
      <c r="B477" s="178" t="str">
        <f t="shared" si="384"/>
        <v>TFREHYG900</v>
      </c>
      <c r="C477" s="178"/>
      <c r="D477" s="179"/>
      <c r="E477" s="178"/>
      <c r="F477" s="182"/>
      <c r="G477" s="181"/>
      <c r="H477" s="182"/>
      <c r="I477" s="183">
        <f>AF$6</f>
        <v>2020</v>
      </c>
      <c r="J477" s="184"/>
      <c r="K477" s="184"/>
      <c r="L477" s="203" t="s">
        <v>1064</v>
      </c>
      <c r="M477" s="184" t="s">
        <v>747</v>
      </c>
      <c r="N477" s="693">
        <f t="shared" ref="N477:AB477" si="388">N475*LOOKUP($AD469,$AH$4:$AQ$4,$AH$6:$AQ$6)</f>
        <v>0</v>
      </c>
      <c r="O477" s="693">
        <f t="shared" si="388"/>
        <v>0</v>
      </c>
      <c r="P477" s="693">
        <f t="shared" si="388"/>
        <v>0</v>
      </c>
      <c r="Q477" s="693">
        <f t="shared" si="388"/>
        <v>0</v>
      </c>
      <c r="R477" s="693">
        <f t="shared" si="388"/>
        <v>0</v>
      </c>
      <c r="S477" s="693">
        <f t="shared" si="388"/>
        <v>0</v>
      </c>
      <c r="T477" s="693">
        <f t="shared" si="388"/>
        <v>0</v>
      </c>
      <c r="U477" s="693">
        <f t="shared" si="388"/>
        <v>0</v>
      </c>
      <c r="V477" s="693">
        <f t="shared" si="388"/>
        <v>0</v>
      </c>
      <c r="W477" s="693">
        <f t="shared" si="388"/>
        <v>0</v>
      </c>
      <c r="X477" s="693">
        <f t="shared" si="388"/>
        <v>0</v>
      </c>
      <c r="Y477" s="693">
        <f t="shared" si="388"/>
        <v>0</v>
      </c>
      <c r="Z477" s="693">
        <f t="shared" si="388"/>
        <v>0</v>
      </c>
      <c r="AA477" s="693">
        <f t="shared" si="388"/>
        <v>0</v>
      </c>
      <c r="AB477" s="693">
        <f t="shared" si="388"/>
        <v>0</v>
      </c>
    </row>
    <row r="478" spans="1:52" s="83" customFormat="1" x14ac:dyDescent="0.3">
      <c r="B478" s="178" t="str">
        <f t="shared" si="384"/>
        <v>TFREHYG900</v>
      </c>
      <c r="C478" s="178"/>
      <c r="D478" s="179"/>
      <c r="E478" s="178"/>
      <c r="F478" s="182"/>
      <c r="G478" s="181"/>
      <c r="H478" s="182"/>
      <c r="I478" s="183">
        <f>AF$7</f>
        <v>2025</v>
      </c>
      <c r="J478" s="184"/>
      <c r="K478" s="184"/>
      <c r="L478" s="203" t="s">
        <v>1064</v>
      </c>
      <c r="M478" s="184" t="s">
        <v>747</v>
      </c>
      <c r="N478" s="693">
        <f t="shared" ref="N478:AB478" si="389">N475*LOOKUP($AD469,$AH$4:$AQ$4,$AH$7:$AQ$7)</f>
        <v>0</v>
      </c>
      <c r="O478" s="693">
        <f t="shared" si="389"/>
        <v>0</v>
      </c>
      <c r="P478" s="693">
        <f t="shared" si="389"/>
        <v>0</v>
      </c>
      <c r="Q478" s="693">
        <f t="shared" si="389"/>
        <v>0</v>
      </c>
      <c r="R478" s="693">
        <f t="shared" si="389"/>
        <v>0</v>
      </c>
      <c r="S478" s="693">
        <f t="shared" si="389"/>
        <v>0</v>
      </c>
      <c r="T478" s="693">
        <f t="shared" si="389"/>
        <v>0</v>
      </c>
      <c r="U478" s="693">
        <f t="shared" si="389"/>
        <v>0</v>
      </c>
      <c r="V478" s="693">
        <f t="shared" si="389"/>
        <v>0</v>
      </c>
      <c r="W478" s="693">
        <f t="shared" si="389"/>
        <v>0</v>
      </c>
      <c r="X478" s="693">
        <f t="shared" si="389"/>
        <v>0</v>
      </c>
      <c r="Y478" s="693">
        <f t="shared" si="389"/>
        <v>0</v>
      </c>
      <c r="Z478" s="693">
        <f t="shared" si="389"/>
        <v>0</v>
      </c>
      <c r="AA478" s="693">
        <f t="shared" si="389"/>
        <v>0</v>
      </c>
      <c r="AB478" s="693">
        <f t="shared" si="389"/>
        <v>0</v>
      </c>
    </row>
    <row r="479" spans="1:52" s="83" customFormat="1" x14ac:dyDescent="0.3">
      <c r="B479" s="178" t="str">
        <f t="shared" si="384"/>
        <v>TFREHYG900</v>
      </c>
      <c r="C479" s="178"/>
      <c r="D479" s="179"/>
      <c r="E479" s="178"/>
      <c r="F479" s="182"/>
      <c r="G479" s="181"/>
      <c r="H479" s="182"/>
      <c r="I479" s="183">
        <f>AF$8</f>
        <v>2030</v>
      </c>
      <c r="J479" s="184"/>
      <c r="K479" s="184"/>
      <c r="L479" s="203" t="s">
        <v>1064</v>
      </c>
      <c r="M479" s="184" t="s">
        <v>747</v>
      </c>
      <c r="N479" s="693">
        <f t="shared" ref="N479:AB479" si="390">N475*LOOKUP($AD469,$AH$4:$AQ$4,$AH$8:$AQ$8)</f>
        <v>0</v>
      </c>
      <c r="O479" s="693">
        <f t="shared" si="390"/>
        <v>0</v>
      </c>
      <c r="P479" s="693">
        <f t="shared" si="390"/>
        <v>0</v>
      </c>
      <c r="Q479" s="693">
        <f t="shared" si="390"/>
        <v>0</v>
      </c>
      <c r="R479" s="693">
        <f t="shared" si="390"/>
        <v>0</v>
      </c>
      <c r="S479" s="693">
        <f t="shared" si="390"/>
        <v>0</v>
      </c>
      <c r="T479" s="693">
        <f t="shared" si="390"/>
        <v>0</v>
      </c>
      <c r="U479" s="693">
        <f t="shared" si="390"/>
        <v>0</v>
      </c>
      <c r="V479" s="693">
        <f t="shared" si="390"/>
        <v>0</v>
      </c>
      <c r="W479" s="693">
        <f t="shared" si="390"/>
        <v>0</v>
      </c>
      <c r="X479" s="693">
        <f t="shared" si="390"/>
        <v>0</v>
      </c>
      <c r="Y479" s="693">
        <f t="shared" si="390"/>
        <v>0</v>
      </c>
      <c r="Z479" s="693">
        <f t="shared" si="390"/>
        <v>0</v>
      </c>
      <c r="AA479" s="693">
        <f t="shared" si="390"/>
        <v>0</v>
      </c>
      <c r="AB479" s="693">
        <f t="shared" si="390"/>
        <v>0</v>
      </c>
    </row>
    <row r="480" spans="1:52" s="83" customFormat="1" x14ac:dyDescent="0.3">
      <c r="B480" s="178" t="str">
        <f t="shared" si="384"/>
        <v>TFREHYG900</v>
      </c>
      <c r="C480" s="178"/>
      <c r="D480" s="179"/>
      <c r="E480" s="178"/>
      <c r="F480" s="182"/>
      <c r="G480" s="181"/>
      <c r="H480" s="182"/>
      <c r="I480" s="183">
        <f>AF$9</f>
        <v>2040</v>
      </c>
      <c r="J480" s="184"/>
      <c r="K480" s="184"/>
      <c r="L480" s="203" t="s">
        <v>1064</v>
      </c>
      <c r="M480" s="184" t="s">
        <v>747</v>
      </c>
      <c r="N480" s="693">
        <f t="shared" ref="N480:AB480" si="391">N475*LOOKUP($AD469,$AH$4:$AQ$4,$AH$9:$AQ$9)</f>
        <v>0</v>
      </c>
      <c r="O480" s="693">
        <f t="shared" si="391"/>
        <v>0</v>
      </c>
      <c r="P480" s="693">
        <f t="shared" si="391"/>
        <v>0</v>
      </c>
      <c r="Q480" s="693">
        <f t="shared" si="391"/>
        <v>0</v>
      </c>
      <c r="R480" s="693">
        <f t="shared" si="391"/>
        <v>0</v>
      </c>
      <c r="S480" s="693">
        <f t="shared" si="391"/>
        <v>0</v>
      </c>
      <c r="T480" s="693">
        <f t="shared" si="391"/>
        <v>0</v>
      </c>
      <c r="U480" s="693">
        <f t="shared" si="391"/>
        <v>0</v>
      </c>
      <c r="V480" s="693">
        <f t="shared" si="391"/>
        <v>0</v>
      </c>
      <c r="W480" s="693">
        <f t="shared" si="391"/>
        <v>0</v>
      </c>
      <c r="X480" s="693">
        <f t="shared" si="391"/>
        <v>0</v>
      </c>
      <c r="Y480" s="693">
        <f t="shared" si="391"/>
        <v>0</v>
      </c>
      <c r="Z480" s="693">
        <f t="shared" si="391"/>
        <v>0</v>
      </c>
      <c r="AA480" s="693">
        <f t="shared" si="391"/>
        <v>0</v>
      </c>
      <c r="AB480" s="693">
        <f t="shared" si="391"/>
        <v>0</v>
      </c>
    </row>
    <row r="481" spans="1:52" s="83" customFormat="1" x14ac:dyDescent="0.3">
      <c r="B481" s="204" t="str">
        <f t="shared" si="384"/>
        <v>TFREHYG900</v>
      </c>
      <c r="C481" s="204"/>
      <c r="D481" s="205"/>
      <c r="E481" s="204"/>
      <c r="F481" s="206"/>
      <c r="G481" s="207"/>
      <c r="H481" s="206"/>
      <c r="I481" s="208">
        <f>AF$10</f>
        <v>2050</v>
      </c>
      <c r="J481" s="209"/>
      <c r="K481" s="209"/>
      <c r="L481" s="210" t="s">
        <v>1064</v>
      </c>
      <c r="M481" s="209" t="s">
        <v>747</v>
      </c>
      <c r="N481" s="694">
        <f t="shared" ref="N481:AB481" si="392">N475*LOOKUP($AD469,$AH$4:$AQ$4,$AH$10:$AQ$10)</f>
        <v>0</v>
      </c>
      <c r="O481" s="694">
        <f t="shared" si="392"/>
        <v>0</v>
      </c>
      <c r="P481" s="694">
        <f t="shared" si="392"/>
        <v>0</v>
      </c>
      <c r="Q481" s="694">
        <f t="shared" si="392"/>
        <v>0</v>
      </c>
      <c r="R481" s="694">
        <f t="shared" si="392"/>
        <v>0</v>
      </c>
      <c r="S481" s="694">
        <f t="shared" si="392"/>
        <v>0</v>
      </c>
      <c r="T481" s="694">
        <f t="shared" si="392"/>
        <v>0</v>
      </c>
      <c r="U481" s="694">
        <f t="shared" si="392"/>
        <v>0</v>
      </c>
      <c r="V481" s="694">
        <f t="shared" si="392"/>
        <v>0</v>
      </c>
      <c r="W481" s="694">
        <f t="shared" si="392"/>
        <v>0</v>
      </c>
      <c r="X481" s="694">
        <f t="shared" si="392"/>
        <v>0</v>
      </c>
      <c r="Y481" s="694">
        <f t="shared" si="392"/>
        <v>0</v>
      </c>
      <c r="Z481" s="694">
        <f t="shared" si="392"/>
        <v>0</v>
      </c>
      <c r="AA481" s="694">
        <f t="shared" si="392"/>
        <v>0</v>
      </c>
      <c r="AB481" s="694">
        <f t="shared" si="392"/>
        <v>0</v>
      </c>
    </row>
    <row r="482" spans="1:52" s="83" customFormat="1" x14ac:dyDescent="0.3">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3">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3">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3">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3">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0</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1">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3">
      <c r="A487" s="22"/>
      <c r="B487" s="186" t="str">
        <f t="shared" si="394"/>
        <v>TFRELPG900</v>
      </c>
      <c r="C487" s="186"/>
      <c r="D487" s="187"/>
      <c r="E487" s="186"/>
      <c r="F487" s="170"/>
      <c r="G487" s="189"/>
      <c r="H487" s="170"/>
      <c r="I487" s="190">
        <f>$M$3</f>
        <v>2019</v>
      </c>
      <c r="J487" s="191"/>
      <c r="K487" s="191"/>
      <c r="L487" s="211" t="s">
        <v>1064</v>
      </c>
      <c r="M487" s="191" t="s">
        <v>747</v>
      </c>
      <c r="N487" s="693">
        <f>LOOKUP($C$482, 'T_Stock_TOTAL_&amp;_City'!$C$122:$C$133,'T_Stock_TOTAL_&amp;_City'!D$122:D$133)*(1+N$376)</f>
        <v>0</v>
      </c>
      <c r="O487" s="693">
        <f>LOOKUP($C$482, 'T_Stock_TOTAL_&amp;_City'!$C$122:$C$133,'T_Stock_TOTAL_&amp;_City'!E$122:E$133)*(1+O$376)</f>
        <v>0</v>
      </c>
      <c r="P487" s="693">
        <f>LOOKUP($C$482, 'T_Stock_TOTAL_&amp;_City'!$C$122:$C$133,'T_Stock_TOTAL_&amp;_City'!F$122:F$133)*(1+P$376)</f>
        <v>0</v>
      </c>
      <c r="Q487" s="693">
        <f>LOOKUP($C$482, 'T_Stock_TOTAL_&amp;_City'!$C$122:$C$133,'T_Stock_TOTAL_&amp;_City'!G$122:G$133)*(1+Q$376)</f>
        <v>0</v>
      </c>
      <c r="R487" s="693">
        <f>LOOKUP($C$482, 'T_Stock_TOTAL_&amp;_City'!$C$122:$C$133,'T_Stock_TOTAL_&amp;_City'!H$122:H$133)*(1+R$376)</f>
        <v>0</v>
      </c>
      <c r="S487" s="693">
        <f>LOOKUP($C$482, 'T_Stock_TOTAL_&amp;_City'!$C$122:$C$133,'T_Stock_TOTAL_&amp;_City'!I$122:I$133)*(1+S$376)</f>
        <v>0</v>
      </c>
      <c r="T487" s="693">
        <f>LOOKUP($C$482, 'T_Stock_TOTAL_&amp;_City'!$C$122:$C$133,'T_Stock_TOTAL_&amp;_City'!J$122:J$133)*(1+T$376)</f>
        <v>0</v>
      </c>
      <c r="U487" s="693">
        <f>LOOKUP($C$482, 'T_Stock_TOTAL_&amp;_City'!$C$122:$C$133,'T_Stock_TOTAL_&amp;_City'!K$122:K$133)*(1+U$376)</f>
        <v>0</v>
      </c>
      <c r="V487" s="693">
        <f>LOOKUP($C$482, 'T_Stock_TOTAL_&amp;_City'!$C$122:$C$133,'T_Stock_TOTAL_&amp;_City'!L$122:L$133)*(1+V$376)</f>
        <v>0</v>
      </c>
      <c r="W487" s="693">
        <f>LOOKUP($C$482, 'T_Stock_TOTAL_&amp;_City'!$C$122:$C$133,'T_Stock_TOTAL_&amp;_City'!M$122:M$133)*(1+W$376)</f>
        <v>0</v>
      </c>
      <c r="X487" s="693">
        <f>LOOKUP($C$482, 'T_Stock_TOTAL_&amp;_City'!$C$122:$C$133,'T_Stock_TOTAL_&amp;_City'!N$122:N$133)*(1+X$376)</f>
        <v>0</v>
      </c>
      <c r="Y487" s="693">
        <f>LOOKUP($C$482, 'T_Stock_TOTAL_&amp;_City'!$C$122:$C$133,'T_Stock_TOTAL_&amp;_City'!O$122:O$133)*(1+Y$376)</f>
        <v>0</v>
      </c>
      <c r="Z487" s="693">
        <f>LOOKUP($C$482, 'T_Stock_TOTAL_&amp;_City'!$C$122:$C$133,'T_Stock_TOTAL_&amp;_City'!P$122:P$133)*(1+Z$376)</f>
        <v>0</v>
      </c>
      <c r="AA487" s="693">
        <f>LOOKUP($C$482, 'T_Stock_TOTAL_&amp;_City'!$C$122:$C$133,'T_Stock_TOTAL_&amp;_City'!Q$122:Q$133)*(1+AA$376)</f>
        <v>0</v>
      </c>
      <c r="AB487" s="693">
        <f>LOOKUP($C$482, 'T_Stock_TOTAL_&amp;_City'!$C$122:$C$133,'T_Stock_TOTAL_&amp;_City'!R$122:R$133)*(1+AB$376)</f>
        <v>0</v>
      </c>
    </row>
    <row r="488" spans="1:52" x14ac:dyDescent="0.3">
      <c r="A488" s="22"/>
      <c r="B488" s="186" t="str">
        <f t="shared" si="394"/>
        <v>TFRELPG900</v>
      </c>
      <c r="C488" s="186"/>
      <c r="D488" s="187"/>
      <c r="E488" s="186"/>
      <c r="F488" s="170"/>
      <c r="G488" s="189"/>
      <c r="H488" s="170"/>
      <c r="I488" s="183">
        <f>AF$5</f>
        <v>2016</v>
      </c>
      <c r="J488" s="191"/>
      <c r="K488" s="191"/>
      <c r="L488" s="211" t="s">
        <v>1064</v>
      </c>
      <c r="M488" s="191" t="s">
        <v>747</v>
      </c>
      <c r="N488" s="693">
        <f t="shared" ref="N488:AB488" si="397">N487*LOOKUP($AD482,$AH$4:$AQ$4,$AH$5:$AQ$5)</f>
        <v>0</v>
      </c>
      <c r="O488" s="693">
        <f t="shared" si="397"/>
        <v>0</v>
      </c>
      <c r="P488" s="693">
        <f t="shared" si="397"/>
        <v>0</v>
      </c>
      <c r="Q488" s="693">
        <f t="shared" si="397"/>
        <v>0</v>
      </c>
      <c r="R488" s="693">
        <f t="shared" si="397"/>
        <v>0</v>
      </c>
      <c r="S488" s="693">
        <f t="shared" si="397"/>
        <v>0</v>
      </c>
      <c r="T488" s="693">
        <f t="shared" si="397"/>
        <v>0</v>
      </c>
      <c r="U488" s="693">
        <f t="shared" si="397"/>
        <v>0</v>
      </c>
      <c r="V488" s="693">
        <f t="shared" si="397"/>
        <v>0</v>
      </c>
      <c r="W488" s="693">
        <f t="shared" si="397"/>
        <v>0</v>
      </c>
      <c r="X488" s="693">
        <f t="shared" si="397"/>
        <v>0</v>
      </c>
      <c r="Y488" s="693">
        <f t="shared" si="397"/>
        <v>0</v>
      </c>
      <c r="Z488" s="693">
        <f t="shared" si="397"/>
        <v>0</v>
      </c>
      <c r="AA488" s="693">
        <f t="shared" si="397"/>
        <v>0</v>
      </c>
      <c r="AB488" s="693">
        <f t="shared" si="397"/>
        <v>0</v>
      </c>
    </row>
    <row r="489" spans="1:52" x14ac:dyDescent="0.3">
      <c r="A489" s="22"/>
      <c r="B489" s="186" t="str">
        <f t="shared" si="394"/>
        <v>TFRELPG900</v>
      </c>
      <c r="C489" s="186"/>
      <c r="D489" s="187"/>
      <c r="E489" s="186"/>
      <c r="F489" s="170"/>
      <c r="G489" s="189"/>
      <c r="H489" s="170"/>
      <c r="I489" s="183">
        <f>AF$6</f>
        <v>2020</v>
      </c>
      <c r="J489" s="191"/>
      <c r="K489" s="191"/>
      <c r="L489" s="211" t="s">
        <v>1064</v>
      </c>
      <c r="M489" s="191" t="s">
        <v>747</v>
      </c>
      <c r="N489" s="693">
        <f t="shared" ref="N489:AB489" si="398">N487*LOOKUP($AD482,$AH$4:$AQ$4,$AH$6:$AQ$6)</f>
        <v>0</v>
      </c>
      <c r="O489" s="693">
        <f t="shared" si="398"/>
        <v>0</v>
      </c>
      <c r="P489" s="693">
        <f t="shared" si="398"/>
        <v>0</v>
      </c>
      <c r="Q489" s="693">
        <f t="shared" si="398"/>
        <v>0</v>
      </c>
      <c r="R489" s="693">
        <f t="shared" si="398"/>
        <v>0</v>
      </c>
      <c r="S489" s="693">
        <f t="shared" si="398"/>
        <v>0</v>
      </c>
      <c r="T489" s="693">
        <f t="shared" si="398"/>
        <v>0</v>
      </c>
      <c r="U489" s="693">
        <f t="shared" si="398"/>
        <v>0</v>
      </c>
      <c r="V489" s="693">
        <f t="shared" si="398"/>
        <v>0</v>
      </c>
      <c r="W489" s="693">
        <f t="shared" si="398"/>
        <v>0</v>
      </c>
      <c r="X489" s="693">
        <f t="shared" si="398"/>
        <v>0</v>
      </c>
      <c r="Y489" s="693">
        <f t="shared" si="398"/>
        <v>0</v>
      </c>
      <c r="Z489" s="693">
        <f t="shared" si="398"/>
        <v>0</v>
      </c>
      <c r="AA489" s="693">
        <f t="shared" si="398"/>
        <v>0</v>
      </c>
      <c r="AB489" s="693">
        <f t="shared" si="398"/>
        <v>0</v>
      </c>
    </row>
    <row r="490" spans="1:52" x14ac:dyDescent="0.3">
      <c r="A490" s="22"/>
      <c r="B490" s="186" t="str">
        <f t="shared" si="394"/>
        <v>TFRELPG900</v>
      </c>
      <c r="C490" s="186"/>
      <c r="D490" s="187"/>
      <c r="E490" s="186"/>
      <c r="F490" s="170"/>
      <c r="G490" s="189"/>
      <c r="H490" s="170"/>
      <c r="I490" s="183">
        <f>AF$7</f>
        <v>2025</v>
      </c>
      <c r="J490" s="191"/>
      <c r="K490" s="191"/>
      <c r="L490" s="211" t="s">
        <v>1064</v>
      </c>
      <c r="M490" s="191" t="s">
        <v>747</v>
      </c>
      <c r="N490" s="693">
        <f t="shared" ref="N490:AB490" si="399">N487*LOOKUP($AD482,$AH$4:$AQ$4,$AH$7:$AQ$7)</f>
        <v>0</v>
      </c>
      <c r="O490" s="693">
        <f t="shared" si="399"/>
        <v>0</v>
      </c>
      <c r="P490" s="693">
        <f t="shared" si="399"/>
        <v>0</v>
      </c>
      <c r="Q490" s="693">
        <f t="shared" si="399"/>
        <v>0</v>
      </c>
      <c r="R490" s="693">
        <f t="shared" si="399"/>
        <v>0</v>
      </c>
      <c r="S490" s="693">
        <f t="shared" si="399"/>
        <v>0</v>
      </c>
      <c r="T490" s="693">
        <f t="shared" si="399"/>
        <v>0</v>
      </c>
      <c r="U490" s="693">
        <f t="shared" si="399"/>
        <v>0</v>
      </c>
      <c r="V490" s="693">
        <f t="shared" si="399"/>
        <v>0</v>
      </c>
      <c r="W490" s="693">
        <f t="shared" si="399"/>
        <v>0</v>
      </c>
      <c r="X490" s="693">
        <f t="shared" si="399"/>
        <v>0</v>
      </c>
      <c r="Y490" s="693">
        <f t="shared" si="399"/>
        <v>0</v>
      </c>
      <c r="Z490" s="693">
        <f t="shared" si="399"/>
        <v>0</v>
      </c>
      <c r="AA490" s="693">
        <f t="shared" si="399"/>
        <v>0</v>
      </c>
      <c r="AB490" s="693">
        <f t="shared" si="399"/>
        <v>0</v>
      </c>
    </row>
    <row r="491" spans="1:52" x14ac:dyDescent="0.3">
      <c r="A491" s="22"/>
      <c r="B491" s="186" t="str">
        <f t="shared" si="394"/>
        <v>TFRELPG900</v>
      </c>
      <c r="C491" s="186"/>
      <c r="D491" s="187"/>
      <c r="E491" s="186"/>
      <c r="F491" s="170"/>
      <c r="G491" s="189"/>
      <c r="H491" s="170"/>
      <c r="I491" s="183">
        <f>AF$8</f>
        <v>2030</v>
      </c>
      <c r="J491" s="191"/>
      <c r="K491" s="191"/>
      <c r="L491" s="211" t="s">
        <v>1064</v>
      </c>
      <c r="M491" s="191" t="s">
        <v>747</v>
      </c>
      <c r="N491" s="693">
        <f t="shared" ref="N491:AB491" si="400">N487*LOOKUP($AD482,$AH$4:$AQ$4,$AH$8:$AQ$8)</f>
        <v>0</v>
      </c>
      <c r="O491" s="693">
        <f t="shared" si="400"/>
        <v>0</v>
      </c>
      <c r="P491" s="693">
        <f t="shared" si="400"/>
        <v>0</v>
      </c>
      <c r="Q491" s="693">
        <f t="shared" si="400"/>
        <v>0</v>
      </c>
      <c r="R491" s="693">
        <f t="shared" si="400"/>
        <v>0</v>
      </c>
      <c r="S491" s="693">
        <f t="shared" si="400"/>
        <v>0</v>
      </c>
      <c r="T491" s="693">
        <f t="shared" si="400"/>
        <v>0</v>
      </c>
      <c r="U491" s="693">
        <f t="shared" si="400"/>
        <v>0</v>
      </c>
      <c r="V491" s="693">
        <f t="shared" si="400"/>
        <v>0</v>
      </c>
      <c r="W491" s="693">
        <f t="shared" si="400"/>
        <v>0</v>
      </c>
      <c r="X491" s="693">
        <f t="shared" si="400"/>
        <v>0</v>
      </c>
      <c r="Y491" s="693">
        <f t="shared" si="400"/>
        <v>0</v>
      </c>
      <c r="Z491" s="693">
        <f t="shared" si="400"/>
        <v>0</v>
      </c>
      <c r="AA491" s="693">
        <f t="shared" si="400"/>
        <v>0</v>
      </c>
      <c r="AB491" s="693">
        <f t="shared" si="400"/>
        <v>0</v>
      </c>
    </row>
    <row r="492" spans="1:52" x14ac:dyDescent="0.3">
      <c r="A492" s="22"/>
      <c r="B492" s="186" t="str">
        <f t="shared" si="394"/>
        <v>TFRELPG900</v>
      </c>
      <c r="C492" s="186"/>
      <c r="D492" s="187"/>
      <c r="E492" s="186"/>
      <c r="F492" s="170"/>
      <c r="G492" s="189"/>
      <c r="H492" s="170"/>
      <c r="I492" s="183">
        <f>AF$9</f>
        <v>2040</v>
      </c>
      <c r="J492" s="191"/>
      <c r="K492" s="191"/>
      <c r="L492" s="211" t="s">
        <v>1064</v>
      </c>
      <c r="M492" s="191" t="s">
        <v>747</v>
      </c>
      <c r="N492" s="693">
        <f t="shared" ref="N492:AB492" si="401">N487*LOOKUP($AD482,$AH$4:$AQ$4,$AH$9:$AQ$9)</f>
        <v>0</v>
      </c>
      <c r="O492" s="693">
        <f t="shared" si="401"/>
        <v>0</v>
      </c>
      <c r="P492" s="693">
        <f t="shared" si="401"/>
        <v>0</v>
      </c>
      <c r="Q492" s="693">
        <f t="shared" si="401"/>
        <v>0</v>
      </c>
      <c r="R492" s="693">
        <f t="shared" si="401"/>
        <v>0</v>
      </c>
      <c r="S492" s="693">
        <f t="shared" si="401"/>
        <v>0</v>
      </c>
      <c r="T492" s="693">
        <f t="shared" si="401"/>
        <v>0</v>
      </c>
      <c r="U492" s="693">
        <f t="shared" si="401"/>
        <v>0</v>
      </c>
      <c r="V492" s="693">
        <f t="shared" si="401"/>
        <v>0</v>
      </c>
      <c r="W492" s="693">
        <f t="shared" si="401"/>
        <v>0</v>
      </c>
      <c r="X492" s="693">
        <f t="shared" si="401"/>
        <v>0</v>
      </c>
      <c r="Y492" s="693">
        <f t="shared" si="401"/>
        <v>0</v>
      </c>
      <c r="Z492" s="693">
        <f t="shared" si="401"/>
        <v>0</v>
      </c>
      <c r="AA492" s="693">
        <f t="shared" si="401"/>
        <v>0</v>
      </c>
      <c r="AB492" s="693">
        <f t="shared" si="401"/>
        <v>0</v>
      </c>
    </row>
    <row r="493" spans="1:52" x14ac:dyDescent="0.3">
      <c r="A493" s="22"/>
      <c r="B493" s="193" t="str">
        <f t="shared" si="394"/>
        <v>TFRELPG900</v>
      </c>
      <c r="C493" s="193"/>
      <c r="D493" s="194"/>
      <c r="E493" s="193"/>
      <c r="F493" s="196"/>
      <c r="G493" s="195"/>
      <c r="H493" s="196"/>
      <c r="I493" s="208">
        <f>AF$10</f>
        <v>2050</v>
      </c>
      <c r="J493" s="198"/>
      <c r="K493" s="198"/>
      <c r="L493" s="212" t="s">
        <v>1064</v>
      </c>
      <c r="M493" s="198" t="s">
        <v>747</v>
      </c>
      <c r="N493" s="694">
        <f t="shared" ref="N493:AB493" si="402">N487*LOOKUP($AD482,$AH$4:$AQ$4,$AH$10:$AQ$10)</f>
        <v>0</v>
      </c>
      <c r="O493" s="694">
        <f t="shared" si="402"/>
        <v>0</v>
      </c>
      <c r="P493" s="694">
        <f t="shared" si="402"/>
        <v>0</v>
      </c>
      <c r="Q493" s="694">
        <f t="shared" si="402"/>
        <v>0</v>
      </c>
      <c r="R493" s="694">
        <f t="shared" si="402"/>
        <v>0</v>
      </c>
      <c r="S493" s="694">
        <f t="shared" si="402"/>
        <v>0</v>
      </c>
      <c r="T493" s="694">
        <f t="shared" si="402"/>
        <v>0</v>
      </c>
      <c r="U493" s="694">
        <f t="shared" si="402"/>
        <v>0</v>
      </c>
      <c r="V493" s="694">
        <f t="shared" si="402"/>
        <v>0</v>
      </c>
      <c r="W493" s="694">
        <f t="shared" si="402"/>
        <v>0</v>
      </c>
      <c r="X493" s="694">
        <f t="shared" si="402"/>
        <v>0</v>
      </c>
      <c r="Y493" s="694">
        <f t="shared" si="402"/>
        <v>0</v>
      </c>
      <c r="Z493" s="694">
        <f t="shared" si="402"/>
        <v>0</v>
      </c>
      <c r="AA493" s="694">
        <f t="shared" si="402"/>
        <v>0</v>
      </c>
      <c r="AB493" s="694">
        <f t="shared" si="402"/>
        <v>0</v>
      </c>
    </row>
    <row r="494" spans="1:52" x14ac:dyDescent="0.3">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3">
      <c r="A495" s="82"/>
      <c r="B495" s="178" t="str">
        <f>B494</f>
        <v>TFREPYD900</v>
      </c>
      <c r="C495" s="178"/>
      <c r="D495" s="179"/>
      <c r="E495" s="407" t="s">
        <v>987</v>
      </c>
      <c r="F495" s="182"/>
      <c r="G495" s="181"/>
      <c r="H495" s="182"/>
      <c r="I495" s="183"/>
      <c r="J495" s="184" t="s">
        <v>1222</v>
      </c>
      <c r="K495" s="184"/>
      <c r="L495" s="203" t="s">
        <v>101</v>
      </c>
      <c r="M495" s="184"/>
      <c r="N495" s="390">
        <f>N$28</f>
        <v>0.17499999999999999</v>
      </c>
      <c r="O495" s="390">
        <f t="shared" ref="O495:AB495" si="404">O$28</f>
        <v>0.17499999999999999</v>
      </c>
      <c r="P495" s="390">
        <f t="shared" si="404"/>
        <v>0.17499999999999999</v>
      </c>
      <c r="Q495" s="390">
        <f t="shared" si="404"/>
        <v>0.17499999999999999</v>
      </c>
      <c r="R495" s="390">
        <f t="shared" si="404"/>
        <v>0.17499999999999999</v>
      </c>
      <c r="S495" s="390">
        <f t="shared" si="404"/>
        <v>0.17499999999999999</v>
      </c>
      <c r="T495" s="390">
        <f t="shared" si="404"/>
        <v>0.17499999999999999</v>
      </c>
      <c r="U495" s="390">
        <f t="shared" si="404"/>
        <v>0.17499999999999999</v>
      </c>
      <c r="V495" s="390">
        <f t="shared" si="404"/>
        <v>0.17499999999999999</v>
      </c>
      <c r="W495" s="390">
        <f t="shared" si="404"/>
        <v>0.17499999999999999</v>
      </c>
      <c r="X495" s="390">
        <f t="shared" si="404"/>
        <v>0.17499999999999999</v>
      </c>
      <c r="Y495" s="390">
        <f t="shared" si="404"/>
        <v>0.17499999999999999</v>
      </c>
      <c r="Z495" s="390">
        <f t="shared" si="404"/>
        <v>0.17499999999999999</v>
      </c>
      <c r="AA495" s="390">
        <f t="shared" si="404"/>
        <v>0.17499999999999999</v>
      </c>
      <c r="AB495" s="390">
        <f t="shared" si="404"/>
        <v>0.17499999999999999</v>
      </c>
      <c r="AD495" s="66" t="str">
        <f>IF(COUNTIF($AH$4:$AQ$4,AD494)=1,"ok","MISSING")</f>
        <v>ok</v>
      </c>
      <c r="AF495" s="333"/>
    </row>
    <row r="496" spans="1:52" s="83" customFormat="1" x14ac:dyDescent="0.3">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3">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3">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3">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36</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1">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3">
      <c r="B500" s="178" t="str">
        <f>B499</f>
        <v>TFREPYD900</v>
      </c>
      <c r="C500" s="178"/>
      <c r="D500" s="179"/>
      <c r="E500" s="178"/>
      <c r="F500" s="182"/>
      <c r="G500" s="181"/>
      <c r="H500" s="182"/>
      <c r="I500" s="183">
        <f>$M$3</f>
        <v>2019</v>
      </c>
      <c r="J500" s="184"/>
      <c r="K500" s="184"/>
      <c r="L500" s="203" t="s">
        <v>1064</v>
      </c>
      <c r="M500" s="184" t="s">
        <v>747</v>
      </c>
      <c r="N500" s="693">
        <f>LOOKUP($C$494, 'T_Stock_TOTAL_&amp;_City'!$C$122:$C$133,'T_Stock_TOTAL_&amp;_City'!D$122:D$133)*(1+N$376)</f>
        <v>0</v>
      </c>
      <c r="O500" s="693">
        <f>LOOKUP($C$494, 'T_Stock_TOTAL_&amp;_City'!$C$122:$C$133,'T_Stock_TOTAL_&amp;_City'!E$122:E$133)*(1+O$376)</f>
        <v>0</v>
      </c>
      <c r="P500" s="693">
        <f>LOOKUP($C$494, 'T_Stock_TOTAL_&amp;_City'!$C$122:$C$133,'T_Stock_TOTAL_&amp;_City'!F$122:F$133)*(1+P$376)</f>
        <v>0</v>
      </c>
      <c r="Q500" s="693">
        <f>LOOKUP($C$494, 'T_Stock_TOTAL_&amp;_City'!$C$122:$C$133,'T_Stock_TOTAL_&amp;_City'!G$122:G$133)*(1+Q$376)</f>
        <v>0</v>
      </c>
      <c r="R500" s="693">
        <f>LOOKUP($C$494, 'T_Stock_TOTAL_&amp;_City'!$C$122:$C$133,'T_Stock_TOTAL_&amp;_City'!H$122:H$133)*(1+R$376)</f>
        <v>0</v>
      </c>
      <c r="S500" s="693">
        <f>LOOKUP($C$494, 'T_Stock_TOTAL_&amp;_City'!$C$122:$C$133,'T_Stock_TOTAL_&amp;_City'!I$122:I$133)*(1+S$376)</f>
        <v>0</v>
      </c>
      <c r="T500" s="693">
        <f>LOOKUP($C$494, 'T_Stock_TOTAL_&amp;_City'!$C$122:$C$133,'T_Stock_TOTAL_&amp;_City'!J$122:J$133)*(1+T$376)</f>
        <v>0</v>
      </c>
      <c r="U500" s="693">
        <f>LOOKUP($C$494, 'T_Stock_TOTAL_&amp;_City'!$C$122:$C$133,'T_Stock_TOTAL_&amp;_City'!K$122:K$133)*(1+U$376)</f>
        <v>0</v>
      </c>
      <c r="V500" s="693">
        <f>LOOKUP($C$494, 'T_Stock_TOTAL_&amp;_City'!$C$122:$C$133,'T_Stock_TOTAL_&amp;_City'!L$122:L$133)*(1+V$376)</f>
        <v>0</v>
      </c>
      <c r="W500" s="693">
        <f>LOOKUP($C$494, 'T_Stock_TOTAL_&amp;_City'!$C$122:$C$133,'T_Stock_TOTAL_&amp;_City'!M$122:M$133)*(1+W$376)</f>
        <v>0</v>
      </c>
      <c r="X500" s="693">
        <f>LOOKUP($C$494, 'T_Stock_TOTAL_&amp;_City'!$C$122:$C$133,'T_Stock_TOTAL_&amp;_City'!N$122:N$133)*(1+X$376)</f>
        <v>0</v>
      </c>
      <c r="Y500" s="693">
        <f>LOOKUP($C$494, 'T_Stock_TOTAL_&amp;_City'!$C$122:$C$133,'T_Stock_TOTAL_&amp;_City'!O$122:O$133)*(1+Y$376)</f>
        <v>0</v>
      </c>
      <c r="Z500" s="693">
        <f>LOOKUP($C$494, 'T_Stock_TOTAL_&amp;_City'!$C$122:$C$133,'T_Stock_TOTAL_&amp;_City'!P$122:P$133)*(1+Z$376)</f>
        <v>0</v>
      </c>
      <c r="AA500" s="693">
        <f>LOOKUP($C$494, 'T_Stock_TOTAL_&amp;_City'!$C$122:$C$133,'T_Stock_TOTAL_&amp;_City'!Q$122:Q$133)*(1+AA$376)</f>
        <v>0</v>
      </c>
      <c r="AB500" s="693">
        <f>LOOKUP($C$494, 'T_Stock_TOTAL_&amp;_City'!$C$122:$C$133,'T_Stock_TOTAL_&amp;_City'!R$122:R$133)*(1+AB$376)</f>
        <v>0</v>
      </c>
    </row>
    <row r="501" spans="1:46" s="83" customFormat="1" x14ac:dyDescent="0.3">
      <c r="B501" s="178" t="str">
        <f t="shared" si="405"/>
        <v>TFREPYD900</v>
      </c>
      <c r="C501" s="178"/>
      <c r="D501" s="179"/>
      <c r="E501" s="178"/>
      <c r="F501" s="182"/>
      <c r="G501" s="181"/>
      <c r="H501" s="182"/>
      <c r="I501" s="183">
        <f>AF$5</f>
        <v>2016</v>
      </c>
      <c r="J501" s="184"/>
      <c r="K501" s="184"/>
      <c r="L501" s="203" t="s">
        <v>1064</v>
      </c>
      <c r="M501" s="184" t="s">
        <v>747</v>
      </c>
      <c r="N501" s="693">
        <f t="shared" ref="N501:AB501" si="408">N500*LOOKUP($AD494,$AH$4:$AQ$4,$AH$5:$AQ$5)</f>
        <v>0</v>
      </c>
      <c r="O501" s="693">
        <f t="shared" si="408"/>
        <v>0</v>
      </c>
      <c r="P501" s="693">
        <f t="shared" si="408"/>
        <v>0</v>
      </c>
      <c r="Q501" s="693">
        <f t="shared" si="408"/>
        <v>0</v>
      </c>
      <c r="R501" s="693">
        <f t="shared" si="408"/>
        <v>0</v>
      </c>
      <c r="S501" s="693">
        <f t="shared" si="408"/>
        <v>0</v>
      </c>
      <c r="T501" s="693">
        <f t="shared" si="408"/>
        <v>0</v>
      </c>
      <c r="U501" s="693">
        <f t="shared" si="408"/>
        <v>0</v>
      </c>
      <c r="V501" s="693">
        <f t="shared" si="408"/>
        <v>0</v>
      </c>
      <c r="W501" s="693">
        <f t="shared" si="408"/>
        <v>0</v>
      </c>
      <c r="X501" s="693">
        <f t="shared" si="408"/>
        <v>0</v>
      </c>
      <c r="Y501" s="693">
        <f t="shared" si="408"/>
        <v>0</v>
      </c>
      <c r="Z501" s="693">
        <f t="shared" si="408"/>
        <v>0</v>
      </c>
      <c r="AA501" s="693">
        <f t="shared" si="408"/>
        <v>0</v>
      </c>
      <c r="AB501" s="693">
        <f t="shared" si="408"/>
        <v>0</v>
      </c>
    </row>
    <row r="502" spans="1:46" s="83" customFormat="1" x14ac:dyDescent="0.3">
      <c r="B502" s="178" t="str">
        <f t="shared" si="405"/>
        <v>TFREPYD900</v>
      </c>
      <c r="C502" s="178"/>
      <c r="D502" s="179"/>
      <c r="E502" s="178"/>
      <c r="F502" s="182"/>
      <c r="G502" s="181"/>
      <c r="H502" s="182"/>
      <c r="I502" s="183">
        <f>AF$6</f>
        <v>2020</v>
      </c>
      <c r="J502" s="184"/>
      <c r="K502" s="184"/>
      <c r="L502" s="203" t="s">
        <v>1064</v>
      </c>
      <c r="M502" s="184" t="s">
        <v>747</v>
      </c>
      <c r="N502" s="693">
        <f t="shared" ref="N502:AB502" si="409">N500*LOOKUP($AD494,$AH$4:$AQ$4,$AH$6:$AQ$6)</f>
        <v>0</v>
      </c>
      <c r="O502" s="693">
        <f t="shared" si="409"/>
        <v>0</v>
      </c>
      <c r="P502" s="693">
        <f t="shared" si="409"/>
        <v>0</v>
      </c>
      <c r="Q502" s="693">
        <f t="shared" si="409"/>
        <v>0</v>
      </c>
      <c r="R502" s="693">
        <f t="shared" si="409"/>
        <v>0</v>
      </c>
      <c r="S502" s="693">
        <f t="shared" si="409"/>
        <v>0</v>
      </c>
      <c r="T502" s="693">
        <f t="shared" si="409"/>
        <v>0</v>
      </c>
      <c r="U502" s="693">
        <f t="shared" si="409"/>
        <v>0</v>
      </c>
      <c r="V502" s="693">
        <f t="shared" si="409"/>
        <v>0</v>
      </c>
      <c r="W502" s="693">
        <f t="shared" si="409"/>
        <v>0</v>
      </c>
      <c r="X502" s="693">
        <f t="shared" si="409"/>
        <v>0</v>
      </c>
      <c r="Y502" s="693">
        <f t="shared" si="409"/>
        <v>0</v>
      </c>
      <c r="Z502" s="693">
        <f t="shared" si="409"/>
        <v>0</v>
      </c>
      <c r="AA502" s="693">
        <f t="shared" si="409"/>
        <v>0</v>
      </c>
      <c r="AB502" s="693">
        <f t="shared" si="409"/>
        <v>0</v>
      </c>
    </row>
    <row r="503" spans="1:46" s="83" customFormat="1" x14ac:dyDescent="0.3">
      <c r="B503" s="178" t="str">
        <f t="shared" si="405"/>
        <v>TFREPYD900</v>
      </c>
      <c r="C503" s="178"/>
      <c r="D503" s="179"/>
      <c r="E503" s="178"/>
      <c r="F503" s="182"/>
      <c r="G503" s="181"/>
      <c r="H503" s="182"/>
      <c r="I503" s="183">
        <f>AF$7</f>
        <v>2025</v>
      </c>
      <c r="J503" s="184"/>
      <c r="K503" s="184"/>
      <c r="L503" s="203" t="s">
        <v>1064</v>
      </c>
      <c r="M503" s="184" t="s">
        <v>747</v>
      </c>
      <c r="N503" s="693">
        <f t="shared" ref="N503:AB503" si="410">N500*LOOKUP($AD494,$AH$4:$AQ$4,$AH$7:$AQ$7)</f>
        <v>0</v>
      </c>
      <c r="O503" s="693">
        <f t="shared" si="410"/>
        <v>0</v>
      </c>
      <c r="P503" s="693">
        <f t="shared" si="410"/>
        <v>0</v>
      </c>
      <c r="Q503" s="693">
        <f t="shared" si="410"/>
        <v>0</v>
      </c>
      <c r="R503" s="693">
        <f t="shared" si="410"/>
        <v>0</v>
      </c>
      <c r="S503" s="693">
        <f t="shared" si="410"/>
        <v>0</v>
      </c>
      <c r="T503" s="693">
        <f t="shared" si="410"/>
        <v>0</v>
      </c>
      <c r="U503" s="693">
        <f t="shared" si="410"/>
        <v>0</v>
      </c>
      <c r="V503" s="693">
        <f t="shared" si="410"/>
        <v>0</v>
      </c>
      <c r="W503" s="693">
        <f t="shared" si="410"/>
        <v>0</v>
      </c>
      <c r="X503" s="693">
        <f t="shared" si="410"/>
        <v>0</v>
      </c>
      <c r="Y503" s="693">
        <f t="shared" si="410"/>
        <v>0</v>
      </c>
      <c r="Z503" s="693">
        <f t="shared" si="410"/>
        <v>0</v>
      </c>
      <c r="AA503" s="693">
        <f t="shared" si="410"/>
        <v>0</v>
      </c>
      <c r="AB503" s="693">
        <f t="shared" si="410"/>
        <v>0</v>
      </c>
    </row>
    <row r="504" spans="1:46" s="83" customFormat="1" x14ac:dyDescent="0.3">
      <c r="B504" s="178" t="str">
        <f t="shared" si="405"/>
        <v>TFREPYD900</v>
      </c>
      <c r="C504" s="178"/>
      <c r="D504" s="179"/>
      <c r="E504" s="178"/>
      <c r="F504" s="182"/>
      <c r="G504" s="181"/>
      <c r="H504" s="182"/>
      <c r="I504" s="183">
        <f>AF$8</f>
        <v>2030</v>
      </c>
      <c r="J504" s="184"/>
      <c r="K504" s="184"/>
      <c r="L504" s="203" t="s">
        <v>1064</v>
      </c>
      <c r="M504" s="184" t="s">
        <v>747</v>
      </c>
      <c r="N504" s="693">
        <f t="shared" ref="N504:AB504" si="411">N500*LOOKUP($AD494,$AH$4:$AQ$4,$AH$8:$AQ$8)</f>
        <v>0</v>
      </c>
      <c r="O504" s="693">
        <f t="shared" si="411"/>
        <v>0</v>
      </c>
      <c r="P504" s="693">
        <f t="shared" si="411"/>
        <v>0</v>
      </c>
      <c r="Q504" s="693">
        <f t="shared" si="411"/>
        <v>0</v>
      </c>
      <c r="R504" s="693">
        <f t="shared" si="411"/>
        <v>0</v>
      </c>
      <c r="S504" s="693">
        <f t="shared" si="411"/>
        <v>0</v>
      </c>
      <c r="T504" s="693">
        <f t="shared" si="411"/>
        <v>0</v>
      </c>
      <c r="U504" s="693">
        <f t="shared" si="411"/>
        <v>0</v>
      </c>
      <c r="V504" s="693">
        <f t="shared" si="411"/>
        <v>0</v>
      </c>
      <c r="W504" s="693">
        <f t="shared" si="411"/>
        <v>0</v>
      </c>
      <c r="X504" s="693">
        <f t="shared" si="411"/>
        <v>0</v>
      </c>
      <c r="Y504" s="693">
        <f t="shared" si="411"/>
        <v>0</v>
      </c>
      <c r="Z504" s="693">
        <f t="shared" si="411"/>
        <v>0</v>
      </c>
      <c r="AA504" s="693">
        <f t="shared" si="411"/>
        <v>0</v>
      </c>
      <c r="AB504" s="693">
        <f t="shared" si="411"/>
        <v>0</v>
      </c>
    </row>
    <row r="505" spans="1:46" s="83" customFormat="1" x14ac:dyDescent="0.3">
      <c r="B505" s="178" t="str">
        <f t="shared" si="405"/>
        <v>TFREPYD900</v>
      </c>
      <c r="C505" s="178"/>
      <c r="D505" s="179"/>
      <c r="E505" s="178"/>
      <c r="F505" s="182"/>
      <c r="G505" s="181"/>
      <c r="H505" s="182"/>
      <c r="I505" s="183">
        <f>AF$9</f>
        <v>2040</v>
      </c>
      <c r="J505" s="184"/>
      <c r="K505" s="184"/>
      <c r="L505" s="203" t="s">
        <v>1064</v>
      </c>
      <c r="M505" s="184" t="s">
        <v>747</v>
      </c>
      <c r="N505" s="693">
        <f t="shared" ref="N505:AB505" si="412">N500*LOOKUP($AD494,$AH$4:$AQ$4,$AH$9:$AQ$9)</f>
        <v>0</v>
      </c>
      <c r="O505" s="693">
        <f t="shared" si="412"/>
        <v>0</v>
      </c>
      <c r="P505" s="693">
        <f t="shared" si="412"/>
        <v>0</v>
      </c>
      <c r="Q505" s="693">
        <f t="shared" si="412"/>
        <v>0</v>
      </c>
      <c r="R505" s="693">
        <f t="shared" si="412"/>
        <v>0</v>
      </c>
      <c r="S505" s="693">
        <f t="shared" si="412"/>
        <v>0</v>
      </c>
      <c r="T505" s="693">
        <f t="shared" si="412"/>
        <v>0</v>
      </c>
      <c r="U505" s="693">
        <f t="shared" si="412"/>
        <v>0</v>
      </c>
      <c r="V505" s="693">
        <f t="shared" si="412"/>
        <v>0</v>
      </c>
      <c r="W505" s="693">
        <f t="shared" si="412"/>
        <v>0</v>
      </c>
      <c r="X505" s="693">
        <f t="shared" si="412"/>
        <v>0</v>
      </c>
      <c r="Y505" s="693">
        <f t="shared" si="412"/>
        <v>0</v>
      </c>
      <c r="Z505" s="693">
        <f t="shared" si="412"/>
        <v>0</v>
      </c>
      <c r="AA505" s="693">
        <f t="shared" si="412"/>
        <v>0</v>
      </c>
      <c r="AB505" s="693">
        <f t="shared" si="412"/>
        <v>0</v>
      </c>
    </row>
    <row r="506" spans="1:46" s="83" customFormat="1" x14ac:dyDescent="0.3">
      <c r="B506" s="204" t="str">
        <f t="shared" si="405"/>
        <v>TFREPYD900</v>
      </c>
      <c r="C506" s="204"/>
      <c r="D506" s="205"/>
      <c r="E506" s="204"/>
      <c r="F506" s="206"/>
      <c r="G506" s="207"/>
      <c r="H506" s="206"/>
      <c r="I506" s="208">
        <f>AF$10</f>
        <v>2050</v>
      </c>
      <c r="J506" s="209"/>
      <c r="K506" s="209"/>
      <c r="L506" s="210" t="s">
        <v>1064</v>
      </c>
      <c r="M506" s="209" t="s">
        <v>747</v>
      </c>
      <c r="N506" s="694">
        <f t="shared" ref="N506:AB506" si="413">N500*LOOKUP($AD494,$AH$4:$AQ$4,$AH$10:$AQ$10)</f>
        <v>0</v>
      </c>
      <c r="O506" s="694">
        <f t="shared" si="413"/>
        <v>0</v>
      </c>
      <c r="P506" s="694">
        <f t="shared" si="413"/>
        <v>0</v>
      </c>
      <c r="Q506" s="694">
        <f t="shared" si="413"/>
        <v>0</v>
      </c>
      <c r="R506" s="694">
        <f t="shared" si="413"/>
        <v>0</v>
      </c>
      <c r="S506" s="694">
        <f t="shared" si="413"/>
        <v>0</v>
      </c>
      <c r="T506" s="694">
        <f t="shared" si="413"/>
        <v>0</v>
      </c>
      <c r="U506" s="694">
        <f t="shared" si="413"/>
        <v>0</v>
      </c>
      <c r="V506" s="694">
        <f t="shared" si="413"/>
        <v>0</v>
      </c>
      <c r="W506" s="694">
        <f t="shared" si="413"/>
        <v>0</v>
      </c>
      <c r="X506" s="694">
        <f t="shared" si="413"/>
        <v>0</v>
      </c>
      <c r="Y506" s="694">
        <f t="shared" si="413"/>
        <v>0</v>
      </c>
      <c r="Z506" s="694">
        <f t="shared" si="413"/>
        <v>0</v>
      </c>
      <c r="AA506" s="694">
        <f t="shared" si="413"/>
        <v>0</v>
      </c>
      <c r="AB506" s="694">
        <f t="shared" si="413"/>
        <v>0</v>
      </c>
    </row>
    <row r="507" spans="1:46" s="83" customFormat="1" x14ac:dyDescent="0.3">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3">
      <c r="A508" s="82"/>
      <c r="B508" s="178" t="str">
        <f>B507</f>
        <v>TFREPYG900</v>
      </c>
      <c r="C508" s="178"/>
      <c r="D508" s="179"/>
      <c r="E508" s="407" t="s">
        <v>1011</v>
      </c>
      <c r="F508" s="182"/>
      <c r="G508" s="181"/>
      <c r="H508" s="182"/>
      <c r="I508" s="183"/>
      <c r="J508" s="184" t="s">
        <v>1156</v>
      </c>
      <c r="K508" s="184"/>
      <c r="L508" s="203" t="s">
        <v>101</v>
      </c>
      <c r="M508" s="184"/>
      <c r="N508" s="390">
        <f>N$29</f>
        <v>5.0999999999999997E-2</v>
      </c>
      <c r="O508" s="390">
        <f t="shared" ref="O508:AB508" si="415">O$29</f>
        <v>5.0999999999999997E-2</v>
      </c>
      <c r="P508" s="390">
        <f t="shared" si="415"/>
        <v>5.0999999999999997E-2</v>
      </c>
      <c r="Q508" s="390">
        <f t="shared" si="415"/>
        <v>5.0999999999999997E-2</v>
      </c>
      <c r="R508" s="390">
        <f t="shared" si="415"/>
        <v>5.0999999999999997E-2</v>
      </c>
      <c r="S508" s="390">
        <f t="shared" si="415"/>
        <v>5.0999999999999997E-2</v>
      </c>
      <c r="T508" s="390">
        <f t="shared" si="415"/>
        <v>5.0999999999999997E-2</v>
      </c>
      <c r="U508" s="390">
        <f t="shared" si="415"/>
        <v>5.0999999999999997E-2</v>
      </c>
      <c r="V508" s="390">
        <f t="shared" si="415"/>
        <v>5.0999999999999997E-2</v>
      </c>
      <c r="W508" s="390">
        <f t="shared" si="415"/>
        <v>5.0999999999999997E-2</v>
      </c>
      <c r="X508" s="390">
        <f t="shared" si="415"/>
        <v>5.0999999999999997E-2</v>
      </c>
      <c r="Y508" s="390">
        <f t="shared" si="415"/>
        <v>5.0999999999999997E-2</v>
      </c>
      <c r="Z508" s="390">
        <f t="shared" si="415"/>
        <v>5.0999999999999997E-2</v>
      </c>
      <c r="AA508" s="390">
        <f t="shared" si="415"/>
        <v>5.0999999999999997E-2</v>
      </c>
      <c r="AB508" s="390">
        <f t="shared" si="415"/>
        <v>5.0999999999999997E-2</v>
      </c>
      <c r="AD508" s="66" t="str">
        <f>IF(COUNTIF($AH$4:$AQ$4,AD507)=1,"ok","MISSING")</f>
        <v>ok</v>
      </c>
      <c r="AF508" s="333"/>
    </row>
    <row r="509" spans="1:46" s="83" customFormat="1" x14ac:dyDescent="0.3">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3">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3">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3">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36</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1">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3">
      <c r="B513" s="178" t="str">
        <f>B512</f>
        <v>TFREPYG900</v>
      </c>
      <c r="C513" s="178"/>
      <c r="D513" s="179"/>
      <c r="E513" s="178"/>
      <c r="F513" s="182"/>
      <c r="G513" s="181"/>
      <c r="H513" s="182"/>
      <c r="I513" s="183">
        <f>$M$3</f>
        <v>2019</v>
      </c>
      <c r="J513" s="184"/>
      <c r="K513" s="184"/>
      <c r="L513" s="203" t="s">
        <v>1064</v>
      </c>
      <c r="M513" s="184" t="s">
        <v>747</v>
      </c>
      <c r="N513" s="693">
        <f>LOOKUP($C$507, 'T_Stock_TOTAL_&amp;_City'!$C$122:$C$133,'T_Stock_TOTAL_&amp;_City'!D$122:D$133)*(1+N$376)</f>
        <v>0</v>
      </c>
      <c r="O513" s="693">
        <f>LOOKUP($C$507, 'T_Stock_TOTAL_&amp;_City'!$C$122:$C$133,'T_Stock_TOTAL_&amp;_City'!E$122:E$133)*(1+O$376)</f>
        <v>0</v>
      </c>
      <c r="P513" s="693">
        <f>LOOKUP($C$507, 'T_Stock_TOTAL_&amp;_City'!$C$122:$C$133,'T_Stock_TOTAL_&amp;_City'!F$122:F$133)*(1+P$376)</f>
        <v>0</v>
      </c>
      <c r="Q513" s="693">
        <f>LOOKUP($C$507, 'T_Stock_TOTAL_&amp;_City'!$C$122:$C$133,'T_Stock_TOTAL_&amp;_City'!G$122:G$133)*(1+Q$376)</f>
        <v>0</v>
      </c>
      <c r="R513" s="693">
        <f>LOOKUP($C$507, 'T_Stock_TOTAL_&amp;_City'!$C$122:$C$133,'T_Stock_TOTAL_&amp;_City'!H$122:H$133)*(1+R$376)</f>
        <v>0</v>
      </c>
      <c r="S513" s="693">
        <f>LOOKUP($C$507, 'T_Stock_TOTAL_&amp;_City'!$C$122:$C$133,'T_Stock_TOTAL_&amp;_City'!I$122:I$133)*(1+S$376)</f>
        <v>0</v>
      </c>
      <c r="T513" s="693">
        <f>LOOKUP($C$507, 'T_Stock_TOTAL_&amp;_City'!$C$122:$C$133,'T_Stock_TOTAL_&amp;_City'!J$122:J$133)*(1+T$376)</f>
        <v>0</v>
      </c>
      <c r="U513" s="693">
        <f>LOOKUP($C$507, 'T_Stock_TOTAL_&amp;_City'!$C$122:$C$133,'T_Stock_TOTAL_&amp;_City'!K$122:K$133)*(1+U$376)</f>
        <v>0</v>
      </c>
      <c r="V513" s="693">
        <f>LOOKUP($C$507, 'T_Stock_TOTAL_&amp;_City'!$C$122:$C$133,'T_Stock_TOTAL_&amp;_City'!L$122:L$133)*(1+V$376)</f>
        <v>0</v>
      </c>
      <c r="W513" s="693">
        <f>LOOKUP($C$507, 'T_Stock_TOTAL_&amp;_City'!$C$122:$C$133,'T_Stock_TOTAL_&amp;_City'!M$122:M$133)*(1+W$376)</f>
        <v>0</v>
      </c>
      <c r="X513" s="693">
        <f>LOOKUP($C$507, 'T_Stock_TOTAL_&amp;_City'!$C$122:$C$133,'T_Stock_TOTAL_&amp;_City'!N$122:N$133)*(1+X$376)</f>
        <v>0</v>
      </c>
      <c r="Y513" s="693">
        <f>LOOKUP($C$507, 'T_Stock_TOTAL_&amp;_City'!$C$122:$C$133,'T_Stock_TOTAL_&amp;_City'!O$122:O$133)*(1+Y$376)</f>
        <v>0</v>
      </c>
      <c r="Z513" s="693">
        <f>LOOKUP($C$507, 'T_Stock_TOTAL_&amp;_City'!$C$122:$C$133,'T_Stock_TOTAL_&amp;_City'!P$122:P$133)*(1+Z$376)</f>
        <v>0</v>
      </c>
      <c r="AA513" s="693">
        <f>LOOKUP($C$507, 'T_Stock_TOTAL_&amp;_City'!$C$122:$C$133,'T_Stock_TOTAL_&amp;_City'!Q$122:Q$133)*(1+AA$376)</f>
        <v>0</v>
      </c>
      <c r="AB513" s="693">
        <f>LOOKUP($C$507, 'T_Stock_TOTAL_&amp;_City'!$C$122:$C$133,'T_Stock_TOTAL_&amp;_City'!R$122:R$133)*(1+AB$376)</f>
        <v>0</v>
      </c>
    </row>
    <row r="514" spans="1:52" s="83" customFormat="1" x14ac:dyDescent="0.3">
      <c r="B514" s="178" t="str">
        <f t="shared" si="416"/>
        <v>TFREPYG900</v>
      </c>
      <c r="C514" s="178"/>
      <c r="D514" s="179"/>
      <c r="E514" s="178"/>
      <c r="F514" s="182"/>
      <c r="G514" s="181"/>
      <c r="H514" s="182"/>
      <c r="I514" s="183">
        <f>AF$5</f>
        <v>2016</v>
      </c>
      <c r="J514" s="184"/>
      <c r="K514" s="184"/>
      <c r="L514" s="203" t="s">
        <v>1064</v>
      </c>
      <c r="M514" s="184" t="s">
        <v>747</v>
      </c>
      <c r="N514" s="693">
        <f t="shared" ref="N514:AB514" si="419">N513*LOOKUP($AD507,$AH$4:$AQ$4,$AH$5:$AQ$5)</f>
        <v>0</v>
      </c>
      <c r="O514" s="693">
        <f t="shared" si="419"/>
        <v>0</v>
      </c>
      <c r="P514" s="693">
        <f t="shared" si="419"/>
        <v>0</v>
      </c>
      <c r="Q514" s="693">
        <f t="shared" si="419"/>
        <v>0</v>
      </c>
      <c r="R514" s="693">
        <f t="shared" si="419"/>
        <v>0</v>
      </c>
      <c r="S514" s="693">
        <f t="shared" si="419"/>
        <v>0</v>
      </c>
      <c r="T514" s="693">
        <f t="shared" si="419"/>
        <v>0</v>
      </c>
      <c r="U514" s="693">
        <f t="shared" si="419"/>
        <v>0</v>
      </c>
      <c r="V514" s="693">
        <f t="shared" si="419"/>
        <v>0</v>
      </c>
      <c r="W514" s="693">
        <f t="shared" si="419"/>
        <v>0</v>
      </c>
      <c r="X514" s="693">
        <f t="shared" si="419"/>
        <v>0</v>
      </c>
      <c r="Y514" s="693">
        <f t="shared" si="419"/>
        <v>0</v>
      </c>
      <c r="Z514" s="693">
        <f t="shared" si="419"/>
        <v>0</v>
      </c>
      <c r="AA514" s="693">
        <f t="shared" si="419"/>
        <v>0</v>
      </c>
      <c r="AB514" s="693">
        <f t="shared" si="419"/>
        <v>0</v>
      </c>
    </row>
    <row r="515" spans="1:52" s="83" customFormat="1" x14ac:dyDescent="0.3">
      <c r="B515" s="178" t="str">
        <f t="shared" si="416"/>
        <v>TFREPYG900</v>
      </c>
      <c r="C515" s="178"/>
      <c r="D515" s="179"/>
      <c r="E515" s="178"/>
      <c r="F515" s="182"/>
      <c r="G515" s="181"/>
      <c r="H515" s="182"/>
      <c r="I515" s="183">
        <f>AF$6</f>
        <v>2020</v>
      </c>
      <c r="J515" s="184"/>
      <c r="K515" s="184"/>
      <c r="L515" s="203" t="s">
        <v>1064</v>
      </c>
      <c r="M515" s="184" t="s">
        <v>747</v>
      </c>
      <c r="N515" s="693">
        <f t="shared" ref="N515:AB515" si="420">N513*LOOKUP($AD507,$AH$4:$AQ$4,$AH$6:$AQ$6)</f>
        <v>0</v>
      </c>
      <c r="O515" s="693">
        <f t="shared" si="420"/>
        <v>0</v>
      </c>
      <c r="P515" s="693">
        <f t="shared" si="420"/>
        <v>0</v>
      </c>
      <c r="Q515" s="693">
        <f t="shared" si="420"/>
        <v>0</v>
      </c>
      <c r="R515" s="693">
        <f t="shared" si="420"/>
        <v>0</v>
      </c>
      <c r="S515" s="693">
        <f t="shared" si="420"/>
        <v>0</v>
      </c>
      <c r="T515" s="693">
        <f t="shared" si="420"/>
        <v>0</v>
      </c>
      <c r="U515" s="693">
        <f t="shared" si="420"/>
        <v>0</v>
      </c>
      <c r="V515" s="693">
        <f t="shared" si="420"/>
        <v>0</v>
      </c>
      <c r="W515" s="693">
        <f t="shared" si="420"/>
        <v>0</v>
      </c>
      <c r="X515" s="693">
        <f t="shared" si="420"/>
        <v>0</v>
      </c>
      <c r="Y515" s="693">
        <f t="shared" si="420"/>
        <v>0</v>
      </c>
      <c r="Z515" s="693">
        <f t="shared" si="420"/>
        <v>0</v>
      </c>
      <c r="AA515" s="693">
        <f t="shared" si="420"/>
        <v>0</v>
      </c>
      <c r="AB515" s="693">
        <f t="shared" si="420"/>
        <v>0</v>
      </c>
    </row>
    <row r="516" spans="1:52" s="83" customFormat="1" x14ac:dyDescent="0.3">
      <c r="B516" s="178" t="str">
        <f t="shared" si="416"/>
        <v>TFREPYG900</v>
      </c>
      <c r="C516" s="178"/>
      <c r="D516" s="179"/>
      <c r="E516" s="178"/>
      <c r="F516" s="182"/>
      <c r="G516" s="181"/>
      <c r="H516" s="182"/>
      <c r="I516" s="183">
        <f>AF$7</f>
        <v>2025</v>
      </c>
      <c r="J516" s="184"/>
      <c r="K516" s="184"/>
      <c r="L516" s="203" t="s">
        <v>1064</v>
      </c>
      <c r="M516" s="184" t="s">
        <v>747</v>
      </c>
      <c r="N516" s="693">
        <f t="shared" ref="N516:AB516" si="421">N513*LOOKUP($AD507,$AH$4:$AQ$4,$AH$7:$AQ$7)</f>
        <v>0</v>
      </c>
      <c r="O516" s="693">
        <f t="shared" si="421"/>
        <v>0</v>
      </c>
      <c r="P516" s="693">
        <f t="shared" si="421"/>
        <v>0</v>
      </c>
      <c r="Q516" s="693">
        <f t="shared" si="421"/>
        <v>0</v>
      </c>
      <c r="R516" s="693">
        <f t="shared" si="421"/>
        <v>0</v>
      </c>
      <c r="S516" s="693">
        <f t="shared" si="421"/>
        <v>0</v>
      </c>
      <c r="T516" s="693">
        <f t="shared" si="421"/>
        <v>0</v>
      </c>
      <c r="U516" s="693">
        <f t="shared" si="421"/>
        <v>0</v>
      </c>
      <c r="V516" s="693">
        <f t="shared" si="421"/>
        <v>0</v>
      </c>
      <c r="W516" s="693">
        <f t="shared" si="421"/>
        <v>0</v>
      </c>
      <c r="X516" s="693">
        <f t="shared" si="421"/>
        <v>0</v>
      </c>
      <c r="Y516" s="693">
        <f t="shared" si="421"/>
        <v>0</v>
      </c>
      <c r="Z516" s="693">
        <f t="shared" si="421"/>
        <v>0</v>
      </c>
      <c r="AA516" s="693">
        <f t="shared" si="421"/>
        <v>0</v>
      </c>
      <c r="AB516" s="693">
        <f t="shared" si="421"/>
        <v>0</v>
      </c>
    </row>
    <row r="517" spans="1:52" s="83" customFormat="1" x14ac:dyDescent="0.3">
      <c r="B517" s="178" t="str">
        <f t="shared" si="416"/>
        <v>TFREPYG900</v>
      </c>
      <c r="C517" s="178"/>
      <c r="D517" s="179"/>
      <c r="E517" s="178"/>
      <c r="F517" s="182"/>
      <c r="G517" s="181"/>
      <c r="H517" s="182"/>
      <c r="I517" s="183">
        <f>AF$8</f>
        <v>2030</v>
      </c>
      <c r="J517" s="184"/>
      <c r="K517" s="184"/>
      <c r="L517" s="203" t="s">
        <v>1064</v>
      </c>
      <c r="M517" s="184" t="s">
        <v>747</v>
      </c>
      <c r="N517" s="693">
        <f t="shared" ref="N517:AB517" si="422">N513*LOOKUP($AD507,$AH$4:$AQ$4,$AH$8:$AQ$8)</f>
        <v>0</v>
      </c>
      <c r="O517" s="693">
        <f t="shared" si="422"/>
        <v>0</v>
      </c>
      <c r="P517" s="693">
        <f t="shared" si="422"/>
        <v>0</v>
      </c>
      <c r="Q517" s="693">
        <f t="shared" si="422"/>
        <v>0</v>
      </c>
      <c r="R517" s="693">
        <f t="shared" si="422"/>
        <v>0</v>
      </c>
      <c r="S517" s="693">
        <f t="shared" si="422"/>
        <v>0</v>
      </c>
      <c r="T517" s="693">
        <f t="shared" si="422"/>
        <v>0</v>
      </c>
      <c r="U517" s="693">
        <f t="shared" si="422"/>
        <v>0</v>
      </c>
      <c r="V517" s="693">
        <f t="shared" si="422"/>
        <v>0</v>
      </c>
      <c r="W517" s="693">
        <f t="shared" si="422"/>
        <v>0</v>
      </c>
      <c r="X517" s="693">
        <f t="shared" si="422"/>
        <v>0</v>
      </c>
      <c r="Y517" s="693">
        <f t="shared" si="422"/>
        <v>0</v>
      </c>
      <c r="Z517" s="693">
        <f t="shared" si="422"/>
        <v>0</v>
      </c>
      <c r="AA517" s="693">
        <f t="shared" si="422"/>
        <v>0</v>
      </c>
      <c r="AB517" s="693">
        <f t="shared" si="422"/>
        <v>0</v>
      </c>
    </row>
    <row r="518" spans="1:52" s="83" customFormat="1" x14ac:dyDescent="0.3">
      <c r="B518" s="178" t="str">
        <f t="shared" si="416"/>
        <v>TFREPYG900</v>
      </c>
      <c r="C518" s="178"/>
      <c r="D518" s="179"/>
      <c r="E518" s="178"/>
      <c r="F518" s="182"/>
      <c r="G518" s="181"/>
      <c r="H518" s="182"/>
      <c r="I518" s="183">
        <f>AF$9</f>
        <v>2040</v>
      </c>
      <c r="J518" s="184"/>
      <c r="K518" s="184"/>
      <c r="L518" s="203" t="s">
        <v>1064</v>
      </c>
      <c r="M518" s="184" t="s">
        <v>747</v>
      </c>
      <c r="N518" s="693">
        <f t="shared" ref="N518:AB518" si="423">N513*LOOKUP($AD507,$AH$4:$AQ$4,$AH$9:$AQ$9)</f>
        <v>0</v>
      </c>
      <c r="O518" s="693">
        <f t="shared" si="423"/>
        <v>0</v>
      </c>
      <c r="P518" s="693">
        <f t="shared" si="423"/>
        <v>0</v>
      </c>
      <c r="Q518" s="693">
        <f t="shared" si="423"/>
        <v>0</v>
      </c>
      <c r="R518" s="693">
        <f t="shared" si="423"/>
        <v>0</v>
      </c>
      <c r="S518" s="693">
        <f t="shared" si="423"/>
        <v>0</v>
      </c>
      <c r="T518" s="693">
        <f t="shared" si="423"/>
        <v>0</v>
      </c>
      <c r="U518" s="693">
        <f t="shared" si="423"/>
        <v>0</v>
      </c>
      <c r="V518" s="693">
        <f t="shared" si="423"/>
        <v>0</v>
      </c>
      <c r="W518" s="693">
        <f t="shared" si="423"/>
        <v>0</v>
      </c>
      <c r="X518" s="693">
        <f t="shared" si="423"/>
        <v>0</v>
      </c>
      <c r="Y518" s="693">
        <f t="shared" si="423"/>
        <v>0</v>
      </c>
      <c r="Z518" s="693">
        <f t="shared" si="423"/>
        <v>0</v>
      </c>
      <c r="AA518" s="693">
        <f t="shared" si="423"/>
        <v>0</v>
      </c>
      <c r="AB518" s="693">
        <f t="shared" si="423"/>
        <v>0</v>
      </c>
    </row>
    <row r="519" spans="1:52" s="83" customFormat="1" x14ac:dyDescent="0.3">
      <c r="B519" s="204" t="str">
        <f t="shared" si="416"/>
        <v>TFREPYG900</v>
      </c>
      <c r="C519" s="204"/>
      <c r="D519" s="205"/>
      <c r="E519" s="204"/>
      <c r="F519" s="206"/>
      <c r="G519" s="207"/>
      <c r="H519" s="206"/>
      <c r="I519" s="208">
        <f>AF$10</f>
        <v>2050</v>
      </c>
      <c r="J519" s="209"/>
      <c r="K519" s="209"/>
      <c r="L519" s="210" t="s">
        <v>1064</v>
      </c>
      <c r="M519" s="209" t="s">
        <v>747</v>
      </c>
      <c r="N519" s="694">
        <f t="shared" ref="N519:AB519" si="424">N513*LOOKUP($AD507,$AH$4:$AQ$4,$AH$10:$AQ$10)</f>
        <v>0</v>
      </c>
      <c r="O519" s="694">
        <f t="shared" si="424"/>
        <v>0</v>
      </c>
      <c r="P519" s="694">
        <f t="shared" si="424"/>
        <v>0</v>
      </c>
      <c r="Q519" s="694">
        <f t="shared" si="424"/>
        <v>0</v>
      </c>
      <c r="R519" s="694">
        <f t="shared" si="424"/>
        <v>0</v>
      </c>
      <c r="S519" s="694">
        <f t="shared" si="424"/>
        <v>0</v>
      </c>
      <c r="T519" s="694">
        <f t="shared" si="424"/>
        <v>0</v>
      </c>
      <c r="U519" s="694">
        <f t="shared" si="424"/>
        <v>0</v>
      </c>
      <c r="V519" s="694">
        <f t="shared" si="424"/>
        <v>0</v>
      </c>
      <c r="W519" s="694">
        <f t="shared" si="424"/>
        <v>0</v>
      </c>
      <c r="X519" s="694">
        <f t="shared" si="424"/>
        <v>0</v>
      </c>
      <c r="Y519" s="694">
        <f t="shared" si="424"/>
        <v>0</v>
      </c>
      <c r="Z519" s="694">
        <f t="shared" si="424"/>
        <v>0</v>
      </c>
      <c r="AA519" s="694">
        <f t="shared" si="424"/>
        <v>0</v>
      </c>
      <c r="AB519" s="694">
        <f t="shared" si="424"/>
        <v>0</v>
      </c>
    </row>
    <row r="520" spans="1:52" s="83" customFormat="1" x14ac:dyDescent="0.3">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zoomScale="75" zoomScaleNormal="75" workbookViewId="0">
      <selection activeCell="M30" sqref="M30:AA36"/>
    </sheetView>
  </sheetViews>
  <sheetFormatPr defaultColWidth="9.33203125" defaultRowHeight="14.4" x14ac:dyDescent="0.3"/>
  <cols>
    <col min="1" max="1" width="3.33203125" style="33" customWidth="1"/>
    <col min="2" max="2" width="21.5546875" style="33" customWidth="1"/>
    <col min="3" max="3" width="12.6640625" style="33" bestFit="1" customWidth="1"/>
    <col min="4" max="4" width="32.6640625" style="33" customWidth="1"/>
    <col min="5" max="6" width="13.33203125" style="33" customWidth="1"/>
    <col min="7" max="7" width="14.6640625" style="33" customWidth="1"/>
    <col min="8" max="8" width="16.44140625" style="33" customWidth="1"/>
    <col min="9" max="9" width="17.33203125" style="33" customWidth="1"/>
    <col min="10" max="10" width="20.33203125" style="33" customWidth="1"/>
    <col min="11" max="11" width="12" style="33" bestFit="1" customWidth="1"/>
    <col min="12" max="12" width="20.6640625" style="33" customWidth="1"/>
    <col min="13" max="13" width="12.6640625" style="33" customWidth="1"/>
    <col min="14" max="15" width="13.5546875" style="33" customWidth="1"/>
    <col min="16" max="16" width="15.44140625" style="33" customWidth="1"/>
    <col min="17" max="28" width="13.5546875" style="33" customWidth="1"/>
    <col min="29" max="29" width="14.88671875" style="33" customWidth="1"/>
    <col min="30" max="45" width="2.6640625" style="33"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0" t="s">
        <v>85</v>
      </c>
      <c r="AW4" s="700" t="s">
        <v>421</v>
      </c>
      <c r="AX4" s="700" t="str">
        <f t="shared" ref="AX4:BL4" si="2">M$2</f>
        <v>Z01</v>
      </c>
      <c r="AY4" s="700" t="str">
        <f t="shared" si="2"/>
        <v>Z02</v>
      </c>
      <c r="AZ4" s="700" t="str">
        <f t="shared" si="2"/>
        <v>Z03</v>
      </c>
      <c r="BA4" s="700" t="str">
        <f t="shared" si="2"/>
        <v>Z04</v>
      </c>
      <c r="BB4" s="700" t="str">
        <f t="shared" si="2"/>
        <v>Z05</v>
      </c>
      <c r="BC4" s="700" t="str">
        <f t="shared" si="2"/>
        <v>Z06</v>
      </c>
      <c r="BD4" s="700" t="str">
        <f t="shared" si="2"/>
        <v>Z07</v>
      </c>
      <c r="BE4" s="700" t="str">
        <f t="shared" si="2"/>
        <v>Z08</v>
      </c>
      <c r="BF4" s="700" t="str">
        <f t="shared" si="2"/>
        <v>Z09</v>
      </c>
      <c r="BG4" s="700" t="str">
        <f t="shared" si="2"/>
        <v>Z10</v>
      </c>
      <c r="BH4" s="700" t="str">
        <f t="shared" si="2"/>
        <v>Z11</v>
      </c>
      <c r="BI4" s="700" t="str">
        <f t="shared" si="2"/>
        <v>Z12</v>
      </c>
      <c r="BJ4" s="700" t="str">
        <f t="shared" si="2"/>
        <v>Z13</v>
      </c>
      <c r="BK4" s="700" t="str">
        <f t="shared" si="2"/>
        <v>Z14</v>
      </c>
      <c r="BL4" s="700"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09" t="e">
        <f>SUM(AX5:BL5)</f>
        <v>#DIV/0!</v>
      </c>
      <c r="AX5" s="708" t="e">
        <f>SUM(AX6:AX23)</f>
        <v>#DIV/0!</v>
      </c>
      <c r="AY5" s="708" t="e">
        <f t="shared" ref="AY5:BL5" si="4">SUM(AY6:AY23)</f>
        <v>#DIV/0!</v>
      </c>
      <c r="AZ5" s="708" t="e">
        <f t="shared" si="4"/>
        <v>#DIV/0!</v>
      </c>
      <c r="BA5" s="708" t="e">
        <f t="shared" si="4"/>
        <v>#DIV/0!</v>
      </c>
      <c r="BB5" s="708" t="e">
        <f t="shared" si="4"/>
        <v>#DIV/0!</v>
      </c>
      <c r="BC5" s="708" t="e">
        <f t="shared" si="4"/>
        <v>#DIV/0!</v>
      </c>
      <c r="BD5" s="708" t="e">
        <f t="shared" si="4"/>
        <v>#DIV/0!</v>
      </c>
      <c r="BE5" s="708" t="e">
        <f t="shared" si="4"/>
        <v>#DIV/0!</v>
      </c>
      <c r="BF5" s="708" t="e">
        <f t="shared" si="4"/>
        <v>#DIV/0!</v>
      </c>
      <c r="BG5" s="708" t="e">
        <f t="shared" si="4"/>
        <v>#DIV/0!</v>
      </c>
      <c r="BH5" s="708" t="e">
        <f t="shared" si="4"/>
        <v>#DIV/0!</v>
      </c>
      <c r="BI5" s="708" t="e">
        <f t="shared" si="4"/>
        <v>#DIV/0!</v>
      </c>
      <c r="BJ5" s="708" t="e">
        <f t="shared" si="4"/>
        <v>#DIV/0!</v>
      </c>
      <c r="BK5" s="708" t="e">
        <f t="shared" si="4"/>
        <v>#DIV/0!</v>
      </c>
      <c r="BL5" s="708" t="e">
        <f t="shared" si="4"/>
        <v>#DIV/0!</v>
      </c>
    </row>
    <row r="6" spans="1:64" s="35" customFormat="1" x14ac:dyDescent="0.3">
      <c r="H6" s="36"/>
      <c r="AE6" s="38">
        <f>AE5+5</f>
        <v>2025</v>
      </c>
      <c r="AF6" s="67">
        <v>0.9</v>
      </c>
      <c r="AG6" s="67">
        <f t="shared" si="3"/>
        <v>0.9</v>
      </c>
      <c r="AH6" s="439"/>
      <c r="AI6" s="439"/>
      <c r="AJ6" s="439"/>
      <c r="AK6" s="439"/>
      <c r="AL6" s="439"/>
      <c r="AM6" s="439"/>
      <c r="AN6" s="439"/>
      <c r="AV6" s="724" t="s">
        <v>987</v>
      </c>
      <c r="AW6" s="729">
        <f t="shared" ref="AW6:AW23" si="5">SUM(AX6:BL6)</f>
        <v>0</v>
      </c>
      <c r="AX6" s="722"/>
      <c r="AY6" s="722"/>
      <c r="AZ6" s="722"/>
      <c r="BA6" s="722"/>
      <c r="BB6" s="722"/>
      <c r="BC6" s="722"/>
      <c r="BD6" s="722"/>
      <c r="BE6" s="722"/>
      <c r="BF6" s="722"/>
      <c r="BG6" s="722"/>
      <c r="BH6" s="722"/>
      <c r="BI6" s="722"/>
      <c r="BJ6" s="722"/>
      <c r="BK6" s="722"/>
      <c r="BL6" s="722"/>
    </row>
    <row r="7" spans="1:64" x14ac:dyDescent="0.3">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4" t="s">
        <v>993</v>
      </c>
      <c r="AW7" s="729">
        <f t="shared" si="5"/>
        <v>0</v>
      </c>
      <c r="AX7" s="722"/>
      <c r="AY7" s="722"/>
      <c r="AZ7" s="722"/>
      <c r="BA7" s="722"/>
      <c r="BB7" s="722"/>
      <c r="BC7" s="722"/>
      <c r="BD7" s="722"/>
      <c r="BE7" s="722"/>
      <c r="BF7" s="722"/>
      <c r="BG7" s="722"/>
      <c r="BH7" s="722"/>
      <c r="BI7" s="722"/>
      <c r="BJ7" s="722"/>
      <c r="BK7" s="722"/>
      <c r="BL7" s="722"/>
    </row>
    <row r="8" spans="1:64" x14ac:dyDescent="0.3">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4" t="s">
        <v>997</v>
      </c>
      <c r="AW8" s="729">
        <f t="shared" si="5"/>
        <v>0</v>
      </c>
      <c r="AX8" s="724"/>
      <c r="AY8" s="724"/>
      <c r="AZ8" s="724"/>
      <c r="BA8" s="724"/>
      <c r="BB8" s="724"/>
      <c r="BC8" s="724"/>
      <c r="BD8" s="724"/>
      <c r="BE8" s="724"/>
      <c r="BF8" s="724"/>
      <c r="BG8" s="724"/>
      <c r="BH8" s="724"/>
      <c r="BI8" s="724"/>
      <c r="BJ8" s="724"/>
      <c r="BK8" s="724"/>
      <c r="BL8" s="724"/>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6" t="s">
        <v>999</v>
      </c>
      <c r="AW9" s="729">
        <f t="shared" si="5"/>
        <v>0</v>
      </c>
      <c r="AX9" s="725"/>
      <c r="AY9" s="725"/>
      <c r="AZ9" s="725"/>
      <c r="BA9" s="725"/>
      <c r="BB9" s="725"/>
      <c r="BC9" s="725"/>
      <c r="BD9" s="725"/>
      <c r="BE9" s="725"/>
      <c r="BF9" s="725"/>
      <c r="BG9" s="725"/>
      <c r="BH9" s="725"/>
      <c r="BI9" s="725"/>
      <c r="BJ9" s="725"/>
      <c r="BK9" s="725"/>
      <c r="BL9" s="725"/>
    </row>
    <row r="10" spans="1:64" x14ac:dyDescent="0.3">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1">
        <f>SUM(M10:AA10)</f>
        <v>0</v>
      </c>
      <c r="AN10" s="35"/>
      <c r="AO10" s="35"/>
      <c r="AP10" s="35"/>
      <c r="AQ10" s="35"/>
      <c r="AR10" s="35"/>
      <c r="AV10" s="727" t="s">
        <v>185</v>
      </c>
      <c r="AW10" s="729">
        <f t="shared" si="5"/>
        <v>0</v>
      </c>
      <c r="AX10" s="722"/>
      <c r="AY10" s="722"/>
      <c r="AZ10" s="722"/>
      <c r="BA10" s="722"/>
      <c r="BB10" s="722"/>
      <c r="BC10" s="722"/>
      <c r="BD10" s="722"/>
      <c r="BE10" s="722"/>
      <c r="BF10" s="722"/>
      <c r="BG10" s="722"/>
      <c r="BH10" s="722"/>
      <c r="BI10" s="722"/>
      <c r="BJ10" s="722"/>
      <c r="BK10" s="722"/>
      <c r="BL10" s="722"/>
    </row>
    <row r="11" spans="1:64" x14ac:dyDescent="0.3">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1">
        <f>SUM(M11:AA11)</f>
        <v>0</v>
      </c>
      <c r="AO11" s="35"/>
      <c r="AP11" s="35"/>
      <c r="AQ11" s="35"/>
      <c r="AR11" s="35"/>
      <c r="AV11" s="727" t="s">
        <v>682</v>
      </c>
      <c r="AW11" s="729">
        <f t="shared" si="5"/>
        <v>0</v>
      </c>
      <c r="AX11" s="730"/>
      <c r="AY11" s="730"/>
      <c r="AZ11" s="730"/>
      <c r="BA11" s="730"/>
      <c r="BB11" s="730"/>
      <c r="BC11" s="730"/>
      <c r="BD11" s="730"/>
      <c r="BE11" s="730"/>
      <c r="BF11" s="730"/>
      <c r="BG11" s="730"/>
      <c r="BH11" s="730"/>
      <c r="BI11" s="730"/>
      <c r="BJ11" s="730"/>
      <c r="BK11" s="730"/>
      <c r="BL11" s="730"/>
    </row>
    <row r="12" spans="1:64" x14ac:dyDescent="0.3">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1">
        <f>SUM(M12:AA12)</f>
        <v>0</v>
      </c>
      <c r="AE12" s="35"/>
      <c r="AF12" s="35"/>
      <c r="AG12" s="35"/>
      <c r="AH12" s="35"/>
      <c r="AI12" s="35"/>
      <c r="AJ12" s="35"/>
      <c r="AK12" s="35"/>
      <c r="AL12" s="35"/>
      <c r="AM12" s="35"/>
      <c r="AO12" s="35"/>
      <c r="AP12" s="35"/>
      <c r="AQ12" s="35"/>
      <c r="AR12" s="35"/>
      <c r="AV12" s="727" t="s">
        <v>1009</v>
      </c>
      <c r="AW12" s="729">
        <f t="shared" si="5"/>
        <v>0</v>
      </c>
      <c r="AX12" s="722"/>
      <c r="AY12" s="722"/>
      <c r="AZ12" s="722"/>
      <c r="BA12" s="722"/>
      <c r="BB12" s="722"/>
      <c r="BC12" s="722"/>
      <c r="BD12" s="722"/>
      <c r="BE12" s="722"/>
      <c r="BF12" s="722"/>
      <c r="BG12" s="722"/>
      <c r="BH12" s="722"/>
      <c r="BI12" s="722"/>
      <c r="BJ12" s="722"/>
      <c r="BK12" s="722"/>
      <c r="BL12" s="722"/>
    </row>
    <row r="13" spans="1:64" x14ac:dyDescent="0.3">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1">
        <f>SUM(M13:AA13)</f>
        <v>0</v>
      </c>
      <c r="AE13" s="35"/>
      <c r="AF13" s="35"/>
      <c r="AG13" s="35"/>
      <c r="AH13" s="35"/>
      <c r="AI13" s="35"/>
      <c r="AJ13" s="35"/>
      <c r="AK13" s="35"/>
      <c r="AL13" s="35"/>
      <c r="AO13" s="35"/>
      <c r="AP13" s="35"/>
      <c r="AQ13" s="35"/>
      <c r="AR13" s="35"/>
      <c r="AV13" s="727" t="s">
        <v>1011</v>
      </c>
      <c r="AW13" s="729">
        <f t="shared" si="5"/>
        <v>0</v>
      </c>
      <c r="AX13" s="722"/>
      <c r="AY13" s="722"/>
      <c r="AZ13" s="722"/>
      <c r="BA13" s="722"/>
      <c r="BB13" s="722"/>
      <c r="BC13" s="722"/>
      <c r="BD13" s="722"/>
      <c r="BE13" s="722"/>
      <c r="BF13" s="722"/>
      <c r="BG13" s="722"/>
      <c r="BH13" s="722"/>
      <c r="BI13" s="722"/>
      <c r="BJ13" s="722"/>
      <c r="BK13" s="722"/>
      <c r="BL13" s="722"/>
    </row>
    <row r="14" spans="1:64" ht="15" thickBot="1" x14ac:dyDescent="0.35">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7" t="s">
        <v>1013</v>
      </c>
      <c r="AW14" s="729">
        <f t="shared" si="5"/>
        <v>0</v>
      </c>
      <c r="AX14" s="722"/>
      <c r="AY14" s="722"/>
      <c r="AZ14" s="722"/>
      <c r="BA14" s="722"/>
      <c r="BB14" s="722"/>
      <c r="BC14" s="722"/>
      <c r="BD14" s="722"/>
      <c r="BE14" s="722"/>
      <c r="BF14" s="722"/>
      <c r="BG14" s="722"/>
      <c r="BH14" s="722"/>
      <c r="BI14" s="722"/>
      <c r="BJ14" s="722"/>
      <c r="BK14" s="722"/>
      <c r="BL14" s="722"/>
    </row>
    <row r="15" spans="1:64" ht="15" thickBot="1" x14ac:dyDescent="0.35">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7" t="s">
        <v>1015</v>
      </c>
      <c r="AW15" s="729">
        <f t="shared" si="5"/>
        <v>0</v>
      </c>
      <c r="AX15" s="724"/>
      <c r="AY15" s="724"/>
      <c r="AZ15" s="724"/>
      <c r="BA15" s="724"/>
      <c r="BB15" s="724"/>
      <c r="BC15" s="724"/>
      <c r="BD15" s="724"/>
      <c r="BE15" s="724"/>
      <c r="BF15" s="724"/>
      <c r="BG15" s="724"/>
      <c r="BH15" s="724"/>
      <c r="BI15" s="724"/>
      <c r="BJ15" s="724"/>
      <c r="BK15" s="724"/>
      <c r="BL15" s="724"/>
    </row>
    <row r="16" spans="1:64" x14ac:dyDescent="0.3">
      <c r="A16" s="44"/>
      <c r="B16" s="44"/>
      <c r="C16" s="44"/>
      <c r="D16" s="35"/>
      <c r="E16" s="35"/>
      <c r="F16" s="44"/>
      <c r="G16" s="35"/>
      <c r="H16" s="35"/>
      <c r="I16" s="35"/>
      <c r="J16" s="35"/>
      <c r="K16" s="436"/>
      <c r="L16" s="173" t="s">
        <v>522</v>
      </c>
      <c r="M16" s="165">
        <f>T_ACTFLO!E45</f>
        <v>0</v>
      </c>
      <c r="N16" s="165">
        <f>T_ACTFLO!F45</f>
        <v>0</v>
      </c>
      <c r="O16" s="165">
        <f>T_ACTFLO!G45</f>
        <v>0</v>
      </c>
      <c r="P16" s="165">
        <f>T_ACTFLO!H45</f>
        <v>0</v>
      </c>
      <c r="Q16" s="165">
        <f>T_ACTFLO!I45</f>
        <v>0</v>
      </c>
      <c r="R16" s="165">
        <f>T_ACTFLO!J45</f>
        <v>0</v>
      </c>
      <c r="S16" s="165">
        <f>T_ACTFLO!K45</f>
        <v>0</v>
      </c>
      <c r="T16" s="165">
        <f>T_ACTFLO!L45</f>
        <v>0</v>
      </c>
      <c r="U16" s="165">
        <f>T_ACTFLO!M45</f>
        <v>0</v>
      </c>
      <c r="V16" s="165">
        <f>T_ACTFLO!N45</f>
        <v>0</v>
      </c>
      <c r="W16" s="165">
        <f>T_ACTFLO!O45</f>
        <v>0</v>
      </c>
      <c r="X16" s="165">
        <f>T_ACTFLO!P45</f>
        <v>0</v>
      </c>
      <c r="Y16" s="165">
        <f>T_ACTFLO!Q45</f>
        <v>0</v>
      </c>
      <c r="Z16" s="165">
        <f>T_ACTFLO!R45</f>
        <v>0</v>
      </c>
      <c r="AA16" s="165">
        <f>T_ACTFLO!S45</f>
        <v>0</v>
      </c>
      <c r="AD16" s="35"/>
      <c r="AE16" s="35"/>
      <c r="AF16" s="35"/>
      <c r="AG16" s="35"/>
      <c r="AH16" s="35"/>
      <c r="AI16" s="35"/>
      <c r="AJ16" s="35"/>
      <c r="AO16" s="35"/>
      <c r="AP16" s="35"/>
      <c r="AQ16" s="35"/>
      <c r="AR16" s="35"/>
      <c r="AV16" s="727" t="s">
        <v>1022</v>
      </c>
      <c r="AW16" s="729">
        <f t="shared" si="5"/>
        <v>0</v>
      </c>
      <c r="AX16" s="724"/>
      <c r="AY16" s="724"/>
      <c r="AZ16" s="724"/>
      <c r="BA16" s="724"/>
      <c r="BB16" s="724"/>
      <c r="BC16" s="724"/>
      <c r="BD16" s="724"/>
      <c r="BE16" s="724"/>
      <c r="BF16" s="724"/>
      <c r="BG16" s="724"/>
      <c r="BH16" s="724"/>
      <c r="BI16" s="724"/>
      <c r="BJ16" s="724"/>
      <c r="BK16" s="724"/>
      <c r="BL16" s="724"/>
    </row>
    <row r="17" spans="1:64" x14ac:dyDescent="0.3">
      <c r="A17" s="44"/>
      <c r="B17" s="44"/>
      <c r="C17" s="44"/>
      <c r="D17" s="35"/>
      <c r="E17" s="35"/>
      <c r="F17" s="44"/>
      <c r="G17" s="35"/>
      <c r="H17" s="35"/>
      <c r="I17" s="35"/>
      <c r="J17" s="35"/>
      <c r="K17" s="436"/>
      <c r="L17" s="173" t="s">
        <v>82</v>
      </c>
      <c r="M17" s="165">
        <f>T_ACTFLO!E46</f>
        <v>0</v>
      </c>
      <c r="N17" s="165">
        <f>T_ACTFLO!F46</f>
        <v>0</v>
      </c>
      <c r="O17" s="165">
        <f>T_ACTFLO!G46</f>
        <v>0</v>
      </c>
      <c r="P17" s="165">
        <f>T_ACTFLO!H46</f>
        <v>0</v>
      </c>
      <c r="Q17" s="165">
        <f>T_ACTFLO!I46</f>
        <v>0</v>
      </c>
      <c r="R17" s="165">
        <f>T_ACTFLO!J46</f>
        <v>0</v>
      </c>
      <c r="S17" s="165">
        <f>T_ACTFLO!K46</f>
        <v>0</v>
      </c>
      <c r="T17" s="165">
        <f>T_ACTFLO!L46</f>
        <v>0</v>
      </c>
      <c r="U17" s="165">
        <f>T_ACTFLO!M46</f>
        <v>0</v>
      </c>
      <c r="V17" s="165">
        <f>T_ACTFLO!N46</f>
        <v>0</v>
      </c>
      <c r="W17" s="165">
        <f>T_ACTFLO!O46</f>
        <v>0</v>
      </c>
      <c r="X17" s="165">
        <f>T_ACTFLO!P46</f>
        <v>0</v>
      </c>
      <c r="Y17" s="165">
        <f>T_ACTFLO!Q46</f>
        <v>0</v>
      </c>
      <c r="Z17" s="165">
        <f>T_ACTFLO!R46</f>
        <v>0</v>
      </c>
      <c r="AA17" s="165">
        <f>T_ACTFLO!S46</f>
        <v>0</v>
      </c>
      <c r="AD17" s="35"/>
      <c r="AE17" s="35"/>
      <c r="AF17" s="35"/>
      <c r="AG17" s="35"/>
      <c r="AH17" s="35"/>
      <c r="AI17" s="35"/>
      <c r="AJ17" s="35"/>
      <c r="AO17" s="35"/>
      <c r="AP17" s="35"/>
      <c r="AQ17" s="35"/>
      <c r="AR17" s="35"/>
      <c r="AV17" s="724" t="s">
        <v>680</v>
      </c>
      <c r="AW17" s="729">
        <f t="shared" si="5"/>
        <v>0</v>
      </c>
      <c r="AX17" s="722"/>
      <c r="AY17" s="722"/>
      <c r="AZ17" s="722"/>
      <c r="BA17" s="722"/>
      <c r="BB17" s="722"/>
      <c r="BC17" s="722"/>
      <c r="BD17" s="722"/>
      <c r="BE17" s="722"/>
      <c r="BF17" s="722"/>
      <c r="BG17" s="722"/>
      <c r="BH17" s="722"/>
      <c r="BI17" s="722"/>
      <c r="BJ17" s="722"/>
      <c r="BK17" s="722"/>
      <c r="BL17" s="722"/>
    </row>
    <row r="18" spans="1:64" x14ac:dyDescent="0.3">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4" t="s">
        <v>1028</v>
      </c>
      <c r="AW18" s="729" t="e">
        <f t="shared" si="5"/>
        <v>#DIV/0!</v>
      </c>
      <c r="AX18" s="722" t="e">
        <f>AX28+AX48</f>
        <v>#DIV/0!</v>
      </c>
      <c r="AY18" s="722" t="e">
        <f t="shared" ref="AY18:BL18" si="8">AY28+AY48</f>
        <v>#DIV/0!</v>
      </c>
      <c r="AZ18" s="722" t="e">
        <f t="shared" si="8"/>
        <v>#DIV/0!</v>
      </c>
      <c r="BA18" s="722" t="e">
        <f t="shared" si="8"/>
        <v>#DIV/0!</v>
      </c>
      <c r="BB18" s="722" t="e">
        <f t="shared" si="8"/>
        <v>#DIV/0!</v>
      </c>
      <c r="BC18" s="722" t="e">
        <f t="shared" si="8"/>
        <v>#DIV/0!</v>
      </c>
      <c r="BD18" s="722" t="e">
        <f t="shared" si="8"/>
        <v>#DIV/0!</v>
      </c>
      <c r="BE18" s="722" t="e">
        <f t="shared" si="8"/>
        <v>#DIV/0!</v>
      </c>
      <c r="BF18" s="722" t="e">
        <f t="shared" si="8"/>
        <v>#DIV/0!</v>
      </c>
      <c r="BG18" s="722" t="e">
        <f t="shared" si="8"/>
        <v>#DIV/0!</v>
      </c>
      <c r="BH18" s="722" t="e">
        <f t="shared" si="8"/>
        <v>#DIV/0!</v>
      </c>
      <c r="BI18" s="722" t="e">
        <f t="shared" si="8"/>
        <v>#DIV/0!</v>
      </c>
      <c r="BJ18" s="722" t="e">
        <f t="shared" si="8"/>
        <v>#DIV/0!</v>
      </c>
      <c r="BK18" s="722" t="e">
        <f t="shared" si="8"/>
        <v>#DIV/0!</v>
      </c>
      <c r="BL18" s="722" t="e">
        <f t="shared" si="8"/>
        <v>#DIV/0!</v>
      </c>
    </row>
    <row r="19" spans="1:64" x14ac:dyDescent="0.3">
      <c r="A19" s="44"/>
      <c r="B19" s="66"/>
      <c r="C19" s="44"/>
      <c r="D19" s="44"/>
      <c r="E19" s="44"/>
      <c r="F19" s="44"/>
      <c r="L19" s="473"/>
      <c r="M19" s="612"/>
      <c r="N19" s="612"/>
      <c r="O19" s="612"/>
      <c r="P19" s="612"/>
      <c r="Q19" s="612"/>
      <c r="R19" s="612"/>
      <c r="S19" s="612"/>
      <c r="T19" s="612"/>
      <c r="U19" s="612"/>
      <c r="V19" s="612"/>
      <c r="W19" s="612"/>
      <c r="X19" s="612"/>
      <c r="Y19" s="612"/>
      <c r="Z19" s="612"/>
      <c r="AA19" s="612"/>
      <c r="AE19" s="77"/>
      <c r="AF19" s="77"/>
      <c r="AG19" s="77"/>
      <c r="AH19" s="77"/>
      <c r="AI19" s="77"/>
      <c r="AJ19" s="77"/>
      <c r="AK19" s="77"/>
      <c r="AL19" s="77"/>
      <c r="AM19" s="77"/>
      <c r="AN19" s="77"/>
      <c r="AO19" s="77"/>
      <c r="AP19" s="77"/>
      <c r="AQ19" s="77"/>
      <c r="AR19" s="77"/>
      <c r="AV19" s="724" t="s">
        <v>1030</v>
      </c>
      <c r="AW19" s="729">
        <f t="shared" si="5"/>
        <v>0</v>
      </c>
      <c r="AX19" s="724"/>
      <c r="AY19" s="724"/>
      <c r="AZ19" s="724"/>
      <c r="BA19" s="724"/>
      <c r="BB19" s="724"/>
      <c r="BC19" s="724"/>
      <c r="BD19" s="724"/>
      <c r="BE19" s="724"/>
      <c r="BF19" s="724"/>
      <c r="BG19" s="724"/>
      <c r="BH19" s="724"/>
      <c r="BI19" s="724"/>
      <c r="BJ19" s="724"/>
      <c r="BK19" s="724"/>
      <c r="BL19" s="724"/>
    </row>
    <row r="20" spans="1:64" x14ac:dyDescent="0.3">
      <c r="A20" s="35"/>
      <c r="B20" s="32" t="s">
        <v>1227</v>
      </c>
      <c r="C20" s="26"/>
      <c r="D20" s="35"/>
      <c r="E20" s="35"/>
      <c r="F20" s="35"/>
      <c r="G20" s="35"/>
      <c r="H20" s="36"/>
      <c r="I20" s="35"/>
      <c r="J20" s="35"/>
      <c r="K20" s="35"/>
      <c r="L20" s="473"/>
      <c r="M20" s="613"/>
      <c r="N20" s="613"/>
      <c r="O20" s="613"/>
      <c r="P20" s="613"/>
      <c r="Q20" s="613"/>
      <c r="R20" s="613"/>
      <c r="S20" s="613"/>
      <c r="T20" s="613"/>
      <c r="U20" s="613"/>
      <c r="V20" s="613"/>
      <c r="W20" s="613"/>
      <c r="X20" s="613"/>
      <c r="Y20" s="613"/>
      <c r="Z20" s="613"/>
      <c r="AA20" s="613"/>
      <c r="AB20" s="35"/>
      <c r="AC20" s="35"/>
      <c r="AD20" s="35"/>
      <c r="AE20" s="35"/>
      <c r="AF20" s="35"/>
      <c r="AG20" s="35"/>
      <c r="AH20" s="35"/>
      <c r="AI20" s="35"/>
      <c r="AJ20" s="35"/>
      <c r="AK20" s="35"/>
      <c r="AL20" s="35"/>
      <c r="AM20" s="35"/>
      <c r="AN20" s="35"/>
      <c r="AO20" s="35"/>
      <c r="AP20" s="35"/>
      <c r="AQ20" s="35"/>
      <c r="AR20" s="35"/>
      <c r="AS20" s="35"/>
      <c r="AV20" s="724" t="s">
        <v>1032</v>
      </c>
      <c r="AW20" s="729">
        <f t="shared" si="5"/>
        <v>0</v>
      </c>
      <c r="AX20" s="722"/>
      <c r="AY20" s="722"/>
      <c r="AZ20" s="722"/>
      <c r="BA20" s="722"/>
      <c r="BB20" s="722"/>
      <c r="BC20" s="722"/>
      <c r="BD20" s="722"/>
      <c r="BE20" s="722"/>
      <c r="BF20" s="722"/>
      <c r="BG20" s="722"/>
      <c r="BH20" s="722"/>
      <c r="BI20" s="722"/>
      <c r="BJ20" s="722"/>
      <c r="BK20" s="722"/>
      <c r="BL20" s="722"/>
    </row>
    <row r="21" spans="1:64" x14ac:dyDescent="0.3">
      <c r="A21" s="35"/>
      <c r="B21" s="35"/>
      <c r="C21" s="35"/>
      <c r="D21" s="35"/>
      <c r="E21" s="35"/>
      <c r="F21" s="35"/>
      <c r="G21" s="35"/>
      <c r="H21" s="36"/>
      <c r="I21" s="35"/>
      <c r="J21" s="35"/>
      <c r="K21" s="35"/>
      <c r="L21" s="473"/>
      <c r="M21" s="613"/>
      <c r="N21" s="613"/>
      <c r="O21" s="613"/>
      <c r="P21" s="613"/>
      <c r="Q21" s="613"/>
      <c r="R21" s="613"/>
      <c r="S21" s="613"/>
      <c r="T21" s="613"/>
      <c r="U21" s="613"/>
      <c r="V21" s="613"/>
      <c r="W21" s="613"/>
      <c r="X21" s="613"/>
      <c r="Y21" s="613"/>
      <c r="Z21" s="613"/>
      <c r="AA21" s="613"/>
      <c r="AB21" s="35"/>
      <c r="AC21" s="35"/>
      <c r="AD21" s="35"/>
      <c r="AE21" s="35"/>
      <c r="AF21" s="35"/>
      <c r="AG21" s="35"/>
      <c r="AH21" s="35"/>
      <c r="AI21" s="35"/>
      <c r="AJ21" s="35"/>
      <c r="AK21" s="35"/>
      <c r="AL21" s="35"/>
      <c r="AM21" s="35"/>
      <c r="AN21" s="35"/>
      <c r="AO21" s="35"/>
      <c r="AP21" s="35"/>
      <c r="AQ21" s="35"/>
      <c r="AR21" s="35"/>
      <c r="AS21" s="35"/>
      <c r="AV21" s="724"/>
      <c r="AW21" s="729"/>
      <c r="AX21" s="722"/>
      <c r="AY21" s="722"/>
      <c r="AZ21" s="722"/>
      <c r="BA21" s="722"/>
      <c r="BB21" s="722"/>
      <c r="BC21" s="722"/>
      <c r="BD21" s="722"/>
      <c r="BE21" s="722"/>
      <c r="BF21" s="722"/>
      <c r="BG21" s="722"/>
      <c r="BH21" s="722"/>
      <c r="BI21" s="722"/>
      <c r="BJ21" s="722"/>
      <c r="BK21" s="722"/>
      <c r="BL21" s="722"/>
    </row>
    <row r="22" spans="1:64" x14ac:dyDescent="0.3">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4" t="s">
        <v>1034</v>
      </c>
      <c r="AW22" s="729">
        <f t="shared" si="5"/>
        <v>0</v>
      </c>
      <c r="AX22" s="724"/>
      <c r="AY22" s="724"/>
      <c r="AZ22" s="724"/>
      <c r="BA22" s="724"/>
      <c r="BB22" s="724"/>
      <c r="BC22" s="724"/>
      <c r="BD22" s="724"/>
      <c r="BE22" s="724"/>
      <c r="BF22" s="724"/>
      <c r="BG22" s="724"/>
      <c r="BH22" s="724"/>
      <c r="BI22" s="724"/>
      <c r="BJ22" s="724"/>
      <c r="BK22" s="724"/>
      <c r="BL22" s="724"/>
    </row>
    <row r="23" spans="1:64" x14ac:dyDescent="0.3">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4" t="s">
        <v>1038</v>
      </c>
      <c r="AW23" s="729">
        <f t="shared" si="5"/>
        <v>0</v>
      </c>
      <c r="AX23" s="722"/>
      <c r="AY23" s="722"/>
      <c r="AZ23" s="722"/>
      <c r="BA23" s="722"/>
      <c r="BB23" s="722"/>
      <c r="BC23" s="722"/>
      <c r="BD23" s="722"/>
      <c r="BE23" s="722"/>
      <c r="BF23" s="722"/>
      <c r="BG23" s="722"/>
      <c r="BH23" s="722"/>
      <c r="BI23" s="722"/>
      <c r="BJ23" s="722"/>
      <c r="BK23" s="722"/>
      <c r="BL23" s="722"/>
    </row>
    <row r="24" spans="1:64" s="35" customFormat="1" ht="16.5" customHeight="1" x14ac:dyDescent="0.3">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4" t="str">
        <f>IF(AD25-(AC10+AC11)&lt;0,"too small",IF(AD25-(AC10+AC11)&gt;0.001,"Too big","ok"))</f>
        <v>ok</v>
      </c>
      <c r="AE24" s="618" t="str">
        <f t="shared" ref="AE24:AS24" si="11">IF(AE25-SUM(M10:M11)&lt;0,"too small",IF(AE25-SUM(M10:M11)&gt;0.001,"Too big","ok"))</f>
        <v>ok</v>
      </c>
      <c r="AF24" s="618" t="str">
        <f t="shared" si="11"/>
        <v>ok</v>
      </c>
      <c r="AG24" s="618" t="str">
        <f t="shared" si="11"/>
        <v>ok</v>
      </c>
      <c r="AH24" s="618" t="str">
        <f t="shared" si="11"/>
        <v>ok</v>
      </c>
      <c r="AI24" s="618" t="str">
        <f t="shared" si="11"/>
        <v>ok</v>
      </c>
      <c r="AJ24" s="618" t="str">
        <f t="shared" si="11"/>
        <v>ok</v>
      </c>
      <c r="AK24" s="618" t="str">
        <f t="shared" si="11"/>
        <v>ok</v>
      </c>
      <c r="AL24" s="618" t="str">
        <f t="shared" si="11"/>
        <v>ok</v>
      </c>
      <c r="AM24" s="618" t="str">
        <f t="shared" si="11"/>
        <v>ok</v>
      </c>
      <c r="AN24" s="618" t="str">
        <f t="shared" si="11"/>
        <v>ok</v>
      </c>
      <c r="AO24" s="618" t="str">
        <f t="shared" si="11"/>
        <v>ok</v>
      </c>
      <c r="AP24" s="618" t="str">
        <f t="shared" si="11"/>
        <v>ok</v>
      </c>
      <c r="AQ24" s="618" t="str">
        <f t="shared" si="11"/>
        <v>ok</v>
      </c>
      <c r="AR24" s="618" t="str">
        <f t="shared" si="11"/>
        <v>ok</v>
      </c>
      <c r="AS24" s="618" t="str">
        <f t="shared" si="11"/>
        <v>ok</v>
      </c>
      <c r="AT24" s="22"/>
    </row>
    <row r="25" spans="1:64" s="22" customFormat="1" x14ac:dyDescent="0.3">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7">
        <f>SUM(AE25:AS25)</f>
        <v>0</v>
      </c>
      <c r="AE25" s="619">
        <f t="shared" ref="AE25:AS25" si="13">SUM(AE27:AE37)</f>
        <v>0</v>
      </c>
      <c r="AF25" s="619">
        <f t="shared" si="13"/>
        <v>0</v>
      </c>
      <c r="AG25" s="619">
        <f t="shared" si="13"/>
        <v>0</v>
      </c>
      <c r="AH25" s="619">
        <f t="shared" si="13"/>
        <v>0</v>
      </c>
      <c r="AI25" s="619">
        <f t="shared" si="13"/>
        <v>0</v>
      </c>
      <c r="AJ25" s="619">
        <f t="shared" si="13"/>
        <v>0</v>
      </c>
      <c r="AK25" s="619">
        <f t="shared" si="13"/>
        <v>0</v>
      </c>
      <c r="AL25" s="619">
        <f t="shared" si="13"/>
        <v>0</v>
      </c>
      <c r="AM25" s="619">
        <f t="shared" si="13"/>
        <v>0</v>
      </c>
      <c r="AN25" s="619">
        <f t="shared" si="13"/>
        <v>0</v>
      </c>
      <c r="AO25" s="619">
        <f t="shared" si="13"/>
        <v>0</v>
      </c>
      <c r="AP25" s="619">
        <f t="shared" si="13"/>
        <v>0</v>
      </c>
      <c r="AQ25" s="619">
        <f t="shared" si="13"/>
        <v>0</v>
      </c>
      <c r="AR25" s="619">
        <f t="shared" si="13"/>
        <v>0</v>
      </c>
      <c r="AS25" s="619">
        <f t="shared" si="13"/>
        <v>0</v>
      </c>
      <c r="AV25" s="471" t="s">
        <v>1051</v>
      </c>
    </row>
    <row r="26" spans="1:64" s="22" customFormat="1" x14ac:dyDescent="0.3">
      <c r="A26" s="82"/>
      <c r="B26" s="178" t="str">
        <f>B25</f>
        <v>TAV100</v>
      </c>
      <c r="C26" s="178"/>
      <c r="D26" s="179"/>
      <c r="E26" s="407"/>
      <c r="F26" s="539"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7"/>
      <c r="AE26" s="619"/>
      <c r="AF26" s="619"/>
      <c r="AG26" s="619"/>
      <c r="AH26" s="619"/>
      <c r="AI26" s="619"/>
      <c r="AJ26" s="619"/>
      <c r="AK26" s="619"/>
      <c r="AL26" s="619"/>
      <c r="AM26" s="619"/>
      <c r="AN26" s="619"/>
      <c r="AO26" s="619"/>
      <c r="AP26" s="619"/>
      <c r="AQ26" s="619"/>
      <c r="AR26" s="619"/>
      <c r="AS26" s="619"/>
      <c r="AV26" s="700" t="s">
        <v>85</v>
      </c>
      <c r="AW26" s="700" t="s">
        <v>421</v>
      </c>
      <c r="AX26" s="700" t="str">
        <f t="shared" ref="AX26:BL26" si="14">M$2</f>
        <v>Z01</v>
      </c>
      <c r="AY26" s="700" t="str">
        <f t="shared" si="14"/>
        <v>Z02</v>
      </c>
      <c r="AZ26" s="700" t="str">
        <f t="shared" si="14"/>
        <v>Z03</v>
      </c>
      <c r="BA26" s="700" t="str">
        <f t="shared" si="14"/>
        <v>Z04</v>
      </c>
      <c r="BB26" s="700" t="str">
        <f t="shared" si="14"/>
        <v>Z05</v>
      </c>
      <c r="BC26" s="700" t="str">
        <f t="shared" si="14"/>
        <v>Z06</v>
      </c>
      <c r="BD26" s="700" t="str">
        <f t="shared" si="14"/>
        <v>Z07</v>
      </c>
      <c r="BE26" s="700" t="str">
        <f t="shared" si="14"/>
        <v>Z08</v>
      </c>
      <c r="BF26" s="700" t="str">
        <f t="shared" si="14"/>
        <v>Z09</v>
      </c>
      <c r="BG26" s="700" t="str">
        <f t="shared" si="14"/>
        <v>Z10</v>
      </c>
      <c r="BH26" s="700" t="str">
        <f t="shared" si="14"/>
        <v>Z11</v>
      </c>
      <c r="BI26" s="700" t="str">
        <f t="shared" si="14"/>
        <v>Z12</v>
      </c>
      <c r="BJ26" s="700" t="str">
        <f t="shared" si="14"/>
        <v>Z13</v>
      </c>
      <c r="BK26" s="700" t="str">
        <f t="shared" si="14"/>
        <v>Z14</v>
      </c>
      <c r="BL26" s="700" t="str">
        <f t="shared" si="14"/>
        <v>Z15</v>
      </c>
    </row>
    <row r="27" spans="1:64" s="22" customFormat="1" x14ac:dyDescent="0.3">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4"/>
      <c r="AE27" s="567"/>
      <c r="AF27" s="567"/>
      <c r="AG27" s="567"/>
      <c r="AH27" s="567"/>
      <c r="AI27" s="567"/>
      <c r="AJ27" s="567"/>
      <c r="AK27" s="567"/>
      <c r="AL27" s="567"/>
      <c r="AM27" s="567"/>
      <c r="AN27" s="567"/>
      <c r="AO27" s="567"/>
      <c r="AP27" s="567"/>
      <c r="AQ27" s="567"/>
      <c r="AR27" s="567"/>
      <c r="AS27" s="567"/>
      <c r="AT27" s="83"/>
      <c r="AV27" s="398" t="s">
        <v>103</v>
      </c>
      <c r="AW27" s="716" t="e">
        <f>SUM(AX27:BL27)</f>
        <v>#DIV/0!</v>
      </c>
      <c r="AX27" s="717" t="e">
        <f>SUM(AX28:AX157)</f>
        <v>#DIV/0!</v>
      </c>
      <c r="AY27" s="717" t="e">
        <f t="shared" ref="AY27:BL27" si="16">SUM(AY28:AY157)</f>
        <v>#DIV/0!</v>
      </c>
      <c r="AZ27" s="717" t="e">
        <f t="shared" si="16"/>
        <v>#DIV/0!</v>
      </c>
      <c r="BA27" s="717" t="e">
        <f t="shared" si="16"/>
        <v>#DIV/0!</v>
      </c>
      <c r="BB27" s="717" t="e">
        <f t="shared" si="16"/>
        <v>#DIV/0!</v>
      </c>
      <c r="BC27" s="717" t="e">
        <f t="shared" si="16"/>
        <v>#DIV/0!</v>
      </c>
      <c r="BD27" s="717" t="e">
        <f t="shared" si="16"/>
        <v>#DIV/0!</v>
      </c>
      <c r="BE27" s="717" t="e">
        <f t="shared" si="16"/>
        <v>#DIV/0!</v>
      </c>
      <c r="BF27" s="717" t="e">
        <f t="shared" si="16"/>
        <v>#DIV/0!</v>
      </c>
      <c r="BG27" s="717" t="e">
        <f t="shared" si="16"/>
        <v>#DIV/0!</v>
      </c>
      <c r="BH27" s="717" t="e">
        <f t="shared" si="16"/>
        <v>#DIV/0!</v>
      </c>
      <c r="BI27" s="717" t="e">
        <f t="shared" si="16"/>
        <v>#DIV/0!</v>
      </c>
      <c r="BJ27" s="717" t="e">
        <f t="shared" si="16"/>
        <v>#DIV/0!</v>
      </c>
      <c r="BK27" s="717" t="e">
        <f t="shared" si="16"/>
        <v>#DIV/0!</v>
      </c>
      <c r="BL27" s="717" t="e">
        <f t="shared" si="16"/>
        <v>#DIV/0!</v>
      </c>
    </row>
    <row r="28" spans="1:64" s="83" customFormat="1" x14ac:dyDescent="0.3">
      <c r="A28" s="22"/>
      <c r="B28" s="178" t="str">
        <f t="shared" si="15"/>
        <v>TAV100</v>
      </c>
      <c r="C28" s="186"/>
      <c r="D28" s="187"/>
      <c r="E28" s="188"/>
      <c r="F28" s="189"/>
      <c r="G28" s="170"/>
      <c r="H28" s="190"/>
      <c r="I28" s="191"/>
      <c r="J28" s="191" t="s">
        <v>748</v>
      </c>
      <c r="K28" s="186" t="s">
        <v>1127</v>
      </c>
      <c r="L28" s="191" t="s">
        <v>1228</v>
      </c>
      <c r="M28" s="369">
        <f>T_ACTFLO!E46</f>
        <v>0</v>
      </c>
      <c r="N28" s="369">
        <f>T_ACTFLO!F46</f>
        <v>0</v>
      </c>
      <c r="O28" s="369">
        <f>T_ACTFLO!G46</f>
        <v>0</v>
      </c>
      <c r="P28" s="369">
        <f>T_ACTFLO!H46</f>
        <v>0</v>
      </c>
      <c r="Q28" s="369">
        <f>T_ACTFLO!I46</f>
        <v>0</v>
      </c>
      <c r="R28" s="369">
        <f>T_ACTFLO!J46</f>
        <v>0</v>
      </c>
      <c r="S28" s="369">
        <f>T_ACTFLO!K46</f>
        <v>0</v>
      </c>
      <c r="T28" s="369">
        <f>T_ACTFLO!L46</f>
        <v>0</v>
      </c>
      <c r="U28" s="369">
        <f>T_ACTFLO!M46</f>
        <v>0</v>
      </c>
      <c r="V28" s="369">
        <f>T_ACTFLO!N46</f>
        <v>0</v>
      </c>
      <c r="W28" s="369">
        <f>T_ACTFLO!O46</f>
        <v>0</v>
      </c>
      <c r="X28" s="369">
        <f>T_ACTFLO!P46</f>
        <v>0</v>
      </c>
      <c r="Y28" s="369">
        <f>T_ACTFLO!Q46</f>
        <v>0</v>
      </c>
      <c r="Z28" s="369">
        <f>T_ACTFLO!R46</f>
        <v>0</v>
      </c>
      <c r="AA28" s="369">
        <f>T_ACTFLO!S46</f>
        <v>0</v>
      </c>
      <c r="AB28" s="35"/>
      <c r="AC28" s="35"/>
      <c r="AD28" s="567"/>
      <c r="AE28" s="567"/>
      <c r="AF28" s="567"/>
      <c r="AG28" s="567"/>
      <c r="AH28" s="567"/>
      <c r="AI28" s="567"/>
      <c r="AJ28" s="567"/>
      <c r="AK28" s="567"/>
      <c r="AL28" s="567"/>
      <c r="AM28" s="567"/>
      <c r="AN28" s="567"/>
      <c r="AO28" s="567"/>
      <c r="AP28" s="567"/>
      <c r="AQ28" s="567"/>
      <c r="AR28" s="567"/>
      <c r="AS28" s="567"/>
      <c r="AV28" s="699" t="str">
        <f>MID(E25,1,7)</f>
        <v>OILKER</v>
      </c>
      <c r="AW28" s="567">
        <f>SUM(AX28:BL28)</f>
        <v>0</v>
      </c>
      <c r="AX28" s="567">
        <f t="shared" ref="AX28:BL28" si="17">M$29*M$30/M26/1000</f>
        <v>0</v>
      </c>
      <c r="AY28" s="567">
        <f t="shared" si="17"/>
        <v>0</v>
      </c>
      <c r="AZ28" s="567">
        <f t="shared" si="17"/>
        <v>0</v>
      </c>
      <c r="BA28" s="567">
        <f t="shared" si="17"/>
        <v>0</v>
      </c>
      <c r="BB28" s="567">
        <f t="shared" si="17"/>
        <v>0</v>
      </c>
      <c r="BC28" s="567">
        <f t="shared" si="17"/>
        <v>0</v>
      </c>
      <c r="BD28" s="567">
        <f t="shared" si="17"/>
        <v>0</v>
      </c>
      <c r="BE28" s="567">
        <f t="shared" si="17"/>
        <v>0</v>
      </c>
      <c r="BF28" s="567">
        <f t="shared" si="17"/>
        <v>0</v>
      </c>
      <c r="BG28" s="567">
        <f t="shared" si="17"/>
        <v>0</v>
      </c>
      <c r="BH28" s="567">
        <f t="shared" si="17"/>
        <v>0</v>
      </c>
      <c r="BI28" s="567">
        <f t="shared" si="17"/>
        <v>0</v>
      </c>
      <c r="BJ28" s="567">
        <f t="shared" si="17"/>
        <v>0</v>
      </c>
      <c r="BK28" s="567">
        <f t="shared" si="17"/>
        <v>0</v>
      </c>
      <c r="BL28" s="567">
        <f t="shared" si="17"/>
        <v>0</v>
      </c>
    </row>
    <row r="29" spans="1:64" s="83" customFormat="1" x14ac:dyDescent="0.3">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7">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699" t="str">
        <f>MID(E26,1,7)</f>
        <v/>
      </c>
      <c r="AW29" s="567"/>
      <c r="AX29" s="567"/>
      <c r="AY29" s="567"/>
      <c r="AZ29" s="567"/>
      <c r="BA29" s="567"/>
      <c r="BB29" s="567"/>
      <c r="BC29" s="567"/>
      <c r="BD29" s="567"/>
      <c r="BE29" s="567"/>
      <c r="BF29" s="567"/>
      <c r="BG29" s="567"/>
      <c r="BH29" s="567"/>
      <c r="BI29" s="567"/>
      <c r="BJ29" s="567"/>
      <c r="BK29" s="567"/>
      <c r="BL29" s="567"/>
    </row>
    <row r="30" spans="1:64" s="35" customFormat="1" x14ac:dyDescent="0.3">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3">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3">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3">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3">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3">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3">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3">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3">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3">
      <c r="A39" s="33"/>
      <c r="B39" s="66"/>
      <c r="C39" s="33"/>
      <c r="D39" s="33"/>
      <c r="E39" s="33"/>
      <c r="F39" s="33"/>
      <c r="G39" s="33"/>
      <c r="H39" s="33"/>
      <c r="I39" s="33"/>
      <c r="J39" s="33"/>
      <c r="K39" s="33"/>
      <c r="L39" s="473"/>
      <c r="M39" s="612"/>
      <c r="N39" s="612"/>
      <c r="O39" s="612"/>
      <c r="P39" s="612"/>
      <c r="Q39" s="612"/>
      <c r="R39" s="612"/>
      <c r="S39" s="612"/>
      <c r="T39" s="612"/>
      <c r="U39" s="612"/>
      <c r="V39" s="612"/>
      <c r="W39" s="612"/>
      <c r="X39" s="612"/>
      <c r="Y39" s="612"/>
      <c r="Z39" s="612"/>
      <c r="AA39" s="612"/>
      <c r="AB39" s="33"/>
      <c r="AC39" s="33"/>
      <c r="AD39" s="33"/>
      <c r="AE39" s="33"/>
      <c r="AF39" s="33"/>
      <c r="AG39" s="33"/>
      <c r="AH39" s="33"/>
      <c r="AI39" s="33"/>
      <c r="AJ39" s="33"/>
      <c r="AK39" s="33"/>
      <c r="AL39" s="33"/>
      <c r="AM39" s="33"/>
      <c r="AN39" s="33"/>
      <c r="AO39" s="33"/>
      <c r="AP39" s="33"/>
      <c r="AQ39" s="33"/>
      <c r="AR39" s="33"/>
      <c r="AS39" s="33"/>
      <c r="AT39" s="33"/>
    </row>
    <row r="40" spans="1:64" x14ac:dyDescent="0.3">
      <c r="A40" s="35"/>
      <c r="B40" s="32" t="s">
        <v>1229</v>
      </c>
      <c r="C40" s="26"/>
      <c r="D40" s="35"/>
      <c r="E40" s="35"/>
      <c r="F40" s="35"/>
      <c r="G40" s="35"/>
      <c r="H40" s="36"/>
      <c r="I40" s="35"/>
      <c r="J40" s="35"/>
      <c r="K40" s="35"/>
      <c r="L40" s="473"/>
      <c r="M40" s="613"/>
      <c r="N40" s="613"/>
      <c r="O40" s="613"/>
      <c r="P40" s="613"/>
      <c r="Q40" s="613"/>
      <c r="R40" s="613"/>
      <c r="S40" s="613"/>
      <c r="T40" s="613"/>
      <c r="U40" s="613"/>
      <c r="V40" s="613"/>
      <c r="W40" s="613"/>
      <c r="X40" s="613"/>
      <c r="Y40" s="613"/>
      <c r="Z40" s="613"/>
      <c r="AA40" s="613"/>
      <c r="AB40" s="35"/>
      <c r="AC40" s="35"/>
      <c r="AD40" s="35"/>
      <c r="AE40" s="49"/>
      <c r="AF40" s="35"/>
      <c r="AG40" s="35"/>
      <c r="AH40" s="35"/>
      <c r="AI40" s="35"/>
      <c r="AJ40" s="35"/>
      <c r="AK40" s="35"/>
      <c r="AL40" s="35"/>
      <c r="AM40" s="35"/>
      <c r="AN40" s="35"/>
      <c r="AO40" s="35"/>
      <c r="AP40" s="35"/>
      <c r="AQ40" s="35"/>
      <c r="AR40" s="35"/>
      <c r="AS40" s="35"/>
    </row>
    <row r="41" spans="1:64" x14ac:dyDescent="0.3">
      <c r="A41" s="35"/>
      <c r="B41" s="35"/>
      <c r="C41" s="35"/>
      <c r="D41" s="35"/>
      <c r="E41" s="35"/>
      <c r="F41" s="35"/>
      <c r="G41" s="35"/>
      <c r="H41" s="36"/>
      <c r="I41" s="35"/>
      <c r="J41" s="35"/>
      <c r="K41" s="35"/>
      <c r="L41" s="473"/>
      <c r="M41" s="613"/>
      <c r="N41" s="613"/>
      <c r="O41" s="613"/>
      <c r="P41" s="613"/>
      <c r="Q41" s="613"/>
      <c r="R41" s="613"/>
      <c r="S41" s="613"/>
      <c r="T41" s="613"/>
      <c r="U41" s="613"/>
      <c r="V41" s="613"/>
      <c r="W41" s="613"/>
      <c r="X41" s="613"/>
      <c r="Y41" s="613"/>
      <c r="Z41" s="613"/>
      <c r="AA41" s="613"/>
      <c r="AB41" s="35"/>
      <c r="AC41" s="35"/>
      <c r="AD41" s="35"/>
      <c r="AE41" s="49"/>
      <c r="AF41" s="35"/>
      <c r="AG41" s="35"/>
      <c r="AH41" s="35"/>
      <c r="AI41" s="35"/>
      <c r="AJ41" s="35"/>
      <c r="AK41" s="35"/>
      <c r="AL41" s="35"/>
      <c r="AM41" s="35"/>
      <c r="AN41" s="35"/>
      <c r="AO41" s="35"/>
      <c r="AP41" s="35"/>
      <c r="AQ41" s="35"/>
      <c r="AR41" s="35"/>
      <c r="AS41" s="35"/>
    </row>
    <row r="42" spans="1:64" x14ac:dyDescent="0.3">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3">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3">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4" t="e">
        <f>IF(AD45-SUM(AC12:AC13)&lt;0,"too small",IF(AD45-SUM(AC12:AC13)&gt;0.001,"Too big","ok"))</f>
        <v>#DIV/0!</v>
      </c>
      <c r="AE44" s="618" t="e">
        <f t="shared" ref="AE44:AS44" si="21">IF(AE45-SUM(M12:M13)&lt;0,"too small",IF(AE45-SUM(M12:M13)&gt;0.001,"Too big","ok"))</f>
        <v>#DIV/0!</v>
      </c>
      <c r="AF44" s="618" t="e">
        <f t="shared" si="21"/>
        <v>#DIV/0!</v>
      </c>
      <c r="AG44" s="618" t="e">
        <f t="shared" si="21"/>
        <v>#DIV/0!</v>
      </c>
      <c r="AH44" s="618" t="e">
        <f t="shared" si="21"/>
        <v>#DIV/0!</v>
      </c>
      <c r="AI44" s="618" t="e">
        <f t="shared" si="21"/>
        <v>#DIV/0!</v>
      </c>
      <c r="AJ44" s="618" t="e">
        <f t="shared" si="21"/>
        <v>#DIV/0!</v>
      </c>
      <c r="AK44" s="618" t="e">
        <f t="shared" si="21"/>
        <v>#DIV/0!</v>
      </c>
      <c r="AL44" s="618" t="e">
        <f t="shared" si="21"/>
        <v>#DIV/0!</v>
      </c>
      <c r="AM44" s="618" t="e">
        <f t="shared" si="21"/>
        <v>#DIV/0!</v>
      </c>
      <c r="AN44" s="618" t="e">
        <f t="shared" si="21"/>
        <v>#DIV/0!</v>
      </c>
      <c r="AO44" s="618" t="e">
        <f t="shared" si="21"/>
        <v>#DIV/0!</v>
      </c>
      <c r="AP44" s="618" t="e">
        <f t="shared" si="21"/>
        <v>#DIV/0!</v>
      </c>
      <c r="AQ44" s="618" t="e">
        <f t="shared" si="21"/>
        <v>#DIV/0!</v>
      </c>
      <c r="AR44" s="618" t="e">
        <f t="shared" si="21"/>
        <v>#DIV/0!</v>
      </c>
      <c r="AS44" s="618" t="e">
        <f t="shared" si="21"/>
        <v>#DIV/0!</v>
      </c>
      <c r="AT44" s="22"/>
    </row>
    <row r="45" spans="1:64" s="22" customFormat="1" x14ac:dyDescent="0.3">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7" t="e">
        <f>SUM(AE45:AS45)</f>
        <v>#DIV/0!</v>
      </c>
      <c r="AE45" s="619" t="e">
        <f t="shared" ref="AE45:AS45" si="23">AE49</f>
        <v>#DIV/0!</v>
      </c>
      <c r="AF45" s="619" t="e">
        <f t="shared" si="23"/>
        <v>#DIV/0!</v>
      </c>
      <c r="AG45" s="619" t="e">
        <f t="shared" si="23"/>
        <v>#DIV/0!</v>
      </c>
      <c r="AH45" s="619" t="e">
        <f t="shared" si="23"/>
        <v>#DIV/0!</v>
      </c>
      <c r="AI45" s="619" t="e">
        <f t="shared" si="23"/>
        <v>#DIV/0!</v>
      </c>
      <c r="AJ45" s="619" t="e">
        <f t="shared" si="23"/>
        <v>#DIV/0!</v>
      </c>
      <c r="AK45" s="619" t="e">
        <f t="shared" si="23"/>
        <v>#DIV/0!</v>
      </c>
      <c r="AL45" s="619" t="e">
        <f t="shared" si="23"/>
        <v>#DIV/0!</v>
      </c>
      <c r="AM45" s="619" t="e">
        <f t="shared" si="23"/>
        <v>#DIV/0!</v>
      </c>
      <c r="AN45" s="619" t="e">
        <f t="shared" si="23"/>
        <v>#DIV/0!</v>
      </c>
      <c r="AO45" s="619" t="e">
        <f t="shared" si="23"/>
        <v>#DIV/0!</v>
      </c>
      <c r="AP45" s="619" t="e">
        <f t="shared" si="23"/>
        <v>#DIV/0!</v>
      </c>
      <c r="AQ45" s="619" t="e">
        <f t="shared" si="23"/>
        <v>#DIV/0!</v>
      </c>
      <c r="AR45" s="619" t="e">
        <f t="shared" si="23"/>
        <v>#DIV/0!</v>
      </c>
      <c r="AS45" s="619" t="e">
        <f t="shared" si="23"/>
        <v>#DIV/0!</v>
      </c>
      <c r="AV45" s="471" t="s">
        <v>1051</v>
      </c>
    </row>
    <row r="46" spans="1:64" s="22" customFormat="1" x14ac:dyDescent="0.3">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0" t="s">
        <v>85</v>
      </c>
      <c r="AW46" s="700" t="s">
        <v>421</v>
      </c>
      <c r="AX46" s="700" t="str">
        <f t="shared" ref="AX46:BL46" si="24">M$2</f>
        <v>Z01</v>
      </c>
      <c r="AY46" s="700" t="str">
        <f t="shared" si="24"/>
        <v>Z02</v>
      </c>
      <c r="AZ46" s="700" t="str">
        <f t="shared" si="24"/>
        <v>Z03</v>
      </c>
      <c r="BA46" s="700" t="str">
        <f t="shared" si="24"/>
        <v>Z04</v>
      </c>
      <c r="BB46" s="700" t="str">
        <f t="shared" si="24"/>
        <v>Z05</v>
      </c>
      <c r="BC46" s="700" t="str">
        <f t="shared" si="24"/>
        <v>Z06</v>
      </c>
      <c r="BD46" s="700" t="str">
        <f t="shared" si="24"/>
        <v>Z07</v>
      </c>
      <c r="BE46" s="700" t="str">
        <f t="shared" si="24"/>
        <v>Z08</v>
      </c>
      <c r="BF46" s="700" t="str">
        <f t="shared" si="24"/>
        <v>Z09</v>
      </c>
      <c r="BG46" s="700" t="str">
        <f t="shared" si="24"/>
        <v>Z10</v>
      </c>
      <c r="BH46" s="700" t="str">
        <f t="shared" si="24"/>
        <v>Z11</v>
      </c>
      <c r="BI46" s="700" t="str">
        <f t="shared" si="24"/>
        <v>Z12</v>
      </c>
      <c r="BJ46" s="700" t="str">
        <f t="shared" si="24"/>
        <v>Z13</v>
      </c>
      <c r="BK46" s="700" t="str">
        <f t="shared" si="24"/>
        <v>Z14</v>
      </c>
      <c r="BL46" s="700" t="str">
        <f t="shared" si="24"/>
        <v>Z15</v>
      </c>
    </row>
    <row r="47" spans="1:64" s="22" customFormat="1" x14ac:dyDescent="0.3">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6" t="e">
        <f>SUM(AX47:BL47)</f>
        <v>#DIV/0!</v>
      </c>
      <c r="AX47" s="717" t="e">
        <f>SUM(AX48:AX176)</f>
        <v>#DIV/0!</v>
      </c>
      <c r="AY47" s="717" t="e">
        <f t="shared" ref="AY47" si="26">SUM(AY48:AY176)</f>
        <v>#DIV/0!</v>
      </c>
      <c r="AZ47" s="717" t="e">
        <f t="shared" ref="AZ47" si="27">SUM(AZ48:AZ176)</f>
        <v>#DIV/0!</v>
      </c>
      <c r="BA47" s="717" t="e">
        <f t="shared" ref="BA47" si="28">SUM(BA48:BA176)</f>
        <v>#DIV/0!</v>
      </c>
      <c r="BB47" s="717" t="e">
        <f t="shared" ref="BB47" si="29">SUM(BB48:BB176)</f>
        <v>#DIV/0!</v>
      </c>
      <c r="BC47" s="717" t="e">
        <f t="shared" ref="BC47" si="30">SUM(BC48:BC176)</f>
        <v>#DIV/0!</v>
      </c>
      <c r="BD47" s="717" t="e">
        <f t="shared" ref="BD47" si="31">SUM(BD48:BD176)</f>
        <v>#DIV/0!</v>
      </c>
      <c r="BE47" s="717" t="e">
        <f t="shared" ref="BE47" si="32">SUM(BE48:BE176)</f>
        <v>#DIV/0!</v>
      </c>
      <c r="BF47" s="717" t="e">
        <f t="shared" ref="BF47" si="33">SUM(BF48:BF176)</f>
        <v>#DIV/0!</v>
      </c>
      <c r="BG47" s="717" t="e">
        <f t="shared" ref="BG47" si="34">SUM(BG48:BG176)</f>
        <v>#DIV/0!</v>
      </c>
      <c r="BH47" s="717" t="e">
        <f t="shared" ref="BH47" si="35">SUM(BH48:BH176)</f>
        <v>#DIV/0!</v>
      </c>
      <c r="BI47" s="717" t="e">
        <f t="shared" ref="BI47" si="36">SUM(BI48:BI176)</f>
        <v>#DIV/0!</v>
      </c>
      <c r="BJ47" s="717" t="e">
        <f t="shared" ref="BJ47" si="37">SUM(BJ48:BJ176)</f>
        <v>#DIV/0!</v>
      </c>
      <c r="BK47" s="717" t="e">
        <f t="shared" ref="BK47" si="38">SUM(BK48:BK176)</f>
        <v>#DIV/0!</v>
      </c>
      <c r="BL47" s="717" t="e">
        <f t="shared" ref="BL47" si="39">SUM(BL48:BL176)</f>
        <v>#DIV/0!</v>
      </c>
    </row>
    <row r="48" spans="1:64" s="83" customFormat="1" x14ac:dyDescent="0.3">
      <c r="A48" s="22"/>
      <c r="B48" s="186" t="str">
        <f t="shared" si="25"/>
        <v>TAI100</v>
      </c>
      <c r="C48" s="186"/>
      <c r="D48" s="187"/>
      <c r="E48" s="188"/>
      <c r="F48" s="189"/>
      <c r="G48" s="170"/>
      <c r="H48" s="190"/>
      <c r="I48" s="191"/>
      <c r="J48" s="191" t="s">
        <v>748</v>
      </c>
      <c r="K48" s="186" t="s">
        <v>1127</v>
      </c>
      <c r="L48" s="191" t="s">
        <v>1228</v>
      </c>
      <c r="M48" s="369">
        <f>T_ACTFLO!E45</f>
        <v>0</v>
      </c>
      <c r="N48" s="369">
        <f>T_ACTFLO!F45</f>
        <v>0</v>
      </c>
      <c r="O48" s="369">
        <f>T_ACTFLO!G45</f>
        <v>0</v>
      </c>
      <c r="P48" s="369">
        <f>T_ACTFLO!H45</f>
        <v>0</v>
      </c>
      <c r="Q48" s="369">
        <f>T_ACTFLO!I45</f>
        <v>0</v>
      </c>
      <c r="R48" s="369">
        <f>T_ACTFLO!J45</f>
        <v>0</v>
      </c>
      <c r="S48" s="369">
        <f>T_ACTFLO!K45</f>
        <v>0</v>
      </c>
      <c r="T48" s="369">
        <f>T_ACTFLO!L45</f>
        <v>0</v>
      </c>
      <c r="U48" s="369">
        <f>T_ACTFLO!M45</f>
        <v>0</v>
      </c>
      <c r="V48" s="369">
        <f>T_ACTFLO!N45</f>
        <v>0</v>
      </c>
      <c r="W48" s="369">
        <f>T_ACTFLO!O45</f>
        <v>0</v>
      </c>
      <c r="X48" s="369">
        <f>T_ACTFLO!P45</f>
        <v>0</v>
      </c>
      <c r="Y48" s="369">
        <f>T_ACTFLO!Q45</f>
        <v>0</v>
      </c>
      <c r="Z48" s="369">
        <f>T_ACTFLO!R45</f>
        <v>0</v>
      </c>
      <c r="AA48" s="369">
        <f>T_ACTFLO!S45</f>
        <v>0</v>
      </c>
      <c r="AB48" s="35"/>
      <c r="AC48" s="35"/>
      <c r="AD48" s="35"/>
      <c r="AE48" s="35"/>
      <c r="AF48" s="35"/>
      <c r="AG48" s="35"/>
      <c r="AH48" s="35"/>
      <c r="AI48" s="35"/>
      <c r="AJ48" s="35"/>
      <c r="AK48" s="35"/>
      <c r="AL48" s="35"/>
      <c r="AM48" s="35"/>
      <c r="AN48" s="35"/>
      <c r="AO48" s="35"/>
      <c r="AP48" s="35"/>
      <c r="AQ48" s="35"/>
      <c r="AR48" s="35"/>
      <c r="AS48" s="35"/>
      <c r="AT48" s="35"/>
      <c r="AV48" s="699" t="str">
        <f>MID(E45,1,7)</f>
        <v>OILKER</v>
      </c>
      <c r="AW48" s="567" t="e">
        <f>SUM(AX48:BL48)</f>
        <v>#DIV/0!</v>
      </c>
      <c r="AX48" s="567" t="e">
        <f>M$49*M$50/M46/1000</f>
        <v>#DIV/0!</v>
      </c>
      <c r="AY48" s="567" t="e">
        <f t="shared" ref="AY48:BL48" si="40">N$49*N$50/N46/1000</f>
        <v>#DIV/0!</v>
      </c>
      <c r="AZ48" s="567" t="e">
        <f t="shared" si="40"/>
        <v>#DIV/0!</v>
      </c>
      <c r="BA48" s="567" t="e">
        <f t="shared" si="40"/>
        <v>#DIV/0!</v>
      </c>
      <c r="BB48" s="567" t="e">
        <f t="shared" si="40"/>
        <v>#DIV/0!</v>
      </c>
      <c r="BC48" s="567" t="e">
        <f t="shared" si="40"/>
        <v>#DIV/0!</v>
      </c>
      <c r="BD48" s="567" t="e">
        <f t="shared" si="40"/>
        <v>#DIV/0!</v>
      </c>
      <c r="BE48" s="567" t="e">
        <f t="shared" si="40"/>
        <v>#DIV/0!</v>
      </c>
      <c r="BF48" s="567" t="e">
        <f t="shared" si="40"/>
        <v>#DIV/0!</v>
      </c>
      <c r="BG48" s="567" t="e">
        <f t="shared" si="40"/>
        <v>#DIV/0!</v>
      </c>
      <c r="BH48" s="567" t="e">
        <f t="shared" si="40"/>
        <v>#DIV/0!</v>
      </c>
      <c r="BI48" s="567" t="e">
        <f t="shared" si="40"/>
        <v>#DIV/0!</v>
      </c>
      <c r="BJ48" s="567" t="e">
        <f t="shared" si="40"/>
        <v>#DIV/0!</v>
      </c>
      <c r="BK48" s="567" t="e">
        <f t="shared" si="40"/>
        <v>#DIV/0!</v>
      </c>
      <c r="BL48" s="567" t="e">
        <f t="shared" si="40"/>
        <v>#DIV/0!</v>
      </c>
    </row>
    <row r="49" spans="1:46" s="35" customFormat="1" x14ac:dyDescent="0.3">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7"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3">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3">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3">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3">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3">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3">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3">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3">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3">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3">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zoomScale="75" zoomScaleNormal="75" workbookViewId="0">
      <selection activeCell="AB3" sqref="AB1:AB1048576"/>
    </sheetView>
  </sheetViews>
  <sheetFormatPr defaultRowHeight="14.4" x14ac:dyDescent="0.3"/>
  <cols>
    <col min="2" max="2" width="17.44140625" customWidth="1"/>
    <col min="3" max="3" width="10.5546875" bestFit="1" customWidth="1"/>
    <col min="4" max="4" width="31" customWidth="1"/>
    <col min="5" max="5" width="9.44140625" bestFit="1" customWidth="1"/>
    <col min="6" max="6" width="11.33203125" bestFit="1" customWidth="1"/>
    <col min="7" max="7" width="9.6640625" bestFit="1" customWidth="1"/>
    <col min="8" max="8" width="15.5546875" bestFit="1" customWidth="1"/>
    <col min="9" max="9" width="20" bestFit="1" customWidth="1"/>
    <col min="10" max="10" width="14.33203125" bestFit="1" customWidth="1"/>
    <col min="12" max="12" width="17.44140625" customWidth="1"/>
  </cols>
  <sheetData>
    <row r="1" spans="1:49" x14ac:dyDescent="0.3">
      <c r="L1" s="113" t="s">
        <v>1110</v>
      </c>
      <c r="M1" s="119"/>
      <c r="N1" s="119"/>
      <c r="O1" s="119"/>
      <c r="P1" s="119"/>
      <c r="Q1" s="35"/>
      <c r="R1" s="35"/>
      <c r="S1" s="35"/>
      <c r="T1" s="35"/>
      <c r="U1" s="35"/>
      <c r="V1" s="35"/>
      <c r="W1" s="35"/>
      <c r="X1" s="35"/>
      <c r="Y1" s="35"/>
      <c r="Z1" s="35"/>
      <c r="AA1" s="35"/>
    </row>
    <row r="2" spans="1:49" s="35" customFormat="1" ht="19.5" customHeight="1" x14ac:dyDescent="0.3">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 x14ac:dyDescent="0.35">
      <c r="A3" s="22"/>
      <c r="B3" s="320"/>
      <c r="C3" s="22"/>
      <c r="D3" s="22"/>
      <c r="H3" s="36"/>
      <c r="L3" s="170">
        <f>INFO!$C$5</f>
        <v>2019</v>
      </c>
      <c r="M3" s="561">
        <v>1</v>
      </c>
      <c r="N3" s="561">
        <f>M3</f>
        <v>1</v>
      </c>
      <c r="O3" s="561">
        <f t="shared" ref="O3:AA5" si="0">N3</f>
        <v>1</v>
      </c>
      <c r="P3" s="561">
        <f t="shared" si="0"/>
        <v>1</v>
      </c>
      <c r="Q3" s="561">
        <f t="shared" si="0"/>
        <v>1</v>
      </c>
      <c r="R3" s="561">
        <f t="shared" si="0"/>
        <v>1</v>
      </c>
      <c r="S3" s="561">
        <f t="shared" si="0"/>
        <v>1</v>
      </c>
      <c r="T3" s="561">
        <f t="shared" si="0"/>
        <v>1</v>
      </c>
      <c r="U3" s="561">
        <f t="shared" si="0"/>
        <v>1</v>
      </c>
      <c r="V3" s="561">
        <f t="shared" si="0"/>
        <v>1</v>
      </c>
      <c r="W3" s="561">
        <f t="shared" si="0"/>
        <v>1</v>
      </c>
      <c r="X3" s="561">
        <f t="shared" si="0"/>
        <v>1</v>
      </c>
      <c r="Y3" s="561">
        <f t="shared" si="0"/>
        <v>1</v>
      </c>
      <c r="Z3" s="561">
        <f t="shared" si="0"/>
        <v>1</v>
      </c>
      <c r="AA3" s="561">
        <f t="shared" si="0"/>
        <v>1</v>
      </c>
      <c r="AC3" s="295"/>
      <c r="AE3" s="38"/>
      <c r="AF3" s="38" t="str">
        <f>C21</f>
        <v>TOV100</v>
      </c>
      <c r="AG3" s="406" t="str">
        <f>C32</f>
        <v>TOV900</v>
      </c>
      <c r="AH3" s="33"/>
      <c r="AI3" s="33"/>
      <c r="AJ3" s="33"/>
      <c r="AK3" s="33"/>
    </row>
    <row r="4" spans="1:49" s="35" customFormat="1" x14ac:dyDescent="0.3">
      <c r="H4" s="36"/>
      <c r="L4" s="170">
        <f>L3+1</f>
        <v>2020</v>
      </c>
      <c r="M4" s="561">
        <v>2</v>
      </c>
      <c r="N4" s="561">
        <f>M4</f>
        <v>2</v>
      </c>
      <c r="O4" s="561">
        <f t="shared" si="0"/>
        <v>2</v>
      </c>
      <c r="P4" s="561">
        <f t="shared" si="0"/>
        <v>2</v>
      </c>
      <c r="Q4" s="561">
        <f t="shared" si="0"/>
        <v>2</v>
      </c>
      <c r="R4" s="561">
        <f t="shared" si="0"/>
        <v>2</v>
      </c>
      <c r="S4" s="561">
        <f t="shared" si="0"/>
        <v>2</v>
      </c>
      <c r="T4" s="561">
        <f t="shared" si="0"/>
        <v>2</v>
      </c>
      <c r="U4" s="561">
        <f t="shared" si="0"/>
        <v>2</v>
      </c>
      <c r="V4" s="561">
        <f t="shared" si="0"/>
        <v>2</v>
      </c>
      <c r="W4" s="561">
        <f t="shared" si="0"/>
        <v>2</v>
      </c>
      <c r="X4" s="561">
        <f t="shared" si="0"/>
        <v>2</v>
      </c>
      <c r="Y4" s="561">
        <f t="shared" si="0"/>
        <v>2</v>
      </c>
      <c r="Z4" s="561">
        <f t="shared" si="0"/>
        <v>2</v>
      </c>
      <c r="AA4" s="561">
        <f t="shared" si="0"/>
        <v>2</v>
      </c>
      <c r="AC4" s="370"/>
      <c r="AE4" s="38">
        <v>2016</v>
      </c>
      <c r="AF4" s="67">
        <v>1</v>
      </c>
      <c r="AG4" s="67">
        <f>AF4</f>
        <v>1</v>
      </c>
      <c r="AH4" s="439"/>
      <c r="AI4" s="439"/>
      <c r="AJ4" s="439"/>
      <c r="AK4" s="439"/>
    </row>
    <row r="5" spans="1:49" s="35" customFormat="1" x14ac:dyDescent="0.3">
      <c r="H5" s="36"/>
      <c r="L5" s="170">
        <v>2050</v>
      </c>
      <c r="M5" s="561">
        <v>10</v>
      </c>
      <c r="N5" s="561">
        <f>M5</f>
        <v>10</v>
      </c>
      <c r="O5" s="561">
        <f t="shared" si="0"/>
        <v>10</v>
      </c>
      <c r="P5" s="561">
        <f t="shared" si="0"/>
        <v>10</v>
      </c>
      <c r="Q5" s="561">
        <f t="shared" si="0"/>
        <v>10</v>
      </c>
      <c r="R5" s="561">
        <f t="shared" si="0"/>
        <v>10</v>
      </c>
      <c r="S5" s="561">
        <f t="shared" si="0"/>
        <v>10</v>
      </c>
      <c r="T5" s="561">
        <f t="shared" si="0"/>
        <v>10</v>
      </c>
      <c r="U5" s="561">
        <f t="shared" si="0"/>
        <v>10</v>
      </c>
      <c r="V5" s="561">
        <f t="shared" si="0"/>
        <v>10</v>
      </c>
      <c r="W5" s="561">
        <f t="shared" si="0"/>
        <v>10</v>
      </c>
      <c r="X5" s="561">
        <f t="shared" si="0"/>
        <v>10</v>
      </c>
      <c r="Y5" s="561">
        <f t="shared" si="0"/>
        <v>10</v>
      </c>
      <c r="Z5" s="561">
        <f t="shared" si="0"/>
        <v>10</v>
      </c>
      <c r="AA5" s="561">
        <f t="shared" si="0"/>
        <v>10</v>
      </c>
      <c r="AC5" s="370"/>
      <c r="AE5" s="38">
        <v>2020</v>
      </c>
      <c r="AF5" s="67">
        <v>0.95</v>
      </c>
      <c r="AG5" s="67">
        <f t="shared" ref="AG5:AG9" si="1">AF5</f>
        <v>0.95</v>
      </c>
      <c r="AH5" s="439"/>
      <c r="AI5" s="439"/>
      <c r="AJ5" s="439"/>
      <c r="AK5" s="439"/>
    </row>
    <row r="6" spans="1:49" s="35" customFormat="1" x14ac:dyDescent="0.3">
      <c r="H6" s="36"/>
      <c r="AC6" s="370"/>
      <c r="AE6" s="38">
        <f>AE5+5</f>
        <v>2025</v>
      </c>
      <c r="AF6" s="67">
        <v>0.9</v>
      </c>
      <c r="AG6" s="67">
        <f t="shared" si="1"/>
        <v>0.9</v>
      </c>
      <c r="AH6" s="439"/>
      <c r="AI6" s="439"/>
      <c r="AJ6" s="439"/>
      <c r="AK6" s="439"/>
    </row>
    <row r="7" spans="1:49" s="33" customFormat="1" x14ac:dyDescent="0.3">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3">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3">
      <c r="A10" s="44"/>
      <c r="B10" s="44"/>
      <c r="C10" s="44"/>
      <c r="D10" s="35"/>
      <c r="E10" s="35"/>
      <c r="F10" s="44"/>
      <c r="G10" s="35"/>
      <c r="H10" s="169" t="s">
        <v>656</v>
      </c>
      <c r="I10" s="173" t="str">
        <f>LOOKUP(H10,TRA_Comm!$C$29:$C$90,TRA_Comm!$D$29:$D$90)</f>
        <v>Other.Vehicles.</v>
      </c>
      <c r="J10" s="173"/>
      <c r="K10" s="173" t="s">
        <v>1117</v>
      </c>
      <c r="L10" s="173"/>
      <c r="M10" s="550">
        <f>SUMIF(DEMAND_Pkm_Tkm!$C$48:$C$71, $H10, DEMAND_Pkm_Tkm!G$48:G$71)</f>
        <v>0</v>
      </c>
      <c r="N10" s="550">
        <f>SUMIF(DEMAND_Pkm_Tkm!$C$48:$C$71, $H10, DEMAND_Pkm_Tkm!H$48:H$71)</f>
        <v>0</v>
      </c>
      <c r="O10" s="550">
        <f>SUMIF(DEMAND_Pkm_Tkm!$C$48:$C$71, $H10, DEMAND_Pkm_Tkm!I$48:I$71)</f>
        <v>0</v>
      </c>
      <c r="P10" s="550">
        <f>SUMIF(DEMAND_Pkm_Tkm!$C$48:$C$71, $H10, DEMAND_Pkm_Tkm!J$48:J$71)</f>
        <v>0</v>
      </c>
      <c r="Q10" s="550">
        <f>SUMIF(DEMAND_Pkm_Tkm!$C$48:$C$71, $H10, DEMAND_Pkm_Tkm!K$48:K$71)</f>
        <v>0</v>
      </c>
      <c r="R10" s="550">
        <f>SUMIF(DEMAND_Pkm_Tkm!$C$48:$C$71, $H10, DEMAND_Pkm_Tkm!L$48:L$71)</f>
        <v>0</v>
      </c>
      <c r="S10" s="550">
        <f>SUMIF(DEMAND_Pkm_Tkm!$C$48:$C$71, $H10, DEMAND_Pkm_Tkm!M$48:M$71)</f>
        <v>0</v>
      </c>
      <c r="T10" s="550">
        <f>SUMIF(DEMAND_Pkm_Tkm!$C$48:$C$71, $H10, DEMAND_Pkm_Tkm!N$48:N$71)</f>
        <v>0</v>
      </c>
      <c r="U10" s="550">
        <f>SUMIF(DEMAND_Pkm_Tkm!$C$48:$C$71, $H10, DEMAND_Pkm_Tkm!O$48:O$71)</f>
        <v>0</v>
      </c>
      <c r="V10" s="550">
        <f>SUMIF(DEMAND_Pkm_Tkm!$C$48:$C$71, $H10, DEMAND_Pkm_Tkm!P$48:P$71)</f>
        <v>0</v>
      </c>
      <c r="W10" s="550">
        <f>SUMIF(DEMAND_Pkm_Tkm!$C$48:$C$71, $H10, DEMAND_Pkm_Tkm!Q$48:Q$71)</f>
        <v>0</v>
      </c>
      <c r="X10" s="550">
        <f>SUMIF(DEMAND_Pkm_Tkm!$C$48:$C$71, $H10, DEMAND_Pkm_Tkm!R$48:R$71)</f>
        <v>0</v>
      </c>
      <c r="Y10" s="550">
        <f>SUMIF(DEMAND_Pkm_Tkm!$C$48:$C$71, $H10, DEMAND_Pkm_Tkm!S$48:S$71)</f>
        <v>0</v>
      </c>
      <c r="Z10" s="550">
        <f>SUMIF(DEMAND_Pkm_Tkm!$C$48:$C$71, $H10, DEMAND_Pkm_Tkm!T$48:T$71)</f>
        <v>0</v>
      </c>
      <c r="AA10" s="550">
        <f>SUMIF(DEMAND_Pkm_Tkm!$C$48:$C$71, $H10, DEMAND_Pkm_Tkm!U$48:U$71)</f>
        <v>0</v>
      </c>
      <c r="AC10" s="549">
        <f>SUM(M10:AA10)</f>
        <v>0</v>
      </c>
      <c r="AV10" s="35"/>
      <c r="AW10" s="35"/>
    </row>
    <row r="11" spans="1:49" s="33" customFormat="1" x14ac:dyDescent="0.3">
      <c r="A11" s="44"/>
      <c r="B11" s="44"/>
      <c r="C11" s="44"/>
      <c r="D11" s="35"/>
      <c r="E11" s="35"/>
      <c r="F11" s="44"/>
      <c r="G11" s="35"/>
      <c r="H11" s="169" t="s">
        <v>658</v>
      </c>
      <c r="I11" s="173" t="str">
        <f>LOOKUP(H11,TRA_Comm!$C$29:$C$90,TRA_Comm!$D$29:$D$90)</f>
        <v>Other.Vehicles.City.</v>
      </c>
      <c r="J11" s="173"/>
      <c r="K11" s="173" t="s">
        <v>1117</v>
      </c>
      <c r="L11" s="173"/>
      <c r="M11" s="550">
        <f>SUMIF(DEMAND_Pkm_Tkm!$C$48:$C$71, $H11, DEMAND_Pkm_Tkm!G$48:G$71)</f>
        <v>0</v>
      </c>
      <c r="N11" s="550">
        <f>SUMIF(DEMAND_Pkm_Tkm!$C$48:$C$71, $H11, DEMAND_Pkm_Tkm!H$48:H$71)</f>
        <v>0</v>
      </c>
      <c r="O11" s="550">
        <f>SUMIF(DEMAND_Pkm_Tkm!$C$48:$C$71, $H11, DEMAND_Pkm_Tkm!I$48:I$71)</f>
        <v>0</v>
      </c>
      <c r="P11" s="550">
        <f>SUMIF(DEMAND_Pkm_Tkm!$C$48:$C$71, $H11, DEMAND_Pkm_Tkm!J$48:J$71)</f>
        <v>0</v>
      </c>
      <c r="Q11" s="550">
        <f>SUMIF(DEMAND_Pkm_Tkm!$C$48:$C$71, $H11, DEMAND_Pkm_Tkm!K$48:K$71)</f>
        <v>0</v>
      </c>
      <c r="R11" s="550">
        <f>SUMIF(DEMAND_Pkm_Tkm!$C$48:$C$71, $H11, DEMAND_Pkm_Tkm!L$48:L$71)</f>
        <v>0</v>
      </c>
      <c r="S11" s="550">
        <f>SUMIF(DEMAND_Pkm_Tkm!$C$48:$C$71, $H11, DEMAND_Pkm_Tkm!M$48:M$71)</f>
        <v>0</v>
      </c>
      <c r="T11" s="550">
        <f>SUMIF(DEMAND_Pkm_Tkm!$C$48:$C$71, $H11, DEMAND_Pkm_Tkm!N$48:N$71)</f>
        <v>0</v>
      </c>
      <c r="U11" s="550">
        <f>SUMIF(DEMAND_Pkm_Tkm!$C$48:$C$71, $H11, DEMAND_Pkm_Tkm!O$48:O$71)</f>
        <v>0</v>
      </c>
      <c r="V11" s="550">
        <f>SUMIF(DEMAND_Pkm_Tkm!$C$48:$C$71, $H11, DEMAND_Pkm_Tkm!P$48:P$71)</f>
        <v>0</v>
      </c>
      <c r="W11" s="550">
        <f>SUMIF(DEMAND_Pkm_Tkm!$C$48:$C$71, $H11, DEMAND_Pkm_Tkm!Q$48:Q$71)</f>
        <v>0</v>
      </c>
      <c r="X11" s="550">
        <f>SUMIF(DEMAND_Pkm_Tkm!$C$48:$C$71, $H11, DEMAND_Pkm_Tkm!R$48:R$71)</f>
        <v>0</v>
      </c>
      <c r="Y11" s="550">
        <f>SUMIF(DEMAND_Pkm_Tkm!$C$48:$C$71, $H11, DEMAND_Pkm_Tkm!S$48:S$71)</f>
        <v>0</v>
      </c>
      <c r="Z11" s="550">
        <f>SUMIF(DEMAND_Pkm_Tkm!$C$48:$C$71, $H11, DEMAND_Pkm_Tkm!T$48:T$71)</f>
        <v>0</v>
      </c>
      <c r="AA11" s="550">
        <f>SUMIF(DEMAND_Pkm_Tkm!$C$48:$C$71, $H11, DEMAND_Pkm_Tkm!U$48:U$71)</f>
        <v>0</v>
      </c>
      <c r="AC11" s="549">
        <f>SUM(M11:AA11)</f>
        <v>0</v>
      </c>
      <c r="AV11" s="35"/>
      <c r="AW11" s="35"/>
    </row>
    <row r="12" spans="1:49"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3">
      <c r="A13" s="44"/>
      <c r="B13" s="35"/>
      <c r="C13" s="44"/>
      <c r="D13" s="35"/>
      <c r="E13" s="35"/>
      <c r="F13" s="44"/>
      <c r="G13" s="44"/>
      <c r="H13" s="44"/>
      <c r="I13" s="174"/>
      <c r="J13" s="174"/>
      <c r="K13" s="174"/>
      <c r="L13" s="174" t="s">
        <v>1232</v>
      </c>
      <c r="M13" s="607">
        <v>0.95</v>
      </c>
      <c r="N13" s="607">
        <f>M13</f>
        <v>0.95</v>
      </c>
      <c r="O13" s="607">
        <f t="shared" ref="O13:AA13" si="3">N13</f>
        <v>0.95</v>
      </c>
      <c r="P13" s="607">
        <f t="shared" si="3"/>
        <v>0.95</v>
      </c>
      <c r="Q13" s="607">
        <f t="shared" si="3"/>
        <v>0.95</v>
      </c>
      <c r="R13" s="607">
        <f t="shared" si="3"/>
        <v>0.95</v>
      </c>
      <c r="S13" s="607">
        <f t="shared" si="3"/>
        <v>0.95</v>
      </c>
      <c r="T13" s="607">
        <f t="shared" si="3"/>
        <v>0.95</v>
      </c>
      <c r="U13" s="607">
        <f t="shared" si="3"/>
        <v>0.95</v>
      </c>
      <c r="V13" s="607">
        <f t="shared" si="3"/>
        <v>0.95</v>
      </c>
      <c r="W13" s="607">
        <f t="shared" si="3"/>
        <v>0.95</v>
      </c>
      <c r="X13" s="607">
        <f t="shared" si="3"/>
        <v>0.95</v>
      </c>
      <c r="Y13" s="607">
        <f t="shared" si="3"/>
        <v>0.95</v>
      </c>
      <c r="Z13" s="607">
        <f t="shared" si="3"/>
        <v>0.95</v>
      </c>
      <c r="AA13" s="607">
        <f t="shared" si="3"/>
        <v>0.95</v>
      </c>
      <c r="AB13" s="164"/>
      <c r="AC13" s="44"/>
      <c r="AV13" s="35"/>
      <c r="AW13" s="35"/>
    </row>
    <row r="14" spans="1:49" x14ac:dyDescent="0.3">
      <c r="I14" s="174"/>
      <c r="J14" s="174"/>
      <c r="K14" s="174"/>
      <c r="L14" s="174" t="s">
        <v>1233</v>
      </c>
      <c r="M14" s="607">
        <f>1-M13</f>
        <v>5.0000000000000044E-2</v>
      </c>
      <c r="N14" s="607">
        <f t="shared" ref="N14:AA14" si="4">1-N13</f>
        <v>5.0000000000000044E-2</v>
      </c>
      <c r="O14" s="607">
        <f t="shared" si="4"/>
        <v>5.0000000000000044E-2</v>
      </c>
      <c r="P14" s="607">
        <f t="shared" si="4"/>
        <v>5.0000000000000044E-2</v>
      </c>
      <c r="Q14" s="607">
        <f t="shared" si="4"/>
        <v>5.0000000000000044E-2</v>
      </c>
      <c r="R14" s="607">
        <f t="shared" si="4"/>
        <v>5.0000000000000044E-2</v>
      </c>
      <c r="S14" s="607">
        <f t="shared" si="4"/>
        <v>5.0000000000000044E-2</v>
      </c>
      <c r="T14" s="607">
        <f t="shared" si="4"/>
        <v>5.0000000000000044E-2</v>
      </c>
      <c r="U14" s="607">
        <f t="shared" si="4"/>
        <v>5.0000000000000044E-2</v>
      </c>
      <c r="V14" s="607">
        <f t="shared" si="4"/>
        <v>5.0000000000000044E-2</v>
      </c>
      <c r="W14" s="607">
        <f t="shared" si="4"/>
        <v>5.0000000000000044E-2</v>
      </c>
      <c r="X14" s="607">
        <f t="shared" si="4"/>
        <v>5.0000000000000044E-2</v>
      </c>
      <c r="Y14" s="607">
        <f t="shared" si="4"/>
        <v>5.0000000000000044E-2</v>
      </c>
      <c r="Z14" s="607">
        <f t="shared" si="4"/>
        <v>5.0000000000000044E-2</v>
      </c>
      <c r="AA14" s="607">
        <f t="shared" si="4"/>
        <v>5.0000000000000044E-2</v>
      </c>
    </row>
    <row r="15" spans="1:49" s="33" customFormat="1" x14ac:dyDescent="0.3">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3">
      <c r="B16" s="32" t="s">
        <v>1234</v>
      </c>
      <c r="C16" s="26"/>
      <c r="D16" s="26"/>
      <c r="E16" s="606"/>
      <c r="F16" s="606"/>
      <c r="H16" s="36"/>
      <c r="AE16" s="49"/>
    </row>
    <row r="17" spans="1:62" s="35" customFormat="1" ht="16.5" customHeight="1" x14ac:dyDescent="0.3">
      <c r="F17" s="606"/>
      <c r="H17" s="36"/>
      <c r="AE17" s="49"/>
    </row>
    <row r="18" spans="1:62" s="22" customFormat="1" x14ac:dyDescent="0.3">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x14ac:dyDescent="0.3">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3">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3">
      <c r="B21" s="186" t="str">
        <f>C21</f>
        <v>TOV100</v>
      </c>
      <c r="C21" s="186" t="s">
        <v>389</v>
      </c>
      <c r="D21" s="608" t="s">
        <v>883</v>
      </c>
      <c r="E21" s="258" t="s">
        <v>185</v>
      </c>
      <c r="F21" s="213"/>
      <c r="G21" s="170"/>
      <c r="H21" s="190"/>
      <c r="I21" s="191"/>
      <c r="J21" s="191"/>
      <c r="K21" s="192" t="s">
        <v>1136</v>
      </c>
      <c r="L21" s="191" t="s">
        <v>447</v>
      </c>
      <c r="M21" s="651">
        <v>0.85</v>
      </c>
      <c r="N21" s="651">
        <v>0.85</v>
      </c>
      <c r="O21" s="651">
        <v>0.85</v>
      </c>
      <c r="P21" s="651">
        <v>0.85</v>
      </c>
      <c r="Q21" s="651">
        <v>0.85</v>
      </c>
      <c r="R21" s="651">
        <v>0.85</v>
      </c>
      <c r="S21" s="651">
        <v>0.85</v>
      </c>
      <c r="T21" s="651">
        <v>0.85</v>
      </c>
      <c r="U21" s="651">
        <v>0.85</v>
      </c>
      <c r="V21" s="651">
        <v>0.85</v>
      </c>
      <c r="W21" s="651">
        <v>0.85</v>
      </c>
      <c r="X21" s="651">
        <v>0.85</v>
      </c>
      <c r="Y21" s="651">
        <v>0.85</v>
      </c>
      <c r="Z21" s="651">
        <v>0.85</v>
      </c>
      <c r="AA21" s="651">
        <v>0.85</v>
      </c>
      <c r="AU21" s="173"/>
      <c r="AV21" s="150"/>
      <c r="AW21" s="150"/>
      <c r="AX21" s="150"/>
      <c r="AY21" s="150"/>
      <c r="AZ21" s="150"/>
      <c r="BA21" s="150"/>
      <c r="BB21" s="150"/>
      <c r="BC21" s="150"/>
      <c r="BD21" s="150"/>
      <c r="BE21" s="150"/>
      <c r="BF21" s="150"/>
      <c r="BG21" s="150"/>
      <c r="BH21" s="150"/>
      <c r="BI21" s="150"/>
      <c r="BJ21" s="150"/>
    </row>
    <row r="22" spans="1:62" s="35" customFormat="1" x14ac:dyDescent="0.3">
      <c r="B22" s="186" t="str">
        <f>B21</f>
        <v>TOV100</v>
      </c>
      <c r="C22" s="186"/>
      <c r="D22" s="608"/>
      <c r="E22" s="258" t="s">
        <v>987</v>
      </c>
      <c r="F22" s="213"/>
      <c r="G22" s="170"/>
      <c r="H22" s="190"/>
      <c r="I22" s="191"/>
      <c r="J22" s="191"/>
      <c r="K22" s="192" t="s">
        <v>1136</v>
      </c>
      <c r="L22" s="191" t="s">
        <v>447</v>
      </c>
      <c r="M22" s="651">
        <v>0.1</v>
      </c>
      <c r="N22" s="651">
        <v>0.1</v>
      </c>
      <c r="O22" s="651">
        <v>0.1</v>
      </c>
      <c r="P22" s="651">
        <v>0.1</v>
      </c>
      <c r="Q22" s="651">
        <v>0.1</v>
      </c>
      <c r="R22" s="651">
        <v>0.1</v>
      </c>
      <c r="S22" s="651">
        <v>0.1</v>
      </c>
      <c r="T22" s="651">
        <v>0.1</v>
      </c>
      <c r="U22" s="651">
        <v>0.1</v>
      </c>
      <c r="V22" s="651">
        <v>0.1</v>
      </c>
      <c r="W22" s="651">
        <v>0.1</v>
      </c>
      <c r="X22" s="651">
        <v>0.1</v>
      </c>
      <c r="Y22" s="651">
        <v>0.1</v>
      </c>
      <c r="Z22" s="651">
        <v>0.1</v>
      </c>
      <c r="AA22" s="651">
        <v>0.1</v>
      </c>
      <c r="AU22" s="173"/>
      <c r="AV22" s="150"/>
      <c r="AW22" s="150"/>
      <c r="AX22" s="150"/>
      <c r="AY22" s="150"/>
      <c r="AZ22" s="150"/>
      <c r="BA22" s="150"/>
      <c r="BB22" s="150"/>
      <c r="BC22" s="150"/>
      <c r="BD22" s="150"/>
      <c r="BE22" s="150"/>
      <c r="BF22" s="150"/>
      <c r="BG22" s="150"/>
      <c r="BH22" s="150"/>
      <c r="BI22" s="150"/>
      <c r="BJ22" s="150"/>
    </row>
    <row r="23" spans="1:62" s="35" customFormat="1" x14ac:dyDescent="0.3">
      <c r="B23" s="186" t="str">
        <f t="shared" ref="B23:B24" si="7">B22</f>
        <v>TOV100</v>
      </c>
      <c r="C23" s="186"/>
      <c r="D23" s="483"/>
      <c r="E23" s="258" t="s">
        <v>1013</v>
      </c>
      <c r="F23" s="213"/>
      <c r="G23" s="170"/>
      <c r="H23" s="190"/>
      <c r="I23" s="191"/>
      <c r="J23" s="191"/>
      <c r="K23" s="192" t="s">
        <v>1136</v>
      </c>
      <c r="L23" s="191" t="s">
        <v>447</v>
      </c>
      <c r="M23" s="651">
        <f>M14</f>
        <v>5.0000000000000044E-2</v>
      </c>
      <c r="N23" s="651">
        <f t="shared" ref="N23:AA23" si="8">N14</f>
        <v>5.0000000000000044E-2</v>
      </c>
      <c r="O23" s="651">
        <f t="shared" si="8"/>
        <v>5.0000000000000044E-2</v>
      </c>
      <c r="P23" s="651">
        <f t="shared" si="8"/>
        <v>5.0000000000000044E-2</v>
      </c>
      <c r="Q23" s="651">
        <f t="shared" si="8"/>
        <v>5.0000000000000044E-2</v>
      </c>
      <c r="R23" s="651">
        <f t="shared" si="8"/>
        <v>5.0000000000000044E-2</v>
      </c>
      <c r="S23" s="651">
        <f t="shared" si="8"/>
        <v>5.0000000000000044E-2</v>
      </c>
      <c r="T23" s="651">
        <f t="shared" si="8"/>
        <v>5.0000000000000044E-2</v>
      </c>
      <c r="U23" s="651">
        <f t="shared" si="8"/>
        <v>5.0000000000000044E-2</v>
      </c>
      <c r="V23" s="651">
        <f t="shared" si="8"/>
        <v>5.0000000000000044E-2</v>
      </c>
      <c r="W23" s="651">
        <f t="shared" si="8"/>
        <v>5.0000000000000044E-2</v>
      </c>
      <c r="X23" s="651">
        <f t="shared" si="8"/>
        <v>5.0000000000000044E-2</v>
      </c>
      <c r="Y23" s="651">
        <f t="shared" si="8"/>
        <v>5.0000000000000044E-2</v>
      </c>
      <c r="Z23" s="651">
        <f t="shared" si="8"/>
        <v>5.0000000000000044E-2</v>
      </c>
      <c r="AA23" s="651">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3">
      <c r="B24" s="193" t="str">
        <f t="shared" si="7"/>
        <v>TOV100</v>
      </c>
      <c r="C24" s="193"/>
      <c r="D24" s="193"/>
      <c r="E24" s="649"/>
      <c r="F24" s="650" t="s">
        <v>656</v>
      </c>
      <c r="G24" s="196"/>
      <c r="H24" s="197"/>
      <c r="I24" s="198"/>
      <c r="J24" s="198"/>
      <c r="K24" s="193" t="s">
        <v>1137</v>
      </c>
      <c r="L24" s="198"/>
      <c r="M24" s="652">
        <v>1</v>
      </c>
      <c r="N24" s="652">
        <f t="shared" ref="N24:AA24" si="9">$M24</f>
        <v>1</v>
      </c>
      <c r="O24" s="652">
        <f t="shared" si="9"/>
        <v>1</v>
      </c>
      <c r="P24" s="652">
        <f t="shared" si="9"/>
        <v>1</v>
      </c>
      <c r="Q24" s="652">
        <f t="shared" si="9"/>
        <v>1</v>
      </c>
      <c r="R24" s="652">
        <f t="shared" si="9"/>
        <v>1</v>
      </c>
      <c r="S24" s="652">
        <f t="shared" si="9"/>
        <v>1</v>
      </c>
      <c r="T24" s="652">
        <f t="shared" si="9"/>
        <v>1</v>
      </c>
      <c r="U24" s="652">
        <f t="shared" si="9"/>
        <v>1</v>
      </c>
      <c r="V24" s="652">
        <f t="shared" si="9"/>
        <v>1</v>
      </c>
      <c r="W24" s="652">
        <f t="shared" si="9"/>
        <v>1</v>
      </c>
      <c r="X24" s="652">
        <f t="shared" si="9"/>
        <v>1</v>
      </c>
      <c r="Y24" s="652">
        <f t="shared" si="9"/>
        <v>1</v>
      </c>
      <c r="Z24" s="652">
        <f t="shared" si="9"/>
        <v>1</v>
      </c>
      <c r="AA24" s="652">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3">
      <c r="B25" s="22"/>
      <c r="C25" s="22"/>
      <c r="D25" s="60"/>
      <c r="E25" s="22"/>
      <c r="F25" s="61"/>
      <c r="H25" s="62"/>
      <c r="I25" s="63"/>
      <c r="J25" s="63"/>
      <c r="K25" s="64"/>
      <c r="L25" s="63"/>
      <c r="M25" s="641"/>
      <c r="N25" s="641"/>
      <c r="O25" s="641"/>
      <c r="P25" s="641"/>
      <c r="Q25" s="641"/>
      <c r="R25" s="641"/>
      <c r="S25" s="641"/>
      <c r="T25" s="641"/>
      <c r="U25" s="641"/>
      <c r="V25" s="641"/>
      <c r="W25" s="641"/>
      <c r="X25" s="641"/>
      <c r="Y25" s="641"/>
      <c r="Z25" s="641"/>
      <c r="AA25" s="641"/>
      <c r="AU25" s="46"/>
      <c r="AV25" s="77"/>
      <c r="AW25" s="77"/>
      <c r="AX25" s="77"/>
      <c r="AY25" s="77"/>
      <c r="AZ25" s="77"/>
      <c r="BA25" s="77"/>
      <c r="BB25" s="77"/>
      <c r="BC25" s="77"/>
      <c r="BD25" s="77"/>
      <c r="BE25" s="77"/>
      <c r="BF25" s="77"/>
      <c r="BG25" s="77"/>
      <c r="BH25" s="77"/>
      <c r="BI25" s="77"/>
      <c r="BJ25" s="77"/>
    </row>
    <row r="26" spans="1:62" s="35" customFormat="1" x14ac:dyDescent="0.3">
      <c r="B26" s="22"/>
      <c r="C26" s="22"/>
      <c r="D26" s="60"/>
      <c r="E26" s="22"/>
      <c r="F26" s="61"/>
      <c r="H26" s="62"/>
      <c r="I26" s="63"/>
      <c r="J26" s="63"/>
      <c r="K26" s="64"/>
      <c r="L26" s="63"/>
      <c r="M26" s="641"/>
      <c r="N26" s="641"/>
      <c r="O26" s="641"/>
      <c r="P26" s="641"/>
      <c r="Q26" s="641"/>
      <c r="R26" s="641"/>
      <c r="S26" s="641"/>
      <c r="T26" s="641"/>
      <c r="U26" s="641"/>
      <c r="V26" s="641"/>
      <c r="W26" s="641"/>
      <c r="X26" s="641"/>
      <c r="Y26" s="641"/>
      <c r="Z26" s="641"/>
      <c r="AA26" s="641"/>
      <c r="AU26" s="46"/>
      <c r="AV26" s="77"/>
      <c r="AW26" s="77"/>
      <c r="AX26" s="77"/>
      <c r="AY26" s="77"/>
      <c r="AZ26" s="77"/>
      <c r="BA26" s="77"/>
      <c r="BB26" s="77"/>
      <c r="BC26" s="77"/>
      <c r="BD26" s="77"/>
      <c r="BE26" s="77"/>
      <c r="BF26" s="77"/>
      <c r="BG26" s="77"/>
      <c r="BH26" s="77"/>
      <c r="BI26" s="77"/>
      <c r="BJ26" s="77"/>
    </row>
    <row r="27" spans="1:62" s="35" customFormat="1" ht="16.5" customHeight="1" x14ac:dyDescent="0.3">
      <c r="B27" s="32" t="s">
        <v>1234</v>
      </c>
      <c r="C27" s="26"/>
      <c r="D27" s="26"/>
      <c r="E27" s="606"/>
      <c r="F27" s="606"/>
      <c r="H27" s="36"/>
      <c r="AE27" s="49"/>
    </row>
    <row r="28" spans="1:62" s="35" customFormat="1" ht="16.5" customHeight="1" x14ac:dyDescent="0.3">
      <c r="E28" s="606"/>
      <c r="F28" s="606"/>
      <c r="H28" s="36"/>
      <c r="AE28" s="49"/>
    </row>
    <row r="29" spans="1:62" s="22" customFormat="1" x14ac:dyDescent="0.3">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x14ac:dyDescent="0.3">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3">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3">
      <c r="B32" s="186" t="str">
        <f>C32</f>
        <v>TOV900</v>
      </c>
      <c r="C32" s="186" t="s">
        <v>884</v>
      </c>
      <c r="D32" s="608" t="s">
        <v>1235</v>
      </c>
      <c r="E32" s="258" t="s">
        <v>185</v>
      </c>
      <c r="F32" s="213"/>
      <c r="G32" s="170"/>
      <c r="H32" s="190"/>
      <c r="I32" s="191"/>
      <c r="J32" s="191"/>
      <c r="K32" s="192" t="s">
        <v>1136</v>
      </c>
      <c r="L32" s="191" t="s">
        <v>447</v>
      </c>
      <c r="M32" s="651">
        <v>0.85</v>
      </c>
      <c r="N32" s="651">
        <v>0.85</v>
      </c>
      <c r="O32" s="651">
        <v>0.85</v>
      </c>
      <c r="P32" s="651">
        <v>0.85</v>
      </c>
      <c r="Q32" s="651">
        <v>0.85</v>
      </c>
      <c r="R32" s="651">
        <v>0.85</v>
      </c>
      <c r="S32" s="651">
        <v>0.85</v>
      </c>
      <c r="T32" s="651">
        <v>0.85</v>
      </c>
      <c r="U32" s="651">
        <v>0.85</v>
      </c>
      <c r="V32" s="651">
        <v>0.85</v>
      </c>
      <c r="W32" s="651">
        <v>0.85</v>
      </c>
      <c r="X32" s="651">
        <v>0.85</v>
      </c>
      <c r="Y32" s="651">
        <v>0.85</v>
      </c>
      <c r="Z32" s="651">
        <v>0.85</v>
      </c>
      <c r="AA32" s="651">
        <v>0.85</v>
      </c>
      <c r="AU32" s="173"/>
      <c r="AV32" s="150"/>
      <c r="AW32" s="150"/>
      <c r="AX32" s="150"/>
      <c r="AY32" s="150"/>
      <c r="AZ32" s="150"/>
      <c r="BA32" s="150"/>
      <c r="BB32" s="150"/>
      <c r="BC32" s="150"/>
      <c r="BD32" s="150"/>
      <c r="BE32" s="150"/>
      <c r="BF32" s="150"/>
      <c r="BG32" s="150"/>
      <c r="BH32" s="150"/>
      <c r="BI32" s="150"/>
      <c r="BJ32" s="150"/>
    </row>
    <row r="33" spans="2:62" s="35" customFormat="1" x14ac:dyDescent="0.3">
      <c r="B33" s="186" t="str">
        <f>B32</f>
        <v>TOV900</v>
      </c>
      <c r="C33" s="186"/>
      <c r="D33" s="608"/>
      <c r="E33" s="258" t="s">
        <v>987</v>
      </c>
      <c r="F33" s="213"/>
      <c r="G33" s="170"/>
      <c r="H33" s="190"/>
      <c r="I33" s="191"/>
      <c r="J33" s="191"/>
      <c r="K33" s="192" t="s">
        <v>1136</v>
      </c>
      <c r="L33" s="191" t="s">
        <v>447</v>
      </c>
      <c r="M33" s="651">
        <v>0.1</v>
      </c>
      <c r="N33" s="651">
        <v>0.1</v>
      </c>
      <c r="O33" s="651">
        <v>0.1</v>
      </c>
      <c r="P33" s="651">
        <v>0.1</v>
      </c>
      <c r="Q33" s="651">
        <v>0.1</v>
      </c>
      <c r="R33" s="651">
        <v>0.1</v>
      </c>
      <c r="S33" s="651">
        <v>0.1</v>
      </c>
      <c r="T33" s="651">
        <v>0.1</v>
      </c>
      <c r="U33" s="651">
        <v>0.1</v>
      </c>
      <c r="V33" s="651">
        <v>0.1</v>
      </c>
      <c r="W33" s="651">
        <v>0.1</v>
      </c>
      <c r="X33" s="651">
        <v>0.1</v>
      </c>
      <c r="Y33" s="651">
        <v>0.1</v>
      </c>
      <c r="Z33" s="651">
        <v>0.1</v>
      </c>
      <c r="AA33" s="651">
        <v>0.1</v>
      </c>
      <c r="AU33" s="173"/>
      <c r="AV33" s="150"/>
      <c r="AW33" s="150"/>
      <c r="AX33" s="150"/>
      <c r="AY33" s="150"/>
      <c r="AZ33" s="150"/>
      <c r="BA33" s="150"/>
      <c r="BB33" s="150"/>
      <c r="BC33" s="150"/>
      <c r="BD33" s="150"/>
      <c r="BE33" s="150"/>
      <c r="BF33" s="150"/>
      <c r="BG33" s="150"/>
      <c r="BH33" s="150"/>
      <c r="BI33" s="150"/>
      <c r="BJ33" s="150"/>
    </row>
    <row r="34" spans="2:62" s="35" customFormat="1" x14ac:dyDescent="0.3">
      <c r="B34" s="186" t="str">
        <f t="shared" ref="B34:B35" si="12">B33</f>
        <v>TOV900</v>
      </c>
      <c r="C34" s="186"/>
      <c r="D34" s="483"/>
      <c r="E34" s="258" t="s">
        <v>1013</v>
      </c>
      <c r="F34" s="213"/>
      <c r="G34" s="170"/>
      <c r="H34" s="190"/>
      <c r="I34" s="191"/>
      <c r="J34" s="191"/>
      <c r="K34" s="192" t="s">
        <v>1136</v>
      </c>
      <c r="L34" s="191" t="s">
        <v>447</v>
      </c>
      <c r="M34" s="651">
        <v>0.05</v>
      </c>
      <c r="N34" s="651">
        <v>0.05</v>
      </c>
      <c r="O34" s="651">
        <v>0.05</v>
      </c>
      <c r="P34" s="651">
        <v>0.05</v>
      </c>
      <c r="Q34" s="651">
        <v>0.05</v>
      </c>
      <c r="R34" s="651">
        <v>0.05</v>
      </c>
      <c r="S34" s="651">
        <v>0.05</v>
      </c>
      <c r="T34" s="651">
        <v>0.05</v>
      </c>
      <c r="U34" s="651">
        <v>0.05</v>
      </c>
      <c r="V34" s="651">
        <v>0.05</v>
      </c>
      <c r="W34" s="651">
        <v>0.05</v>
      </c>
      <c r="X34" s="651">
        <v>0.05</v>
      </c>
      <c r="Y34" s="651">
        <v>0.05</v>
      </c>
      <c r="Z34" s="651">
        <v>0.05</v>
      </c>
      <c r="AA34" s="651">
        <v>0.05</v>
      </c>
      <c r="AU34" s="173"/>
      <c r="AV34" s="150"/>
      <c r="AW34" s="150"/>
      <c r="AX34" s="150"/>
      <c r="AY34" s="150"/>
      <c r="AZ34" s="150"/>
      <c r="BA34" s="150"/>
      <c r="BB34" s="150"/>
      <c r="BC34" s="150"/>
      <c r="BD34" s="150"/>
      <c r="BE34" s="150"/>
      <c r="BF34" s="150"/>
      <c r="BG34" s="150"/>
      <c r="BH34" s="150"/>
      <c r="BI34" s="150"/>
      <c r="BJ34" s="150"/>
    </row>
    <row r="35" spans="2:62" s="35" customFormat="1" x14ac:dyDescent="0.3">
      <c r="B35" s="193" t="str">
        <f t="shared" si="12"/>
        <v>TOV900</v>
      </c>
      <c r="C35" s="193"/>
      <c r="D35" s="193"/>
      <c r="E35" s="649"/>
      <c r="F35" s="650" t="s">
        <v>658</v>
      </c>
      <c r="G35" s="196"/>
      <c r="H35" s="197"/>
      <c r="I35" s="198"/>
      <c r="J35" s="198"/>
      <c r="K35" s="193" t="s">
        <v>1137</v>
      </c>
      <c r="L35" s="198"/>
      <c r="M35" s="652">
        <v>1</v>
      </c>
      <c r="N35" s="652">
        <f t="shared" ref="N35:AA35" si="13">$M35</f>
        <v>1</v>
      </c>
      <c r="O35" s="652">
        <f t="shared" si="13"/>
        <v>1</v>
      </c>
      <c r="P35" s="652">
        <f t="shared" si="13"/>
        <v>1</v>
      </c>
      <c r="Q35" s="652">
        <f t="shared" si="13"/>
        <v>1</v>
      </c>
      <c r="R35" s="652">
        <f t="shared" si="13"/>
        <v>1</v>
      </c>
      <c r="S35" s="652">
        <f t="shared" si="13"/>
        <v>1</v>
      </c>
      <c r="T35" s="652">
        <f t="shared" si="13"/>
        <v>1</v>
      </c>
      <c r="U35" s="652">
        <f t="shared" si="13"/>
        <v>1</v>
      </c>
      <c r="V35" s="652">
        <f t="shared" si="13"/>
        <v>1</v>
      </c>
      <c r="W35" s="652">
        <f t="shared" si="13"/>
        <v>1</v>
      </c>
      <c r="X35" s="652">
        <f t="shared" si="13"/>
        <v>1</v>
      </c>
      <c r="Y35" s="652">
        <f t="shared" si="13"/>
        <v>1</v>
      </c>
      <c r="Z35" s="652">
        <f t="shared" si="13"/>
        <v>1</v>
      </c>
      <c r="AA35" s="652">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Pkm_Age_Gender</vt:lpstr>
      <vt:lpstr>T_Stock_Private</vt:lpstr>
      <vt:lpstr>STAT_TRA_Mileage</vt:lpstr>
      <vt:lpstr>STAT_TRA_Survey_Tkm</vt:lpstr>
      <vt:lpstr>STAT_TRA_Survey_Pkm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2022-12-09T13:33:43Z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