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/>
  <xr:revisionPtr revIDLastSave="0" documentId="13_ncr:1_{97F56675-6715-48BD-9229-FA57DDD7E6C9}" xr6:coauthVersionLast="47" xr6:coauthVersionMax="47" xr10:uidLastSave="{00000000-0000-0000-0000-000000000000}"/>
  <bookViews>
    <workbookView xWindow="-108" yWindow="-108" windowWidth="23256" windowHeight="12576" tabRatio="654" xr2:uid="{00000000-000D-0000-FFFF-FFFF00000000}"/>
  </bookViews>
  <sheets>
    <sheet name="TRA_Cars" sheetId="1" r:id="rId1"/>
    <sheet name="TRA_Other" sheetId="7" r:id="rId2"/>
    <sheet name="TRA_Buses" sheetId="4" r:id="rId3"/>
    <sheet name="TRA_TF" sheetId="5" r:id="rId4"/>
    <sheet name="TRA_TT" sheetId="6" r:id="rId5"/>
    <sheet name="TRA_TAV" sheetId="8" r:id="rId6"/>
    <sheet name="TRA_TNA" sheetId="9" r:id="rId7"/>
    <sheet name="TRA_COMM_PRO" sheetId="12" r:id="rId8"/>
    <sheet name="CEFF" sheetId="11" r:id="rId9"/>
    <sheet name="INVCOST" sheetId="13" r:id="rId10"/>
    <sheet name="FIXOM_VAROM" sheetId="14" r:id="rId11"/>
    <sheet name="Shares" sheetId="15" r:id="rId12"/>
    <sheet name="Comments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6" i="5" l="1"/>
  <c r="G93" i="5"/>
  <c r="G90" i="5"/>
  <c r="G87" i="5"/>
  <c r="G84" i="5"/>
  <c r="G81" i="5"/>
  <c r="G78" i="5"/>
  <c r="G75" i="5"/>
  <c r="G71" i="5"/>
  <c r="G67" i="5"/>
  <c r="G64" i="5"/>
  <c r="G61" i="5"/>
  <c r="G58" i="5"/>
  <c r="G55" i="5"/>
  <c r="G125" i="5"/>
  <c r="G190" i="5"/>
  <c r="G187" i="5"/>
  <c r="G184" i="5"/>
  <c r="G181" i="5"/>
  <c r="G178" i="5"/>
  <c r="G175" i="5"/>
  <c r="G172" i="5"/>
  <c r="G169" i="5"/>
  <c r="G166" i="5"/>
  <c r="G163" i="5"/>
  <c r="G160" i="5"/>
  <c r="G157" i="5"/>
  <c r="G154" i="5"/>
  <c r="G151" i="5"/>
  <c r="G278" i="5"/>
  <c r="G275" i="5"/>
  <c r="G272" i="5"/>
  <c r="G269" i="5"/>
  <c r="G266" i="5"/>
  <c r="G263" i="5"/>
  <c r="G260" i="5"/>
  <c r="G257" i="5"/>
  <c r="G254" i="5"/>
  <c r="G251" i="5"/>
  <c r="G248" i="5"/>
  <c r="G67" i="1"/>
  <c r="G104" i="5"/>
  <c r="G29" i="5"/>
  <c r="G216" i="5"/>
  <c r="G245" i="5"/>
  <c r="G242" i="5"/>
  <c r="G27" i="4"/>
  <c r="G72" i="4"/>
  <c r="G23" i="1"/>
  <c r="Q53" i="13" l="1"/>
  <c r="AK53" i="13"/>
  <c r="AK54" i="13" s="1"/>
  <c r="V53" i="13"/>
  <c r="AA50" i="13"/>
  <c r="AK49" i="13"/>
  <c r="AK50" i="13" s="1"/>
  <c r="AJ49" i="13"/>
  <c r="AJ50" i="13" s="1"/>
  <c r="AI49" i="13"/>
  <c r="AI50" i="13" s="1"/>
  <c r="AH49" i="13"/>
  <c r="AH50" i="13" s="1"/>
  <c r="AG49" i="13"/>
  <c r="AF49" i="13"/>
  <c r="AF53" i="13" s="1"/>
  <c r="AF54" i="13" s="1"/>
  <c r="AE49" i="13"/>
  <c r="AE50" i="13" s="1"/>
  <c r="AD49" i="13"/>
  <c r="AC49" i="13"/>
  <c r="AB49" i="13"/>
  <c r="AB50" i="13" s="1"/>
  <c r="AA49" i="13"/>
  <c r="AA53" i="13" s="1"/>
  <c r="AA54" i="13" s="1"/>
  <c r="S50" i="13"/>
  <c r="T50" i="13"/>
  <c r="U50" i="13"/>
  <c r="V50" i="13"/>
  <c r="W50" i="13"/>
  <c r="X50" i="13"/>
  <c r="Y50" i="13"/>
  <c r="Z50" i="13"/>
  <c r="R50" i="13"/>
  <c r="AG50" i="13" l="1"/>
  <c r="AC50" i="13"/>
  <c r="AD50" i="13"/>
  <c r="V54" i="13"/>
  <c r="Q42" i="13" s="1"/>
  <c r="AF50" i="13"/>
  <c r="Q43" i="13" l="1"/>
  <c r="R42" i="13"/>
  <c r="R43" i="13" s="1"/>
  <c r="T42" i="13"/>
  <c r="S42" i="13"/>
  <c r="S43" i="13" s="1"/>
  <c r="U42" i="13"/>
  <c r="T43" i="13"/>
  <c r="V42" i="13" l="1"/>
  <c r="U43" i="13"/>
  <c r="J9" i="1"/>
  <c r="W42" i="13" l="1"/>
  <c r="V43" i="13"/>
  <c r="N53" i="5"/>
  <c r="N102" i="5" s="1"/>
  <c r="N149" i="5" s="1"/>
  <c r="N196" i="5" s="1"/>
  <c r="N240" i="5" s="1"/>
  <c r="M53" i="5"/>
  <c r="M102" i="5" s="1"/>
  <c r="M149" i="5" s="1"/>
  <c r="M196" i="5" s="1"/>
  <c r="M240" i="5" s="1"/>
  <c r="L53" i="5"/>
  <c r="L102" i="5" s="1"/>
  <c r="L149" i="5" s="1"/>
  <c r="L196" i="5" s="1"/>
  <c r="L240" i="5" s="1"/>
  <c r="K53" i="5"/>
  <c r="K102" i="5" s="1"/>
  <c r="K149" i="5" s="1"/>
  <c r="K196" i="5" s="1"/>
  <c r="K240" i="5" s="1"/>
  <c r="K51" i="4"/>
  <c r="X42" i="13" l="1"/>
  <c r="X43" i="13" s="1"/>
  <c r="W43" i="13"/>
  <c r="K48" i="1"/>
  <c r="K91" i="1" s="1"/>
  <c r="L48" i="1"/>
  <c r="L91" i="1" s="1"/>
  <c r="M48" i="1"/>
  <c r="M91" i="1" s="1"/>
  <c r="N48" i="1"/>
  <c r="N91" i="1" s="1"/>
  <c r="K66" i="13" l="1"/>
  <c r="J66" i="13"/>
  <c r="I66" i="13"/>
  <c r="H66" i="13"/>
  <c r="G66" i="13"/>
  <c r="F66" i="13"/>
  <c r="E66" i="13"/>
  <c r="D66" i="13"/>
  <c r="K65" i="13"/>
  <c r="J65" i="13"/>
  <c r="I65" i="13"/>
  <c r="H65" i="13"/>
  <c r="G65" i="13"/>
  <c r="F65" i="13"/>
  <c r="E65" i="13"/>
  <c r="D65" i="13"/>
  <c r="K64" i="13"/>
  <c r="J64" i="13"/>
  <c r="I64" i="13"/>
  <c r="H64" i="13"/>
  <c r="G64" i="13"/>
  <c r="F64" i="13"/>
  <c r="E64" i="13"/>
  <c r="D64" i="13"/>
  <c r="K63" i="13"/>
  <c r="J63" i="13"/>
  <c r="I63" i="13"/>
  <c r="H63" i="13"/>
  <c r="G63" i="13"/>
  <c r="F63" i="13"/>
  <c r="E63" i="13"/>
  <c r="D63" i="13"/>
  <c r="K62" i="13"/>
  <c r="J62" i="13"/>
  <c r="I62" i="13"/>
  <c r="H62" i="13"/>
  <c r="G62" i="13"/>
  <c r="F62" i="13"/>
  <c r="E62" i="13"/>
  <c r="D62" i="13"/>
  <c r="K61" i="13"/>
  <c r="J61" i="13"/>
  <c r="I61" i="13"/>
  <c r="H61" i="13"/>
  <c r="G61" i="13"/>
  <c r="F61" i="13"/>
  <c r="E61" i="13"/>
  <c r="D61" i="13"/>
  <c r="K48" i="13"/>
  <c r="J48" i="13"/>
  <c r="I48" i="13"/>
  <c r="H48" i="13"/>
  <c r="G48" i="13"/>
  <c r="F48" i="13"/>
  <c r="E48" i="13"/>
  <c r="D48" i="13"/>
  <c r="K47" i="13"/>
  <c r="J47" i="13"/>
  <c r="I47" i="13"/>
  <c r="H47" i="13"/>
  <c r="G47" i="13"/>
  <c r="F47" i="13"/>
  <c r="E47" i="13"/>
  <c r="D47" i="13"/>
  <c r="K46" i="13"/>
  <c r="J46" i="13"/>
  <c r="I46" i="13"/>
  <c r="H46" i="13"/>
  <c r="G46" i="13"/>
  <c r="F46" i="13"/>
  <c r="E46" i="13"/>
  <c r="D46" i="13"/>
  <c r="K45" i="13"/>
  <c r="J45" i="13"/>
  <c r="I45" i="13"/>
  <c r="H45" i="13"/>
  <c r="G45" i="13"/>
  <c r="F45" i="13"/>
  <c r="E45" i="13"/>
  <c r="D45" i="13"/>
  <c r="K44" i="13"/>
  <c r="J44" i="13"/>
  <c r="I44" i="13"/>
  <c r="H44" i="13"/>
  <c r="G44" i="13"/>
  <c r="F44" i="13"/>
  <c r="E44" i="13"/>
  <c r="D44" i="13"/>
  <c r="K43" i="13"/>
  <c r="J43" i="13"/>
  <c r="I43" i="13"/>
  <c r="H43" i="13"/>
  <c r="G43" i="13"/>
  <c r="F43" i="13"/>
  <c r="E43" i="13"/>
  <c r="D43" i="13"/>
  <c r="T167" i="11" l="1"/>
  <c r="S167" i="11"/>
  <c r="R167" i="11"/>
  <c r="Q167" i="11"/>
  <c r="P167" i="11"/>
  <c r="T14" i="11"/>
  <c r="S14" i="11"/>
  <c r="R14" i="11"/>
  <c r="Q14" i="11"/>
  <c r="P14" i="11"/>
  <c r="D169" i="13" l="1"/>
  <c r="D170" i="13" l="1"/>
  <c r="K146" i="13" l="1"/>
  <c r="K138" i="13" s="1"/>
  <c r="J146" i="13"/>
  <c r="J138" i="13" s="1"/>
  <c r="I146" i="13"/>
  <c r="I138" i="13" s="1"/>
  <c r="H146" i="13"/>
  <c r="H138" i="13" s="1"/>
  <c r="G146" i="13"/>
  <c r="G138" i="13" s="1"/>
  <c r="F146" i="13"/>
  <c r="F138" i="13" s="1"/>
  <c r="E146" i="13"/>
  <c r="E138" i="13" s="1"/>
  <c r="D146" i="13"/>
  <c r="D138" i="13" s="1"/>
  <c r="K145" i="13"/>
  <c r="K137" i="13" s="1"/>
  <c r="J145" i="13"/>
  <c r="J137" i="13" s="1"/>
  <c r="I145" i="13"/>
  <c r="I137" i="13" s="1"/>
  <c r="H145" i="13"/>
  <c r="H137" i="13" s="1"/>
  <c r="G145" i="13"/>
  <c r="G137" i="13" s="1"/>
  <c r="F145" i="13"/>
  <c r="F137" i="13" s="1"/>
  <c r="E145" i="13"/>
  <c r="E137" i="13" s="1"/>
  <c r="D145" i="13"/>
  <c r="D137" i="13" s="1"/>
  <c r="X22" i="9" l="1"/>
  <c r="G22" i="9"/>
  <c r="C22" i="9"/>
  <c r="E9" i="13"/>
  <c r="F9" i="13" s="1"/>
  <c r="G9" i="13" s="1"/>
  <c r="H9" i="13" s="1"/>
  <c r="I9" i="13" s="1"/>
  <c r="J9" i="13" s="1"/>
  <c r="K9" i="13" s="1"/>
  <c r="E8" i="13"/>
  <c r="F8" i="13" s="1"/>
  <c r="G8" i="13" s="1"/>
  <c r="H8" i="13" s="1"/>
  <c r="I8" i="13" s="1"/>
  <c r="J8" i="13" s="1"/>
  <c r="K8" i="13" s="1"/>
  <c r="W15" i="8"/>
  <c r="W6" i="8"/>
  <c r="J149" i="11"/>
  <c r="I149" i="11"/>
  <c r="H149" i="11"/>
  <c r="G149" i="11"/>
  <c r="F149" i="11"/>
  <c r="J148" i="11"/>
  <c r="I148" i="11"/>
  <c r="H148" i="11"/>
  <c r="G148" i="11"/>
  <c r="F148" i="11"/>
  <c r="E149" i="11"/>
  <c r="E148" i="11"/>
  <c r="C149" i="11"/>
  <c r="C148" i="11"/>
  <c r="G19" i="9"/>
  <c r="G15" i="9"/>
  <c r="X19" i="9"/>
  <c r="C19" i="9"/>
  <c r="T171" i="11" l="1"/>
  <c r="S171" i="11"/>
  <c r="R171" i="11"/>
  <c r="Q171" i="11"/>
  <c r="P171" i="11"/>
  <c r="T170" i="11"/>
  <c r="S170" i="11"/>
  <c r="R170" i="11"/>
  <c r="Q170" i="11"/>
  <c r="P170" i="11"/>
  <c r="T24" i="11"/>
  <c r="S24" i="11"/>
  <c r="R24" i="11"/>
  <c r="Q24" i="11"/>
  <c r="P24" i="11"/>
  <c r="T23" i="11"/>
  <c r="S23" i="11"/>
  <c r="R23" i="11"/>
  <c r="Q23" i="11"/>
  <c r="P23" i="11"/>
  <c r="T18" i="11"/>
  <c r="S18" i="11"/>
  <c r="R18" i="11"/>
  <c r="Q18" i="11"/>
  <c r="P18" i="11"/>
  <c r="F11" i="11"/>
  <c r="T177" i="11"/>
  <c r="S177" i="11"/>
  <c r="R177" i="11"/>
  <c r="Q177" i="11"/>
  <c r="P177" i="11"/>
  <c r="T176" i="11"/>
  <c r="S176" i="11"/>
  <c r="R176" i="11"/>
  <c r="Q176" i="11"/>
  <c r="P176" i="11"/>
  <c r="X46" i="13" l="1"/>
  <c r="W46" i="13"/>
  <c r="V46" i="13"/>
  <c r="U46" i="13"/>
  <c r="T46" i="13"/>
  <c r="S46" i="13"/>
  <c r="R46" i="13"/>
  <c r="Q46" i="13"/>
  <c r="X41" i="13" l="1"/>
  <c r="W41" i="13"/>
  <c r="V41" i="13"/>
  <c r="U41" i="13"/>
  <c r="T41" i="13"/>
  <c r="S41" i="13"/>
  <c r="R41" i="13"/>
  <c r="Q41" i="13"/>
  <c r="H45" i="4" l="1"/>
  <c r="H42" i="4"/>
  <c r="H39" i="4"/>
  <c r="H36" i="4"/>
  <c r="H33" i="4"/>
  <c r="H30" i="4"/>
  <c r="H27" i="4"/>
  <c r="H24" i="4"/>
  <c r="H21" i="4"/>
  <c r="H18" i="4"/>
  <c r="H15" i="4"/>
  <c r="H12" i="4"/>
  <c r="H9" i="4"/>
  <c r="H90" i="4"/>
  <c r="H87" i="4"/>
  <c r="H84" i="4"/>
  <c r="H81" i="4"/>
  <c r="H78" i="4"/>
  <c r="H75" i="4"/>
  <c r="H72" i="4"/>
  <c r="H69" i="4"/>
  <c r="H65" i="4"/>
  <c r="H62" i="4"/>
  <c r="H59" i="4"/>
  <c r="H56" i="4"/>
  <c r="E171" i="13" l="1"/>
  <c r="F171" i="13" s="1"/>
  <c r="G171" i="13" s="1"/>
  <c r="H171" i="13" s="1"/>
  <c r="I171" i="13" s="1"/>
  <c r="J171" i="13" s="1"/>
  <c r="K171" i="13" s="1"/>
  <c r="Q56" i="7" l="1"/>
  <c r="P56" i="7"/>
  <c r="O56" i="7"/>
  <c r="N56" i="7"/>
  <c r="Q54" i="7"/>
  <c r="P54" i="7"/>
  <c r="O54" i="7"/>
  <c r="N54" i="7"/>
  <c r="M56" i="7"/>
  <c r="M54" i="7"/>
  <c r="Q52" i="7"/>
  <c r="P52" i="7"/>
  <c r="O52" i="7"/>
  <c r="N52" i="7"/>
  <c r="M52" i="7"/>
  <c r="Q51" i="7"/>
  <c r="P51" i="7"/>
  <c r="O51" i="7"/>
  <c r="N51" i="7"/>
  <c r="M51" i="7"/>
  <c r="Q49" i="7"/>
  <c r="P49" i="7"/>
  <c r="O49" i="7"/>
  <c r="N49" i="7"/>
  <c r="M49" i="7"/>
  <c r="Q48" i="7"/>
  <c r="P48" i="7"/>
  <c r="O48" i="7"/>
  <c r="N48" i="7"/>
  <c r="M48" i="7"/>
  <c r="Q29" i="7"/>
  <c r="P29" i="7"/>
  <c r="O29" i="7"/>
  <c r="N29" i="7"/>
  <c r="Q28" i="7"/>
  <c r="P28" i="7"/>
  <c r="O28" i="7"/>
  <c r="N28" i="7"/>
  <c r="M29" i="7"/>
  <c r="M28" i="7"/>
  <c r="Q26" i="7"/>
  <c r="P26" i="7"/>
  <c r="O26" i="7"/>
  <c r="N26" i="7"/>
  <c r="Q25" i="7"/>
  <c r="P25" i="7"/>
  <c r="O25" i="7"/>
  <c r="N25" i="7"/>
  <c r="M26" i="7"/>
  <c r="M25" i="7"/>
  <c r="F314" i="11" l="1"/>
  <c r="G314" i="11"/>
  <c r="H314" i="11"/>
  <c r="I314" i="11"/>
  <c r="J314" i="11"/>
  <c r="J313" i="11"/>
  <c r="I313" i="11"/>
  <c r="H313" i="11"/>
  <c r="G313" i="11"/>
  <c r="F313" i="11"/>
  <c r="J312" i="11"/>
  <c r="I312" i="11"/>
  <c r="H312" i="11"/>
  <c r="G312" i="11"/>
  <c r="F312" i="11"/>
  <c r="J311" i="11"/>
  <c r="I311" i="11"/>
  <c r="H311" i="11"/>
  <c r="G311" i="11"/>
  <c r="F311" i="11"/>
  <c r="J316" i="11" l="1"/>
  <c r="I316" i="11"/>
  <c r="H316" i="11"/>
  <c r="G316" i="11"/>
  <c r="F316" i="11"/>
  <c r="J315" i="11"/>
  <c r="I315" i="11"/>
  <c r="H315" i="11"/>
  <c r="G315" i="11"/>
  <c r="F315" i="11"/>
  <c r="J310" i="11"/>
  <c r="I310" i="11"/>
  <c r="H310" i="11"/>
  <c r="G310" i="11"/>
  <c r="F310" i="11"/>
  <c r="J309" i="11"/>
  <c r="I309" i="11"/>
  <c r="H309" i="11"/>
  <c r="G309" i="11"/>
  <c r="F309" i="11"/>
  <c r="J308" i="11"/>
  <c r="I308" i="11"/>
  <c r="H308" i="11"/>
  <c r="G308" i="11"/>
  <c r="F308" i="11"/>
  <c r="J307" i="11"/>
  <c r="I307" i="11"/>
  <c r="H307" i="11"/>
  <c r="G307" i="11"/>
  <c r="F307" i="11"/>
  <c r="J302" i="11"/>
  <c r="I302" i="11"/>
  <c r="H302" i="11"/>
  <c r="G302" i="11"/>
  <c r="F302" i="11"/>
  <c r="J301" i="11"/>
  <c r="I301" i="11"/>
  <c r="H301" i="11"/>
  <c r="G301" i="11"/>
  <c r="F301" i="11"/>
  <c r="J300" i="11"/>
  <c r="I300" i="11"/>
  <c r="H300" i="11"/>
  <c r="G300" i="11"/>
  <c r="F300" i="11"/>
  <c r="J299" i="11"/>
  <c r="I299" i="11"/>
  <c r="H299" i="11"/>
  <c r="G299" i="11"/>
  <c r="F299" i="11"/>
  <c r="J298" i="11"/>
  <c r="I298" i="11"/>
  <c r="H298" i="11"/>
  <c r="G298" i="11"/>
  <c r="F298" i="11"/>
  <c r="J297" i="11"/>
  <c r="I297" i="11"/>
  <c r="H297" i="11"/>
  <c r="G297" i="11"/>
  <c r="F297" i="11"/>
  <c r="J296" i="11"/>
  <c r="I296" i="11"/>
  <c r="H296" i="11"/>
  <c r="G296" i="11"/>
  <c r="F296" i="11"/>
  <c r="J295" i="11"/>
  <c r="I295" i="11"/>
  <c r="H295" i="11"/>
  <c r="G295" i="11"/>
  <c r="F295" i="11"/>
  <c r="J294" i="11"/>
  <c r="I294" i="11"/>
  <c r="H294" i="11"/>
  <c r="G294" i="11"/>
  <c r="F294" i="11"/>
  <c r="J293" i="11"/>
  <c r="I293" i="11"/>
  <c r="H293" i="11"/>
  <c r="G293" i="11"/>
  <c r="F293" i="11"/>
  <c r="J292" i="11"/>
  <c r="I292" i="11"/>
  <c r="H292" i="11"/>
  <c r="G292" i="11"/>
  <c r="F292" i="11"/>
  <c r="J291" i="11"/>
  <c r="I291" i="11"/>
  <c r="H291" i="11"/>
  <c r="G291" i="11"/>
  <c r="F291" i="11"/>
  <c r="J290" i="11"/>
  <c r="I290" i="11"/>
  <c r="H290" i="11"/>
  <c r="G290" i="11"/>
  <c r="F290" i="11"/>
  <c r="J289" i="11"/>
  <c r="I289" i="11"/>
  <c r="H289" i="11"/>
  <c r="G289" i="11"/>
  <c r="F289" i="11"/>
  <c r="J288" i="11"/>
  <c r="I288" i="11"/>
  <c r="H288" i="11"/>
  <c r="G288" i="11"/>
  <c r="F288" i="11"/>
  <c r="J287" i="11"/>
  <c r="I287" i="11"/>
  <c r="H287" i="11"/>
  <c r="G287" i="11"/>
  <c r="F287" i="11"/>
  <c r="J286" i="11"/>
  <c r="I286" i="11"/>
  <c r="H286" i="11"/>
  <c r="G286" i="11"/>
  <c r="F286" i="11"/>
  <c r="J285" i="11"/>
  <c r="I285" i="11"/>
  <c r="H285" i="11"/>
  <c r="G285" i="11"/>
  <c r="F285" i="11"/>
  <c r="J284" i="11"/>
  <c r="I284" i="11"/>
  <c r="H284" i="11"/>
  <c r="G284" i="11"/>
  <c r="F284" i="11"/>
  <c r="J283" i="11"/>
  <c r="I283" i="11"/>
  <c r="H283" i="11"/>
  <c r="G283" i="11"/>
  <c r="F283" i="11"/>
  <c r="J280" i="11"/>
  <c r="I280" i="11"/>
  <c r="H280" i="11"/>
  <c r="G280" i="11"/>
  <c r="F280" i="11"/>
  <c r="J279" i="11"/>
  <c r="I279" i="11"/>
  <c r="H279" i="11"/>
  <c r="G279" i="11"/>
  <c r="F279" i="11"/>
  <c r="J278" i="11"/>
  <c r="I278" i="11"/>
  <c r="H278" i="11"/>
  <c r="G278" i="11"/>
  <c r="F278" i="11"/>
  <c r="J277" i="11"/>
  <c r="I277" i="11"/>
  <c r="H277" i="11"/>
  <c r="G277" i="11"/>
  <c r="F277" i="11"/>
  <c r="J276" i="11"/>
  <c r="I276" i="11"/>
  <c r="H276" i="11"/>
  <c r="G276" i="11"/>
  <c r="F276" i="11"/>
  <c r="J275" i="11"/>
  <c r="I275" i="11"/>
  <c r="H275" i="11"/>
  <c r="G275" i="11"/>
  <c r="F275" i="11"/>
  <c r="J274" i="11"/>
  <c r="I274" i="11"/>
  <c r="H274" i="11"/>
  <c r="G274" i="11"/>
  <c r="F274" i="11"/>
  <c r="J273" i="11"/>
  <c r="I273" i="11"/>
  <c r="H273" i="11"/>
  <c r="G273" i="11"/>
  <c r="F273" i="11"/>
  <c r="J272" i="11"/>
  <c r="I272" i="11"/>
  <c r="H272" i="11"/>
  <c r="G272" i="11"/>
  <c r="F272" i="11"/>
  <c r="J271" i="11"/>
  <c r="I271" i="11"/>
  <c r="H271" i="11"/>
  <c r="G271" i="11"/>
  <c r="F271" i="11"/>
  <c r="J270" i="11"/>
  <c r="I270" i="11"/>
  <c r="H270" i="11"/>
  <c r="G270" i="11"/>
  <c r="F270" i="11"/>
  <c r="J269" i="11"/>
  <c r="I269" i="11"/>
  <c r="H269" i="11"/>
  <c r="G269" i="11"/>
  <c r="F269" i="11"/>
  <c r="J268" i="11"/>
  <c r="I268" i="11"/>
  <c r="H268" i="11"/>
  <c r="G268" i="11"/>
  <c r="F268" i="11"/>
  <c r="J267" i="11"/>
  <c r="I267" i="11"/>
  <c r="H267" i="11"/>
  <c r="G267" i="11"/>
  <c r="F267" i="11"/>
  <c r="J266" i="11"/>
  <c r="I266" i="11"/>
  <c r="H266" i="11"/>
  <c r="G266" i="11"/>
  <c r="F266" i="11"/>
  <c r="J265" i="11"/>
  <c r="I265" i="11"/>
  <c r="H265" i="11"/>
  <c r="G265" i="11"/>
  <c r="F265" i="11"/>
  <c r="J264" i="11"/>
  <c r="I264" i="11"/>
  <c r="H264" i="11"/>
  <c r="G264" i="11"/>
  <c r="F264" i="11"/>
  <c r="J263" i="11"/>
  <c r="I263" i="11"/>
  <c r="H263" i="11"/>
  <c r="G263" i="11"/>
  <c r="F263" i="11"/>
  <c r="J262" i="11"/>
  <c r="I262" i="11"/>
  <c r="H262" i="11"/>
  <c r="G262" i="11"/>
  <c r="F262" i="11"/>
  <c r="J261" i="11"/>
  <c r="I261" i="11"/>
  <c r="H261" i="11"/>
  <c r="G261" i="11"/>
  <c r="F261" i="11"/>
  <c r="J260" i="11"/>
  <c r="I260" i="11"/>
  <c r="H260" i="11"/>
  <c r="G260" i="11"/>
  <c r="F260" i="11"/>
  <c r="J259" i="11"/>
  <c r="I259" i="11"/>
  <c r="H259" i="11"/>
  <c r="G259" i="11"/>
  <c r="F259" i="11"/>
  <c r="J258" i="11"/>
  <c r="I258" i="11"/>
  <c r="H258" i="11"/>
  <c r="G258" i="11"/>
  <c r="F258" i="11"/>
  <c r="J257" i="11"/>
  <c r="I257" i="11"/>
  <c r="H257" i="11"/>
  <c r="G257" i="11"/>
  <c r="F257" i="11"/>
  <c r="J256" i="11"/>
  <c r="I256" i="11"/>
  <c r="H256" i="11"/>
  <c r="G256" i="11"/>
  <c r="F256" i="11"/>
  <c r="J255" i="11"/>
  <c r="I255" i="11"/>
  <c r="H255" i="11"/>
  <c r="G255" i="11"/>
  <c r="F255" i="11"/>
  <c r="J252" i="11"/>
  <c r="I252" i="11"/>
  <c r="H252" i="11"/>
  <c r="G252" i="11"/>
  <c r="F252" i="11"/>
  <c r="J251" i="11"/>
  <c r="I251" i="11"/>
  <c r="H251" i="11"/>
  <c r="G251" i="11"/>
  <c r="F251" i="11"/>
  <c r="J250" i="11"/>
  <c r="I250" i="11"/>
  <c r="H250" i="11"/>
  <c r="G250" i="11"/>
  <c r="F250" i="11"/>
  <c r="J249" i="11"/>
  <c r="I249" i="11"/>
  <c r="H249" i="11"/>
  <c r="G249" i="11"/>
  <c r="F249" i="11"/>
  <c r="J248" i="11"/>
  <c r="I248" i="11"/>
  <c r="H248" i="11"/>
  <c r="G248" i="11"/>
  <c r="F248" i="11"/>
  <c r="J247" i="11"/>
  <c r="I247" i="11"/>
  <c r="H247" i="11"/>
  <c r="G247" i="11"/>
  <c r="F247" i="11"/>
  <c r="J246" i="11"/>
  <c r="I246" i="11"/>
  <c r="H246" i="11"/>
  <c r="G246" i="11"/>
  <c r="F246" i="11"/>
  <c r="J245" i="11"/>
  <c r="I245" i="11"/>
  <c r="H245" i="11"/>
  <c r="G245" i="11"/>
  <c r="F245" i="11"/>
  <c r="J244" i="11"/>
  <c r="I244" i="11"/>
  <c r="H244" i="11"/>
  <c r="G244" i="11"/>
  <c r="F244" i="11"/>
  <c r="J243" i="11"/>
  <c r="I243" i="11"/>
  <c r="H243" i="11"/>
  <c r="G243" i="11"/>
  <c r="F243" i="11"/>
  <c r="J242" i="11"/>
  <c r="I242" i="11"/>
  <c r="H242" i="11"/>
  <c r="G242" i="11"/>
  <c r="F242" i="11"/>
  <c r="J241" i="11"/>
  <c r="I241" i="11"/>
  <c r="H241" i="11"/>
  <c r="G241" i="11"/>
  <c r="F241" i="11"/>
  <c r="J240" i="11"/>
  <c r="I240" i="11"/>
  <c r="H240" i="11"/>
  <c r="G240" i="11"/>
  <c r="F240" i="11"/>
  <c r="J239" i="11"/>
  <c r="I239" i="11"/>
  <c r="H239" i="11"/>
  <c r="G239" i="11"/>
  <c r="F239" i="11"/>
  <c r="J238" i="11"/>
  <c r="I238" i="11"/>
  <c r="H238" i="11"/>
  <c r="G238" i="11"/>
  <c r="F238" i="11"/>
  <c r="J237" i="11"/>
  <c r="I237" i="11"/>
  <c r="H237" i="11"/>
  <c r="G237" i="11"/>
  <c r="F237" i="11"/>
  <c r="J236" i="11"/>
  <c r="I236" i="11"/>
  <c r="H236" i="11"/>
  <c r="G236" i="11"/>
  <c r="F236" i="11"/>
  <c r="J235" i="11"/>
  <c r="I235" i="11"/>
  <c r="H235" i="11"/>
  <c r="G235" i="11"/>
  <c r="F235" i="11"/>
  <c r="J234" i="11"/>
  <c r="I234" i="11"/>
  <c r="H234" i="11"/>
  <c r="G234" i="11"/>
  <c r="F234" i="11"/>
  <c r="J233" i="11"/>
  <c r="I233" i="11"/>
  <c r="H233" i="11"/>
  <c r="G233" i="11"/>
  <c r="F233" i="11"/>
  <c r="J232" i="11"/>
  <c r="I232" i="11"/>
  <c r="H232" i="11"/>
  <c r="G232" i="11"/>
  <c r="F232" i="11"/>
  <c r="J231" i="11"/>
  <c r="I231" i="11"/>
  <c r="H231" i="11"/>
  <c r="G231" i="11"/>
  <c r="F231" i="11"/>
  <c r="J230" i="11"/>
  <c r="I230" i="11"/>
  <c r="H230" i="11"/>
  <c r="G230" i="11"/>
  <c r="F230" i="11"/>
  <c r="J229" i="11"/>
  <c r="I229" i="11"/>
  <c r="H229" i="11"/>
  <c r="G229" i="11"/>
  <c r="F229" i="11"/>
  <c r="J228" i="11"/>
  <c r="I228" i="11"/>
  <c r="H228" i="11"/>
  <c r="G228" i="11"/>
  <c r="F228" i="11"/>
  <c r="J227" i="11"/>
  <c r="I227" i="11"/>
  <c r="H227" i="11"/>
  <c r="G227" i="11"/>
  <c r="F227" i="11"/>
  <c r="J226" i="11"/>
  <c r="I226" i="11"/>
  <c r="H226" i="11"/>
  <c r="G226" i="11"/>
  <c r="F226" i="11"/>
  <c r="J225" i="11"/>
  <c r="I225" i="11"/>
  <c r="H225" i="11"/>
  <c r="G225" i="11"/>
  <c r="F225" i="11"/>
  <c r="J224" i="11"/>
  <c r="I224" i="11"/>
  <c r="H224" i="11"/>
  <c r="G224" i="11"/>
  <c r="F224" i="11"/>
  <c r="J223" i="11"/>
  <c r="I223" i="11"/>
  <c r="H223" i="11"/>
  <c r="G223" i="11"/>
  <c r="F223" i="11"/>
  <c r="J222" i="11"/>
  <c r="I222" i="11"/>
  <c r="H222" i="11"/>
  <c r="G222" i="11"/>
  <c r="F222" i="11"/>
  <c r="J221" i="11"/>
  <c r="I221" i="11"/>
  <c r="H221" i="11"/>
  <c r="G221" i="11"/>
  <c r="F221" i="11"/>
  <c r="J220" i="11"/>
  <c r="I220" i="11"/>
  <c r="H220" i="11"/>
  <c r="G220" i="11"/>
  <c r="F220" i="11"/>
  <c r="J219" i="11"/>
  <c r="I219" i="11"/>
  <c r="H219" i="11"/>
  <c r="G219" i="11"/>
  <c r="F219" i="11"/>
  <c r="J218" i="11"/>
  <c r="I218" i="11"/>
  <c r="H218" i="11"/>
  <c r="G218" i="11"/>
  <c r="F218" i="11"/>
  <c r="J217" i="11"/>
  <c r="I217" i="11"/>
  <c r="H217" i="11"/>
  <c r="G217" i="11"/>
  <c r="F217" i="11"/>
  <c r="J216" i="11"/>
  <c r="I216" i="11"/>
  <c r="H216" i="11"/>
  <c r="G216" i="11"/>
  <c r="F216" i="11"/>
  <c r="J215" i="11"/>
  <c r="I215" i="11"/>
  <c r="H215" i="11"/>
  <c r="G215" i="11"/>
  <c r="F215" i="11"/>
  <c r="J214" i="11"/>
  <c r="I214" i="11"/>
  <c r="H214" i="11"/>
  <c r="G214" i="11"/>
  <c r="F214" i="11"/>
  <c r="J213" i="11"/>
  <c r="I213" i="11"/>
  <c r="H213" i="11"/>
  <c r="G213" i="11"/>
  <c r="F213" i="11"/>
  <c r="J212" i="11"/>
  <c r="I212" i="11"/>
  <c r="H212" i="11"/>
  <c r="G212" i="11"/>
  <c r="F212" i="11"/>
  <c r="J211" i="11"/>
  <c r="I211" i="11"/>
  <c r="H211" i="11"/>
  <c r="G211" i="11"/>
  <c r="F211" i="11"/>
  <c r="J210" i="11"/>
  <c r="I210" i="11"/>
  <c r="H210" i="11"/>
  <c r="G210" i="11"/>
  <c r="F210" i="11"/>
  <c r="J209" i="11"/>
  <c r="I209" i="11"/>
  <c r="H209" i="11"/>
  <c r="G209" i="11"/>
  <c r="F209" i="11"/>
  <c r="J208" i="11"/>
  <c r="I208" i="11"/>
  <c r="H208" i="11"/>
  <c r="G208" i="11"/>
  <c r="F208" i="11"/>
  <c r="J207" i="11"/>
  <c r="I207" i="11"/>
  <c r="H207" i="11"/>
  <c r="G207" i="11"/>
  <c r="F207" i="11"/>
  <c r="J206" i="11"/>
  <c r="I206" i="11"/>
  <c r="H206" i="11"/>
  <c r="G206" i="11"/>
  <c r="F206" i="11"/>
  <c r="J205" i="11"/>
  <c r="I205" i="11"/>
  <c r="H205" i="11"/>
  <c r="G205" i="11"/>
  <c r="F205" i="11"/>
  <c r="J204" i="11"/>
  <c r="I204" i="11"/>
  <c r="H204" i="11"/>
  <c r="G204" i="11"/>
  <c r="F204" i="11"/>
  <c r="J203" i="11"/>
  <c r="I203" i="11"/>
  <c r="H203" i="11"/>
  <c r="G203" i="11"/>
  <c r="F203" i="11"/>
  <c r="J202" i="11"/>
  <c r="I202" i="11"/>
  <c r="H202" i="11"/>
  <c r="G202" i="11"/>
  <c r="F202" i="11"/>
  <c r="J201" i="11"/>
  <c r="I201" i="11"/>
  <c r="H201" i="11"/>
  <c r="G201" i="11"/>
  <c r="F201" i="11"/>
  <c r="J200" i="11"/>
  <c r="I200" i="11"/>
  <c r="H200" i="11"/>
  <c r="G200" i="11"/>
  <c r="F200" i="11"/>
  <c r="J199" i="11"/>
  <c r="I199" i="11"/>
  <c r="H199" i="11"/>
  <c r="G199" i="11"/>
  <c r="F199" i="11"/>
  <c r="J198" i="11"/>
  <c r="I198" i="11"/>
  <c r="H198" i="11"/>
  <c r="G198" i="11"/>
  <c r="F198" i="11"/>
  <c r="J197" i="11"/>
  <c r="I197" i="11"/>
  <c r="H197" i="11"/>
  <c r="G197" i="11"/>
  <c r="F197" i="11"/>
  <c r="J196" i="11"/>
  <c r="I196" i="11"/>
  <c r="H196" i="11"/>
  <c r="G196" i="11"/>
  <c r="F196" i="11"/>
  <c r="J195" i="11"/>
  <c r="I195" i="11"/>
  <c r="H195" i="11"/>
  <c r="G195" i="11"/>
  <c r="F195" i="11"/>
  <c r="J194" i="11"/>
  <c r="I194" i="11"/>
  <c r="H194" i="11"/>
  <c r="G194" i="11"/>
  <c r="F194" i="11"/>
  <c r="J193" i="11"/>
  <c r="I193" i="11"/>
  <c r="H193" i="11"/>
  <c r="G193" i="11"/>
  <c r="F193" i="11"/>
  <c r="J192" i="11"/>
  <c r="I192" i="11"/>
  <c r="H192" i="11"/>
  <c r="G192" i="11"/>
  <c r="F192" i="11"/>
  <c r="J191" i="11"/>
  <c r="I191" i="11"/>
  <c r="H191" i="11"/>
  <c r="G191" i="11"/>
  <c r="F191" i="11"/>
  <c r="J190" i="11"/>
  <c r="I190" i="11"/>
  <c r="H190" i="11"/>
  <c r="G190" i="11"/>
  <c r="F190" i="11"/>
  <c r="J189" i="11"/>
  <c r="I189" i="11"/>
  <c r="H189" i="11"/>
  <c r="G189" i="11"/>
  <c r="F189" i="11"/>
  <c r="J188" i="11"/>
  <c r="I188" i="11"/>
  <c r="H188" i="11"/>
  <c r="G188" i="11"/>
  <c r="F188" i="11"/>
  <c r="J187" i="11"/>
  <c r="I187" i="11"/>
  <c r="H187" i="11"/>
  <c r="G187" i="11"/>
  <c r="F187" i="11"/>
  <c r="J186" i="11"/>
  <c r="I186" i="11"/>
  <c r="H186" i="11"/>
  <c r="G186" i="11"/>
  <c r="F186" i="11"/>
  <c r="J185" i="11"/>
  <c r="I185" i="11"/>
  <c r="H185" i="11"/>
  <c r="G185" i="11"/>
  <c r="F185" i="11"/>
  <c r="J184" i="11"/>
  <c r="I184" i="11"/>
  <c r="H184" i="11"/>
  <c r="G184" i="11"/>
  <c r="F184" i="11"/>
  <c r="J183" i="11"/>
  <c r="I183" i="11"/>
  <c r="H183" i="11"/>
  <c r="G183" i="11"/>
  <c r="F183" i="11"/>
  <c r="J182" i="11"/>
  <c r="I182" i="11"/>
  <c r="H182" i="11"/>
  <c r="G182" i="11"/>
  <c r="F182" i="11"/>
  <c r="J181" i="11"/>
  <c r="I181" i="11"/>
  <c r="H181" i="11"/>
  <c r="G181" i="11"/>
  <c r="F181" i="11"/>
  <c r="J180" i="11"/>
  <c r="I180" i="11"/>
  <c r="H180" i="11"/>
  <c r="G180" i="11"/>
  <c r="F180" i="11"/>
  <c r="J179" i="11"/>
  <c r="I179" i="11"/>
  <c r="H179" i="11"/>
  <c r="G179" i="11"/>
  <c r="F179" i="11"/>
  <c r="J178" i="11"/>
  <c r="I178" i="11"/>
  <c r="H178" i="11"/>
  <c r="G178" i="11"/>
  <c r="F178" i="11"/>
  <c r="J175" i="11"/>
  <c r="I175" i="11"/>
  <c r="H175" i="11"/>
  <c r="G175" i="11"/>
  <c r="F175" i="11"/>
  <c r="J174" i="11"/>
  <c r="I174" i="11"/>
  <c r="H174" i="11"/>
  <c r="G174" i="11"/>
  <c r="F174" i="11"/>
  <c r="J173" i="11"/>
  <c r="I173" i="11"/>
  <c r="H173" i="11"/>
  <c r="G173" i="11"/>
  <c r="F173" i="11"/>
  <c r="J171" i="11"/>
  <c r="I171" i="11"/>
  <c r="H171" i="11"/>
  <c r="G171" i="11"/>
  <c r="F171" i="11"/>
  <c r="J170" i="11"/>
  <c r="I170" i="11"/>
  <c r="H170" i="11"/>
  <c r="G170" i="11"/>
  <c r="F170" i="11"/>
  <c r="J169" i="11"/>
  <c r="I169" i="11"/>
  <c r="H169" i="11"/>
  <c r="G169" i="11"/>
  <c r="F169" i="11"/>
  <c r="J168" i="11"/>
  <c r="I168" i="11"/>
  <c r="H168" i="11"/>
  <c r="G168" i="11"/>
  <c r="F168" i="11"/>
  <c r="J165" i="11"/>
  <c r="I165" i="11"/>
  <c r="H165" i="11"/>
  <c r="G165" i="11"/>
  <c r="F165" i="11"/>
  <c r="J164" i="11"/>
  <c r="I164" i="11"/>
  <c r="H164" i="11"/>
  <c r="G164" i="11"/>
  <c r="F164" i="11"/>
  <c r="J163" i="11"/>
  <c r="I163" i="11"/>
  <c r="H163" i="11"/>
  <c r="G163" i="11"/>
  <c r="F163" i="11"/>
  <c r="J156" i="11"/>
  <c r="I156" i="11"/>
  <c r="H156" i="11"/>
  <c r="G156" i="11"/>
  <c r="F156" i="11"/>
  <c r="J155" i="11"/>
  <c r="I155" i="11"/>
  <c r="H155" i="11"/>
  <c r="G155" i="11"/>
  <c r="F155" i="11"/>
  <c r="J154" i="11"/>
  <c r="I154" i="11"/>
  <c r="H154" i="11"/>
  <c r="G154" i="11"/>
  <c r="F154" i="11"/>
  <c r="J153" i="11"/>
  <c r="I153" i="11"/>
  <c r="H153" i="11"/>
  <c r="G153" i="11"/>
  <c r="F153" i="11"/>
  <c r="J152" i="11"/>
  <c r="I152" i="11"/>
  <c r="H152" i="11"/>
  <c r="G152" i="11"/>
  <c r="F152" i="11"/>
  <c r="J151" i="11"/>
  <c r="I151" i="11"/>
  <c r="H151" i="11"/>
  <c r="G151" i="11"/>
  <c r="F151" i="11"/>
  <c r="J150" i="11"/>
  <c r="I150" i="11"/>
  <c r="H150" i="11"/>
  <c r="G150" i="11"/>
  <c r="F150" i="11"/>
  <c r="J147" i="11"/>
  <c r="I147" i="11"/>
  <c r="H147" i="11"/>
  <c r="G147" i="11"/>
  <c r="F147" i="11"/>
  <c r="J146" i="11"/>
  <c r="I146" i="11"/>
  <c r="H146" i="11"/>
  <c r="G146" i="11"/>
  <c r="F146" i="11"/>
  <c r="J145" i="11"/>
  <c r="I145" i="11"/>
  <c r="H145" i="11"/>
  <c r="G145" i="11"/>
  <c r="F145" i="11"/>
  <c r="J144" i="11"/>
  <c r="I144" i="11"/>
  <c r="H144" i="11"/>
  <c r="G144" i="11"/>
  <c r="F144" i="11"/>
  <c r="J143" i="11"/>
  <c r="I143" i="11"/>
  <c r="H143" i="11"/>
  <c r="G143" i="11"/>
  <c r="F143" i="11"/>
  <c r="J142" i="11"/>
  <c r="I142" i="11"/>
  <c r="H142" i="11"/>
  <c r="G142" i="11"/>
  <c r="F142" i="11"/>
  <c r="J141" i="11"/>
  <c r="I141" i="11"/>
  <c r="H141" i="11"/>
  <c r="G141" i="11"/>
  <c r="F141" i="11"/>
  <c r="J140" i="11"/>
  <c r="I140" i="11"/>
  <c r="H140" i="11"/>
  <c r="G140" i="11"/>
  <c r="F140" i="11"/>
  <c r="J139" i="11"/>
  <c r="I139" i="11"/>
  <c r="H139" i="11"/>
  <c r="G139" i="11"/>
  <c r="F139" i="11"/>
  <c r="J138" i="11"/>
  <c r="I138" i="11"/>
  <c r="H138" i="11"/>
  <c r="G138" i="11"/>
  <c r="F138" i="11"/>
  <c r="J137" i="11"/>
  <c r="I137" i="11"/>
  <c r="H137" i="11"/>
  <c r="G137" i="11"/>
  <c r="F137" i="11"/>
  <c r="J136" i="11"/>
  <c r="I136" i="11"/>
  <c r="H136" i="11"/>
  <c r="G136" i="11"/>
  <c r="F136" i="11"/>
  <c r="J135" i="11"/>
  <c r="I135" i="11"/>
  <c r="H135" i="11"/>
  <c r="G135" i="11"/>
  <c r="F135" i="11"/>
  <c r="J134" i="11"/>
  <c r="I134" i="11"/>
  <c r="H134" i="11"/>
  <c r="G134" i="11"/>
  <c r="F134" i="11"/>
  <c r="J133" i="11"/>
  <c r="I133" i="11"/>
  <c r="H133" i="11"/>
  <c r="G133" i="11"/>
  <c r="F133" i="11"/>
  <c r="J132" i="11"/>
  <c r="I132" i="11"/>
  <c r="H132" i="11"/>
  <c r="G132" i="11"/>
  <c r="F132" i="11"/>
  <c r="J131" i="11"/>
  <c r="I131" i="11"/>
  <c r="H131" i="11"/>
  <c r="G131" i="11"/>
  <c r="F131" i="11"/>
  <c r="J130" i="11"/>
  <c r="I130" i="11"/>
  <c r="H130" i="11"/>
  <c r="G130" i="11"/>
  <c r="F130" i="11"/>
  <c r="J129" i="11"/>
  <c r="I129" i="11"/>
  <c r="H129" i="11"/>
  <c r="G129" i="11"/>
  <c r="F129" i="11"/>
  <c r="J128" i="11"/>
  <c r="I128" i="11"/>
  <c r="H128" i="11"/>
  <c r="G128" i="11"/>
  <c r="F128" i="11"/>
  <c r="J125" i="11"/>
  <c r="I125" i="11"/>
  <c r="H125" i="11"/>
  <c r="G125" i="11"/>
  <c r="F125" i="11"/>
  <c r="J124" i="11"/>
  <c r="I124" i="11"/>
  <c r="H124" i="11"/>
  <c r="G124" i="11"/>
  <c r="F124" i="11"/>
  <c r="J123" i="11"/>
  <c r="I123" i="11"/>
  <c r="H123" i="11"/>
  <c r="G123" i="11"/>
  <c r="F123" i="11"/>
  <c r="J122" i="11"/>
  <c r="I122" i="11"/>
  <c r="H122" i="11"/>
  <c r="G122" i="11"/>
  <c r="F122" i="11"/>
  <c r="J121" i="11"/>
  <c r="I121" i="11"/>
  <c r="H121" i="11"/>
  <c r="G121" i="11"/>
  <c r="F121" i="11"/>
  <c r="J120" i="11"/>
  <c r="I120" i="11"/>
  <c r="H120" i="11"/>
  <c r="G120" i="11"/>
  <c r="F120" i="11"/>
  <c r="J99" i="11"/>
  <c r="I99" i="11"/>
  <c r="H99" i="11"/>
  <c r="G99" i="11"/>
  <c r="F99" i="11"/>
  <c r="J98" i="11"/>
  <c r="I98" i="11"/>
  <c r="H98" i="11"/>
  <c r="G98" i="11"/>
  <c r="F98" i="11"/>
  <c r="J91" i="11"/>
  <c r="I91" i="11"/>
  <c r="H91" i="11"/>
  <c r="G91" i="11"/>
  <c r="F91" i="11"/>
  <c r="J90" i="11"/>
  <c r="I90" i="11"/>
  <c r="H90" i="11"/>
  <c r="G90" i="11"/>
  <c r="F90" i="11"/>
  <c r="J89" i="11"/>
  <c r="I89" i="11"/>
  <c r="H89" i="11"/>
  <c r="G89" i="11"/>
  <c r="F89" i="11"/>
  <c r="J88" i="11"/>
  <c r="I88" i="11"/>
  <c r="H88" i="11"/>
  <c r="G88" i="11"/>
  <c r="F88" i="11"/>
  <c r="J87" i="11"/>
  <c r="I87" i="11"/>
  <c r="H87" i="11"/>
  <c r="G87" i="11"/>
  <c r="F87" i="11"/>
  <c r="J86" i="11"/>
  <c r="I86" i="11"/>
  <c r="H86" i="11"/>
  <c r="G86" i="11"/>
  <c r="F86" i="11"/>
  <c r="J85" i="11"/>
  <c r="I85" i="11"/>
  <c r="H85" i="11"/>
  <c r="G85" i="11"/>
  <c r="F85" i="11"/>
  <c r="J84" i="11"/>
  <c r="I84" i="11"/>
  <c r="H84" i="11"/>
  <c r="G84" i="11"/>
  <c r="F84" i="11"/>
  <c r="J83" i="11"/>
  <c r="I83" i="11"/>
  <c r="H83" i="11"/>
  <c r="G83" i="11"/>
  <c r="F83" i="11"/>
  <c r="J82" i="11"/>
  <c r="I82" i="11"/>
  <c r="H82" i="11"/>
  <c r="G82" i="11"/>
  <c r="F82" i="11"/>
  <c r="J81" i="11"/>
  <c r="I81" i="11"/>
  <c r="H81" i="11"/>
  <c r="G81" i="11"/>
  <c r="F81" i="11"/>
  <c r="J80" i="11"/>
  <c r="I80" i="11"/>
  <c r="H80" i="11"/>
  <c r="G80" i="11"/>
  <c r="F80" i="11"/>
  <c r="J79" i="11"/>
  <c r="I79" i="11"/>
  <c r="H79" i="11"/>
  <c r="G79" i="11"/>
  <c r="F79" i="11"/>
  <c r="J78" i="11"/>
  <c r="I78" i="11"/>
  <c r="H78" i="11"/>
  <c r="G78" i="11"/>
  <c r="F78" i="11"/>
  <c r="J77" i="11"/>
  <c r="I77" i="11"/>
  <c r="H77" i="11"/>
  <c r="G77" i="11"/>
  <c r="F77" i="11"/>
  <c r="J76" i="11"/>
  <c r="I76" i="11"/>
  <c r="H76" i="11"/>
  <c r="G76" i="11"/>
  <c r="F76" i="11"/>
  <c r="J75" i="11"/>
  <c r="I75" i="11"/>
  <c r="H75" i="11"/>
  <c r="G75" i="11"/>
  <c r="F75" i="11"/>
  <c r="J74" i="11"/>
  <c r="I74" i="11"/>
  <c r="H74" i="11"/>
  <c r="G74" i="11"/>
  <c r="F74" i="11"/>
  <c r="J73" i="11"/>
  <c r="I73" i="11"/>
  <c r="H73" i="11"/>
  <c r="G73" i="11"/>
  <c r="F73" i="11"/>
  <c r="J72" i="11"/>
  <c r="I72" i="11"/>
  <c r="H72" i="11"/>
  <c r="G72" i="11"/>
  <c r="F72" i="11"/>
  <c r="J71" i="11"/>
  <c r="I71" i="11"/>
  <c r="H71" i="11"/>
  <c r="G71" i="11"/>
  <c r="F71" i="11"/>
  <c r="J70" i="11"/>
  <c r="I70" i="11"/>
  <c r="H70" i="11"/>
  <c r="G70" i="11"/>
  <c r="F70" i="11"/>
  <c r="J69" i="11"/>
  <c r="I69" i="11"/>
  <c r="H69" i="11"/>
  <c r="G69" i="11"/>
  <c r="F69" i="11"/>
  <c r="J68" i="11"/>
  <c r="I68" i="11"/>
  <c r="H68" i="11"/>
  <c r="G68" i="11"/>
  <c r="F68" i="11"/>
  <c r="J67" i="11"/>
  <c r="I67" i="11"/>
  <c r="H67" i="11"/>
  <c r="G67" i="11"/>
  <c r="F67" i="11"/>
  <c r="J66" i="11"/>
  <c r="I66" i="11"/>
  <c r="H66" i="11"/>
  <c r="G66" i="11"/>
  <c r="F66" i="11"/>
  <c r="J65" i="11"/>
  <c r="I65" i="11"/>
  <c r="H65" i="11"/>
  <c r="G65" i="11"/>
  <c r="F65" i="11"/>
  <c r="J64" i="11"/>
  <c r="I64" i="11"/>
  <c r="H64" i="11"/>
  <c r="G64" i="11"/>
  <c r="F64" i="11"/>
  <c r="J63" i="11"/>
  <c r="I63" i="11"/>
  <c r="H63" i="11"/>
  <c r="G63" i="11"/>
  <c r="F63" i="11"/>
  <c r="J62" i="11"/>
  <c r="I62" i="11"/>
  <c r="H62" i="11"/>
  <c r="G62" i="11"/>
  <c r="F62" i="11"/>
  <c r="J61" i="11"/>
  <c r="I61" i="11"/>
  <c r="H61" i="11"/>
  <c r="G61" i="11"/>
  <c r="F61" i="11"/>
  <c r="J60" i="11"/>
  <c r="I60" i="11"/>
  <c r="H60" i="11"/>
  <c r="G60" i="11"/>
  <c r="F60" i="11"/>
  <c r="J59" i="11"/>
  <c r="I59" i="11"/>
  <c r="H59" i="11"/>
  <c r="G59" i="11"/>
  <c r="F59" i="11"/>
  <c r="J58" i="11"/>
  <c r="I58" i="11"/>
  <c r="H58" i="11"/>
  <c r="G58" i="11"/>
  <c r="F58" i="11"/>
  <c r="J57" i="11"/>
  <c r="I57" i="11"/>
  <c r="H57" i="11"/>
  <c r="G57" i="11"/>
  <c r="F57" i="11"/>
  <c r="J56" i="11"/>
  <c r="I56" i="11"/>
  <c r="H56" i="11"/>
  <c r="G56" i="11"/>
  <c r="F56" i="11"/>
  <c r="J55" i="11"/>
  <c r="I55" i="11"/>
  <c r="H55" i="11"/>
  <c r="G55" i="11"/>
  <c r="F55" i="11"/>
  <c r="J54" i="11"/>
  <c r="I54" i="11"/>
  <c r="H54" i="11"/>
  <c r="G54" i="11"/>
  <c r="F54" i="11"/>
  <c r="J53" i="11"/>
  <c r="I53" i="11"/>
  <c r="H53" i="11"/>
  <c r="G53" i="11"/>
  <c r="F53" i="11"/>
  <c r="J52" i="11"/>
  <c r="I52" i="11"/>
  <c r="H52" i="11"/>
  <c r="G52" i="11"/>
  <c r="F52" i="11"/>
  <c r="J51" i="11"/>
  <c r="I51" i="11"/>
  <c r="H51" i="11"/>
  <c r="G51" i="11"/>
  <c r="F51" i="11"/>
  <c r="J50" i="11"/>
  <c r="I50" i="11"/>
  <c r="H50" i="11"/>
  <c r="G50" i="11"/>
  <c r="F50" i="11"/>
  <c r="J49" i="11"/>
  <c r="I49" i="11"/>
  <c r="H49" i="11"/>
  <c r="G49" i="11"/>
  <c r="F49" i="11"/>
  <c r="J48" i="11"/>
  <c r="I48" i="11"/>
  <c r="H48" i="11"/>
  <c r="G48" i="11"/>
  <c r="F48" i="11"/>
  <c r="J47" i="11"/>
  <c r="I47" i="11"/>
  <c r="H47" i="11"/>
  <c r="G47" i="11"/>
  <c r="F47" i="11"/>
  <c r="J46" i="11"/>
  <c r="I46" i="11"/>
  <c r="H46" i="11"/>
  <c r="G46" i="11"/>
  <c r="F46" i="11"/>
  <c r="J45" i="11"/>
  <c r="I45" i="11"/>
  <c r="H45" i="11"/>
  <c r="G45" i="11"/>
  <c r="F45" i="11"/>
  <c r="J44" i="11"/>
  <c r="I44" i="11"/>
  <c r="H44" i="11"/>
  <c r="G44" i="11"/>
  <c r="F44" i="11"/>
  <c r="J43" i="11"/>
  <c r="I43" i="11"/>
  <c r="H43" i="11"/>
  <c r="G43" i="11"/>
  <c r="F43" i="11"/>
  <c r="J42" i="11"/>
  <c r="I42" i="11"/>
  <c r="H42" i="11"/>
  <c r="G42" i="11"/>
  <c r="F42" i="11"/>
  <c r="J41" i="11"/>
  <c r="I41" i="11"/>
  <c r="H41" i="11"/>
  <c r="G41" i="11"/>
  <c r="F41" i="11"/>
  <c r="J40" i="11"/>
  <c r="I40" i="11"/>
  <c r="H40" i="11"/>
  <c r="G40" i="11"/>
  <c r="F40" i="11"/>
  <c r="J39" i="11"/>
  <c r="I39" i="11"/>
  <c r="H39" i="11"/>
  <c r="G39" i="11"/>
  <c r="F39" i="11"/>
  <c r="J38" i="11"/>
  <c r="I38" i="11"/>
  <c r="H38" i="11"/>
  <c r="G38" i="11"/>
  <c r="F38" i="11"/>
  <c r="J37" i="11"/>
  <c r="I37" i="11"/>
  <c r="H37" i="11"/>
  <c r="G37" i="11"/>
  <c r="F37" i="11"/>
  <c r="J36" i="11"/>
  <c r="I36" i="11"/>
  <c r="H36" i="11"/>
  <c r="G36" i="11"/>
  <c r="F36" i="11"/>
  <c r="J35" i="11"/>
  <c r="I35" i="11"/>
  <c r="H35" i="11"/>
  <c r="G35" i="11"/>
  <c r="F35" i="11"/>
  <c r="J34" i="11"/>
  <c r="I34" i="11"/>
  <c r="H34" i="11"/>
  <c r="G34" i="11"/>
  <c r="F34" i="11"/>
  <c r="J33" i="11"/>
  <c r="I33" i="11"/>
  <c r="H33" i="11"/>
  <c r="G33" i="11"/>
  <c r="F33" i="11"/>
  <c r="J32" i="11"/>
  <c r="I32" i="11"/>
  <c r="H32" i="11"/>
  <c r="G32" i="11"/>
  <c r="F32" i="11"/>
  <c r="J31" i="11"/>
  <c r="I31" i="11"/>
  <c r="H31" i="11"/>
  <c r="G31" i="11"/>
  <c r="F31" i="11"/>
  <c r="J30" i="11"/>
  <c r="I30" i="11"/>
  <c r="H30" i="11"/>
  <c r="G30" i="11"/>
  <c r="F30" i="11"/>
  <c r="J29" i="11"/>
  <c r="I29" i="11"/>
  <c r="H29" i="11"/>
  <c r="G29" i="11"/>
  <c r="F29" i="11"/>
  <c r="J28" i="11"/>
  <c r="I28" i="11"/>
  <c r="H28" i="11"/>
  <c r="G28" i="11"/>
  <c r="F28" i="11"/>
  <c r="J27" i="11"/>
  <c r="I27" i="11"/>
  <c r="H27" i="11"/>
  <c r="G27" i="11"/>
  <c r="F27" i="11"/>
  <c r="J26" i="11"/>
  <c r="I26" i="11"/>
  <c r="H26" i="11"/>
  <c r="G26" i="11"/>
  <c r="F26" i="11"/>
  <c r="J25" i="11"/>
  <c r="I25" i="11"/>
  <c r="H25" i="11"/>
  <c r="G25" i="11"/>
  <c r="F25" i="11"/>
  <c r="J24" i="11"/>
  <c r="I24" i="11"/>
  <c r="H24" i="11"/>
  <c r="G24" i="11"/>
  <c r="F24" i="11"/>
  <c r="J23" i="11"/>
  <c r="I23" i="11"/>
  <c r="H23" i="11"/>
  <c r="G23" i="11"/>
  <c r="F23" i="11"/>
  <c r="J22" i="11"/>
  <c r="I22" i="11"/>
  <c r="H22" i="11"/>
  <c r="G22" i="11"/>
  <c r="F22" i="11"/>
  <c r="J21" i="11"/>
  <c r="I21" i="11"/>
  <c r="H21" i="11"/>
  <c r="G21" i="11"/>
  <c r="F21" i="11"/>
  <c r="J20" i="11"/>
  <c r="I20" i="11"/>
  <c r="H20" i="11"/>
  <c r="G20" i="11"/>
  <c r="F20" i="11"/>
  <c r="J19" i="11"/>
  <c r="I19" i="11"/>
  <c r="H19" i="11"/>
  <c r="G19" i="11"/>
  <c r="F19" i="11"/>
  <c r="J18" i="11"/>
  <c r="I18" i="11"/>
  <c r="H18" i="11"/>
  <c r="G18" i="11"/>
  <c r="F18" i="11"/>
  <c r="J17" i="11"/>
  <c r="I17" i="11"/>
  <c r="H17" i="11"/>
  <c r="G17" i="11"/>
  <c r="F17" i="11"/>
  <c r="J16" i="11"/>
  <c r="I16" i="11"/>
  <c r="H16" i="11"/>
  <c r="G16" i="11"/>
  <c r="F16" i="11"/>
  <c r="J15" i="11"/>
  <c r="I15" i="11"/>
  <c r="H15" i="11"/>
  <c r="G15" i="11"/>
  <c r="F15" i="11"/>
  <c r="J13" i="11"/>
  <c r="I13" i="11"/>
  <c r="H13" i="11"/>
  <c r="G13" i="11"/>
  <c r="F13" i="11"/>
  <c r="J12" i="11"/>
  <c r="I12" i="11"/>
  <c r="H12" i="11"/>
  <c r="G12" i="11"/>
  <c r="F12" i="11"/>
  <c r="J11" i="11"/>
  <c r="I11" i="11"/>
  <c r="H11" i="11"/>
  <c r="G11" i="11"/>
  <c r="J10" i="11"/>
  <c r="I10" i="11"/>
  <c r="H10" i="11"/>
  <c r="G10" i="11"/>
  <c r="F10" i="11"/>
  <c r="J9" i="11"/>
  <c r="I9" i="11"/>
  <c r="H9" i="11"/>
  <c r="G9" i="11"/>
  <c r="F9" i="11"/>
  <c r="J8" i="11"/>
  <c r="I8" i="11"/>
  <c r="H8" i="11"/>
  <c r="G8" i="11"/>
  <c r="F8" i="11"/>
  <c r="P166" i="11" l="1"/>
  <c r="F166" i="11" s="1"/>
  <c r="T282" i="11"/>
  <c r="J282" i="11" s="1"/>
  <c r="S282" i="11"/>
  <c r="I282" i="11" s="1"/>
  <c r="R282" i="11"/>
  <c r="H282" i="11" s="1"/>
  <c r="Q282" i="11"/>
  <c r="G282" i="11" s="1"/>
  <c r="P282" i="11"/>
  <c r="F282" i="11" s="1"/>
  <c r="T281" i="11"/>
  <c r="J281" i="11" s="1"/>
  <c r="S281" i="11"/>
  <c r="I281" i="11" s="1"/>
  <c r="R281" i="11"/>
  <c r="H281" i="11" s="1"/>
  <c r="Q281" i="11"/>
  <c r="G281" i="11" s="1"/>
  <c r="P281" i="11"/>
  <c r="F281" i="11" s="1"/>
  <c r="T254" i="11"/>
  <c r="J254" i="11" s="1"/>
  <c r="S254" i="11"/>
  <c r="I254" i="11" s="1"/>
  <c r="R254" i="11"/>
  <c r="H254" i="11" s="1"/>
  <c r="Q254" i="11"/>
  <c r="G254" i="11" s="1"/>
  <c r="P254" i="11"/>
  <c r="F254" i="11" s="1"/>
  <c r="T253" i="11"/>
  <c r="J253" i="11" s="1"/>
  <c r="S253" i="11"/>
  <c r="I253" i="11" s="1"/>
  <c r="R253" i="11"/>
  <c r="H253" i="11" s="1"/>
  <c r="Q253" i="11"/>
  <c r="G253" i="11" s="1"/>
  <c r="P253" i="11"/>
  <c r="F253" i="11" s="1"/>
  <c r="J167" i="11"/>
  <c r="I167" i="11"/>
  <c r="H167" i="11"/>
  <c r="G167" i="11"/>
  <c r="F167" i="11"/>
  <c r="T127" i="11"/>
  <c r="J127" i="11" s="1"/>
  <c r="S127" i="11"/>
  <c r="I127" i="11" s="1"/>
  <c r="R127" i="11"/>
  <c r="H127" i="11" s="1"/>
  <c r="Q127" i="11"/>
  <c r="G127" i="11" s="1"/>
  <c r="P127" i="11"/>
  <c r="F127" i="11" s="1"/>
  <c r="T126" i="11"/>
  <c r="J126" i="11" s="1"/>
  <c r="S126" i="11"/>
  <c r="I126" i="11" s="1"/>
  <c r="R126" i="11"/>
  <c r="H126" i="11" s="1"/>
  <c r="Q126" i="11"/>
  <c r="G126" i="11" s="1"/>
  <c r="P126" i="11"/>
  <c r="J14" i="11"/>
  <c r="I14" i="11"/>
  <c r="H14" i="11"/>
  <c r="G14" i="11"/>
  <c r="F14" i="11"/>
  <c r="P100" i="11" l="1"/>
  <c r="F100" i="11" s="1"/>
  <c r="F126" i="11"/>
  <c r="C6" i="9"/>
  <c r="X6" i="9"/>
  <c r="G6" i="9"/>
  <c r="G41" i="9"/>
  <c r="G37" i="9"/>
  <c r="G34" i="9"/>
  <c r="G30" i="9"/>
  <c r="E167" i="13" l="1"/>
  <c r="E168" i="13"/>
  <c r="E170" i="13" l="1"/>
  <c r="E169" i="13"/>
  <c r="Y22" i="9"/>
  <c r="F168" i="13"/>
  <c r="Y19" i="9"/>
  <c r="F167" i="13"/>
  <c r="Y6" i="9"/>
  <c r="F169" i="13" l="1"/>
  <c r="F170" i="13"/>
  <c r="Z22" i="9" s="1"/>
  <c r="G168" i="13"/>
  <c r="Z19" i="9"/>
  <c r="G167" i="13"/>
  <c r="Z6" i="9"/>
  <c r="H168" i="13" l="1"/>
  <c r="G169" i="13"/>
  <c r="G170" i="13"/>
  <c r="AA19" i="9"/>
  <c r="AA22" i="9"/>
  <c r="I168" i="13"/>
  <c r="H167" i="13"/>
  <c r="AA6" i="9"/>
  <c r="AB15" i="9"/>
  <c r="AA15" i="9"/>
  <c r="Z15" i="9"/>
  <c r="Y15" i="9"/>
  <c r="X15" i="9"/>
  <c r="C15" i="9"/>
  <c r="I170" i="13" l="1"/>
  <c r="I169" i="13"/>
  <c r="H169" i="13"/>
  <c r="AB19" i="9" s="1"/>
  <c r="H170" i="13"/>
  <c r="AB22" i="9" s="1"/>
  <c r="AC22" i="9"/>
  <c r="J168" i="13"/>
  <c r="AC19" i="9"/>
  <c r="AC15" i="9"/>
  <c r="I167" i="13"/>
  <c r="AB6" i="9"/>
  <c r="Q64" i="7"/>
  <c r="Q71" i="7"/>
  <c r="G71" i="7"/>
  <c r="C71" i="7"/>
  <c r="G64" i="7"/>
  <c r="C64" i="7"/>
  <c r="K174" i="13"/>
  <c r="AE41" i="9" s="1"/>
  <c r="J174" i="13"/>
  <c r="AD41" i="9" s="1"/>
  <c r="I174" i="13"/>
  <c r="AC41" i="9" s="1"/>
  <c r="H174" i="13"/>
  <c r="AB41" i="9" s="1"/>
  <c r="G174" i="13"/>
  <c r="AA41" i="9" s="1"/>
  <c r="F174" i="13"/>
  <c r="Z41" i="9" s="1"/>
  <c r="E174" i="13"/>
  <c r="Y41" i="9" s="1"/>
  <c r="K173" i="13"/>
  <c r="AE37" i="9" s="1"/>
  <c r="J173" i="13"/>
  <c r="AD37" i="9" s="1"/>
  <c r="I173" i="13"/>
  <c r="AC37" i="9" s="1"/>
  <c r="H173" i="13"/>
  <c r="AB37" i="9" s="1"/>
  <c r="G173" i="13"/>
  <c r="AA37" i="9" s="1"/>
  <c r="F173" i="13"/>
  <c r="Z37" i="9" s="1"/>
  <c r="E173" i="13"/>
  <c r="Y37" i="9" s="1"/>
  <c r="K172" i="13"/>
  <c r="AE34" i="9" s="1"/>
  <c r="J172" i="13"/>
  <c r="AD34" i="9" s="1"/>
  <c r="I172" i="13"/>
  <c r="AC34" i="9" s="1"/>
  <c r="H172" i="13"/>
  <c r="AB34" i="9" s="1"/>
  <c r="G172" i="13"/>
  <c r="AA34" i="9" s="1"/>
  <c r="F172" i="13"/>
  <c r="Z34" i="9" s="1"/>
  <c r="E172" i="13"/>
  <c r="Y34" i="9" s="1"/>
  <c r="D174" i="13"/>
  <c r="X41" i="9" s="1"/>
  <c r="D173" i="13"/>
  <c r="X37" i="9" s="1"/>
  <c r="D172" i="13"/>
  <c r="X34" i="9" s="1"/>
  <c r="Y30" i="9"/>
  <c r="AE30" i="9"/>
  <c r="AD30" i="9"/>
  <c r="AC30" i="9"/>
  <c r="AB30" i="9"/>
  <c r="AA30" i="9"/>
  <c r="Z30" i="9"/>
  <c r="X30" i="9"/>
  <c r="C34" i="9"/>
  <c r="C41" i="9"/>
  <c r="C314" i="11"/>
  <c r="C37" i="9"/>
  <c r="C30" i="9"/>
  <c r="J85" i="1"/>
  <c r="J82" i="1"/>
  <c r="J79" i="1"/>
  <c r="J76" i="1"/>
  <c r="J73" i="1"/>
  <c r="J70" i="1"/>
  <c r="J67" i="1"/>
  <c r="J64" i="1"/>
  <c r="J60" i="1"/>
  <c r="J56" i="1"/>
  <c r="J53" i="1"/>
  <c r="G51" i="7"/>
  <c r="C51" i="7"/>
  <c r="X56" i="7"/>
  <c r="G56" i="7"/>
  <c r="C56" i="7"/>
  <c r="E162" i="13"/>
  <c r="F162" i="13" s="1"/>
  <c r="E161" i="13"/>
  <c r="F161" i="13" s="1"/>
  <c r="G161" i="13" s="1"/>
  <c r="H161" i="13" s="1"/>
  <c r="I161" i="13" s="1"/>
  <c r="J161" i="13" s="1"/>
  <c r="K161" i="13" s="1"/>
  <c r="X46" i="7"/>
  <c r="G46" i="7"/>
  <c r="C46" i="7"/>
  <c r="AE37" i="7"/>
  <c r="AD37" i="7"/>
  <c r="AC37" i="7"/>
  <c r="AB37" i="7"/>
  <c r="AA37" i="7"/>
  <c r="Z37" i="7"/>
  <c r="Y37" i="7"/>
  <c r="X37" i="7"/>
  <c r="G37" i="7"/>
  <c r="C37" i="7"/>
  <c r="AE33" i="7"/>
  <c r="AD33" i="7"/>
  <c r="AC33" i="7"/>
  <c r="AB33" i="7"/>
  <c r="AA33" i="7"/>
  <c r="Z33" i="7"/>
  <c r="Y33" i="7"/>
  <c r="X33" i="7"/>
  <c r="G33" i="7"/>
  <c r="C33" i="7"/>
  <c r="X28" i="7"/>
  <c r="G28" i="7"/>
  <c r="C28" i="7"/>
  <c r="AE8" i="7"/>
  <c r="AD8" i="7"/>
  <c r="AC8" i="7"/>
  <c r="AB8" i="7"/>
  <c r="AA8" i="7"/>
  <c r="Z8" i="7"/>
  <c r="Y8" i="7"/>
  <c r="X8" i="7"/>
  <c r="G8" i="7"/>
  <c r="C8" i="7"/>
  <c r="C23" i="7"/>
  <c r="X13" i="7"/>
  <c r="G13" i="7"/>
  <c r="C13" i="7"/>
  <c r="X23" i="7"/>
  <c r="G23" i="7"/>
  <c r="X54" i="7"/>
  <c r="J169" i="13" l="1"/>
  <c r="J170" i="13"/>
  <c r="AD22" i="9"/>
  <c r="K168" i="13"/>
  <c r="AD19" i="9"/>
  <c r="AD15" i="9"/>
  <c r="J167" i="13"/>
  <c r="AC6" i="9"/>
  <c r="G162" i="13"/>
  <c r="Z46" i="7"/>
  <c r="Y46" i="7"/>
  <c r="K170" i="13" l="1"/>
  <c r="AE22" i="9" s="1"/>
  <c r="K169" i="13"/>
  <c r="AE19" i="9" s="1"/>
  <c r="AE15" i="9"/>
  <c r="K167" i="13"/>
  <c r="AE6" i="9" s="1"/>
  <c r="AD6" i="9"/>
  <c r="H162" i="13"/>
  <c r="AA46" i="7"/>
  <c r="I162" i="13" l="1"/>
  <c r="AB46" i="7"/>
  <c r="J162" i="13" l="1"/>
  <c r="AC46" i="7"/>
  <c r="K162" i="13" l="1"/>
  <c r="AE46" i="7" s="1"/>
  <c r="AD46" i="7"/>
  <c r="C69" i="4" l="1"/>
  <c r="C24" i="4"/>
  <c r="X31" i="7" l="1"/>
  <c r="C303" i="11"/>
  <c r="C44" i="7" l="1"/>
  <c r="C48" i="7"/>
  <c r="C54" i="7"/>
  <c r="C35" i="7"/>
  <c r="C31" i="7"/>
  <c r="C25" i="7"/>
  <c r="C21" i="7"/>
  <c r="C6" i="7"/>
  <c r="C10" i="7"/>
  <c r="AE6" i="8"/>
  <c r="AD6" i="8"/>
  <c r="AC6" i="8"/>
  <c r="AB6" i="8"/>
  <c r="AA6" i="8"/>
  <c r="Z6" i="8"/>
  <c r="Y6" i="8"/>
  <c r="X6" i="8"/>
  <c r="C6" i="8"/>
  <c r="C15" i="8"/>
  <c r="G6" i="8"/>
  <c r="AE15" i="8"/>
  <c r="AD15" i="8"/>
  <c r="AC15" i="8"/>
  <c r="AB15" i="8"/>
  <c r="AA15" i="8"/>
  <c r="Z15" i="8"/>
  <c r="Y15" i="8"/>
  <c r="X15" i="8"/>
  <c r="E192" i="13" l="1"/>
  <c r="E191" i="13"/>
  <c r="D190" i="13"/>
  <c r="X51" i="7" s="1"/>
  <c r="E163" i="13"/>
  <c r="F163" i="13" s="1"/>
  <c r="G163" i="13" s="1"/>
  <c r="H163" i="13" s="1"/>
  <c r="I163" i="13" s="1"/>
  <c r="J163" i="13" s="1"/>
  <c r="K163" i="13" s="1"/>
  <c r="E164" i="13"/>
  <c r="F192" i="13" l="1"/>
  <c r="Y56" i="7"/>
  <c r="Y13" i="7"/>
  <c r="E190" i="13"/>
  <c r="Y51" i="7" s="1"/>
  <c r="Y28" i="7"/>
  <c r="F191" i="13"/>
  <c r="F164" i="13"/>
  <c r="Y23" i="7"/>
  <c r="Z13" i="7"/>
  <c r="F190" i="13"/>
  <c r="Z51" i="7" s="1"/>
  <c r="J96" i="5"/>
  <c r="J93" i="5"/>
  <c r="J90" i="5"/>
  <c r="J87" i="5"/>
  <c r="J84" i="5"/>
  <c r="J81" i="5"/>
  <c r="J78" i="5"/>
  <c r="J75" i="5"/>
  <c r="J71" i="5"/>
  <c r="J67" i="5"/>
  <c r="J64" i="5"/>
  <c r="J61" i="5"/>
  <c r="J58" i="5"/>
  <c r="J47" i="5"/>
  <c r="J44" i="5"/>
  <c r="J41" i="5"/>
  <c r="J38" i="5"/>
  <c r="J35" i="5"/>
  <c r="J32" i="5"/>
  <c r="J29" i="5"/>
  <c r="J26" i="5"/>
  <c r="J22" i="5"/>
  <c r="J18" i="5"/>
  <c r="J15" i="5"/>
  <c r="J12" i="5"/>
  <c r="J9" i="5"/>
  <c r="G192" i="13" l="1"/>
  <c r="Z56" i="7"/>
  <c r="Z28" i="7"/>
  <c r="G191" i="13"/>
  <c r="G164" i="13"/>
  <c r="Z23" i="7"/>
  <c r="AA13" i="7"/>
  <c r="T90" i="4"/>
  <c r="T87" i="4"/>
  <c r="T84" i="4"/>
  <c r="T81" i="4"/>
  <c r="T78" i="4"/>
  <c r="T75" i="4"/>
  <c r="T72" i="4"/>
  <c r="T69" i="4"/>
  <c r="T65" i="4"/>
  <c r="T62" i="4"/>
  <c r="T59" i="4"/>
  <c r="T56" i="4"/>
  <c r="T53" i="4"/>
  <c r="T6" i="4"/>
  <c r="H192" i="13" l="1"/>
  <c r="AA56" i="7"/>
  <c r="H191" i="13"/>
  <c r="AA28" i="7"/>
  <c r="G190" i="13"/>
  <c r="AA51" i="7" s="1"/>
  <c r="AA23" i="7"/>
  <c r="H164" i="13"/>
  <c r="AB13" i="7"/>
  <c r="W278" i="5"/>
  <c r="W275" i="5"/>
  <c r="W272" i="5"/>
  <c r="W269" i="5"/>
  <c r="W266" i="5"/>
  <c r="W263" i="5"/>
  <c r="W260" i="5"/>
  <c r="W257" i="5"/>
  <c r="W254" i="5"/>
  <c r="W251" i="5"/>
  <c r="W248" i="5"/>
  <c r="W245" i="5"/>
  <c r="W242" i="5"/>
  <c r="W234" i="5"/>
  <c r="W231" i="5"/>
  <c r="W228" i="5"/>
  <c r="W225" i="5"/>
  <c r="W222" i="5"/>
  <c r="W219" i="5"/>
  <c r="W216" i="5"/>
  <c r="W213" i="5"/>
  <c r="W210" i="5"/>
  <c r="W207" i="5"/>
  <c r="W204" i="5"/>
  <c r="W201" i="5"/>
  <c r="W198" i="5"/>
  <c r="W190" i="5"/>
  <c r="W187" i="5"/>
  <c r="W184" i="5"/>
  <c r="W181" i="5"/>
  <c r="W178" i="5"/>
  <c r="W175" i="5"/>
  <c r="W172" i="5"/>
  <c r="W169" i="5"/>
  <c r="W166" i="5"/>
  <c r="W163" i="5"/>
  <c r="W160" i="5"/>
  <c r="W157" i="5"/>
  <c r="W154" i="5"/>
  <c r="W151" i="5"/>
  <c r="W143" i="5"/>
  <c r="W140" i="5"/>
  <c r="W137" i="5"/>
  <c r="W134" i="5"/>
  <c r="W131" i="5"/>
  <c r="W128" i="5"/>
  <c r="W125" i="5"/>
  <c r="W122" i="5"/>
  <c r="W119" i="5"/>
  <c r="W116" i="5"/>
  <c r="W113" i="5"/>
  <c r="W110" i="5"/>
  <c r="W107" i="5"/>
  <c r="W104" i="5"/>
  <c r="W96" i="5"/>
  <c r="W93" i="5"/>
  <c r="W90" i="5"/>
  <c r="W87" i="5"/>
  <c r="W84" i="5"/>
  <c r="W81" i="5"/>
  <c r="W78" i="5"/>
  <c r="W75" i="5"/>
  <c r="W71" i="5"/>
  <c r="W67" i="5"/>
  <c r="W64" i="5"/>
  <c r="W61" i="5"/>
  <c r="W58" i="5"/>
  <c r="W55" i="5"/>
  <c r="W47" i="5"/>
  <c r="W44" i="5"/>
  <c r="W41" i="5"/>
  <c r="W38" i="5"/>
  <c r="W35" i="5"/>
  <c r="W32" i="5"/>
  <c r="W29" i="5"/>
  <c r="W26" i="5"/>
  <c r="W22" i="5"/>
  <c r="W18" i="5"/>
  <c r="W15" i="5"/>
  <c r="W12" i="5"/>
  <c r="W9" i="5"/>
  <c r="W6" i="5"/>
  <c r="I192" i="13" l="1"/>
  <c r="AB56" i="7"/>
  <c r="I191" i="13"/>
  <c r="AB28" i="7"/>
  <c r="H190" i="13"/>
  <c r="AB51" i="7" s="1"/>
  <c r="I164" i="13"/>
  <c r="AB23" i="7"/>
  <c r="AC13" i="7"/>
  <c r="T45" i="4"/>
  <c r="T42" i="4"/>
  <c r="T39" i="4"/>
  <c r="T36" i="4"/>
  <c r="T33" i="4"/>
  <c r="T30" i="4"/>
  <c r="T24" i="4"/>
  <c r="T21" i="4"/>
  <c r="T18" i="4"/>
  <c r="T12" i="4"/>
  <c r="T9" i="4"/>
  <c r="W129" i="1"/>
  <c r="W126" i="1"/>
  <c r="W123" i="1"/>
  <c r="W119" i="1"/>
  <c r="W116" i="1"/>
  <c r="W113" i="1"/>
  <c r="W110" i="1"/>
  <c r="W107" i="1"/>
  <c r="W103" i="1"/>
  <c r="W99" i="1"/>
  <c r="W96" i="1"/>
  <c r="W93" i="1"/>
  <c r="W85" i="1"/>
  <c r="W82" i="1"/>
  <c r="W79" i="1"/>
  <c r="W76" i="1"/>
  <c r="W73" i="1"/>
  <c r="W70" i="1"/>
  <c r="W67" i="1"/>
  <c r="W64" i="1"/>
  <c r="W60" i="1"/>
  <c r="W56" i="1"/>
  <c r="W53" i="1"/>
  <c r="W50" i="1"/>
  <c r="W41" i="1"/>
  <c r="W38" i="1"/>
  <c r="W35" i="1"/>
  <c r="W32" i="1"/>
  <c r="W29" i="1"/>
  <c r="W26" i="1"/>
  <c r="W23" i="1"/>
  <c r="W20" i="1"/>
  <c r="W16" i="1"/>
  <c r="W12" i="1"/>
  <c r="W9" i="1"/>
  <c r="W6" i="1"/>
  <c r="T27" i="4"/>
  <c r="T15" i="4"/>
  <c r="J192" i="13" l="1"/>
  <c r="AC56" i="7"/>
  <c r="J191" i="13"/>
  <c r="AC28" i="7"/>
  <c r="I190" i="13"/>
  <c r="AC51" i="7" s="1"/>
  <c r="J164" i="13"/>
  <c r="AC23" i="7"/>
  <c r="AE13" i="7"/>
  <c r="AD13" i="7"/>
  <c r="T119" i="11"/>
  <c r="J119" i="11" s="1"/>
  <c r="S119" i="11"/>
  <c r="I119" i="11" s="1"/>
  <c r="R119" i="11"/>
  <c r="H119" i="11" s="1"/>
  <c r="Q119" i="11"/>
  <c r="G119" i="11" s="1"/>
  <c r="P119" i="11"/>
  <c r="F119" i="11" s="1"/>
  <c r="T118" i="11"/>
  <c r="J118" i="11" s="1"/>
  <c r="S118" i="11"/>
  <c r="I118" i="11" s="1"/>
  <c r="R118" i="11"/>
  <c r="H118" i="11" s="1"/>
  <c r="Q118" i="11"/>
  <c r="G118" i="11" s="1"/>
  <c r="P118" i="11"/>
  <c r="F118" i="11" s="1"/>
  <c r="T117" i="11"/>
  <c r="J117" i="11" s="1"/>
  <c r="S117" i="11"/>
  <c r="I117" i="11" s="1"/>
  <c r="R117" i="11"/>
  <c r="H117" i="11" s="1"/>
  <c r="Q117" i="11"/>
  <c r="G117" i="11" s="1"/>
  <c r="P117" i="11"/>
  <c r="F117" i="11" s="1"/>
  <c r="T116" i="11"/>
  <c r="J116" i="11" s="1"/>
  <c r="S116" i="11"/>
  <c r="I116" i="11" s="1"/>
  <c r="R116" i="11"/>
  <c r="H116" i="11" s="1"/>
  <c r="Q116" i="11"/>
  <c r="G116" i="11" s="1"/>
  <c r="P116" i="11"/>
  <c r="F116" i="11" s="1"/>
  <c r="T115" i="11"/>
  <c r="J115" i="11" s="1"/>
  <c r="S115" i="11"/>
  <c r="I115" i="11" s="1"/>
  <c r="R115" i="11"/>
  <c r="H115" i="11" s="1"/>
  <c r="Q115" i="11"/>
  <c r="G115" i="11" s="1"/>
  <c r="P115" i="11"/>
  <c r="F115" i="11" s="1"/>
  <c r="T114" i="11"/>
  <c r="J114" i="11" s="1"/>
  <c r="S114" i="11"/>
  <c r="I114" i="11" s="1"/>
  <c r="R114" i="11"/>
  <c r="H114" i="11" s="1"/>
  <c r="Q114" i="11"/>
  <c r="G114" i="11" s="1"/>
  <c r="P114" i="11"/>
  <c r="F114" i="11" s="1"/>
  <c r="T113" i="11"/>
  <c r="J113" i="11" s="1"/>
  <c r="S113" i="11"/>
  <c r="I113" i="11" s="1"/>
  <c r="R113" i="11"/>
  <c r="H113" i="11" s="1"/>
  <c r="Q113" i="11"/>
  <c r="G113" i="11" s="1"/>
  <c r="P113" i="11"/>
  <c r="F113" i="11" s="1"/>
  <c r="T112" i="11"/>
  <c r="J112" i="11" s="1"/>
  <c r="S112" i="11"/>
  <c r="I112" i="11" s="1"/>
  <c r="R112" i="11"/>
  <c r="H112" i="11" s="1"/>
  <c r="Q112" i="11"/>
  <c r="G112" i="11" s="1"/>
  <c r="P112" i="11"/>
  <c r="F112" i="11" s="1"/>
  <c r="T111" i="11"/>
  <c r="J111" i="11" s="1"/>
  <c r="S111" i="11"/>
  <c r="I111" i="11" s="1"/>
  <c r="R111" i="11"/>
  <c r="H111" i="11" s="1"/>
  <c r="Q111" i="11"/>
  <c r="G111" i="11" s="1"/>
  <c r="P111" i="11"/>
  <c r="F111" i="11" s="1"/>
  <c r="T110" i="11"/>
  <c r="J110" i="11" s="1"/>
  <c r="S110" i="11"/>
  <c r="I110" i="11" s="1"/>
  <c r="R110" i="11"/>
  <c r="H110" i="11" s="1"/>
  <c r="Q110" i="11"/>
  <c r="G110" i="11" s="1"/>
  <c r="P110" i="11"/>
  <c r="F110" i="11" s="1"/>
  <c r="T109" i="11"/>
  <c r="J109" i="11" s="1"/>
  <c r="S109" i="11"/>
  <c r="I109" i="11" s="1"/>
  <c r="R109" i="11"/>
  <c r="H109" i="11" s="1"/>
  <c r="Q109" i="11"/>
  <c r="G109" i="11" s="1"/>
  <c r="P109" i="11"/>
  <c r="F109" i="11" s="1"/>
  <c r="T108" i="11"/>
  <c r="J108" i="11" s="1"/>
  <c r="S108" i="11"/>
  <c r="I108" i="11" s="1"/>
  <c r="R108" i="11"/>
  <c r="H108" i="11" s="1"/>
  <c r="Q108" i="11"/>
  <c r="G108" i="11" s="1"/>
  <c r="P108" i="11"/>
  <c r="F108" i="11" s="1"/>
  <c r="T107" i="11"/>
  <c r="J107" i="11" s="1"/>
  <c r="S107" i="11"/>
  <c r="I107" i="11" s="1"/>
  <c r="R107" i="11"/>
  <c r="H107" i="11" s="1"/>
  <c r="Q107" i="11"/>
  <c r="G107" i="11" s="1"/>
  <c r="P107" i="11"/>
  <c r="F107" i="11" s="1"/>
  <c r="T106" i="11"/>
  <c r="J106" i="11" s="1"/>
  <c r="S106" i="11"/>
  <c r="I106" i="11" s="1"/>
  <c r="R106" i="11"/>
  <c r="H106" i="11" s="1"/>
  <c r="Q106" i="11"/>
  <c r="G106" i="11" s="1"/>
  <c r="P106" i="11"/>
  <c r="F106" i="11" s="1"/>
  <c r="T105" i="11"/>
  <c r="J105" i="11" s="1"/>
  <c r="S105" i="11"/>
  <c r="I105" i="11" s="1"/>
  <c r="R105" i="11"/>
  <c r="H105" i="11" s="1"/>
  <c r="Q105" i="11"/>
  <c r="G105" i="11" s="1"/>
  <c r="P105" i="11"/>
  <c r="F105" i="11" s="1"/>
  <c r="T104" i="11"/>
  <c r="J104" i="11" s="1"/>
  <c r="S104" i="11"/>
  <c r="I104" i="11" s="1"/>
  <c r="R104" i="11"/>
  <c r="H104" i="11" s="1"/>
  <c r="Q104" i="11"/>
  <c r="G104" i="11" s="1"/>
  <c r="P104" i="11"/>
  <c r="F104" i="11" s="1"/>
  <c r="T103" i="11"/>
  <c r="J103" i="11" s="1"/>
  <c r="S103" i="11"/>
  <c r="I103" i="11" s="1"/>
  <c r="R103" i="11"/>
  <c r="H103" i="11" s="1"/>
  <c r="Q103" i="11"/>
  <c r="G103" i="11" s="1"/>
  <c r="P103" i="11"/>
  <c r="F103" i="11" s="1"/>
  <c r="T102" i="11"/>
  <c r="J102" i="11" s="1"/>
  <c r="S102" i="11"/>
  <c r="I102" i="11" s="1"/>
  <c r="R102" i="11"/>
  <c r="H102" i="11" s="1"/>
  <c r="Q102" i="11"/>
  <c r="G102" i="11" s="1"/>
  <c r="P102" i="11"/>
  <c r="F102" i="11" s="1"/>
  <c r="T101" i="11"/>
  <c r="J101" i="11" s="1"/>
  <c r="S101" i="11"/>
  <c r="I101" i="11" s="1"/>
  <c r="R101" i="11"/>
  <c r="H101" i="11" s="1"/>
  <c r="Q101" i="11"/>
  <c r="G101" i="11" s="1"/>
  <c r="P101" i="11"/>
  <c r="F101" i="11" s="1"/>
  <c r="T100" i="11"/>
  <c r="J100" i="11" s="1"/>
  <c r="S100" i="11"/>
  <c r="I100" i="11" s="1"/>
  <c r="R100" i="11"/>
  <c r="H100" i="11" s="1"/>
  <c r="Q100" i="11"/>
  <c r="G100" i="11" s="1"/>
  <c r="T97" i="11"/>
  <c r="J97" i="11" s="1"/>
  <c r="S97" i="11"/>
  <c r="I97" i="11" s="1"/>
  <c r="R97" i="11"/>
  <c r="H97" i="11" s="1"/>
  <c r="Q97" i="11"/>
  <c r="G97" i="11" s="1"/>
  <c r="P97" i="11"/>
  <c r="F97" i="11" s="1"/>
  <c r="T96" i="11"/>
  <c r="J96" i="11" s="1"/>
  <c r="S96" i="11"/>
  <c r="I96" i="11" s="1"/>
  <c r="R96" i="11"/>
  <c r="H96" i="11" s="1"/>
  <c r="Q96" i="11"/>
  <c r="G96" i="11" s="1"/>
  <c r="P96" i="11"/>
  <c r="F96" i="11" s="1"/>
  <c r="T95" i="11"/>
  <c r="J95" i="11" s="1"/>
  <c r="S95" i="11"/>
  <c r="I95" i="11" s="1"/>
  <c r="R95" i="11"/>
  <c r="H95" i="11" s="1"/>
  <c r="Q95" i="11"/>
  <c r="G95" i="11" s="1"/>
  <c r="P95" i="11"/>
  <c r="F95" i="11" s="1"/>
  <c r="T94" i="11"/>
  <c r="J94" i="11" s="1"/>
  <c r="S94" i="11"/>
  <c r="I94" i="11" s="1"/>
  <c r="R94" i="11"/>
  <c r="H94" i="11" s="1"/>
  <c r="Q94" i="11"/>
  <c r="G94" i="11" s="1"/>
  <c r="P94" i="11"/>
  <c r="F94" i="11" s="1"/>
  <c r="T93" i="11"/>
  <c r="J93" i="11" s="1"/>
  <c r="S93" i="11"/>
  <c r="I93" i="11" s="1"/>
  <c r="R93" i="11"/>
  <c r="H93" i="11" s="1"/>
  <c r="Q93" i="11"/>
  <c r="G93" i="11" s="1"/>
  <c r="P93" i="11"/>
  <c r="F93" i="11" s="1"/>
  <c r="T92" i="11"/>
  <c r="J92" i="11" s="1"/>
  <c r="S92" i="11"/>
  <c r="I92" i="11" s="1"/>
  <c r="R92" i="11"/>
  <c r="H92" i="11" s="1"/>
  <c r="Q92" i="11"/>
  <c r="G92" i="11" s="1"/>
  <c r="P92" i="11"/>
  <c r="F92" i="11" s="1"/>
  <c r="K192" i="13" l="1"/>
  <c r="AE56" i="7" s="1"/>
  <c r="AD56" i="7"/>
  <c r="K191" i="13"/>
  <c r="AD28" i="7"/>
  <c r="J190" i="13"/>
  <c r="AD51" i="7" s="1"/>
  <c r="K164" i="13"/>
  <c r="AE23" i="7" s="1"/>
  <c r="AD23" i="7"/>
  <c r="AE25" i="6"/>
  <c r="AD25" i="6"/>
  <c r="AC25" i="6"/>
  <c r="AB25" i="6"/>
  <c r="AA25" i="6"/>
  <c r="Z25" i="6"/>
  <c r="Y25" i="6"/>
  <c r="AE21" i="6"/>
  <c r="AD21" i="6"/>
  <c r="AC21" i="6"/>
  <c r="AB21" i="6"/>
  <c r="AA21" i="6"/>
  <c r="Z21" i="6"/>
  <c r="Y21" i="6"/>
  <c r="AE18" i="6"/>
  <c r="AD18" i="6"/>
  <c r="AC18" i="6"/>
  <c r="AB18" i="6"/>
  <c r="AA18" i="6"/>
  <c r="Z18" i="6"/>
  <c r="Y18" i="6"/>
  <c r="AE15" i="6"/>
  <c r="AD15" i="6"/>
  <c r="AC15" i="6"/>
  <c r="AB15" i="6"/>
  <c r="AA15" i="6"/>
  <c r="Z15" i="6"/>
  <c r="Y15" i="6"/>
  <c r="X25" i="6"/>
  <c r="X21" i="6"/>
  <c r="X18" i="6"/>
  <c r="X15" i="6"/>
  <c r="AE12" i="6"/>
  <c r="AD12" i="6"/>
  <c r="AC12" i="6"/>
  <c r="AB12" i="6"/>
  <c r="AA12" i="6"/>
  <c r="Z12" i="6"/>
  <c r="Y12" i="6"/>
  <c r="X12" i="6"/>
  <c r="AE9" i="6"/>
  <c r="AD9" i="6"/>
  <c r="AC9" i="6"/>
  <c r="AB9" i="6"/>
  <c r="AA9" i="6"/>
  <c r="Z9" i="6"/>
  <c r="Y9" i="6"/>
  <c r="X9" i="6"/>
  <c r="X6" i="6"/>
  <c r="AE6" i="6"/>
  <c r="AD6" i="6"/>
  <c r="AC6" i="6"/>
  <c r="AB6" i="6"/>
  <c r="AA6" i="6"/>
  <c r="Z6" i="6"/>
  <c r="Y6" i="6"/>
  <c r="AE38" i="6"/>
  <c r="AD38" i="6"/>
  <c r="AC38" i="6"/>
  <c r="AB38" i="6"/>
  <c r="AA38" i="6"/>
  <c r="Z38" i="6"/>
  <c r="Y38" i="6"/>
  <c r="X38" i="6"/>
  <c r="AE34" i="6"/>
  <c r="AD34" i="6"/>
  <c r="AC34" i="6"/>
  <c r="AB34" i="6"/>
  <c r="AA34" i="6"/>
  <c r="Z34" i="6"/>
  <c r="Y34" i="6"/>
  <c r="X34" i="6"/>
  <c r="AE28" i="7" l="1"/>
  <c r="K190" i="13"/>
  <c r="AE51" i="7" s="1"/>
  <c r="I242" i="5"/>
  <c r="I198" i="5"/>
  <c r="I278" i="5" s="1"/>
  <c r="I151" i="5"/>
  <c r="I104" i="5"/>
  <c r="I184" i="5" s="1"/>
  <c r="I55" i="5"/>
  <c r="I6" i="5"/>
  <c r="I90" i="5" s="1"/>
  <c r="I53" i="4"/>
  <c r="I84" i="4" s="1"/>
  <c r="I6" i="4"/>
  <c r="I42" i="4" s="1"/>
  <c r="I93" i="1"/>
  <c r="I119" i="1" s="1"/>
  <c r="I50" i="1"/>
  <c r="I76" i="1" s="1"/>
  <c r="I6" i="1"/>
  <c r="I32" i="1" s="1"/>
  <c r="I60" i="1" l="1"/>
  <c r="I27" i="4"/>
  <c r="I73" i="1"/>
  <c r="I79" i="1"/>
  <c r="I56" i="1"/>
  <c r="I15" i="4"/>
  <c r="I87" i="4"/>
  <c r="I33" i="4"/>
  <c r="I12" i="4"/>
  <c r="I45" i="4"/>
  <c r="I272" i="5"/>
  <c r="I216" i="5"/>
  <c r="I231" i="5"/>
  <c r="I81" i="5"/>
  <c r="I204" i="5"/>
  <c r="I207" i="5"/>
  <c r="I248" i="5"/>
  <c r="I26" i="5"/>
  <c r="I228" i="5"/>
  <c r="I257" i="5"/>
  <c r="I38" i="1"/>
  <c r="I110" i="1"/>
  <c r="I154" i="5"/>
  <c r="I9" i="1"/>
  <c r="I41" i="1"/>
  <c r="I113" i="1"/>
  <c r="I58" i="5"/>
  <c r="I110" i="5"/>
  <c r="I163" i="5"/>
  <c r="I67" i="1"/>
  <c r="I82" i="1"/>
  <c r="I99" i="1"/>
  <c r="I116" i="1"/>
  <c r="I21" i="4"/>
  <c r="I36" i="4"/>
  <c r="I62" i="4"/>
  <c r="I12" i="5"/>
  <c r="I38" i="5"/>
  <c r="I67" i="5"/>
  <c r="I93" i="5"/>
  <c r="I116" i="5"/>
  <c r="I140" i="5"/>
  <c r="I166" i="5"/>
  <c r="I190" i="5"/>
  <c r="I260" i="5"/>
  <c r="I23" i="1"/>
  <c r="I126" i="1"/>
  <c r="I128" i="5"/>
  <c r="I178" i="5"/>
  <c r="I26" i="1"/>
  <c r="I96" i="1"/>
  <c r="I129" i="1"/>
  <c r="I29" i="5"/>
  <c r="I84" i="5"/>
  <c r="I137" i="5"/>
  <c r="I187" i="5"/>
  <c r="I12" i="1"/>
  <c r="I29" i="1"/>
  <c r="I16" i="1"/>
  <c r="I35" i="1"/>
  <c r="I53" i="1"/>
  <c r="I70" i="1"/>
  <c r="I85" i="1"/>
  <c r="I103" i="1"/>
  <c r="I123" i="1"/>
  <c r="I9" i="4"/>
  <c r="I24" i="4"/>
  <c r="I39" i="4"/>
  <c r="I75" i="4"/>
  <c r="I15" i="5"/>
  <c r="I41" i="5"/>
  <c r="I71" i="5"/>
  <c r="I96" i="5"/>
  <c r="I125" i="5"/>
  <c r="I175" i="5"/>
  <c r="I219" i="5"/>
  <c r="I245" i="5"/>
  <c r="I269" i="5"/>
  <c r="I65" i="4"/>
  <c r="I78" i="4"/>
  <c r="I90" i="4"/>
  <c r="I56" i="4"/>
  <c r="I69" i="4"/>
  <c r="I81" i="4"/>
  <c r="I18" i="5"/>
  <c r="I32" i="5"/>
  <c r="I44" i="5"/>
  <c r="I61" i="5"/>
  <c r="I75" i="5"/>
  <c r="I87" i="5"/>
  <c r="I119" i="5"/>
  <c r="I131" i="5"/>
  <c r="I143" i="5"/>
  <c r="I157" i="5"/>
  <c r="I169" i="5"/>
  <c r="I181" i="5"/>
  <c r="I210" i="5"/>
  <c r="I222" i="5"/>
  <c r="I234" i="5"/>
  <c r="I251" i="5"/>
  <c r="I263" i="5"/>
  <c r="I275" i="5"/>
  <c r="I20" i="1"/>
  <c r="I64" i="1"/>
  <c r="I107" i="1"/>
  <c r="I18" i="4"/>
  <c r="I30" i="4"/>
  <c r="I59" i="4"/>
  <c r="I72" i="4"/>
  <c r="I9" i="5"/>
  <c r="I22" i="5"/>
  <c r="I35" i="5"/>
  <c r="I47" i="5"/>
  <c r="I64" i="5"/>
  <c r="I78" i="5"/>
  <c r="I107" i="5"/>
  <c r="I122" i="5"/>
  <c r="I134" i="5"/>
  <c r="I113" i="5"/>
  <c r="I160" i="5"/>
  <c r="I172" i="5"/>
  <c r="I201" i="5"/>
  <c r="I213" i="5"/>
  <c r="I225" i="5"/>
  <c r="I254" i="5"/>
  <c r="I266" i="5"/>
  <c r="H129" i="1"/>
  <c r="H126" i="1"/>
  <c r="H123" i="1"/>
  <c r="H119" i="1"/>
  <c r="H116" i="1"/>
  <c r="H113" i="1"/>
  <c r="H110" i="1"/>
  <c r="H107" i="1"/>
  <c r="H103" i="1"/>
  <c r="H99" i="1"/>
  <c r="H85" i="1"/>
  <c r="H82" i="1"/>
  <c r="H79" i="1"/>
  <c r="H76" i="1"/>
  <c r="H73" i="1"/>
  <c r="H70" i="1"/>
  <c r="H67" i="1"/>
  <c r="H64" i="1"/>
  <c r="H60" i="1"/>
  <c r="H56" i="1"/>
  <c r="H41" i="1"/>
  <c r="H38" i="1"/>
  <c r="H35" i="1"/>
  <c r="H32" i="1"/>
  <c r="H29" i="1"/>
  <c r="H26" i="1"/>
  <c r="H23" i="1"/>
  <c r="H20" i="1"/>
  <c r="H16" i="1"/>
  <c r="H12" i="1"/>
  <c r="X67" i="1" l="1"/>
  <c r="X110" i="1"/>
  <c r="X23" i="1"/>
  <c r="G110" i="1"/>
  <c r="Y67" i="1" l="1"/>
  <c r="Y110" i="1"/>
  <c r="Y23" i="1"/>
  <c r="Z67" i="1" l="1"/>
  <c r="Z110" i="1"/>
  <c r="Z23" i="1"/>
  <c r="AA67" i="1" l="1"/>
  <c r="AA110" i="1"/>
  <c r="AA23" i="1"/>
  <c r="C67" i="1"/>
  <c r="AB67" i="1" l="1"/>
  <c r="AB110" i="1"/>
  <c r="AB23" i="1"/>
  <c r="AC67" i="1" l="1"/>
  <c r="AC110" i="1"/>
  <c r="AC23" i="1"/>
  <c r="AD67" i="1" l="1"/>
  <c r="AD110" i="1"/>
  <c r="AD23" i="1"/>
  <c r="C38" i="6"/>
  <c r="C34" i="6"/>
  <c r="C25" i="6"/>
  <c r="C21" i="6"/>
  <c r="C18" i="6"/>
  <c r="C15" i="6"/>
  <c r="C12" i="6"/>
  <c r="C9" i="6"/>
  <c r="C6" i="6"/>
  <c r="G44" i="7"/>
  <c r="G48" i="7"/>
  <c r="G54" i="7"/>
  <c r="G21" i="7"/>
  <c r="G6" i="7"/>
  <c r="G10" i="7"/>
  <c r="E156" i="11"/>
  <c r="C156" i="11"/>
  <c r="E155" i="11"/>
  <c r="C155" i="11"/>
  <c r="E154" i="11"/>
  <c r="C154" i="11"/>
  <c r="E153" i="11"/>
  <c r="C153" i="11"/>
  <c r="E152" i="11"/>
  <c r="C152" i="11"/>
  <c r="E151" i="11"/>
  <c r="C151" i="11"/>
  <c r="E150" i="11"/>
  <c r="C150" i="11"/>
  <c r="E316" i="11"/>
  <c r="C316" i="11"/>
  <c r="E315" i="11"/>
  <c r="C315" i="11"/>
  <c r="G15" i="8"/>
  <c r="C278" i="5"/>
  <c r="C275" i="5"/>
  <c r="C272" i="5"/>
  <c r="C269" i="5"/>
  <c r="C266" i="5"/>
  <c r="C263" i="5"/>
  <c r="C260" i="5"/>
  <c r="C257" i="5"/>
  <c r="C254" i="5"/>
  <c r="C251" i="5"/>
  <c r="C248" i="5"/>
  <c r="C245" i="5"/>
  <c r="C242" i="5"/>
  <c r="G234" i="5"/>
  <c r="C234" i="5"/>
  <c r="G231" i="5"/>
  <c r="C231" i="5"/>
  <c r="E252" i="11"/>
  <c r="C252" i="11"/>
  <c r="E251" i="11"/>
  <c r="C251" i="11"/>
  <c r="G225" i="5"/>
  <c r="C225" i="5"/>
  <c r="G228" i="5"/>
  <c r="C228" i="5"/>
  <c r="C222" i="5"/>
  <c r="C219" i="5"/>
  <c r="C216" i="5"/>
  <c r="C213" i="5"/>
  <c r="C210" i="5"/>
  <c r="C207" i="5"/>
  <c r="C204" i="5"/>
  <c r="C201" i="5"/>
  <c r="C198" i="5"/>
  <c r="G222" i="5"/>
  <c r="C190" i="5"/>
  <c r="C187" i="5"/>
  <c r="C184" i="5"/>
  <c r="C181" i="5"/>
  <c r="C178" i="5"/>
  <c r="C175" i="5"/>
  <c r="C172" i="5"/>
  <c r="C169" i="5"/>
  <c r="C166" i="5"/>
  <c r="C163" i="5"/>
  <c r="C160" i="5"/>
  <c r="C157" i="5"/>
  <c r="J154" i="5"/>
  <c r="J157" i="5" s="1"/>
  <c r="J160" i="5" s="1"/>
  <c r="J163" i="5" s="1"/>
  <c r="J166" i="5" s="1"/>
  <c r="J169" i="5" s="1"/>
  <c r="J172" i="5" s="1"/>
  <c r="J175" i="5" s="1"/>
  <c r="J178" i="5" s="1"/>
  <c r="J181" i="5" s="1"/>
  <c r="J184" i="5" s="1"/>
  <c r="J187" i="5" s="1"/>
  <c r="J190" i="5" s="1"/>
  <c r="C154" i="5"/>
  <c r="C151" i="5"/>
  <c r="C96" i="5"/>
  <c r="C93" i="5"/>
  <c r="C90" i="5"/>
  <c r="H87" i="5"/>
  <c r="C87" i="5"/>
  <c r="C84" i="5"/>
  <c r="C81" i="5"/>
  <c r="C78" i="5"/>
  <c r="C75" i="5"/>
  <c r="C71" i="5"/>
  <c r="C67" i="5"/>
  <c r="C64" i="5"/>
  <c r="C61" i="5"/>
  <c r="C58" i="5"/>
  <c r="C55" i="5"/>
  <c r="G143" i="5"/>
  <c r="C143" i="5"/>
  <c r="G140" i="5"/>
  <c r="C140" i="5"/>
  <c r="G219" i="5"/>
  <c r="G213" i="5"/>
  <c r="G210" i="5"/>
  <c r="G207" i="5"/>
  <c r="G204" i="5"/>
  <c r="G201" i="5"/>
  <c r="G198" i="5"/>
  <c r="G137" i="5"/>
  <c r="C137" i="5"/>
  <c r="G38" i="6"/>
  <c r="G34" i="6"/>
  <c r="H9" i="6"/>
  <c r="H12" i="6" s="1"/>
  <c r="H15" i="6" s="1"/>
  <c r="H18" i="6" s="1"/>
  <c r="H21" i="6" s="1"/>
  <c r="H25" i="6" s="1"/>
  <c r="G25" i="6"/>
  <c r="G21" i="6"/>
  <c r="G18" i="6"/>
  <c r="G15" i="6"/>
  <c r="G12" i="6"/>
  <c r="G9" i="6"/>
  <c r="G6" i="6"/>
  <c r="G134" i="5"/>
  <c r="C134" i="5"/>
  <c r="C131" i="5"/>
  <c r="C128" i="5"/>
  <c r="C125" i="5"/>
  <c r="C122" i="5"/>
  <c r="C119" i="5"/>
  <c r="C116" i="5"/>
  <c r="C113" i="5"/>
  <c r="C110" i="5"/>
  <c r="C107" i="5"/>
  <c r="C104" i="5"/>
  <c r="C47" i="5"/>
  <c r="C44" i="5"/>
  <c r="C41" i="5"/>
  <c r="C38" i="5"/>
  <c r="C35" i="5"/>
  <c r="C32" i="5"/>
  <c r="C29" i="5"/>
  <c r="C26" i="5"/>
  <c r="C22" i="5"/>
  <c r="C18" i="5"/>
  <c r="C15" i="5"/>
  <c r="C12" i="5"/>
  <c r="C9" i="5"/>
  <c r="C6" i="5"/>
  <c r="J107" i="5"/>
  <c r="J110" i="5" s="1"/>
  <c r="J113" i="5" s="1"/>
  <c r="J116" i="5" s="1"/>
  <c r="J119" i="5" s="1"/>
  <c r="J122" i="5" s="1"/>
  <c r="J125" i="5" s="1"/>
  <c r="J128" i="5" s="1"/>
  <c r="J131" i="5" s="1"/>
  <c r="J134" i="5" s="1"/>
  <c r="J137" i="5" s="1"/>
  <c r="J140" i="5" s="1"/>
  <c r="J143" i="5" s="1"/>
  <c r="G131" i="5"/>
  <c r="G128" i="5"/>
  <c r="G122" i="5"/>
  <c r="G119" i="5"/>
  <c r="G116" i="5"/>
  <c r="G113" i="5"/>
  <c r="G110" i="5"/>
  <c r="G107" i="5"/>
  <c r="C90" i="4"/>
  <c r="C87" i="4"/>
  <c r="C84" i="4"/>
  <c r="C81" i="4"/>
  <c r="C78" i="4"/>
  <c r="C75" i="4"/>
  <c r="C72" i="4"/>
  <c r="C65" i="4"/>
  <c r="C62" i="4"/>
  <c r="C59" i="4"/>
  <c r="C56" i="4"/>
  <c r="C53" i="4"/>
  <c r="G90" i="4"/>
  <c r="G87" i="4"/>
  <c r="C9" i="11"/>
  <c r="C8" i="11"/>
  <c r="G47" i="5" l="1"/>
  <c r="G44" i="5"/>
  <c r="G41" i="5"/>
  <c r="G38" i="5"/>
  <c r="G35" i="5"/>
  <c r="G32" i="5"/>
  <c r="G26" i="5"/>
  <c r="G22" i="5"/>
  <c r="G18" i="5"/>
  <c r="G15" i="5"/>
  <c r="G12" i="5"/>
  <c r="G9" i="5"/>
  <c r="G6" i="5"/>
  <c r="C45" i="4" l="1"/>
  <c r="C42" i="4"/>
  <c r="C39" i="4"/>
  <c r="C36" i="4"/>
  <c r="C27" i="4"/>
  <c r="C33" i="4"/>
  <c r="C30" i="4"/>
  <c r="C21" i="4"/>
  <c r="C18" i="4"/>
  <c r="C15" i="4"/>
  <c r="C12" i="4"/>
  <c r="C9" i="4"/>
  <c r="C6" i="4"/>
  <c r="G78" i="4"/>
  <c r="J56" i="4"/>
  <c r="G81" i="4"/>
  <c r="G84" i="4"/>
  <c r="G75" i="4"/>
  <c r="G69" i="4"/>
  <c r="G65" i="4"/>
  <c r="G62" i="4"/>
  <c r="G59" i="4"/>
  <c r="G56" i="4"/>
  <c r="G53" i="4"/>
  <c r="Q166" i="11" l="1"/>
  <c r="Z15" i="11"/>
  <c r="Z16" i="11" s="1"/>
  <c r="J177" i="11"/>
  <c r="I177" i="11"/>
  <c r="H177" i="11"/>
  <c r="G177" i="11"/>
  <c r="F177" i="11"/>
  <c r="J176" i="11"/>
  <c r="I176" i="11"/>
  <c r="H176" i="11"/>
  <c r="G176" i="11"/>
  <c r="F176" i="11"/>
  <c r="G45" i="4"/>
  <c r="G42" i="4"/>
  <c r="G39" i="4"/>
  <c r="G36" i="4"/>
  <c r="G33" i="4"/>
  <c r="G30" i="4"/>
  <c r="G24" i="4"/>
  <c r="G21" i="4"/>
  <c r="G18" i="4"/>
  <c r="G15" i="4"/>
  <c r="G12" i="4"/>
  <c r="G9" i="4"/>
  <c r="G6" i="4"/>
  <c r="C308" i="11"/>
  <c r="E308" i="11"/>
  <c r="C309" i="11"/>
  <c r="E309" i="11"/>
  <c r="C310" i="11"/>
  <c r="E310" i="11"/>
  <c r="E314" i="11"/>
  <c r="E313" i="11"/>
  <c r="C313" i="11"/>
  <c r="E312" i="11"/>
  <c r="C312" i="11"/>
  <c r="E311" i="11"/>
  <c r="C311" i="11"/>
  <c r="D330" i="11"/>
  <c r="D329" i="11"/>
  <c r="D328" i="11"/>
  <c r="D327" i="11"/>
  <c r="D325" i="11"/>
  <c r="D326" i="11"/>
  <c r="D324" i="11"/>
  <c r="D323" i="11"/>
  <c r="D322" i="11"/>
  <c r="D321" i="11"/>
  <c r="D320" i="11"/>
  <c r="D319" i="11"/>
  <c r="D318" i="11"/>
  <c r="D317" i="11"/>
  <c r="C319" i="11"/>
  <c r="E319" i="11"/>
  <c r="C320" i="11"/>
  <c r="E320" i="11"/>
  <c r="C321" i="11"/>
  <c r="E321" i="11"/>
  <c r="C322" i="11"/>
  <c r="E322" i="11"/>
  <c r="C323" i="11"/>
  <c r="E323" i="11"/>
  <c r="C324" i="11"/>
  <c r="E324" i="11"/>
  <c r="C6" i="1"/>
  <c r="E306" i="11"/>
  <c r="C306" i="11"/>
  <c r="E305" i="11"/>
  <c r="C305" i="11"/>
  <c r="E304" i="11"/>
  <c r="C304" i="11"/>
  <c r="E303" i="11"/>
  <c r="R166" i="11" l="1"/>
  <c r="G166" i="11"/>
  <c r="Y56" i="4"/>
  <c r="X56" i="4"/>
  <c r="X84" i="4"/>
  <c r="X72" i="4"/>
  <c r="W75" i="4"/>
  <c r="Z72" i="4"/>
  <c r="W56" i="4"/>
  <c r="AA75" i="4"/>
  <c r="V56" i="4"/>
  <c r="Z56" i="4"/>
  <c r="Z35" i="7"/>
  <c r="AE44" i="7"/>
  <c r="AA44" i="7"/>
  <c r="AC278" i="5"/>
  <c r="Y278" i="5"/>
  <c r="AA275" i="5"/>
  <c r="AC272" i="5"/>
  <c r="Y272" i="5"/>
  <c r="AA269" i="5"/>
  <c r="AC266" i="5"/>
  <c r="Y266" i="5"/>
  <c r="AA263" i="5"/>
  <c r="AC260" i="5"/>
  <c r="Y260" i="5"/>
  <c r="AA257" i="5"/>
  <c r="AC254" i="5"/>
  <c r="Y254" i="5"/>
  <c r="AA251" i="5"/>
  <c r="AC248" i="5"/>
  <c r="Y248" i="5"/>
  <c r="AA245" i="5"/>
  <c r="AC242" i="5"/>
  <c r="Y242" i="5"/>
  <c r="AA234" i="5"/>
  <c r="AA231" i="5"/>
  <c r="AA228" i="5"/>
  <c r="AA225" i="5"/>
  <c r="AA222" i="5"/>
  <c r="AA219" i="5"/>
  <c r="AA216" i="5"/>
  <c r="AA213" i="5"/>
  <c r="AA210" i="5"/>
  <c r="AA207" i="5"/>
  <c r="AA204" i="5"/>
  <c r="AA201" i="5"/>
  <c r="AA198" i="5"/>
  <c r="AA190" i="5"/>
  <c r="AC187" i="5"/>
  <c r="Y187" i="5"/>
  <c r="AA184" i="5"/>
  <c r="AD181" i="5"/>
  <c r="Z181" i="5"/>
  <c r="AC178" i="5"/>
  <c r="Y178" i="5"/>
  <c r="AA175" i="5"/>
  <c r="AC172" i="5"/>
  <c r="Y172" i="5"/>
  <c r="AA169" i="5"/>
  <c r="AC166" i="5"/>
  <c r="Y166" i="5"/>
  <c r="AA163" i="5"/>
  <c r="AC160" i="5"/>
  <c r="AB44" i="7"/>
  <c r="AB278" i="5"/>
  <c r="AC275" i="5"/>
  <c r="X275" i="5"/>
  <c r="AB272" i="5"/>
  <c r="AC269" i="5"/>
  <c r="X269" i="5"/>
  <c r="AB266" i="5"/>
  <c r="AC263" i="5"/>
  <c r="X263" i="5"/>
  <c r="AB260" i="5"/>
  <c r="AC257" i="5"/>
  <c r="X257" i="5"/>
  <c r="AB254" i="5"/>
  <c r="AC251" i="5"/>
  <c r="X251" i="5"/>
  <c r="AB248" i="5"/>
  <c r="AC245" i="5"/>
  <c r="X245" i="5"/>
  <c r="AB242" i="5"/>
  <c r="AC234" i="5"/>
  <c r="X234" i="5"/>
  <c r="Z231" i="5"/>
  <c r="AC228" i="5"/>
  <c r="X228" i="5"/>
  <c r="Z225" i="5"/>
  <c r="AC222" i="5"/>
  <c r="X222" i="5"/>
  <c r="Z219" i="5"/>
  <c r="AC216" i="5"/>
  <c r="X216" i="5"/>
  <c r="Z213" i="5"/>
  <c r="AC210" i="5"/>
  <c r="X210" i="5"/>
  <c r="Z207" i="5"/>
  <c r="AC204" i="5"/>
  <c r="X204" i="5"/>
  <c r="Z201" i="5"/>
  <c r="AC198" i="5"/>
  <c r="X198" i="5"/>
  <c r="Z190" i="5"/>
  <c r="Z187" i="5"/>
  <c r="Z184" i="5"/>
  <c r="AA181" i="5"/>
  <c r="AB178" i="5"/>
  <c r="AC175" i="5"/>
  <c r="X175" i="5"/>
  <c r="AB172" i="5"/>
  <c r="AC169" i="5"/>
  <c r="X169" i="5"/>
  <c r="AB166" i="5"/>
  <c r="AC163" i="5"/>
  <c r="X163" i="5"/>
  <c r="AB160" i="5"/>
  <c r="X160" i="5"/>
  <c r="AD157" i="5"/>
  <c r="Z157" i="5"/>
  <c r="AB154" i="5"/>
  <c r="X154" i="5"/>
  <c r="AA151" i="5"/>
  <c r="AC96" i="5"/>
  <c r="Y96" i="5"/>
  <c r="AA93" i="5"/>
  <c r="AC90" i="5"/>
  <c r="Y90" i="5"/>
  <c r="AA87" i="5"/>
  <c r="AC84" i="5"/>
  <c r="Y84" i="5"/>
  <c r="AA81" i="5"/>
  <c r="AC78" i="5"/>
  <c r="Y78" i="5"/>
  <c r="AA75" i="5"/>
  <c r="AC71" i="5"/>
  <c r="Y71" i="5"/>
  <c r="AA67" i="5"/>
  <c r="AC64" i="5"/>
  <c r="Y64" i="5"/>
  <c r="AA61" i="5"/>
  <c r="AC58" i="5"/>
  <c r="Y58" i="5"/>
  <c r="AA55" i="5"/>
  <c r="AC143" i="5"/>
  <c r="Z44" i="7"/>
  <c r="X48" i="7"/>
  <c r="AA278" i="5"/>
  <c r="AB275" i="5"/>
  <c r="AA272" i="5"/>
  <c r="AB269" i="5"/>
  <c r="AA266" i="5"/>
  <c r="AB263" i="5"/>
  <c r="AA260" i="5"/>
  <c r="AB257" i="5"/>
  <c r="AA254" i="5"/>
  <c r="AB251" i="5"/>
  <c r="AA248" i="5"/>
  <c r="AB245" i="5"/>
  <c r="AA242" i="5"/>
  <c r="AB234" i="5"/>
  <c r="AD231" i="5"/>
  <c r="Y231" i="5"/>
  <c r="AB228" i="5"/>
  <c r="AD225" i="5"/>
  <c r="Y225" i="5"/>
  <c r="AB222" i="5"/>
  <c r="AD219" i="5"/>
  <c r="Y219" i="5"/>
  <c r="AB216" i="5"/>
  <c r="AD213" i="5"/>
  <c r="Y213" i="5"/>
  <c r="AB210" i="5"/>
  <c r="AD207" i="5"/>
  <c r="Y207" i="5"/>
  <c r="AB204" i="5"/>
  <c r="X44" i="7"/>
  <c r="AD278" i="5"/>
  <c r="X272" i="5"/>
  <c r="Z269" i="5"/>
  <c r="AD266" i="5"/>
  <c r="X260" i="5"/>
  <c r="Z257" i="5"/>
  <c r="AD254" i="5"/>
  <c r="X248" i="5"/>
  <c r="Z245" i="5"/>
  <c r="AD242" i="5"/>
  <c r="AC231" i="5"/>
  <c r="Z228" i="5"/>
  <c r="X225" i="5"/>
  <c r="AC219" i="5"/>
  <c r="Z216" i="5"/>
  <c r="X213" i="5"/>
  <c r="AC207" i="5"/>
  <c r="Z204" i="5"/>
  <c r="AB201" i="5"/>
  <c r="AB198" i="5"/>
  <c r="AC190" i="5"/>
  <c r="AA187" i="5"/>
  <c r="Y184" i="5"/>
  <c r="X181" i="5"/>
  <c r="X178" i="5"/>
  <c r="AB175" i="5"/>
  <c r="X172" i="5"/>
  <c r="AB169" i="5"/>
  <c r="X166" i="5"/>
  <c r="AB163" i="5"/>
  <c r="Y160" i="5"/>
  <c r="AC157" i="5"/>
  <c r="X157" i="5"/>
  <c r="AD154" i="5"/>
  <c r="Y154" i="5"/>
  <c r="Z151" i="5"/>
  <c r="Z96" i="5"/>
  <c r="Z93" i="5"/>
  <c r="Z90" i="5"/>
  <c r="Z87" i="5"/>
  <c r="Z84" i="5"/>
  <c r="Z81" i="5"/>
  <c r="Z78" i="5"/>
  <c r="Z75" i="5"/>
  <c r="Z71" i="5"/>
  <c r="Z67" i="5"/>
  <c r="Z64" i="5"/>
  <c r="AD44" i="7"/>
  <c r="Z278" i="5"/>
  <c r="AD275" i="5"/>
  <c r="Y269" i="5"/>
  <c r="Z266" i="5"/>
  <c r="AD263" i="5"/>
  <c r="Y257" i="5"/>
  <c r="Z254" i="5"/>
  <c r="AD251" i="5"/>
  <c r="Y245" i="5"/>
  <c r="Z242" i="5"/>
  <c r="AD234" i="5"/>
  <c r="AB231" i="5"/>
  <c r="Y228" i="5"/>
  <c r="AD222" i="5"/>
  <c r="AB219" i="5"/>
  <c r="Y216" i="5"/>
  <c r="AD210" i="5"/>
  <c r="AB207" i="5"/>
  <c r="Y204" i="5"/>
  <c r="Y201" i="5"/>
  <c r="Z198" i="5"/>
  <c r="AB190" i="5"/>
  <c r="X187" i="5"/>
  <c r="AD184" i="5"/>
  <c r="X184" i="5"/>
  <c r="AC181" i="5"/>
  <c r="AD178" i="5"/>
  <c r="Z175" i="5"/>
  <c r="AD172" i="5"/>
  <c r="Z169" i="5"/>
  <c r="AD166" i="5"/>
  <c r="Z163" i="5"/>
  <c r="AD160" i="5"/>
  <c r="AB157" i="5"/>
  <c r="AC154" i="5"/>
  <c r="AD151" i="5"/>
  <c r="Y151" i="5"/>
  <c r="AD96" i="5"/>
  <c r="X96" i="5"/>
  <c r="AD93" i="5"/>
  <c r="Y93" i="5"/>
  <c r="AD90" i="5"/>
  <c r="X90" i="5"/>
  <c r="AD87" i="5"/>
  <c r="Y87" i="5"/>
  <c r="AD84" i="5"/>
  <c r="X84" i="5"/>
  <c r="AD81" i="5"/>
  <c r="Y81" i="5"/>
  <c r="AD78" i="5"/>
  <c r="X78" i="5"/>
  <c r="AD75" i="5"/>
  <c r="Y75" i="5"/>
  <c r="AD71" i="5"/>
  <c r="X71" i="5"/>
  <c r="AD67" i="5"/>
  <c r="Y67" i="5"/>
  <c r="AD64" i="5"/>
  <c r="X64" i="5"/>
  <c r="AD61" i="5"/>
  <c r="Y61" i="5"/>
  <c r="AD58" i="5"/>
  <c r="X58" i="5"/>
  <c r="AD55" i="5"/>
  <c r="Y55" i="5"/>
  <c r="AD143" i="5"/>
  <c r="Y143" i="5"/>
  <c r="X278" i="5"/>
  <c r="Y275" i="5"/>
  <c r="Z272" i="5"/>
  <c r="X254" i="5"/>
  <c r="Y251" i="5"/>
  <c r="Z248" i="5"/>
  <c r="AD228" i="5"/>
  <c r="Y222" i="5"/>
  <c r="AB213" i="5"/>
  <c r="AD204" i="5"/>
  <c r="AD198" i="5"/>
  <c r="X190" i="5"/>
  <c r="AB187" i="5"/>
  <c r="AC184" i="5"/>
  <c r="AB151" i="5"/>
  <c r="AB96" i="5"/>
  <c r="AB87" i="5"/>
  <c r="AB84" i="5"/>
  <c r="AB75" i="5"/>
  <c r="AB71" i="5"/>
  <c r="AB61" i="5"/>
  <c r="AB55" i="5"/>
  <c r="X143" i="5"/>
  <c r="AD140" i="5"/>
  <c r="Z140" i="5"/>
  <c r="AC137" i="5"/>
  <c r="Y137" i="5"/>
  <c r="AA134" i="5"/>
  <c r="AA131" i="5"/>
  <c r="Y44" i="7"/>
  <c r="Y263" i="5"/>
  <c r="X242" i="5"/>
  <c r="AB225" i="5"/>
  <c r="Y210" i="5"/>
  <c r="Y181" i="5"/>
  <c r="AD175" i="5"/>
  <c r="AD169" i="5"/>
  <c r="AD163" i="5"/>
  <c r="AA157" i="5"/>
  <c r="AB93" i="5"/>
  <c r="AB81" i="5"/>
  <c r="AB64" i="5"/>
  <c r="AA58" i="5"/>
  <c r="AA143" i="5"/>
  <c r="X140" i="5"/>
  <c r="AC134" i="5"/>
  <c r="Y131" i="5"/>
  <c r="Z48" i="7"/>
  <c r="Z275" i="5"/>
  <c r="AD269" i="5"/>
  <c r="Z251" i="5"/>
  <c r="AD248" i="5"/>
  <c r="AD245" i="5"/>
  <c r="X231" i="5"/>
  <c r="AC213" i="5"/>
  <c r="X201" i="5"/>
  <c r="AD187" i="5"/>
  <c r="Y175" i="5"/>
  <c r="Y169" i="5"/>
  <c r="Y163" i="5"/>
  <c r="Y157" i="5"/>
  <c r="AC151" i="5"/>
  <c r="X93" i="5"/>
  <c r="AC87" i="5"/>
  <c r="AA78" i="5"/>
  <c r="X67" i="5"/>
  <c r="AC61" i="5"/>
  <c r="Z58" i="5"/>
  <c r="AA140" i="5"/>
  <c r="Z137" i="5"/>
  <c r="X134" i="5"/>
  <c r="AB131" i="5"/>
  <c r="X131" i="5"/>
  <c r="AC44" i="7"/>
  <c r="Z263" i="5"/>
  <c r="AD260" i="5"/>
  <c r="AD257" i="5"/>
  <c r="Z234" i="5"/>
  <c r="AC225" i="5"/>
  <c r="X219" i="5"/>
  <c r="Z210" i="5"/>
  <c r="AD201" i="5"/>
  <c r="Y198" i="5"/>
  <c r="AB184" i="5"/>
  <c r="AB181" i="5"/>
  <c r="X151" i="5"/>
  <c r="AA96" i="5"/>
  <c r="AC93" i="5"/>
  <c r="X87" i="5"/>
  <c r="AA84" i="5"/>
  <c r="AC81" i="5"/>
  <c r="X75" i="5"/>
  <c r="AA71" i="5"/>
  <c r="AC67" i="5"/>
  <c r="Z61" i="5"/>
  <c r="AB58" i="5"/>
  <c r="Z55" i="5"/>
  <c r="AB143" i="5"/>
  <c r="AC140" i="5"/>
  <c r="Y140" i="5"/>
  <c r="AB137" i="5"/>
  <c r="X137" i="5"/>
  <c r="AD134" i="5"/>
  <c r="Z134" i="5"/>
  <c r="AD131" i="5"/>
  <c r="Z131" i="5"/>
  <c r="X266" i="5"/>
  <c r="Z260" i="5"/>
  <c r="Y234" i="5"/>
  <c r="AD216" i="5"/>
  <c r="AC201" i="5"/>
  <c r="AD190" i="5"/>
  <c r="AA178" i="5"/>
  <c r="AA172" i="5"/>
  <c r="AA166" i="5"/>
  <c r="AA160" i="5"/>
  <c r="AA154" i="5"/>
  <c r="AB90" i="5"/>
  <c r="AB78" i="5"/>
  <c r="AB67" i="5"/>
  <c r="X61" i="5"/>
  <c r="X55" i="5"/>
  <c r="AB140" i="5"/>
  <c r="AA137" i="5"/>
  <c r="Y134" i="5"/>
  <c r="AC131" i="5"/>
  <c r="AD272" i="5"/>
  <c r="Z222" i="5"/>
  <c r="X207" i="5"/>
  <c r="Y190" i="5"/>
  <c r="Z178" i="5"/>
  <c r="Z172" i="5"/>
  <c r="Z166" i="5"/>
  <c r="Z160" i="5"/>
  <c r="Z154" i="5"/>
  <c r="AA90" i="5"/>
  <c r="X81" i="5"/>
  <c r="AC75" i="5"/>
  <c r="AA64" i="5"/>
  <c r="AC55" i="5"/>
  <c r="Z143" i="5"/>
  <c r="AD137" i="5"/>
  <c r="AB134" i="5"/>
  <c r="Y75" i="4"/>
  <c r="X45" i="4"/>
  <c r="Z6" i="7"/>
  <c r="AA56" i="4"/>
  <c r="V72" i="4"/>
  <c r="U75" i="4"/>
  <c r="Z90" i="4"/>
  <c r="V90" i="4"/>
  <c r="Y87" i="4"/>
  <c r="U87" i="4"/>
  <c r="Y90" i="4"/>
  <c r="U90" i="4"/>
  <c r="X87" i="4"/>
  <c r="X90" i="4"/>
  <c r="AA87" i="4"/>
  <c r="W87" i="4"/>
  <c r="AA90" i="4"/>
  <c r="W90" i="4"/>
  <c r="Z87" i="4"/>
  <c r="V87" i="4"/>
  <c r="Z84" i="4"/>
  <c r="V84" i="4"/>
  <c r="Z81" i="4"/>
  <c r="V81" i="4"/>
  <c r="Z78" i="4"/>
  <c r="V78" i="4"/>
  <c r="AA69" i="4"/>
  <c r="W69" i="4"/>
  <c r="Z65" i="4"/>
  <c r="V65" i="4"/>
  <c r="Z62" i="4"/>
  <c r="V62" i="4"/>
  <c r="Z59" i="4"/>
  <c r="V59" i="4"/>
  <c r="Z53" i="4"/>
  <c r="V53" i="4"/>
  <c r="Y84" i="4"/>
  <c r="U84" i="4"/>
  <c r="Y81" i="4"/>
  <c r="U81" i="4"/>
  <c r="Y78" i="4"/>
  <c r="U78" i="4"/>
  <c r="Z69" i="4"/>
  <c r="V69" i="4"/>
  <c r="Y65" i="4"/>
  <c r="U65" i="4"/>
  <c r="Y62" i="4"/>
  <c r="U62" i="4"/>
  <c r="Y59" i="4"/>
  <c r="U59" i="4"/>
  <c r="Y53" i="4"/>
  <c r="U53" i="4"/>
  <c r="AA53" i="4"/>
  <c r="X81" i="4"/>
  <c r="X78" i="4"/>
  <c r="Y69" i="4"/>
  <c r="U69" i="4"/>
  <c r="X65" i="4"/>
  <c r="X62" i="4"/>
  <c r="X59" i="4"/>
  <c r="X53" i="4"/>
  <c r="AA84" i="4"/>
  <c r="W84" i="4"/>
  <c r="AA81" i="4"/>
  <c r="W81" i="4"/>
  <c r="AA78" i="4"/>
  <c r="W78" i="4"/>
  <c r="X69" i="4"/>
  <c r="AA65" i="4"/>
  <c r="W65" i="4"/>
  <c r="AA62" i="4"/>
  <c r="W62" i="4"/>
  <c r="AA59" i="4"/>
  <c r="W59" i="4"/>
  <c r="W53" i="4"/>
  <c r="Y10" i="7"/>
  <c r="AD6" i="7"/>
  <c r="Z31" i="7"/>
  <c r="AD31" i="7"/>
  <c r="AD35" i="7"/>
  <c r="W72" i="4"/>
  <c r="AA72" i="4"/>
  <c r="V75" i="4"/>
  <c r="Z75" i="4"/>
  <c r="U45" i="4"/>
  <c r="Y45" i="4"/>
  <c r="AA6" i="7"/>
  <c r="AE6" i="7"/>
  <c r="AA31" i="7"/>
  <c r="AE31" i="7"/>
  <c r="AA35" i="7"/>
  <c r="AE35" i="7"/>
  <c r="U56" i="4"/>
  <c r="V45" i="4"/>
  <c r="Z45" i="4"/>
  <c r="X6" i="7"/>
  <c r="AB6" i="7"/>
  <c r="X25" i="7"/>
  <c r="AB31" i="7"/>
  <c r="X35" i="7"/>
  <c r="AB35" i="7"/>
  <c r="U72" i="4"/>
  <c r="Y72" i="4"/>
  <c r="X75" i="4"/>
  <c r="X21" i="7"/>
  <c r="Y54" i="7"/>
  <c r="W45" i="4"/>
  <c r="AA45" i="4"/>
  <c r="Y48" i="7"/>
  <c r="X10" i="7"/>
  <c r="Y6" i="7"/>
  <c r="AC6" i="7"/>
  <c r="Y25" i="7"/>
  <c r="Y31" i="7"/>
  <c r="AC31" i="7"/>
  <c r="Y35" i="7"/>
  <c r="AC35" i="7"/>
  <c r="Z21" i="7"/>
  <c r="Y21" i="7"/>
  <c r="Z54" i="7"/>
  <c r="Z25" i="7"/>
  <c r="AA48" i="7"/>
  <c r="S166" i="11" l="1"/>
  <c r="H166" i="11"/>
  <c r="Z10" i="7"/>
  <c r="AA21" i="7"/>
  <c r="AA54" i="7"/>
  <c r="AB48" i="7"/>
  <c r="AA25" i="7"/>
  <c r="T166" i="11" l="1"/>
  <c r="J166" i="11" s="1"/>
  <c r="I166" i="11"/>
  <c r="AA10" i="7"/>
  <c r="AB21" i="7"/>
  <c r="AB54" i="7"/>
  <c r="AC48" i="7"/>
  <c r="AB25" i="7"/>
  <c r="AB10" i="7" l="1"/>
  <c r="AC21" i="7"/>
  <c r="AC54" i="7"/>
  <c r="AC25" i="7"/>
  <c r="AD48" i="7"/>
  <c r="AC10" i="7" l="1"/>
  <c r="AD21" i="7"/>
  <c r="AE21" i="7"/>
  <c r="AE54" i="7"/>
  <c r="AD54" i="7"/>
  <c r="AD25" i="7"/>
  <c r="AE25" i="7" l="1"/>
  <c r="AE48" i="7"/>
  <c r="AE10" i="7"/>
  <c r="AD10" i="7"/>
  <c r="O92" i="1" l="1"/>
  <c r="P92" i="1" s="1"/>
  <c r="Q92" i="1" s="1"/>
  <c r="R92" i="1" s="1"/>
  <c r="O49" i="1"/>
  <c r="P49" i="1" s="1"/>
  <c r="Q49" i="1" s="1"/>
  <c r="R49" i="1" s="1"/>
  <c r="C174" i="11"/>
  <c r="E174" i="11"/>
  <c r="C18" i="11"/>
  <c r="E18" i="11"/>
  <c r="C19" i="11"/>
  <c r="E19" i="11"/>
  <c r="C20" i="11"/>
  <c r="E20" i="11"/>
  <c r="C21" i="11"/>
  <c r="E21" i="11"/>
  <c r="E99" i="11"/>
  <c r="C99" i="11"/>
  <c r="E98" i="11"/>
  <c r="C98" i="11"/>
  <c r="E12" i="11"/>
  <c r="C12" i="11"/>
  <c r="E13" i="11"/>
  <c r="C13" i="11"/>
  <c r="C23" i="11"/>
  <c r="E23" i="11"/>
  <c r="C24" i="11"/>
  <c r="E24" i="11"/>
  <c r="E307" i="11"/>
  <c r="Z10" i="11"/>
  <c r="Z11" i="11" s="1"/>
  <c r="E219" i="11"/>
  <c r="E220" i="11"/>
  <c r="E10" i="11"/>
  <c r="C220" i="11"/>
  <c r="C219" i="11"/>
  <c r="E302" i="11"/>
  <c r="C302" i="11"/>
  <c r="E301" i="11"/>
  <c r="C301" i="11"/>
  <c r="E300" i="11"/>
  <c r="C300" i="11"/>
  <c r="E299" i="11"/>
  <c r="C299" i="11"/>
  <c r="E298" i="11"/>
  <c r="C298" i="11"/>
  <c r="E297" i="11"/>
  <c r="C297" i="11"/>
  <c r="E296" i="11"/>
  <c r="C296" i="11"/>
  <c r="E295" i="11"/>
  <c r="C295" i="11"/>
  <c r="E294" i="11"/>
  <c r="C294" i="11"/>
  <c r="E293" i="11"/>
  <c r="C293" i="11"/>
  <c r="E288" i="11"/>
  <c r="C288" i="11"/>
  <c r="E287" i="11"/>
  <c r="C287" i="11"/>
  <c r="E292" i="11"/>
  <c r="C292" i="11"/>
  <c r="E291" i="11"/>
  <c r="C291" i="11"/>
  <c r="E290" i="11"/>
  <c r="C290" i="11"/>
  <c r="E289" i="11"/>
  <c r="C289" i="11"/>
  <c r="E286" i="11"/>
  <c r="C286" i="11"/>
  <c r="E285" i="11"/>
  <c r="C285" i="11"/>
  <c r="E284" i="11"/>
  <c r="C284" i="11"/>
  <c r="E283" i="11"/>
  <c r="C283" i="11"/>
  <c r="E282" i="11"/>
  <c r="C282" i="11"/>
  <c r="E281" i="11"/>
  <c r="C281" i="11"/>
  <c r="E280" i="11"/>
  <c r="C280" i="11"/>
  <c r="E279" i="11"/>
  <c r="C279" i="11"/>
  <c r="E278" i="11"/>
  <c r="C278" i="11"/>
  <c r="E277" i="11"/>
  <c r="C277" i="11"/>
  <c r="E276" i="11"/>
  <c r="C276" i="11"/>
  <c r="E275" i="11"/>
  <c r="C275" i="11"/>
  <c r="E274" i="11"/>
  <c r="C274" i="11"/>
  <c r="E273" i="11"/>
  <c r="C273" i="11"/>
  <c r="E272" i="11"/>
  <c r="C272" i="11"/>
  <c r="E271" i="11"/>
  <c r="C271" i="11"/>
  <c r="E270" i="11"/>
  <c r="C270" i="11"/>
  <c r="E269" i="11"/>
  <c r="C269" i="11"/>
  <c r="E268" i="11"/>
  <c r="C268" i="11"/>
  <c r="E267" i="11"/>
  <c r="C267" i="11"/>
  <c r="E266" i="11"/>
  <c r="C266" i="11"/>
  <c r="E265" i="11"/>
  <c r="C265" i="11"/>
  <c r="E260" i="11"/>
  <c r="C260" i="11"/>
  <c r="E259" i="11"/>
  <c r="C259" i="11"/>
  <c r="E264" i="11"/>
  <c r="C264" i="11"/>
  <c r="E263" i="11"/>
  <c r="C263" i="11"/>
  <c r="E262" i="11"/>
  <c r="C262" i="11"/>
  <c r="E261" i="11"/>
  <c r="C261" i="11"/>
  <c r="E258" i="11"/>
  <c r="C258" i="11"/>
  <c r="E257" i="11"/>
  <c r="C257" i="11"/>
  <c r="E256" i="11"/>
  <c r="C256" i="11"/>
  <c r="E255" i="11"/>
  <c r="C255" i="11"/>
  <c r="E254" i="11"/>
  <c r="C254" i="11"/>
  <c r="E253" i="11"/>
  <c r="C253" i="11"/>
  <c r="E250" i="11"/>
  <c r="C250" i="11"/>
  <c r="E249" i="11"/>
  <c r="C249" i="11"/>
  <c r="E248" i="11"/>
  <c r="C248" i="11"/>
  <c r="E247" i="11"/>
  <c r="C247" i="11"/>
  <c r="E246" i="11"/>
  <c r="C246" i="11"/>
  <c r="E245" i="11"/>
  <c r="C245" i="11"/>
  <c r="AD25" i="11"/>
  <c r="Q15" i="7" l="1"/>
  <c r="N12" i="7"/>
  <c r="P15" i="7"/>
  <c r="M12" i="7"/>
  <c r="Q12" i="7"/>
  <c r="O15" i="7"/>
  <c r="N15" i="7"/>
  <c r="M15" i="7"/>
  <c r="P12" i="7"/>
  <c r="O12" i="7"/>
  <c r="Q43" i="9"/>
  <c r="N42" i="9"/>
  <c r="P39" i="9"/>
  <c r="M36" i="9"/>
  <c r="O33" i="9"/>
  <c r="P43" i="9"/>
  <c r="M42" i="9"/>
  <c r="O39" i="9"/>
  <c r="Q35" i="9"/>
  <c r="N33" i="9"/>
  <c r="O43" i="9"/>
  <c r="Q40" i="9"/>
  <c r="N39" i="9"/>
  <c r="P35" i="9"/>
  <c r="M33" i="9"/>
  <c r="Q42" i="9"/>
  <c r="N43" i="9"/>
  <c r="P40" i="9"/>
  <c r="M39" i="9"/>
  <c r="O35" i="9"/>
  <c r="Q32" i="9"/>
  <c r="P36" i="9"/>
  <c r="M43" i="9"/>
  <c r="O40" i="9"/>
  <c r="Q36" i="9"/>
  <c r="N35" i="9"/>
  <c r="P32" i="9"/>
  <c r="N40" i="9"/>
  <c r="P42" i="9"/>
  <c r="M40" i="9"/>
  <c r="O36" i="9"/>
  <c r="Q33" i="9"/>
  <c r="N32" i="9"/>
  <c r="M35" i="9"/>
  <c r="O42" i="9"/>
  <c r="Q39" i="9"/>
  <c r="N36" i="9"/>
  <c r="P33" i="9"/>
  <c r="M32" i="9"/>
  <c r="O32" i="9"/>
  <c r="Q44" i="7"/>
  <c r="M44" i="7"/>
  <c r="P44" i="7"/>
  <c r="O44" i="7"/>
  <c r="N44" i="7"/>
  <c r="N46" i="7"/>
  <c r="N21" i="7"/>
  <c r="Q21" i="7"/>
  <c r="O21" i="7"/>
  <c r="P46" i="7"/>
  <c r="M46" i="7"/>
  <c r="M21" i="7"/>
  <c r="P21" i="7"/>
  <c r="Q46" i="7"/>
  <c r="O46" i="7"/>
  <c r="P168" i="5"/>
  <c r="Q212" i="5"/>
  <c r="O256" i="5"/>
  <c r="P268" i="5"/>
  <c r="O212" i="5"/>
  <c r="R180" i="5"/>
  <c r="P256" i="5"/>
  <c r="Q268" i="5"/>
  <c r="R212" i="5"/>
  <c r="Q180" i="5"/>
  <c r="Q224" i="5"/>
  <c r="Q168" i="5"/>
  <c r="Q280" i="5"/>
  <c r="O277" i="5"/>
  <c r="Q274" i="5"/>
  <c r="O271" i="5"/>
  <c r="P265" i="5"/>
  <c r="R262" i="5"/>
  <c r="P259" i="5"/>
  <c r="Q253" i="5"/>
  <c r="O250" i="5"/>
  <c r="Q247" i="5"/>
  <c r="O244" i="5"/>
  <c r="R200" i="5"/>
  <c r="Q203" i="5"/>
  <c r="P206" i="5"/>
  <c r="O209" i="5"/>
  <c r="R215" i="5"/>
  <c r="Q218" i="5"/>
  <c r="P221" i="5"/>
  <c r="O227" i="5"/>
  <c r="R230" i="5"/>
  <c r="Q233" i="5"/>
  <c r="P236" i="5"/>
  <c r="Q192" i="5"/>
  <c r="R189" i="5"/>
  <c r="P186" i="5"/>
  <c r="R183" i="5"/>
  <c r="P177" i="5"/>
  <c r="R174" i="5"/>
  <c r="P171" i="5"/>
  <c r="Q165" i="5"/>
  <c r="O162" i="5"/>
  <c r="Q159" i="5"/>
  <c r="O156" i="5"/>
  <c r="Q153" i="5"/>
  <c r="R280" i="5"/>
  <c r="Q277" i="5"/>
  <c r="P274" i="5"/>
  <c r="P271" i="5"/>
  <c r="O265" i="5"/>
  <c r="O262" i="5"/>
  <c r="R250" i="5"/>
  <c r="R247" i="5"/>
  <c r="Q244" i="5"/>
  <c r="O215" i="5"/>
  <c r="O218" i="5"/>
  <c r="O221" i="5"/>
  <c r="P227" i="5"/>
  <c r="P230" i="5"/>
  <c r="P233" i="5"/>
  <c r="Q236" i="5"/>
  <c r="O192" i="5"/>
  <c r="O189" i="5"/>
  <c r="R177" i="5"/>
  <c r="Q174" i="5"/>
  <c r="Q171" i="5"/>
  <c r="P165" i="5"/>
  <c r="P162" i="5"/>
  <c r="O159" i="5"/>
  <c r="O280" i="5"/>
  <c r="R277" i="5"/>
  <c r="Q271" i="5"/>
  <c r="Q262" i="5"/>
  <c r="R253" i="5"/>
  <c r="P247" i="5"/>
  <c r="O200" i="5"/>
  <c r="P203" i="5"/>
  <c r="R206" i="5"/>
  <c r="P215" i="5"/>
  <c r="R218" i="5"/>
  <c r="Q230" i="5"/>
  <c r="P192" i="5"/>
  <c r="Q186" i="5"/>
  <c r="O177" i="5"/>
  <c r="R159" i="5"/>
  <c r="P153" i="5"/>
  <c r="P280" i="5"/>
  <c r="P277" i="5"/>
  <c r="R274" i="5"/>
  <c r="R271" i="5"/>
  <c r="O259" i="5"/>
  <c r="R203" i="5"/>
  <c r="Q209" i="5"/>
  <c r="P218" i="5"/>
  <c r="Q227" i="5"/>
  <c r="O233" i="5"/>
  <c r="R192" i="5"/>
  <c r="O183" i="5"/>
  <c r="O174" i="5"/>
  <c r="O171" i="5"/>
  <c r="O274" i="5"/>
  <c r="P253" i="5"/>
  <c r="Q250" i="5"/>
  <c r="R244" i="5"/>
  <c r="P200" i="5"/>
  <c r="O206" i="5"/>
  <c r="R209" i="5"/>
  <c r="R227" i="5"/>
  <c r="R233" i="5"/>
  <c r="R165" i="5"/>
  <c r="R162" i="5"/>
  <c r="R156" i="5"/>
  <c r="Q265" i="5"/>
  <c r="Q259" i="5"/>
  <c r="O203" i="5"/>
  <c r="P189" i="5"/>
  <c r="P183" i="5"/>
  <c r="P174" i="5"/>
  <c r="O153" i="5"/>
  <c r="O253" i="5"/>
  <c r="O247" i="5"/>
  <c r="Q206" i="5"/>
  <c r="Q221" i="5"/>
  <c r="O236" i="5"/>
  <c r="R186" i="5"/>
  <c r="Q162" i="5"/>
  <c r="Q156" i="5"/>
  <c r="P262" i="5"/>
  <c r="P209" i="5"/>
  <c r="R236" i="5"/>
  <c r="Q177" i="5"/>
  <c r="O186" i="5"/>
  <c r="P156" i="5"/>
  <c r="P250" i="5"/>
  <c r="Q200" i="5"/>
  <c r="O230" i="5"/>
  <c r="O165" i="5"/>
  <c r="R259" i="5"/>
  <c r="P244" i="5"/>
  <c r="Q215" i="5"/>
  <c r="Q189" i="5"/>
  <c r="P159" i="5"/>
  <c r="R221" i="5"/>
  <c r="R171" i="5"/>
  <c r="R265" i="5"/>
  <c r="Q183" i="5"/>
  <c r="R153" i="5"/>
  <c r="R168" i="5"/>
  <c r="O180" i="5"/>
  <c r="Q256" i="5"/>
  <c r="O224" i="5"/>
  <c r="R268" i="5"/>
  <c r="O168" i="5"/>
  <c r="P180" i="5"/>
  <c r="P212" i="5"/>
  <c r="R256" i="5"/>
  <c r="R224" i="5"/>
  <c r="O268" i="5"/>
  <c r="P224" i="5"/>
  <c r="R121" i="5"/>
  <c r="O115" i="5"/>
  <c r="O145" i="5"/>
  <c r="P142" i="5"/>
  <c r="Q133" i="5"/>
  <c r="R130" i="5"/>
  <c r="O124" i="5"/>
  <c r="P112" i="5"/>
  <c r="Q139" i="5"/>
  <c r="R136" i="5"/>
  <c r="O127" i="5"/>
  <c r="P118" i="5"/>
  <c r="Q109" i="5"/>
  <c r="P145" i="5"/>
  <c r="O142" i="5"/>
  <c r="O133" i="5"/>
  <c r="O130" i="5"/>
  <c r="R127" i="5"/>
  <c r="R118" i="5"/>
  <c r="R109" i="5"/>
  <c r="Q121" i="5"/>
  <c r="R124" i="5"/>
  <c r="R112" i="5"/>
  <c r="R139" i="5"/>
  <c r="Q136" i="5"/>
  <c r="Q127" i="5"/>
  <c r="Q118" i="5"/>
  <c r="P109" i="5"/>
  <c r="P121" i="5"/>
  <c r="R145" i="5"/>
  <c r="R142" i="5"/>
  <c r="R133" i="5"/>
  <c r="Q130" i="5"/>
  <c r="Q124" i="5"/>
  <c r="Q112" i="5"/>
  <c r="P139" i="5"/>
  <c r="P136" i="5"/>
  <c r="P127" i="5"/>
  <c r="O118" i="5"/>
  <c r="O109" i="5"/>
  <c r="P133" i="5"/>
  <c r="O139" i="5"/>
  <c r="P130" i="5"/>
  <c r="O136" i="5"/>
  <c r="O121" i="5"/>
  <c r="Q145" i="5"/>
  <c r="P124" i="5"/>
  <c r="Q142" i="5"/>
  <c r="O112" i="5"/>
  <c r="P115" i="5"/>
  <c r="Q115" i="5"/>
  <c r="R115" i="5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07" i="11"/>
  <c r="C107" i="11"/>
  <c r="E106" i="11"/>
  <c r="C106" i="11"/>
  <c r="E111" i="11"/>
  <c r="C111" i="11"/>
  <c r="E110" i="11"/>
  <c r="C110" i="11"/>
  <c r="E109" i="11"/>
  <c r="C109" i="11"/>
  <c r="E108" i="11"/>
  <c r="C108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C138" i="11"/>
  <c r="E138" i="11"/>
  <c r="C139" i="11"/>
  <c r="E139" i="11"/>
  <c r="C140" i="11"/>
  <c r="E140" i="11"/>
  <c r="C141" i="11"/>
  <c r="E141" i="11"/>
  <c r="C142" i="11"/>
  <c r="E142" i="11"/>
  <c r="C143" i="11"/>
  <c r="E143" i="11"/>
  <c r="C144" i="11"/>
  <c r="E144" i="11"/>
  <c r="C145" i="11"/>
  <c r="E145" i="11"/>
  <c r="C179" i="11"/>
  <c r="E179" i="11"/>
  <c r="C180" i="11"/>
  <c r="E180" i="11"/>
  <c r="C181" i="11"/>
  <c r="E181" i="11"/>
  <c r="C182" i="11"/>
  <c r="E182" i="11"/>
  <c r="C183" i="11"/>
  <c r="E183" i="11"/>
  <c r="C184" i="11"/>
  <c r="E184" i="11"/>
  <c r="C185" i="11"/>
  <c r="E185" i="11"/>
  <c r="C186" i="11"/>
  <c r="E186" i="11"/>
  <c r="C187" i="11"/>
  <c r="E187" i="11"/>
  <c r="C188" i="11"/>
  <c r="E188" i="11"/>
  <c r="C189" i="11"/>
  <c r="E189" i="11"/>
  <c r="C190" i="11"/>
  <c r="E190" i="11"/>
  <c r="C191" i="11"/>
  <c r="E191" i="11"/>
  <c r="C192" i="11"/>
  <c r="E192" i="11"/>
  <c r="C193" i="11"/>
  <c r="E193" i="11"/>
  <c r="C194" i="11"/>
  <c r="E194" i="11"/>
  <c r="C195" i="11"/>
  <c r="E195" i="11"/>
  <c r="C196" i="11"/>
  <c r="E196" i="11"/>
  <c r="C197" i="11"/>
  <c r="E197" i="11"/>
  <c r="C198" i="11"/>
  <c r="E198" i="11"/>
  <c r="C199" i="11"/>
  <c r="E199" i="11"/>
  <c r="C200" i="11"/>
  <c r="E200" i="11"/>
  <c r="C201" i="11"/>
  <c r="E201" i="11"/>
  <c r="C202" i="11"/>
  <c r="E202" i="11"/>
  <c r="C203" i="11"/>
  <c r="E203" i="11"/>
  <c r="C204" i="11"/>
  <c r="E204" i="11"/>
  <c r="C205" i="11"/>
  <c r="E205" i="11"/>
  <c r="C206" i="11"/>
  <c r="E206" i="11"/>
  <c r="C207" i="11"/>
  <c r="E207" i="11"/>
  <c r="C208" i="11"/>
  <c r="E208" i="11"/>
  <c r="C209" i="11"/>
  <c r="E209" i="11"/>
  <c r="C210" i="11"/>
  <c r="E210" i="11"/>
  <c r="C211" i="11"/>
  <c r="E211" i="11"/>
  <c r="C212" i="11"/>
  <c r="E212" i="11"/>
  <c r="C213" i="11"/>
  <c r="E213" i="11"/>
  <c r="C214" i="11"/>
  <c r="E214" i="11"/>
  <c r="C215" i="11"/>
  <c r="E215" i="11"/>
  <c r="Q118" i="1" l="1"/>
  <c r="O115" i="1"/>
  <c r="Q112" i="1"/>
  <c r="O109" i="1"/>
  <c r="Q106" i="1"/>
  <c r="O102" i="1"/>
  <c r="Q98" i="1"/>
  <c r="O72" i="1"/>
  <c r="Q69" i="1"/>
  <c r="O66" i="1"/>
  <c r="Q63" i="1"/>
  <c r="O59" i="1"/>
  <c r="Q55" i="1"/>
  <c r="O52" i="1"/>
  <c r="O118" i="1"/>
  <c r="Q115" i="1"/>
  <c r="O112" i="1"/>
  <c r="Q109" i="1"/>
  <c r="O106" i="1"/>
  <c r="Q102" i="1"/>
  <c r="O98" i="1"/>
  <c r="Q72" i="1"/>
  <c r="O69" i="1"/>
  <c r="Q66" i="1"/>
  <c r="O63" i="1"/>
  <c r="Q59" i="1"/>
  <c r="O55" i="1"/>
  <c r="Q52" i="1"/>
  <c r="R118" i="1"/>
  <c r="P109" i="1"/>
  <c r="R106" i="1"/>
  <c r="P66" i="1"/>
  <c r="R63" i="1"/>
  <c r="P52" i="1"/>
  <c r="Q25" i="1"/>
  <c r="O31" i="1"/>
  <c r="Q28" i="1"/>
  <c r="O15" i="1"/>
  <c r="P22" i="1"/>
  <c r="R11" i="1"/>
  <c r="P118" i="1"/>
  <c r="R115" i="1"/>
  <c r="P106" i="1"/>
  <c r="R102" i="1"/>
  <c r="R72" i="1"/>
  <c r="P63" i="1"/>
  <c r="R59" i="1"/>
  <c r="P25" i="1"/>
  <c r="R31" i="1"/>
  <c r="P28" i="1"/>
  <c r="R15" i="1"/>
  <c r="O22" i="1"/>
  <c r="Q11" i="1"/>
  <c r="P112" i="1"/>
  <c r="R66" i="1"/>
  <c r="P55" i="1"/>
  <c r="R25" i="1"/>
  <c r="P15" i="1"/>
  <c r="Q22" i="1"/>
  <c r="P115" i="1"/>
  <c r="R69" i="1"/>
  <c r="P59" i="1"/>
  <c r="P11" i="1"/>
  <c r="R109" i="1"/>
  <c r="P98" i="1"/>
  <c r="R52" i="1"/>
  <c r="P31" i="1"/>
  <c r="R112" i="1"/>
  <c r="P102" i="1"/>
  <c r="R55" i="1"/>
  <c r="O28" i="1"/>
  <c r="R22" i="1"/>
  <c r="R98" i="1"/>
  <c r="O25" i="1"/>
  <c r="Q31" i="1"/>
  <c r="P69" i="1"/>
  <c r="R28" i="1"/>
  <c r="O11" i="1"/>
  <c r="P72" i="1"/>
  <c r="Q15" i="1"/>
  <c r="E147" i="11"/>
  <c r="C147" i="11"/>
  <c r="E146" i="11"/>
  <c r="C146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E29" i="11"/>
  <c r="E9" i="11"/>
  <c r="E8" i="11"/>
  <c r="G35" i="7"/>
  <c r="G31" i="7"/>
  <c r="G25" i="7"/>
  <c r="E26" i="11" l="1"/>
  <c r="C26" i="11"/>
  <c r="E177" i="11" l="1"/>
  <c r="C177" i="11"/>
  <c r="E176" i="11"/>
  <c r="C176" i="11"/>
  <c r="T172" i="11"/>
  <c r="J172" i="11" s="1"/>
  <c r="S172" i="11"/>
  <c r="I172" i="11" s="1"/>
  <c r="R172" i="11"/>
  <c r="H172" i="11" s="1"/>
  <c r="Q172" i="11"/>
  <c r="G172" i="11" s="1"/>
  <c r="P172" i="11"/>
  <c r="F172" i="11" s="1"/>
  <c r="E171" i="11"/>
  <c r="C171" i="11"/>
  <c r="AD110" i="5" l="1"/>
  <c r="AC128" i="5"/>
  <c r="AA122" i="5"/>
  <c r="AA116" i="5"/>
  <c r="AA110" i="5"/>
  <c r="Y122" i="5"/>
  <c r="Y110" i="5"/>
  <c r="X125" i="5"/>
  <c r="X119" i="5"/>
  <c r="X113" i="5"/>
  <c r="AA125" i="5"/>
  <c r="AD122" i="5"/>
  <c r="X42" i="4"/>
  <c r="Y119" i="5"/>
  <c r="Y116" i="5"/>
  <c r="AA107" i="5"/>
  <c r="AB104" i="5"/>
  <c r="X104" i="5"/>
  <c r="AA42" i="4"/>
  <c r="W42" i="4"/>
  <c r="V42" i="4"/>
  <c r="AA128" i="5"/>
  <c r="AD116" i="5"/>
  <c r="AC107" i="5"/>
  <c r="X107" i="5"/>
  <c r="AA104" i="5"/>
  <c r="U42" i="4"/>
  <c r="AD119" i="5"/>
  <c r="AC116" i="5"/>
  <c r="AB107" i="5"/>
  <c r="Z104" i="5"/>
  <c r="Y42" i="4"/>
  <c r="Z119" i="5"/>
  <c r="Y107" i="5"/>
  <c r="Y104" i="5"/>
  <c r="Z116" i="5"/>
  <c r="AD107" i="5"/>
  <c r="AD104" i="5"/>
  <c r="AC119" i="5"/>
  <c r="Z42" i="4"/>
  <c r="Z107" i="5"/>
  <c r="AC104" i="5"/>
  <c r="Y128" i="5"/>
  <c r="AC113" i="5"/>
  <c r="AD128" i="5"/>
  <c r="AB122" i="5"/>
  <c r="AB116" i="5"/>
  <c r="AB110" i="5"/>
  <c r="AB128" i="5"/>
  <c r="Z122" i="5"/>
  <c r="Z110" i="5"/>
  <c r="AC125" i="5"/>
  <c r="AA119" i="5"/>
  <c r="AA113" i="5"/>
  <c r="Y125" i="5"/>
  <c r="Y113" i="5"/>
  <c r="Z128" i="5"/>
  <c r="X122" i="5"/>
  <c r="X116" i="5"/>
  <c r="X110" i="5"/>
  <c r="X128" i="5"/>
  <c r="AD113" i="5"/>
  <c r="AC122" i="5"/>
  <c r="AC110" i="5"/>
  <c r="AD125" i="5"/>
  <c r="AB119" i="5"/>
  <c r="AB113" i="5"/>
  <c r="Z125" i="5"/>
  <c r="AB125" i="5"/>
  <c r="Z113" i="5"/>
  <c r="AC38" i="5" l="1"/>
  <c r="AD38" i="5"/>
  <c r="Y38" i="5"/>
  <c r="AA38" i="5" l="1"/>
  <c r="AB38" i="5"/>
  <c r="X38" i="5"/>
  <c r="Z38" i="5"/>
  <c r="U6" i="4" l="1"/>
  <c r="V6" i="4"/>
  <c r="W6" i="4"/>
  <c r="X6" i="4"/>
  <c r="Y6" i="4"/>
  <c r="Z6" i="4"/>
  <c r="AA6" i="4"/>
  <c r="U9" i="4"/>
  <c r="V9" i="4"/>
  <c r="W9" i="4"/>
  <c r="X9" i="4"/>
  <c r="Y9" i="4"/>
  <c r="Z9" i="4"/>
  <c r="AA9" i="4"/>
  <c r="U12" i="4"/>
  <c r="V12" i="4"/>
  <c r="W12" i="4"/>
  <c r="X12" i="4"/>
  <c r="Y12" i="4"/>
  <c r="Z12" i="4"/>
  <c r="AA12" i="4"/>
  <c r="U15" i="4"/>
  <c r="V15" i="4"/>
  <c r="W15" i="4"/>
  <c r="X15" i="4"/>
  <c r="Y15" i="4"/>
  <c r="Z15" i="4"/>
  <c r="AA15" i="4"/>
  <c r="U18" i="4"/>
  <c r="V18" i="4"/>
  <c r="W18" i="4"/>
  <c r="X18" i="4"/>
  <c r="Y18" i="4"/>
  <c r="Z18" i="4"/>
  <c r="AA18" i="4"/>
  <c r="U21" i="4"/>
  <c r="V21" i="4"/>
  <c r="W21" i="4"/>
  <c r="X21" i="4"/>
  <c r="Y21" i="4"/>
  <c r="Z21" i="4"/>
  <c r="AA21" i="4"/>
  <c r="U24" i="4"/>
  <c r="V24" i="4"/>
  <c r="W24" i="4"/>
  <c r="X24" i="4"/>
  <c r="Y24" i="4"/>
  <c r="Z24" i="4"/>
  <c r="AA24" i="4"/>
  <c r="U30" i="4"/>
  <c r="V30" i="4"/>
  <c r="W30" i="4"/>
  <c r="X30" i="4"/>
  <c r="Y30" i="4"/>
  <c r="Z30" i="4"/>
  <c r="AA30" i="4"/>
  <c r="U33" i="4"/>
  <c r="V33" i="4"/>
  <c r="W33" i="4"/>
  <c r="X33" i="4"/>
  <c r="Y33" i="4"/>
  <c r="Z33" i="4"/>
  <c r="AA33" i="4"/>
  <c r="U27" i="4"/>
  <c r="V27" i="4"/>
  <c r="W27" i="4"/>
  <c r="X27" i="4"/>
  <c r="Y27" i="4"/>
  <c r="Z27" i="4"/>
  <c r="AA27" i="4"/>
  <c r="U39" i="4"/>
  <c r="V39" i="4"/>
  <c r="W39" i="4"/>
  <c r="X39" i="4"/>
  <c r="Y39" i="4"/>
  <c r="Z39" i="4"/>
  <c r="AA39" i="4"/>
  <c r="U36" i="4"/>
  <c r="V36" i="4"/>
  <c r="W36" i="4"/>
  <c r="X36" i="4"/>
  <c r="Y36" i="4"/>
  <c r="Z36" i="4"/>
  <c r="AA36" i="4"/>
  <c r="X6" i="1"/>
  <c r="Y6" i="1"/>
  <c r="Z6" i="1"/>
  <c r="AA6" i="1"/>
  <c r="AB6" i="1"/>
  <c r="AC6" i="1"/>
  <c r="AD6" i="1"/>
  <c r="X9" i="1"/>
  <c r="Y9" i="1"/>
  <c r="Z9" i="1"/>
  <c r="AA9" i="1"/>
  <c r="AB9" i="1"/>
  <c r="AC9" i="1"/>
  <c r="AD9" i="1"/>
  <c r="X12" i="1"/>
  <c r="Y12" i="1"/>
  <c r="Z12" i="1"/>
  <c r="AA12" i="1"/>
  <c r="AB12" i="1"/>
  <c r="AC12" i="1"/>
  <c r="AD12" i="1"/>
  <c r="X16" i="1"/>
  <c r="Y16" i="1"/>
  <c r="Z16" i="1"/>
  <c r="AA16" i="1"/>
  <c r="AB16" i="1"/>
  <c r="AC16" i="1"/>
  <c r="AD16" i="1"/>
  <c r="X20" i="1"/>
  <c r="Y20" i="1"/>
  <c r="Z20" i="1"/>
  <c r="AA20" i="1"/>
  <c r="AB20" i="1"/>
  <c r="AC20" i="1"/>
  <c r="AD20" i="1"/>
  <c r="X32" i="1"/>
  <c r="Y32" i="1"/>
  <c r="Z32" i="1"/>
  <c r="AA32" i="1"/>
  <c r="AB32" i="1"/>
  <c r="AC32" i="1"/>
  <c r="AD32" i="1"/>
  <c r="X35" i="1"/>
  <c r="Y35" i="1"/>
  <c r="Z35" i="1"/>
  <c r="AA35" i="1"/>
  <c r="AB35" i="1"/>
  <c r="AC35" i="1"/>
  <c r="AD35" i="1"/>
  <c r="X38" i="1"/>
  <c r="Y38" i="1"/>
  <c r="Z38" i="1"/>
  <c r="AA38" i="1"/>
  <c r="AB38" i="1"/>
  <c r="AC38" i="1"/>
  <c r="AD38" i="1"/>
  <c r="X41" i="1"/>
  <c r="Y41" i="1"/>
  <c r="Z41" i="1"/>
  <c r="AA41" i="1"/>
  <c r="AB41" i="1"/>
  <c r="AC41" i="1"/>
  <c r="AD41" i="1"/>
  <c r="X93" i="1"/>
  <c r="Y93" i="1"/>
  <c r="Z93" i="1"/>
  <c r="AA93" i="1"/>
  <c r="AB93" i="1"/>
  <c r="AC93" i="1"/>
  <c r="AD93" i="1"/>
  <c r="X96" i="1"/>
  <c r="Y96" i="1"/>
  <c r="Z96" i="1"/>
  <c r="AA96" i="1"/>
  <c r="AB96" i="1"/>
  <c r="AC96" i="1"/>
  <c r="AD96" i="1"/>
  <c r="X99" i="1"/>
  <c r="Y99" i="1"/>
  <c r="Z99" i="1"/>
  <c r="AA99" i="1"/>
  <c r="AB99" i="1"/>
  <c r="AC99" i="1"/>
  <c r="AD99" i="1"/>
  <c r="X103" i="1"/>
  <c r="Y103" i="1"/>
  <c r="Z103" i="1"/>
  <c r="AA103" i="1"/>
  <c r="AB103" i="1"/>
  <c r="AC103" i="1"/>
  <c r="AD103" i="1"/>
  <c r="X107" i="1"/>
  <c r="Y107" i="1"/>
  <c r="Z107" i="1"/>
  <c r="AA107" i="1"/>
  <c r="AB107" i="1"/>
  <c r="AC107" i="1"/>
  <c r="AD107" i="1"/>
  <c r="X113" i="1"/>
  <c r="Y113" i="1"/>
  <c r="Z113" i="1"/>
  <c r="AA113" i="1"/>
  <c r="AB113" i="1"/>
  <c r="AC113" i="1"/>
  <c r="AD113" i="1"/>
  <c r="X116" i="1"/>
  <c r="Y116" i="1"/>
  <c r="Z116" i="1"/>
  <c r="AA116" i="1"/>
  <c r="AB116" i="1"/>
  <c r="AC116" i="1"/>
  <c r="AD116" i="1"/>
  <c r="X119" i="1"/>
  <c r="Y119" i="1"/>
  <c r="Z119" i="1"/>
  <c r="AA119" i="1"/>
  <c r="AB119" i="1"/>
  <c r="AC119" i="1"/>
  <c r="AD119" i="1"/>
  <c r="X123" i="1"/>
  <c r="Y123" i="1"/>
  <c r="Z123" i="1"/>
  <c r="AA123" i="1"/>
  <c r="AB123" i="1"/>
  <c r="AC123" i="1"/>
  <c r="AD123" i="1"/>
  <c r="X126" i="1"/>
  <c r="Y126" i="1"/>
  <c r="Z126" i="1"/>
  <c r="AA126" i="1"/>
  <c r="AB126" i="1"/>
  <c r="AC126" i="1"/>
  <c r="AD126" i="1"/>
  <c r="X129" i="1"/>
  <c r="Y129" i="1"/>
  <c r="Z129" i="1"/>
  <c r="AA129" i="1"/>
  <c r="AB129" i="1"/>
  <c r="AC129" i="1"/>
  <c r="AD129" i="1"/>
  <c r="X50" i="1"/>
  <c r="Y50" i="1"/>
  <c r="Z50" i="1"/>
  <c r="AA50" i="1"/>
  <c r="AB50" i="1"/>
  <c r="AC50" i="1"/>
  <c r="AD50" i="1"/>
  <c r="X53" i="1"/>
  <c r="Y53" i="1"/>
  <c r="Z53" i="1"/>
  <c r="AA53" i="1"/>
  <c r="AB53" i="1"/>
  <c r="AC53" i="1"/>
  <c r="AD53" i="1"/>
  <c r="X56" i="1"/>
  <c r="Y56" i="1"/>
  <c r="Z56" i="1"/>
  <c r="AA56" i="1"/>
  <c r="AB56" i="1"/>
  <c r="AC56" i="1"/>
  <c r="AD56" i="1"/>
  <c r="X60" i="1"/>
  <c r="Y60" i="1"/>
  <c r="Z60" i="1"/>
  <c r="AA60" i="1"/>
  <c r="AB60" i="1"/>
  <c r="AC60" i="1"/>
  <c r="AD60" i="1"/>
  <c r="X64" i="1"/>
  <c r="Y64" i="1"/>
  <c r="Z64" i="1"/>
  <c r="AA64" i="1"/>
  <c r="AB64" i="1"/>
  <c r="AC64" i="1"/>
  <c r="AD64" i="1"/>
  <c r="X76" i="1"/>
  <c r="Y76" i="1"/>
  <c r="Z76" i="1"/>
  <c r="AA76" i="1"/>
  <c r="AB76" i="1"/>
  <c r="AC76" i="1"/>
  <c r="AD76" i="1"/>
  <c r="X79" i="1"/>
  <c r="Y79" i="1"/>
  <c r="Z79" i="1"/>
  <c r="AA79" i="1"/>
  <c r="AB79" i="1"/>
  <c r="AC79" i="1"/>
  <c r="AD79" i="1"/>
  <c r="X82" i="1"/>
  <c r="Y82" i="1"/>
  <c r="Z82" i="1"/>
  <c r="AA82" i="1"/>
  <c r="AB82" i="1"/>
  <c r="AC82" i="1"/>
  <c r="AD82" i="1"/>
  <c r="X85" i="1"/>
  <c r="Y85" i="1"/>
  <c r="Z85" i="1"/>
  <c r="AA85" i="1"/>
  <c r="AB85" i="1"/>
  <c r="AC85" i="1"/>
  <c r="AD85" i="1"/>
  <c r="X6" i="5"/>
  <c r="Y6" i="5"/>
  <c r="Z6" i="5"/>
  <c r="AA6" i="5"/>
  <c r="AB6" i="5"/>
  <c r="AC6" i="5"/>
  <c r="AD6" i="5"/>
  <c r="X9" i="5"/>
  <c r="Y9" i="5"/>
  <c r="Z9" i="5"/>
  <c r="AA9" i="5"/>
  <c r="AB9" i="5"/>
  <c r="AC9" i="5"/>
  <c r="AD9" i="5"/>
  <c r="X12" i="5"/>
  <c r="Y12" i="5"/>
  <c r="Z12" i="5"/>
  <c r="AA12" i="5"/>
  <c r="AB12" i="5"/>
  <c r="AC12" i="5"/>
  <c r="AD12" i="5"/>
  <c r="X15" i="5"/>
  <c r="Y15" i="5"/>
  <c r="Z15" i="5"/>
  <c r="AA15" i="5"/>
  <c r="AB15" i="5"/>
  <c r="AC15" i="5"/>
  <c r="AD15" i="5"/>
  <c r="X18" i="5"/>
  <c r="Y18" i="5"/>
  <c r="Z18" i="5"/>
  <c r="AA18" i="5"/>
  <c r="AB18" i="5"/>
  <c r="AC18" i="5"/>
  <c r="AD18" i="5"/>
  <c r="X22" i="5"/>
  <c r="Y22" i="5"/>
  <c r="Z22" i="5"/>
  <c r="AA22" i="5"/>
  <c r="AB22" i="5"/>
  <c r="AC22" i="5"/>
  <c r="AD22" i="5"/>
  <c r="X26" i="5"/>
  <c r="Y26" i="5"/>
  <c r="Z26" i="5"/>
  <c r="AA26" i="5"/>
  <c r="AB26" i="5"/>
  <c r="AC26" i="5"/>
  <c r="AD26" i="5"/>
  <c r="X29" i="5"/>
  <c r="Y29" i="5"/>
  <c r="Z29" i="5"/>
  <c r="AA29" i="5"/>
  <c r="AB29" i="5"/>
  <c r="AC29" i="5"/>
  <c r="AD29" i="5"/>
  <c r="X32" i="5"/>
  <c r="Y32" i="5"/>
  <c r="Z32" i="5"/>
  <c r="AA32" i="5"/>
  <c r="AB32" i="5"/>
  <c r="AC32" i="5"/>
  <c r="AD32" i="5"/>
  <c r="X35" i="5"/>
  <c r="Y35" i="5"/>
  <c r="Z35" i="5"/>
  <c r="AA35" i="5"/>
  <c r="AB35" i="5"/>
  <c r="AC35" i="5"/>
  <c r="AD35" i="5"/>
  <c r="X41" i="5"/>
  <c r="Y41" i="5"/>
  <c r="Z41" i="5"/>
  <c r="AA41" i="5"/>
  <c r="AB41" i="5"/>
  <c r="AC41" i="5"/>
  <c r="AD41" i="5"/>
  <c r="X44" i="5"/>
  <c r="Y44" i="5"/>
  <c r="Z44" i="5"/>
  <c r="AA44" i="5"/>
  <c r="AB44" i="5"/>
  <c r="AC44" i="5"/>
  <c r="AD44" i="5"/>
  <c r="X47" i="5"/>
  <c r="Y47" i="5"/>
  <c r="Z47" i="5"/>
  <c r="AA47" i="5"/>
  <c r="AB47" i="5"/>
  <c r="AC47" i="5"/>
  <c r="AD47" i="5"/>
  <c r="AA73" i="1" l="1"/>
  <c r="AA29" i="1"/>
  <c r="AA70" i="1"/>
  <c r="AA26" i="1"/>
  <c r="AD29" i="1"/>
  <c r="AD73" i="1"/>
  <c r="Z73" i="1"/>
  <c r="Z29" i="1"/>
  <c r="AD26" i="1"/>
  <c r="AD70" i="1"/>
  <c r="Z70" i="1"/>
  <c r="Z26" i="1"/>
  <c r="AC73" i="1"/>
  <c r="AC29" i="1"/>
  <c r="Y73" i="1"/>
  <c r="Y29" i="1"/>
  <c r="AC70" i="1"/>
  <c r="AC26" i="1"/>
  <c r="Y70" i="1"/>
  <c r="Y26" i="1"/>
  <c r="AB73" i="1"/>
  <c r="AB29" i="1"/>
  <c r="X29" i="1"/>
  <c r="X73" i="1"/>
  <c r="AB70" i="1"/>
  <c r="AB26" i="1"/>
  <c r="X26" i="1"/>
  <c r="X70" i="1"/>
  <c r="G129" i="1"/>
  <c r="G126" i="1"/>
  <c r="G123" i="1"/>
  <c r="G119" i="1"/>
  <c r="G116" i="1"/>
  <c r="G113" i="1"/>
  <c r="G107" i="1"/>
  <c r="G103" i="1"/>
  <c r="G99" i="1"/>
  <c r="G96" i="1"/>
  <c r="G93" i="1"/>
  <c r="J129" i="1" l="1"/>
  <c r="J126" i="1"/>
  <c r="J123" i="1"/>
  <c r="J119" i="1"/>
  <c r="J116" i="1"/>
  <c r="J113" i="1"/>
  <c r="J110" i="1"/>
  <c r="J107" i="1"/>
  <c r="J103" i="1"/>
  <c r="J99" i="1"/>
  <c r="J96" i="1"/>
  <c r="C129" i="1"/>
  <c r="C126" i="1"/>
  <c r="C123" i="1"/>
  <c r="C116" i="1"/>
  <c r="C113" i="1"/>
  <c r="C110" i="1"/>
  <c r="C107" i="1"/>
  <c r="C103" i="1"/>
  <c r="C99" i="1"/>
  <c r="C96" i="1"/>
  <c r="C93" i="1"/>
  <c r="J41" i="1"/>
  <c r="J38" i="1"/>
  <c r="J35" i="1"/>
  <c r="J32" i="1"/>
  <c r="J29" i="1"/>
  <c r="J26" i="1"/>
  <c r="J23" i="1"/>
  <c r="J20" i="1"/>
  <c r="J16" i="1"/>
  <c r="J12" i="1"/>
  <c r="H53" i="1"/>
  <c r="G85" i="1"/>
  <c r="G82" i="1"/>
  <c r="G79" i="1"/>
  <c r="G76" i="1"/>
  <c r="G73" i="1"/>
  <c r="G70" i="1"/>
  <c r="G64" i="1"/>
  <c r="G60" i="1"/>
  <c r="G56" i="1"/>
  <c r="G53" i="1"/>
  <c r="G50" i="1"/>
  <c r="G41" i="1"/>
  <c r="G38" i="1"/>
  <c r="G35" i="1"/>
  <c r="G32" i="1"/>
  <c r="G29" i="1"/>
  <c r="G26" i="1"/>
  <c r="G20" i="1"/>
  <c r="G16" i="1"/>
  <c r="G12" i="1"/>
  <c r="G9" i="1"/>
  <c r="G6" i="1"/>
  <c r="C73" i="1"/>
  <c r="C70" i="1"/>
  <c r="C85" i="1"/>
  <c r="C82" i="1"/>
  <c r="E330" i="11" l="1"/>
  <c r="C330" i="11"/>
  <c r="E329" i="11"/>
  <c r="C329" i="11"/>
  <c r="E328" i="11"/>
  <c r="C328" i="11"/>
  <c r="E327" i="11"/>
  <c r="C327" i="11"/>
  <c r="E325" i="11"/>
  <c r="C325" i="11"/>
  <c r="E326" i="11"/>
  <c r="C326" i="11"/>
  <c r="E318" i="11"/>
  <c r="C318" i="11"/>
  <c r="E317" i="11"/>
  <c r="C317" i="11"/>
  <c r="C307" i="11"/>
  <c r="E244" i="11"/>
  <c r="C244" i="11"/>
  <c r="E243" i="11"/>
  <c r="C243" i="11"/>
  <c r="E242" i="11"/>
  <c r="C242" i="11"/>
  <c r="E241" i="11"/>
  <c r="C241" i="11"/>
  <c r="E240" i="11"/>
  <c r="C240" i="11"/>
  <c r="E239" i="11"/>
  <c r="C239" i="11"/>
  <c r="E238" i="11"/>
  <c r="C238" i="11"/>
  <c r="E237" i="11"/>
  <c r="C237" i="11"/>
  <c r="E236" i="11"/>
  <c r="C236" i="11"/>
  <c r="E235" i="11"/>
  <c r="C235" i="11"/>
  <c r="E234" i="11"/>
  <c r="C234" i="11"/>
  <c r="E233" i="11"/>
  <c r="C233" i="11"/>
  <c r="E232" i="11"/>
  <c r="C232" i="11"/>
  <c r="E231" i="11"/>
  <c r="C231" i="11"/>
  <c r="E230" i="11"/>
  <c r="C230" i="11"/>
  <c r="E229" i="11"/>
  <c r="C229" i="11"/>
  <c r="E228" i="11"/>
  <c r="C228" i="11"/>
  <c r="E227" i="11"/>
  <c r="C227" i="11"/>
  <c r="E226" i="11"/>
  <c r="C226" i="11"/>
  <c r="E225" i="11"/>
  <c r="C225" i="11"/>
  <c r="E224" i="11"/>
  <c r="C224" i="11"/>
  <c r="E223" i="11"/>
  <c r="C223" i="11"/>
  <c r="E222" i="11"/>
  <c r="C222" i="11"/>
  <c r="E221" i="11"/>
  <c r="C221" i="11"/>
  <c r="E218" i="11"/>
  <c r="C218" i="11"/>
  <c r="E217" i="11"/>
  <c r="C217" i="11"/>
  <c r="E216" i="11"/>
  <c r="C216" i="11"/>
  <c r="E178" i="11"/>
  <c r="C178" i="11"/>
  <c r="E175" i="11"/>
  <c r="C175" i="11"/>
  <c r="E173" i="11"/>
  <c r="C173" i="11"/>
  <c r="E172" i="11"/>
  <c r="C172" i="11"/>
  <c r="E170" i="11"/>
  <c r="C170" i="11"/>
  <c r="E169" i="11"/>
  <c r="C169" i="11"/>
  <c r="E168" i="11"/>
  <c r="C168" i="11"/>
  <c r="E167" i="11"/>
  <c r="C167" i="11"/>
  <c r="E166" i="11"/>
  <c r="C166" i="11"/>
  <c r="E165" i="11"/>
  <c r="C165" i="11"/>
  <c r="E164" i="11"/>
  <c r="C164" i="11"/>
  <c r="E163" i="11"/>
  <c r="C163" i="11"/>
  <c r="E133" i="11"/>
  <c r="C133" i="11"/>
  <c r="E132" i="11"/>
  <c r="C132" i="11"/>
  <c r="E137" i="11"/>
  <c r="C137" i="11"/>
  <c r="E136" i="11"/>
  <c r="C136" i="11"/>
  <c r="E135" i="11"/>
  <c r="C135" i="11"/>
  <c r="E134" i="11"/>
  <c r="C134" i="11"/>
  <c r="E131" i="11"/>
  <c r="C131" i="11"/>
  <c r="E130" i="11"/>
  <c r="C130" i="11"/>
  <c r="E129" i="11"/>
  <c r="C129" i="11"/>
  <c r="E128" i="11"/>
  <c r="C128" i="11"/>
  <c r="E127" i="11"/>
  <c r="C127" i="11"/>
  <c r="E126" i="11"/>
  <c r="C126" i="11"/>
  <c r="E125" i="11"/>
  <c r="C125" i="11"/>
  <c r="E124" i="11"/>
  <c r="C124" i="11"/>
  <c r="E123" i="11"/>
  <c r="C123" i="11"/>
  <c r="E122" i="11"/>
  <c r="C122" i="11"/>
  <c r="E121" i="11"/>
  <c r="C121" i="11"/>
  <c r="E120" i="11"/>
  <c r="C120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31" i="11"/>
  <c r="E30" i="11"/>
  <c r="E28" i="11"/>
  <c r="C28" i="11"/>
  <c r="E27" i="11"/>
  <c r="C27" i="11"/>
  <c r="E25" i="11"/>
  <c r="C25" i="11"/>
  <c r="E22" i="11"/>
  <c r="C22" i="11"/>
  <c r="E17" i="11"/>
  <c r="C17" i="11"/>
  <c r="E16" i="11"/>
  <c r="C16" i="11"/>
  <c r="E15" i="11"/>
  <c r="C15" i="11"/>
  <c r="E14" i="11"/>
  <c r="C14" i="11"/>
  <c r="E11" i="11"/>
  <c r="C11" i="11"/>
  <c r="C10" i="11"/>
  <c r="M8" i="6" l="1"/>
  <c r="O11" i="6"/>
  <c r="P8" i="6"/>
  <c r="Q10" i="6"/>
  <c r="P11" i="6"/>
  <c r="Q8" i="6"/>
  <c r="N8" i="6"/>
  <c r="Q11" i="6"/>
  <c r="N7" i="6"/>
  <c r="M11" i="6"/>
  <c r="N10" i="6"/>
  <c r="Q7" i="6"/>
  <c r="P10" i="6"/>
  <c r="O8" i="6"/>
  <c r="P7" i="6"/>
  <c r="M7" i="6"/>
  <c r="M10" i="6"/>
  <c r="O10" i="6"/>
  <c r="O7" i="6"/>
  <c r="N11" i="6"/>
  <c r="Q21" i="9"/>
  <c r="N20" i="9"/>
  <c r="P23" i="9"/>
  <c r="N24" i="9"/>
  <c r="P21" i="9"/>
  <c r="M20" i="9"/>
  <c r="O23" i="9"/>
  <c r="O21" i="9"/>
  <c r="Q24" i="9"/>
  <c r="N23" i="9"/>
  <c r="N21" i="9"/>
  <c r="P24" i="9"/>
  <c r="M23" i="9"/>
  <c r="Q20" i="9"/>
  <c r="M21" i="9"/>
  <c r="O24" i="9"/>
  <c r="P20" i="9"/>
  <c r="M24" i="9"/>
  <c r="O20" i="9"/>
  <c r="Q23" i="9"/>
  <c r="L20" i="4"/>
  <c r="M26" i="4"/>
  <c r="M13" i="4"/>
  <c r="N25" i="4"/>
  <c r="L14" i="4"/>
  <c r="O34" i="4"/>
  <c r="L47" i="4"/>
  <c r="N8" i="4"/>
  <c r="O19" i="4"/>
  <c r="N22" i="4"/>
  <c r="L11" i="4"/>
  <c r="O37" i="4"/>
  <c r="N38" i="4"/>
  <c r="N43" i="4"/>
  <c r="O35" i="4"/>
  <c r="L44" i="4"/>
  <c r="M38" i="4"/>
  <c r="O22" i="4"/>
  <c r="L35" i="4"/>
  <c r="M41" i="4"/>
  <c r="O47" i="4"/>
  <c r="N41" i="4"/>
  <c r="O32" i="4"/>
  <c r="L16" i="4"/>
  <c r="N20" i="4"/>
  <c r="M28" i="4"/>
  <c r="L23" i="4"/>
  <c r="L31" i="4"/>
  <c r="N14" i="4"/>
  <c r="N19" i="4"/>
  <c r="L34" i="4"/>
  <c r="N10" i="4"/>
  <c r="L25" i="4"/>
  <c r="M32" i="4"/>
  <c r="M16" i="4"/>
  <c r="O40" i="4"/>
  <c r="L32" i="4"/>
  <c r="O25" i="4"/>
  <c r="O44" i="4"/>
  <c r="N16" i="4"/>
  <c r="M20" i="4"/>
  <c r="L26" i="4"/>
  <c r="L43" i="4"/>
  <c r="L37" i="4"/>
  <c r="O23" i="4"/>
  <c r="M46" i="4"/>
  <c r="M29" i="4"/>
  <c r="L13" i="4"/>
  <c r="O26" i="4"/>
  <c r="O14" i="4"/>
  <c r="O11" i="4"/>
  <c r="N26" i="4"/>
  <c r="O28" i="4"/>
  <c r="L22" i="4"/>
  <c r="N47" i="4"/>
  <c r="O10" i="4"/>
  <c r="N37" i="4"/>
  <c r="N34" i="4"/>
  <c r="M14" i="4"/>
  <c r="N29" i="4"/>
  <c r="M40" i="4"/>
  <c r="O43" i="4"/>
  <c r="M23" i="4"/>
  <c r="M37" i="4"/>
  <c r="N23" i="4"/>
  <c r="M44" i="4"/>
  <c r="M17" i="4"/>
  <c r="L7" i="4"/>
  <c r="M19" i="4"/>
  <c r="N46" i="4"/>
  <c r="N11" i="4"/>
  <c r="N31" i="4"/>
  <c r="O20" i="4"/>
  <c r="M8" i="4"/>
  <c r="M43" i="4"/>
  <c r="O16" i="4"/>
  <c r="O46" i="4"/>
  <c r="L40" i="4"/>
  <c r="L46" i="4"/>
  <c r="M10" i="4"/>
  <c r="L17" i="4"/>
  <c r="M34" i="4"/>
  <c r="N40" i="4"/>
  <c r="N35" i="4"/>
  <c r="N17" i="4"/>
  <c r="N13" i="4"/>
  <c r="O41" i="4"/>
  <c r="N28" i="4"/>
  <c r="O31" i="4"/>
  <c r="O7" i="4"/>
  <c r="L10" i="4"/>
  <c r="M35" i="4"/>
  <c r="L8" i="4"/>
  <c r="L29" i="4"/>
  <c r="M25" i="4"/>
  <c r="O13" i="4"/>
  <c r="N32" i="4"/>
  <c r="L28" i="4"/>
  <c r="L19" i="4"/>
  <c r="N44" i="4"/>
  <c r="M31" i="4"/>
  <c r="O8" i="4"/>
  <c r="L41" i="4"/>
  <c r="M22" i="4"/>
  <c r="O29" i="4"/>
  <c r="O38" i="4"/>
  <c r="O17" i="4"/>
  <c r="N7" i="4"/>
  <c r="L38" i="4"/>
  <c r="M7" i="4"/>
  <c r="M47" i="4"/>
  <c r="M11" i="4"/>
  <c r="O7" i="7"/>
  <c r="O9" i="7"/>
  <c r="N9" i="7"/>
  <c r="P7" i="7"/>
  <c r="P9" i="7"/>
  <c r="M7" i="7"/>
  <c r="Q7" i="7"/>
  <c r="N7" i="7"/>
  <c r="Q9" i="7"/>
  <c r="M9" i="7"/>
  <c r="O92" i="4"/>
  <c r="L91" i="4"/>
  <c r="M89" i="4"/>
  <c r="N88" i="4"/>
  <c r="O86" i="4"/>
  <c r="L85" i="4"/>
  <c r="M83" i="4"/>
  <c r="N82" i="4"/>
  <c r="O80" i="4"/>
  <c r="L79" i="4"/>
  <c r="M77" i="4"/>
  <c r="N76" i="4"/>
  <c r="O74" i="4"/>
  <c r="L73" i="4"/>
  <c r="M71" i="4"/>
  <c r="N70" i="4"/>
  <c r="O68" i="4"/>
  <c r="L67" i="4"/>
  <c r="M64" i="4"/>
  <c r="N63" i="4"/>
  <c r="O61" i="4"/>
  <c r="L60" i="4"/>
  <c r="M58" i="4"/>
  <c r="N57" i="4"/>
  <c r="O55" i="4"/>
  <c r="L54" i="4"/>
  <c r="N92" i="4"/>
  <c r="O91" i="4"/>
  <c r="L89" i="4"/>
  <c r="M88" i="4"/>
  <c r="N86" i="4"/>
  <c r="O85" i="4"/>
  <c r="L83" i="4"/>
  <c r="M82" i="4"/>
  <c r="N80" i="4"/>
  <c r="O79" i="4"/>
  <c r="L77" i="4"/>
  <c r="M76" i="4"/>
  <c r="N74" i="4"/>
  <c r="O73" i="4"/>
  <c r="L71" i="4"/>
  <c r="M70" i="4"/>
  <c r="N68" i="4"/>
  <c r="O67" i="4"/>
  <c r="L64" i="4"/>
  <c r="M63" i="4"/>
  <c r="N61" i="4"/>
  <c r="O60" i="4"/>
  <c r="L58" i="4"/>
  <c r="M57" i="4"/>
  <c r="N55" i="4"/>
  <c r="O54" i="4"/>
  <c r="M92" i="4"/>
  <c r="N91" i="4"/>
  <c r="O89" i="4"/>
  <c r="L88" i="4"/>
  <c r="M86" i="4"/>
  <c r="N85" i="4"/>
  <c r="O83" i="4"/>
  <c r="L82" i="4"/>
  <c r="M80" i="4"/>
  <c r="N79" i="4"/>
  <c r="O77" i="4"/>
  <c r="L76" i="4"/>
  <c r="M74" i="4"/>
  <c r="N73" i="4"/>
  <c r="O71" i="4"/>
  <c r="L92" i="4"/>
  <c r="O82" i="4"/>
  <c r="N77" i="4"/>
  <c r="M73" i="4"/>
  <c r="M67" i="4"/>
  <c r="O63" i="4"/>
  <c r="L61" i="4"/>
  <c r="N58" i="4"/>
  <c r="M54" i="4"/>
  <c r="M91" i="4"/>
  <c r="L86" i="4"/>
  <c r="O76" i="4"/>
  <c r="N71" i="4"/>
  <c r="M68" i="4"/>
  <c r="O64" i="4"/>
  <c r="L63" i="4"/>
  <c r="N60" i="4"/>
  <c r="M55" i="4"/>
  <c r="N89" i="4"/>
  <c r="M85" i="4"/>
  <c r="L80" i="4"/>
  <c r="O70" i="4"/>
  <c r="L68" i="4"/>
  <c r="N64" i="4"/>
  <c r="M60" i="4"/>
  <c r="O57" i="4"/>
  <c r="L55" i="4"/>
  <c r="O88" i="4"/>
  <c r="N83" i="4"/>
  <c r="M79" i="4"/>
  <c r="L74" i="4"/>
  <c r="L70" i="4"/>
  <c r="N67" i="4"/>
  <c r="M61" i="4"/>
  <c r="O58" i="4"/>
  <c r="L57" i="4"/>
  <c r="N54" i="4"/>
  <c r="Q40" i="6"/>
  <c r="M40" i="6"/>
  <c r="N39" i="6"/>
  <c r="O37" i="6"/>
  <c r="P36" i="6"/>
  <c r="Q28" i="6"/>
  <c r="M28" i="6"/>
  <c r="N27" i="6"/>
  <c r="O24" i="6"/>
  <c r="P23" i="6"/>
  <c r="Q20" i="6"/>
  <c r="M20" i="6"/>
  <c r="N19" i="6"/>
  <c r="O17" i="6"/>
  <c r="P16" i="6"/>
  <c r="Q14" i="6"/>
  <c r="M14" i="6"/>
  <c r="N13" i="6"/>
  <c r="P40" i="6"/>
  <c r="Q39" i="6"/>
  <c r="M39" i="6"/>
  <c r="N37" i="6"/>
  <c r="O36" i="6"/>
  <c r="P28" i="6"/>
  <c r="Q27" i="6"/>
  <c r="M27" i="6"/>
  <c r="N24" i="6"/>
  <c r="O23" i="6"/>
  <c r="P20" i="6"/>
  <c r="Q19" i="6"/>
  <c r="M19" i="6"/>
  <c r="N17" i="6"/>
  <c r="O16" i="6"/>
  <c r="P14" i="6"/>
  <c r="Q13" i="6"/>
  <c r="M13" i="6"/>
  <c r="O40" i="6"/>
  <c r="P39" i="6"/>
  <c r="Q37" i="6"/>
  <c r="M37" i="6"/>
  <c r="N36" i="6"/>
  <c r="O28" i="6"/>
  <c r="P27" i="6"/>
  <c r="Q24" i="6"/>
  <c r="M24" i="6"/>
  <c r="N23" i="6"/>
  <c r="O20" i="6"/>
  <c r="P19" i="6"/>
  <c r="Q17" i="6"/>
  <c r="M17" i="6"/>
  <c r="N16" i="6"/>
  <c r="O14" i="6"/>
  <c r="P13" i="6"/>
  <c r="N40" i="6"/>
  <c r="O39" i="6"/>
  <c r="P37" i="6"/>
  <c r="Q36" i="6"/>
  <c r="M36" i="6"/>
  <c r="N28" i="6"/>
  <c r="O27" i="6"/>
  <c r="P24" i="6"/>
  <c r="Q23" i="6"/>
  <c r="M23" i="6"/>
  <c r="N20" i="6"/>
  <c r="O19" i="6"/>
  <c r="P17" i="6"/>
  <c r="Q16" i="6"/>
  <c r="M16" i="6"/>
  <c r="N14" i="6"/>
  <c r="O13" i="6"/>
  <c r="Q18" i="9"/>
  <c r="M18" i="9"/>
  <c r="N17" i="9"/>
  <c r="O9" i="9"/>
  <c r="P8" i="9"/>
  <c r="P18" i="9"/>
  <c r="Q17" i="9"/>
  <c r="M17" i="9"/>
  <c r="N9" i="9"/>
  <c r="O8" i="9"/>
  <c r="O18" i="9"/>
  <c r="P17" i="9"/>
  <c r="Q9" i="9"/>
  <c r="M9" i="9"/>
  <c r="N8" i="9"/>
  <c r="N18" i="9"/>
  <c r="O17" i="9"/>
  <c r="P9" i="9"/>
  <c r="Q8" i="9"/>
  <c r="M8" i="9"/>
  <c r="O18" i="8"/>
  <c r="O17" i="8"/>
  <c r="O9" i="8"/>
  <c r="P8" i="8"/>
  <c r="N18" i="8"/>
  <c r="N17" i="8"/>
  <c r="N9" i="8"/>
  <c r="O8" i="8"/>
  <c r="Q18" i="8"/>
  <c r="Q17" i="8"/>
  <c r="Q9" i="8"/>
  <c r="M9" i="8"/>
  <c r="N8" i="8"/>
  <c r="P18" i="8"/>
  <c r="P17" i="8"/>
  <c r="P9" i="8"/>
  <c r="Q8" i="8"/>
  <c r="M8" i="8"/>
  <c r="M17" i="8"/>
  <c r="M18" i="8"/>
  <c r="Q95" i="1"/>
  <c r="O95" i="1"/>
  <c r="P95" i="1"/>
  <c r="R95" i="1"/>
  <c r="O8" i="1"/>
  <c r="Q8" i="1"/>
  <c r="P8" i="1"/>
  <c r="R8" i="1"/>
  <c r="N37" i="7"/>
  <c r="O37" i="7"/>
  <c r="Q37" i="7"/>
  <c r="P37" i="7"/>
  <c r="M37" i="7"/>
  <c r="N23" i="7"/>
  <c r="M23" i="7"/>
  <c r="P23" i="7"/>
  <c r="Q23" i="7"/>
  <c r="O23" i="7"/>
  <c r="N33" i="7"/>
  <c r="Q33" i="7"/>
  <c r="P33" i="7"/>
  <c r="M33" i="7"/>
  <c r="O33" i="7"/>
  <c r="P211" i="5"/>
  <c r="O258" i="5"/>
  <c r="R223" i="5"/>
  <c r="O214" i="5"/>
  <c r="P267" i="5"/>
  <c r="R211" i="5"/>
  <c r="O255" i="5"/>
  <c r="P214" i="5"/>
  <c r="Q258" i="5"/>
  <c r="P223" i="5"/>
  <c r="Q267" i="5"/>
  <c r="O95" i="5"/>
  <c r="O83" i="5"/>
  <c r="O70" i="5"/>
  <c r="O57" i="5"/>
  <c r="O122" i="1"/>
  <c r="O78" i="1"/>
  <c r="O86" i="5"/>
  <c r="O74" i="5"/>
  <c r="O60" i="5"/>
  <c r="O125" i="1"/>
  <c r="O81" i="1"/>
  <c r="P122" i="1"/>
  <c r="Q34" i="1"/>
  <c r="P86" i="5"/>
  <c r="P60" i="5"/>
  <c r="R86" i="5"/>
  <c r="R74" i="5"/>
  <c r="R60" i="5"/>
  <c r="R84" i="1"/>
  <c r="R37" i="1"/>
  <c r="P83" i="5"/>
  <c r="P57" i="5"/>
  <c r="P37" i="1"/>
  <c r="P128" i="1"/>
  <c r="P43" i="1"/>
  <c r="R81" i="1"/>
  <c r="Q92" i="5"/>
  <c r="Q80" i="5"/>
  <c r="Q66" i="5"/>
  <c r="Q131" i="1"/>
  <c r="Q87" i="1"/>
  <c r="Q75" i="1"/>
  <c r="Q95" i="5"/>
  <c r="Q83" i="5"/>
  <c r="Q70" i="5"/>
  <c r="Q57" i="5"/>
  <c r="Q122" i="1"/>
  <c r="Q78" i="1"/>
  <c r="P78" i="1"/>
  <c r="O43" i="1"/>
  <c r="P80" i="5"/>
  <c r="R95" i="5"/>
  <c r="R83" i="5"/>
  <c r="R70" i="5"/>
  <c r="R57" i="5"/>
  <c r="R43" i="1"/>
  <c r="P77" i="5"/>
  <c r="R34" i="1"/>
  <c r="R125" i="1"/>
  <c r="Q37" i="1"/>
  <c r="P84" i="1"/>
  <c r="R78" i="1"/>
  <c r="O89" i="5"/>
  <c r="O77" i="5"/>
  <c r="O63" i="5"/>
  <c r="O128" i="1"/>
  <c r="O84" i="1"/>
  <c r="O92" i="5"/>
  <c r="O80" i="5"/>
  <c r="O66" i="5"/>
  <c r="O131" i="1"/>
  <c r="O87" i="1"/>
  <c r="O75" i="1"/>
  <c r="R131" i="1"/>
  <c r="R75" i="1"/>
  <c r="Q40" i="1"/>
  <c r="P74" i="5"/>
  <c r="R92" i="5"/>
  <c r="R80" i="5"/>
  <c r="R66" i="5"/>
  <c r="P131" i="1"/>
  <c r="P75" i="1"/>
  <c r="P34" i="1"/>
  <c r="P92" i="5"/>
  <c r="P70" i="5"/>
  <c r="R122" i="1"/>
  <c r="P81" i="1"/>
  <c r="Q43" i="1"/>
  <c r="R40" i="1"/>
  <c r="Q86" i="5"/>
  <c r="Q74" i="5"/>
  <c r="Q60" i="5"/>
  <c r="Q125" i="1"/>
  <c r="Q81" i="1"/>
  <c r="Q89" i="5"/>
  <c r="Q77" i="5"/>
  <c r="Q63" i="5"/>
  <c r="Q128" i="1"/>
  <c r="Q84" i="1"/>
  <c r="R87" i="1"/>
  <c r="O37" i="1"/>
  <c r="P95" i="5"/>
  <c r="P66" i="5"/>
  <c r="R89" i="5"/>
  <c r="R77" i="5"/>
  <c r="R63" i="5"/>
  <c r="R128" i="1"/>
  <c r="P87" i="1"/>
  <c r="P40" i="1"/>
  <c r="P89" i="5"/>
  <c r="P63" i="5"/>
  <c r="O34" i="1"/>
  <c r="P125" i="1"/>
  <c r="O40" i="1"/>
  <c r="R279" i="5"/>
  <c r="P276" i="5"/>
  <c r="R273" i="5"/>
  <c r="Q264" i="5"/>
  <c r="O261" i="5"/>
  <c r="R252" i="5"/>
  <c r="P249" i="5"/>
  <c r="R246" i="5"/>
  <c r="P243" i="5"/>
  <c r="Q235" i="5"/>
  <c r="R232" i="5"/>
  <c r="O220" i="5"/>
  <c r="P205" i="5"/>
  <c r="Q229" i="5"/>
  <c r="R217" i="5"/>
  <c r="O208" i="5"/>
  <c r="P202" i="5"/>
  <c r="Q199" i="5"/>
  <c r="O188" i="5"/>
  <c r="Q185" i="5"/>
  <c r="O182" i="5"/>
  <c r="Q176" i="5"/>
  <c r="O173" i="5"/>
  <c r="R164" i="5"/>
  <c r="P161" i="5"/>
  <c r="R158" i="5"/>
  <c r="P155" i="5"/>
  <c r="R152" i="5"/>
  <c r="O141" i="5"/>
  <c r="P129" i="5"/>
  <c r="Q111" i="5"/>
  <c r="R138" i="5"/>
  <c r="O135" i="5"/>
  <c r="P126" i="5"/>
  <c r="Q279" i="5"/>
  <c r="Q276" i="5"/>
  <c r="P273" i="5"/>
  <c r="O264" i="5"/>
  <c r="R249" i="5"/>
  <c r="Q246" i="5"/>
  <c r="Q243" i="5"/>
  <c r="P235" i="5"/>
  <c r="P232" i="5"/>
  <c r="P220" i="5"/>
  <c r="O205" i="5"/>
  <c r="O229" i="5"/>
  <c r="O217" i="5"/>
  <c r="R182" i="5"/>
  <c r="R176" i="5"/>
  <c r="Q173" i="5"/>
  <c r="P164" i="5"/>
  <c r="O161" i="5"/>
  <c r="O158" i="5"/>
  <c r="R141" i="5"/>
  <c r="R129" i="5"/>
  <c r="R111" i="5"/>
  <c r="Q138" i="5"/>
  <c r="Q135" i="5"/>
  <c r="Q126" i="5"/>
  <c r="Q117" i="5"/>
  <c r="R114" i="5"/>
  <c r="O108" i="5"/>
  <c r="P94" i="5"/>
  <c r="Q91" i="5"/>
  <c r="R88" i="5"/>
  <c r="O85" i="5"/>
  <c r="P82" i="5"/>
  <c r="Q79" i="5"/>
  <c r="R76" i="5"/>
  <c r="O73" i="5"/>
  <c r="P69" i="5"/>
  <c r="Q65" i="5"/>
  <c r="R62" i="5"/>
  <c r="O59" i="5"/>
  <c r="P56" i="5"/>
  <c r="Q27" i="5"/>
  <c r="O276" i="5"/>
  <c r="P261" i="5"/>
  <c r="P252" i="5"/>
  <c r="O246" i="5"/>
  <c r="R243" i="5"/>
  <c r="O235" i="5"/>
  <c r="R220" i="5"/>
  <c r="Q205" i="5"/>
  <c r="Q208" i="5"/>
  <c r="O202" i="5"/>
  <c r="R188" i="5"/>
  <c r="O185" i="5"/>
  <c r="Q182" i="5"/>
  <c r="P173" i="5"/>
  <c r="Q164" i="5"/>
  <c r="P158" i="5"/>
  <c r="R155" i="5"/>
  <c r="O152" i="5"/>
  <c r="Q129" i="5"/>
  <c r="O111" i="5"/>
  <c r="R135" i="5"/>
  <c r="O126" i="5"/>
  <c r="O117" i="5"/>
  <c r="O114" i="5"/>
  <c r="R85" i="5"/>
  <c r="R82" i="5"/>
  <c r="R79" i="5"/>
  <c r="Q76" i="5"/>
  <c r="Q73" i="5"/>
  <c r="Q69" i="5"/>
  <c r="P65" i="5"/>
  <c r="P62" i="5"/>
  <c r="P59" i="5"/>
  <c r="O56" i="5"/>
  <c r="O27" i="5"/>
  <c r="P24" i="5"/>
  <c r="Q45" i="5"/>
  <c r="R36" i="5"/>
  <c r="O33" i="5"/>
  <c r="P20" i="5"/>
  <c r="Q13" i="5"/>
  <c r="R42" i="5"/>
  <c r="O39" i="5"/>
  <c r="P30" i="5"/>
  <c r="Q16" i="5"/>
  <c r="R10" i="5"/>
  <c r="O7" i="5"/>
  <c r="R264" i="5"/>
  <c r="R261" i="5"/>
  <c r="O252" i="5"/>
  <c r="O249" i="5"/>
  <c r="P246" i="5"/>
  <c r="O243" i="5"/>
  <c r="Q232" i="5"/>
  <c r="R205" i="5"/>
  <c r="Q217" i="5"/>
  <c r="R202" i="5"/>
  <c r="O199" i="5"/>
  <c r="Q188" i="5"/>
  <c r="R185" i="5"/>
  <c r="O164" i="5"/>
  <c r="Q161" i="5"/>
  <c r="Q158" i="5"/>
  <c r="Q155" i="5"/>
  <c r="Q152" i="5"/>
  <c r="P117" i="5"/>
  <c r="R108" i="5"/>
  <c r="Q94" i="5"/>
  <c r="O91" i="5"/>
  <c r="Q85" i="5"/>
  <c r="O82" i="5"/>
  <c r="P73" i="5"/>
  <c r="Q62" i="5"/>
  <c r="R27" i="5"/>
  <c r="Q24" i="5"/>
  <c r="P45" i="5"/>
  <c r="P36" i="5"/>
  <c r="P33" i="5"/>
  <c r="O20" i="5"/>
  <c r="O13" i="5"/>
  <c r="O42" i="5"/>
  <c r="R7" i="5"/>
  <c r="P264" i="5"/>
  <c r="Q261" i="5"/>
  <c r="O232" i="5"/>
  <c r="P217" i="5"/>
  <c r="Q202" i="5"/>
  <c r="P188" i="5"/>
  <c r="P185" i="5"/>
  <c r="P182" i="5"/>
  <c r="P176" i="5"/>
  <c r="R173" i="5"/>
  <c r="O155" i="5"/>
  <c r="P152" i="5"/>
  <c r="O129" i="5"/>
  <c r="P138" i="5"/>
  <c r="R126" i="5"/>
  <c r="Q108" i="5"/>
  <c r="O94" i="5"/>
  <c r="Q88" i="5"/>
  <c r="P85" i="5"/>
  <c r="P76" i="5"/>
  <c r="R65" i="5"/>
  <c r="O62" i="5"/>
  <c r="R56" i="5"/>
  <c r="P27" i="5"/>
  <c r="O24" i="5"/>
  <c r="O45" i="5"/>
  <c r="O36" i="5"/>
  <c r="R39" i="5"/>
  <c r="R30" i="5"/>
  <c r="R16" i="5"/>
  <c r="Q10" i="5"/>
  <c r="Q7" i="5"/>
  <c r="Q249" i="5"/>
  <c r="P208" i="5"/>
  <c r="P111" i="5"/>
  <c r="R117" i="5"/>
  <c r="R94" i="5"/>
  <c r="O88" i="5"/>
  <c r="O79" i="5"/>
  <c r="O69" i="5"/>
  <c r="Q59" i="5"/>
  <c r="R24" i="5"/>
  <c r="Q36" i="5"/>
  <c r="Q20" i="5"/>
  <c r="P42" i="5"/>
  <c r="O30" i="5"/>
  <c r="O10" i="5"/>
  <c r="P279" i="5"/>
  <c r="Q273" i="5"/>
  <c r="R235" i="5"/>
  <c r="R229" i="5"/>
  <c r="R199" i="5"/>
  <c r="Q141" i="5"/>
  <c r="O138" i="5"/>
  <c r="Q114" i="5"/>
  <c r="R91" i="5"/>
  <c r="O76" i="5"/>
  <c r="O65" i="5"/>
  <c r="Q56" i="5"/>
  <c r="R33" i="5"/>
  <c r="R13" i="5"/>
  <c r="Q39" i="5"/>
  <c r="P16" i="5"/>
  <c r="P7" i="5"/>
  <c r="O279" i="5"/>
  <c r="P229" i="5"/>
  <c r="R161" i="5"/>
  <c r="P141" i="5"/>
  <c r="P114" i="5"/>
  <c r="Q82" i="5"/>
  <c r="R45" i="5"/>
  <c r="P13" i="5"/>
  <c r="O16" i="5"/>
  <c r="Q252" i="5"/>
  <c r="P199" i="5"/>
  <c r="P91" i="5"/>
  <c r="R69" i="5"/>
  <c r="R20" i="5"/>
  <c r="R276" i="5"/>
  <c r="R208" i="5"/>
  <c r="O176" i="5"/>
  <c r="P108" i="5"/>
  <c r="P79" i="5"/>
  <c r="R59" i="5"/>
  <c r="Q42" i="5"/>
  <c r="P10" i="5"/>
  <c r="O273" i="5"/>
  <c r="P135" i="5"/>
  <c r="R73" i="5"/>
  <c r="Q33" i="5"/>
  <c r="P39" i="5"/>
  <c r="Q220" i="5"/>
  <c r="P88" i="5"/>
  <c r="Q30" i="5"/>
  <c r="R132" i="5"/>
  <c r="O132" i="5"/>
  <c r="O270" i="5"/>
  <c r="P123" i="5"/>
  <c r="Q270" i="5"/>
  <c r="O120" i="5"/>
  <c r="R170" i="5"/>
  <c r="P144" i="5"/>
  <c r="P226" i="5"/>
  <c r="R123" i="5"/>
  <c r="O179" i="5"/>
  <c r="R167" i="5"/>
  <c r="P179" i="5"/>
  <c r="Q170" i="5"/>
  <c r="R226" i="5"/>
  <c r="P167" i="5"/>
  <c r="Q132" i="5"/>
  <c r="R191" i="5"/>
  <c r="Q191" i="5"/>
  <c r="O191" i="5"/>
  <c r="P120" i="5"/>
  <c r="O170" i="5"/>
  <c r="Q226" i="5"/>
  <c r="O123" i="5"/>
  <c r="R270" i="5"/>
  <c r="R120" i="5"/>
  <c r="P132" i="5"/>
  <c r="O226" i="5"/>
  <c r="Q123" i="5"/>
  <c r="Q144" i="5"/>
  <c r="O144" i="5"/>
  <c r="Q167" i="5"/>
  <c r="Q120" i="5"/>
  <c r="P170" i="5"/>
  <c r="O167" i="5"/>
  <c r="Q179" i="5"/>
  <c r="P270" i="5"/>
  <c r="R179" i="5"/>
  <c r="R144" i="5"/>
  <c r="P191" i="5"/>
  <c r="Q255" i="5"/>
  <c r="R214" i="5"/>
  <c r="O267" i="5"/>
  <c r="Q211" i="5"/>
  <c r="R255" i="5"/>
  <c r="P258" i="5"/>
  <c r="O223" i="5"/>
  <c r="R130" i="1"/>
  <c r="P114" i="1"/>
  <c r="R105" i="1"/>
  <c r="P83" i="1"/>
  <c r="R74" i="1"/>
  <c r="P58" i="1"/>
  <c r="R127" i="1"/>
  <c r="P111" i="1"/>
  <c r="R101" i="1"/>
  <c r="P80" i="1"/>
  <c r="R71" i="1"/>
  <c r="P54" i="1"/>
  <c r="O117" i="1"/>
  <c r="O86" i="1"/>
  <c r="O62" i="1"/>
  <c r="R24" i="1"/>
  <c r="P30" i="1"/>
  <c r="Q21" i="1"/>
  <c r="O127" i="1"/>
  <c r="O101" i="1"/>
  <c r="O71" i="1"/>
  <c r="Q39" i="1"/>
  <c r="Q27" i="1"/>
  <c r="Q10" i="1"/>
  <c r="O108" i="1"/>
  <c r="P51" i="1"/>
  <c r="Q30" i="1"/>
  <c r="Q94" i="1"/>
  <c r="Q74" i="1"/>
  <c r="R21" i="1"/>
  <c r="Q121" i="1"/>
  <c r="O94" i="1"/>
  <c r="Q108" i="1"/>
  <c r="P121" i="1"/>
  <c r="R111" i="1"/>
  <c r="P94" i="1"/>
  <c r="R80" i="1"/>
  <c r="P65" i="1"/>
  <c r="R54" i="1"/>
  <c r="P117" i="1"/>
  <c r="R108" i="1"/>
  <c r="P86" i="1"/>
  <c r="R77" i="1"/>
  <c r="P62" i="1"/>
  <c r="R51" i="1"/>
  <c r="Q114" i="1"/>
  <c r="Q83" i="1"/>
  <c r="Q58" i="1"/>
  <c r="P36" i="1"/>
  <c r="R27" i="1"/>
  <c r="R10" i="1"/>
  <c r="Q124" i="1"/>
  <c r="Q97" i="1"/>
  <c r="Q68" i="1"/>
  <c r="O18" i="1"/>
  <c r="O36" i="1"/>
  <c r="R14" i="1"/>
  <c r="R7" i="1"/>
  <c r="Q86" i="1"/>
  <c r="O24" i="1"/>
  <c r="O80" i="1"/>
  <c r="Q14" i="1"/>
  <c r="O65" i="1"/>
  <c r="O124" i="1"/>
  <c r="R42" i="1"/>
  <c r="P127" i="1"/>
  <c r="R117" i="1"/>
  <c r="P101" i="1"/>
  <c r="R86" i="1"/>
  <c r="P71" i="1"/>
  <c r="R62" i="1"/>
  <c r="P124" i="1"/>
  <c r="R114" i="1"/>
  <c r="P97" i="1"/>
  <c r="R83" i="1"/>
  <c r="P68" i="1"/>
  <c r="R58" i="1"/>
  <c r="O130" i="1"/>
  <c r="O105" i="1"/>
  <c r="O74" i="1"/>
  <c r="O51" i="1"/>
  <c r="P42" i="1"/>
  <c r="R33" i="1"/>
  <c r="O114" i="1"/>
  <c r="O83" i="1"/>
  <c r="O58" i="1"/>
  <c r="Q24" i="1"/>
  <c r="Q33" i="1"/>
  <c r="O77" i="1"/>
  <c r="Q42" i="1"/>
  <c r="O10" i="1"/>
  <c r="R18" i="1"/>
  <c r="Q130" i="1"/>
  <c r="Q36" i="1"/>
  <c r="Q77" i="1"/>
  <c r="P33" i="1"/>
  <c r="Q65" i="1"/>
  <c r="P27" i="1"/>
  <c r="O39" i="1"/>
  <c r="Q51" i="1"/>
  <c r="O21" i="1"/>
  <c r="R124" i="1"/>
  <c r="P108" i="1"/>
  <c r="R97" i="1"/>
  <c r="P77" i="1"/>
  <c r="R68" i="1"/>
  <c r="P130" i="1"/>
  <c r="R121" i="1"/>
  <c r="P105" i="1"/>
  <c r="R94" i="1"/>
  <c r="P74" i="1"/>
  <c r="R65" i="1"/>
  <c r="Q127" i="1"/>
  <c r="Q101" i="1"/>
  <c r="Q71" i="1"/>
  <c r="P18" i="1"/>
  <c r="R39" i="1"/>
  <c r="O14" i="1"/>
  <c r="O7" i="1"/>
  <c r="Q111" i="1"/>
  <c r="Q80" i="1"/>
  <c r="Q54" i="1"/>
  <c r="O42" i="1"/>
  <c r="O30" i="1"/>
  <c r="P21" i="1"/>
  <c r="Q117" i="1"/>
  <c r="Q62" i="1"/>
  <c r="O33" i="1"/>
  <c r="O27" i="1"/>
  <c r="O54" i="1"/>
  <c r="P14" i="1"/>
  <c r="Q7" i="1"/>
  <c r="P7" i="1"/>
  <c r="O68" i="1"/>
  <c r="R36" i="1"/>
  <c r="O97" i="1"/>
  <c r="P39" i="1"/>
  <c r="P10" i="1"/>
  <c r="Q105" i="1"/>
  <c r="P24" i="1"/>
  <c r="O121" i="1"/>
  <c r="O111" i="1"/>
  <c r="Q18" i="1"/>
  <c r="R30" i="1"/>
  <c r="O211" i="5"/>
  <c r="P255" i="5"/>
  <c r="Q214" i="5"/>
  <c r="R258" i="5"/>
  <c r="Q223" i="5"/>
  <c r="R267" i="5"/>
  <c r="P98" i="5"/>
  <c r="O98" i="5"/>
  <c r="R98" i="5"/>
  <c r="Q98" i="5"/>
  <c r="P105" i="5"/>
  <c r="R97" i="5"/>
  <c r="O48" i="5"/>
  <c r="O105" i="5"/>
  <c r="Q97" i="5"/>
  <c r="R48" i="5"/>
  <c r="R105" i="5"/>
  <c r="P97" i="5"/>
  <c r="Q48" i="5"/>
  <c r="Q105" i="5"/>
  <c r="O97" i="5"/>
  <c r="P48" i="5"/>
  <c r="R106" i="5"/>
  <c r="O106" i="5"/>
  <c r="Q106" i="5"/>
  <c r="P106" i="5"/>
  <c r="O43" i="5"/>
  <c r="R21" i="5"/>
  <c r="P25" i="5"/>
  <c r="O49" i="5"/>
  <c r="R17" i="5"/>
  <c r="R34" i="5"/>
  <c r="R28" i="5"/>
  <c r="O34" i="5"/>
  <c r="Q49" i="5"/>
  <c r="Q25" i="5"/>
  <c r="O21" i="5"/>
  <c r="P34" i="5"/>
  <c r="O11" i="5"/>
  <c r="R25" i="5"/>
  <c r="Q31" i="5"/>
  <c r="P37" i="5"/>
  <c r="O40" i="5"/>
  <c r="O14" i="5"/>
  <c r="O25" i="5"/>
  <c r="R46" i="5"/>
  <c r="Q17" i="5"/>
  <c r="P31" i="5"/>
  <c r="Q8" i="5"/>
  <c r="P21" i="5"/>
  <c r="P49" i="5"/>
  <c r="R31" i="5"/>
  <c r="R8" i="5"/>
  <c r="P11" i="5"/>
  <c r="P14" i="5"/>
  <c r="Q37" i="5"/>
  <c r="Q43" i="5"/>
  <c r="O46" i="5"/>
  <c r="Q46" i="5"/>
  <c r="R14" i="5"/>
  <c r="O31" i="5"/>
  <c r="R11" i="5"/>
  <c r="P17" i="5"/>
  <c r="Q40" i="5"/>
  <c r="O28" i="5"/>
  <c r="P40" i="5"/>
  <c r="R37" i="5"/>
  <c r="P28" i="5"/>
  <c r="Q34" i="5"/>
  <c r="R43" i="5"/>
  <c r="O8" i="5"/>
  <c r="Q28" i="5"/>
  <c r="O37" i="5"/>
  <c r="Q14" i="5"/>
  <c r="P46" i="5"/>
  <c r="P8" i="5"/>
  <c r="R49" i="5"/>
  <c r="O17" i="5"/>
  <c r="Q21" i="5"/>
  <c r="P43" i="5"/>
  <c r="Q11" i="5"/>
  <c r="R40" i="5"/>
  <c r="R19" i="1"/>
  <c r="Q19" i="1"/>
  <c r="P19" i="1"/>
  <c r="O19" i="1"/>
  <c r="O35" i="7"/>
  <c r="P31" i="7"/>
  <c r="N35" i="7"/>
  <c r="O31" i="7"/>
  <c r="Q35" i="7"/>
  <c r="M35" i="7"/>
  <c r="N31" i="7"/>
  <c r="P35" i="7"/>
  <c r="Q31" i="7"/>
  <c r="M31" i="7"/>
  <c r="N33" i="6" l="1"/>
  <c r="O33" i="6" s="1"/>
  <c r="P33" i="6" s="1"/>
  <c r="Q33" i="6" s="1"/>
  <c r="H38" i="5"/>
  <c r="J59" i="4"/>
  <c r="J62" i="4" s="1"/>
  <c r="J65" i="4" s="1"/>
  <c r="J69" i="4" s="1"/>
  <c r="J72" i="4" s="1"/>
  <c r="J75" i="4" s="1"/>
  <c r="J9" i="4"/>
  <c r="J12" i="4" s="1"/>
  <c r="J15" i="4" s="1"/>
  <c r="J18" i="4" s="1"/>
  <c r="J21" i="4" s="1"/>
  <c r="J24" i="4" s="1"/>
  <c r="J30" i="4" s="1"/>
  <c r="P5" i="1"/>
  <c r="Q5" i="1" s="1"/>
  <c r="R5" i="1" s="1"/>
  <c r="J81" i="4" l="1"/>
  <c r="J84" i="4" s="1"/>
  <c r="J87" i="4" s="1"/>
  <c r="J90" i="4" s="1"/>
  <c r="J78" i="4"/>
  <c r="J27" i="4"/>
  <c r="J33" i="4"/>
  <c r="J39" i="4" l="1"/>
  <c r="J42" i="4" s="1"/>
  <c r="J45" i="4" s="1"/>
  <c r="J36" i="4"/>
  <c r="C64" i="1" l="1"/>
  <c r="C60" i="1"/>
  <c r="C56" i="1"/>
  <c r="C53" i="1"/>
  <c r="C50" i="1"/>
  <c r="C41" i="1"/>
  <c r="C38" i="1"/>
  <c r="C35" i="1"/>
  <c r="C29" i="1"/>
  <c r="C26" i="1"/>
  <c r="C23" i="1"/>
  <c r="C20" i="1"/>
  <c r="C16" i="1"/>
  <c r="C12" i="1"/>
  <c r="C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4" authorId="0" shapeId="0" xr:uid="{00000000-0006-0000-0000-000001000000}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H9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Battery lifetime is crucial! Battery lifetime is measured in 'cycles'; largely decided by how much the battery is used (discharged/recharged). 
Manufacturers 'gurantee' battery lifetimes of 5-8 years. Source: Natkunarajah et al. (2015)
</t>
        </r>
        <r>
          <rPr>
            <i/>
            <sz val="10"/>
            <color indexed="81"/>
            <rFont val="Tahoma"/>
            <family val="2"/>
          </rPr>
          <t xml:space="preserve">
Possible effects of vehicle-to-home (V2H) or vehicle-to-grid (V2G) on battery lifetime? Less interesting for electric car manufacturers; focus on extending range/lifetime and cutting battery costs... </t>
        </r>
      </text>
    </comment>
    <comment ref="J48" authorId="0" shapeId="0" xr:uid="{00000000-0006-0000-0000-000003000000}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J91" authorId="0" shapeId="0" xr:uid="{00000000-0006-0000-0000-000004000000}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H96" authorId="0" shapeId="0" xr:uid="{00000000-0006-0000-0000-000005000000}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Battery lifetime is crucial! Battery lifetime is measured in 'cycles'; largely decided by how much the battery is used (discharged/recharged). 
Manufacturers 'gurantee' battery lifetimes of 5-8 years. Source: Natkunarajah et al. (2015)
</t>
        </r>
        <r>
          <rPr>
            <i/>
            <sz val="10"/>
            <color indexed="81"/>
            <rFont val="Tahoma"/>
            <family val="2"/>
          </rPr>
          <t xml:space="preserve">
Possible effects of vehicle-to-home (V2H) or vehicle-to-grid (V2G) on battery lifetime? Less interesting for electric car manufacturers; focus on extending range/lifetime and cutting battery costs...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4" authorId="0" shapeId="0" xr:uid="{00000000-0006-0000-0100-000001000000}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J19" authorId="0" shapeId="0" xr:uid="{00000000-0006-0000-0100-000002000000}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J42" authorId="0" shapeId="0" xr:uid="{00000000-0006-0000-0100-000003000000}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4" authorId="0" shapeId="0" xr:uid="{00000000-0006-0000-0200-000001000000}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J51" authorId="0" shapeId="0" xr:uid="{00000000-0006-0000-0200-000002000000}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4" authorId="0" shapeId="0" xr:uid="{00000000-0006-0000-0300-000001000000}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J53" authorId="0" shapeId="0" xr:uid="{00000000-0006-0000-0300-000002000000}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C101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This is the most common size of urban goods distribution vehicles. BUT it is a sub-category of heavy goods vehicles, and hence may not be distinguishble in statistics</t>
        </r>
      </text>
    </comment>
    <comment ref="J102" authorId="0" shapeId="0" xr:uid="{00000000-0006-0000-0300-000004000000}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C148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This is the most common size of urban goods distribution vehicles. BUT it is a sub-category of heavy goods vehicles, and hence may not be distinguishble in statistics</t>
        </r>
      </text>
    </comment>
    <comment ref="J149" authorId="0" shapeId="0" xr:uid="{00000000-0006-0000-0300-000006000000}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J196" authorId="0" shapeId="0" xr:uid="{00000000-0006-0000-0300-000007000000}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  <comment ref="J240" authorId="0" shapeId="0" xr:uid="{00000000-0006-0000-0300-000008000000}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32" authorId="0" shapeId="0" xr:uid="{00000000-0006-0000-0400-000001000000}">
      <text>
        <r>
          <rPr>
            <sz val="10"/>
            <color indexed="81"/>
            <rFont val="Tahoma"/>
            <family val="2"/>
          </rPr>
          <t>This is the "load"… average occupancy of a car, which associate the flow with the overall use of the vehicle (the combined demand == the PCG).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00000000-0006-0000-0700-000001000000}">
      <text>
        <r>
          <rPr>
            <b/>
            <sz val="10"/>
            <color indexed="81"/>
            <rFont val="Tahoma"/>
            <family val="2"/>
          </rPr>
          <t>Author:</t>
        </r>
        <r>
          <rPr>
            <sz val="10"/>
            <color indexed="81"/>
            <rFont val="Tahoma"/>
            <family val="2"/>
          </rPr>
          <t xml:space="preserve">
Commodities are inherited from the B-Y templates; only the new ones need to be defined here.</t>
        </r>
      </text>
    </comment>
    <comment ref="B4" authorId="0" shapeId="0" xr:uid="{00000000-0006-0000-0700-000002000000}">
      <text>
        <r>
          <rPr>
            <sz val="10"/>
            <color indexed="81"/>
            <rFont val="Tahoma"/>
            <family val="2"/>
          </rPr>
          <t>Csets declarations are inherited until the next one is encountered.
Allowed Cset:
NRG (Energy)
ENV (Emission)
DEM (Demand)
MAT (Material)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 xr:uid="{00000000-0006-0000-0700-000003000000}">
      <text>
        <r>
          <rPr>
            <sz val="8"/>
            <color indexed="81"/>
            <rFont val="Tahoma"/>
            <family val="2"/>
          </rPr>
          <t>Allowed Ctype
ELC (Electricity)</t>
        </r>
      </text>
    </comment>
    <comment ref="B15" authorId="0" shapeId="0" xr:uid="{00000000-0006-0000-0700-000004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</t>
        </r>
      </text>
    </comment>
    <comment ref="I15" authorId="0" shapeId="0" xr:uid="{00000000-0006-0000-0700-000005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</commentList>
</comments>
</file>

<file path=xl/sharedStrings.xml><?xml version="1.0" encoding="utf-8"?>
<sst xmlns="http://schemas.openxmlformats.org/spreadsheetml/2006/main" count="5758" uniqueCount="723">
  <si>
    <t>ROAD - PASSENGER: Other</t>
  </si>
  <si>
    <t>~FI_T</t>
  </si>
  <si>
    <t>TechName</t>
  </si>
  <si>
    <t>*TechDesc</t>
  </si>
  <si>
    <t>Comm-IN</t>
  </si>
  <si>
    <t>Comm-IN-A</t>
  </si>
  <si>
    <t>Comm-OUT</t>
  </si>
  <si>
    <t>Share~LO</t>
  </si>
  <si>
    <t>Share~UP</t>
  </si>
  <si>
    <t>CEFF~2040</t>
  </si>
  <si>
    <t>CEFF~2050</t>
  </si>
  <si>
    <t>Cap2Act</t>
  </si>
  <si>
    <t>ACTFLO~DEMO</t>
  </si>
  <si>
    <t>AF~2030</t>
  </si>
  <si>
    <t>VAROM</t>
  </si>
  <si>
    <t>INVCOST~2020</t>
  </si>
  <si>
    <t>INVCOST~2025</t>
  </si>
  <si>
    <t>INVCOST~2030</t>
  </si>
  <si>
    <t>INVCOST~2035</t>
  </si>
  <si>
    <t>INVCOST~2040</t>
  </si>
  <si>
    <t>INVCOST~2045</t>
  </si>
  <si>
    <t>INVCOST~2050</t>
  </si>
  <si>
    <t xml:space="preserve">\I: </t>
  </si>
  <si>
    <t>*</t>
  </si>
  <si>
    <t>stock/ demand</t>
  </si>
  <si>
    <t>Passenger/ Vehicle</t>
  </si>
  <si>
    <t>Years</t>
  </si>
  <si>
    <t>TRAELC</t>
  </si>
  <si>
    <t>TEP</t>
  </si>
  <si>
    <t>TYEP101</t>
  </si>
  <si>
    <t>TRAHUM</t>
  </si>
  <si>
    <t>TYEP</t>
  </si>
  <si>
    <t>TYNP101</t>
  </si>
  <si>
    <t>TYNP</t>
  </si>
  <si>
    <t>TNO101</t>
  </si>
  <si>
    <t>TWN101</t>
  </si>
  <si>
    <t>TWN</t>
  </si>
  <si>
    <t>ROAD - PASSENGER: Motorcycles</t>
  </si>
  <si>
    <t>TMOTGSL101</t>
  </si>
  <si>
    <t>TRAGSL</t>
  </si>
  <si>
    <t>TRAETHM</t>
  </si>
  <si>
    <t>TMOTELC101</t>
  </si>
  <si>
    <t>FIXOM</t>
  </si>
  <si>
    <t>TCARBDL101</t>
  </si>
  <si>
    <t>TRABDL</t>
  </si>
  <si>
    <t>TCL</t>
  </si>
  <si>
    <t>TCS</t>
  </si>
  <si>
    <t>TCARDST101</t>
  </si>
  <si>
    <t>TRADST</t>
  </si>
  <si>
    <t>TCARELC101</t>
  </si>
  <si>
    <t>TCARETH101</t>
  </si>
  <si>
    <t>TRAETH</t>
  </si>
  <si>
    <t>TCARGAS101</t>
  </si>
  <si>
    <t>TRANGS</t>
  </si>
  <si>
    <t>TRABGS</t>
  </si>
  <si>
    <t>TCARGSL101</t>
  </si>
  <si>
    <t>TCARHFC101</t>
  </si>
  <si>
    <t>TRAH2G</t>
  </si>
  <si>
    <t>TCARHYD101</t>
  </si>
  <si>
    <t>TCARHYG101</t>
  </si>
  <si>
    <t>TCARLPG101</t>
  </si>
  <si>
    <t>Car.LPG.01.</t>
  </si>
  <si>
    <t>TRALPG</t>
  </si>
  <si>
    <t>TCARPYD101</t>
  </si>
  <si>
    <t>TCARPYG101</t>
  </si>
  <si>
    <t>ROAD - PASSENGER: Bus (Urban)</t>
  </si>
  <si>
    <t>TBUSBDL101</t>
  </si>
  <si>
    <t>Bus.Urban.BDL.01.</t>
  </si>
  <si>
    <t>TBU</t>
  </si>
  <si>
    <t>TBUSDME101</t>
  </si>
  <si>
    <t>Bus.Urban.DME.01.</t>
  </si>
  <si>
    <t>TRADME</t>
  </si>
  <si>
    <t>TBUSDST101</t>
  </si>
  <si>
    <t>Bus.Urban.DST.01.</t>
  </si>
  <si>
    <t>TBUSELC101</t>
  </si>
  <si>
    <t>Bus.Urban.ELC.01.</t>
  </si>
  <si>
    <t>TBUSETH101</t>
  </si>
  <si>
    <t>Bus.Urban.ETH.01.</t>
  </si>
  <si>
    <t>TBUSGAS101</t>
  </si>
  <si>
    <t>Bus.Urban.GAS.01.</t>
  </si>
  <si>
    <t>TBUSGSL101</t>
  </si>
  <si>
    <t>Bus.Urban.GSL.01.</t>
  </si>
  <si>
    <t>TBUSHFC101</t>
  </si>
  <si>
    <t>Bus.Urban.H2G.01.</t>
  </si>
  <si>
    <t>TBUSLPG101</t>
  </si>
  <si>
    <t>TBUSMDE101</t>
  </si>
  <si>
    <t>TRAFTD</t>
  </si>
  <si>
    <t>ROAD - PASSENGER: Bus (Intercity)</t>
  </si>
  <si>
    <t>TBISBDL101</t>
  </si>
  <si>
    <t>Bus.Intercity.BDL.01.</t>
  </si>
  <si>
    <t>TBI</t>
  </si>
  <si>
    <t>TBISDME101</t>
  </si>
  <si>
    <t>Bus.Intercity.DME.01.</t>
  </si>
  <si>
    <t>TBISDST101</t>
  </si>
  <si>
    <t>Bus.Intercity.DST.01.</t>
  </si>
  <si>
    <t>TBISETH101</t>
  </si>
  <si>
    <t>Bus.Intercity.ETH.01.</t>
  </si>
  <si>
    <t>TBISGAS101</t>
  </si>
  <si>
    <t>Bus.Intercity.GAS.01.</t>
  </si>
  <si>
    <t>TBISGSL101</t>
  </si>
  <si>
    <t>Bus.Intercity.GSL.01.</t>
  </si>
  <si>
    <t>TBISHFC101</t>
  </si>
  <si>
    <t>Bus.Intercity.H2G.01.</t>
  </si>
  <si>
    <t>TBISLPG101</t>
  </si>
  <si>
    <t>Bus.Intercity.LPG.01.</t>
  </si>
  <si>
    <t>TBISMDE101</t>
  </si>
  <si>
    <t>RAIL - PASSENGER</t>
  </si>
  <si>
    <t>TTLRELC101</t>
  </si>
  <si>
    <t>Train.Light.Railcar.ELC.01.</t>
  </si>
  <si>
    <t>TTL</t>
  </si>
  <si>
    <t>TTMEELC101</t>
  </si>
  <si>
    <t>Train.Metro.ELC.01.</t>
  </si>
  <si>
    <t>TTM</t>
  </si>
  <si>
    <t>TTPHELC101</t>
  </si>
  <si>
    <t>Train.Passenger.HighSpeed.ELC.01.</t>
  </si>
  <si>
    <t>TTH</t>
  </si>
  <si>
    <t>TTPLELC101</t>
  </si>
  <si>
    <t>Train.Passenger.Loco.ELC.01.</t>
  </si>
  <si>
    <t>TTP</t>
  </si>
  <si>
    <t>TTPRELC101</t>
  </si>
  <si>
    <t>Train.Passenger.Railcar.ELC.01.</t>
  </si>
  <si>
    <t>TTPLDST101</t>
  </si>
  <si>
    <t>Train.Passenger.Loco.DST.01.</t>
  </si>
  <si>
    <t>TTPRDST101</t>
  </si>
  <si>
    <t>Train.Passenger.Railcar.DST.01.</t>
  </si>
  <si>
    <t>ROAD - FREIGHT: Other</t>
  </si>
  <si>
    <t>stock/demand</t>
  </si>
  <si>
    <t>Tons/Vehicle</t>
  </si>
  <si>
    <t>TYNF101</t>
  </si>
  <si>
    <t>TYNF</t>
  </si>
  <si>
    <t>TYEF101</t>
  </si>
  <si>
    <t>TYEF</t>
  </si>
  <si>
    <t>TEF</t>
  </si>
  <si>
    <t>TFLEBDL101</t>
  </si>
  <si>
    <t>Truck.Light.BDL.01.</t>
  </si>
  <si>
    <t>TFLEDME101</t>
  </si>
  <si>
    <t>Truck.Light.DME.01.</t>
  </si>
  <si>
    <t>TFLEDST101</t>
  </si>
  <si>
    <t>Truck.Light.DST.01.</t>
  </si>
  <si>
    <t>TFLEELC101</t>
  </si>
  <si>
    <t>Truck.Light.ELC.01.</t>
  </si>
  <si>
    <t>TFLEETH101</t>
  </si>
  <si>
    <t>Truck.Light.ETH.01.</t>
  </si>
  <si>
    <t>TFLEGAS101</t>
  </si>
  <si>
    <t>Truck.Light.GAS.01.</t>
  </si>
  <si>
    <t>TFLEGSL101</t>
  </si>
  <si>
    <t>Truck.Light.GSL.01.</t>
  </si>
  <si>
    <t>TFLEHFC101</t>
  </si>
  <si>
    <t>Truck.Light.H2G.01.</t>
  </si>
  <si>
    <t>TFLELPG101</t>
  </si>
  <si>
    <t>TFLEHYD101</t>
  </si>
  <si>
    <t>Truck.Light.Hybrid.DST.01.</t>
  </si>
  <si>
    <t>TFLEHYG101</t>
  </si>
  <si>
    <t>TFLEPYD101</t>
  </si>
  <si>
    <t>Truck.Light.Plugin-Hybrid.DST.01.</t>
  </si>
  <si>
    <t>TFLEPYG101</t>
  </si>
  <si>
    <t>TFREBDL101</t>
  </si>
  <si>
    <t>Truck.Heavy.BDL.01.</t>
  </si>
  <si>
    <t>TFREDME101</t>
  </si>
  <si>
    <t>Truck.Heavy.DME.01.</t>
  </si>
  <si>
    <t>TFREDST101</t>
  </si>
  <si>
    <t>Truck.Heavy.DST.01.</t>
  </si>
  <si>
    <t>TFREELC101</t>
  </si>
  <si>
    <t>TFREETH101</t>
  </si>
  <si>
    <t>Truck.Heavy.ETH.01.</t>
  </si>
  <si>
    <t>TFREGAS101</t>
  </si>
  <si>
    <t>Truck.Heavy.GAS.01.</t>
  </si>
  <si>
    <t>TFREGSL101</t>
  </si>
  <si>
    <t>Truck.Heavy.GSL.01.</t>
  </si>
  <si>
    <t>TFREHFC101</t>
  </si>
  <si>
    <t>Truck.Heavy.H2G.01.</t>
  </si>
  <si>
    <t>TFREMDE101</t>
  </si>
  <si>
    <t>RAIL - FREIGHT</t>
  </si>
  <si>
    <t>Tons/Train</t>
  </si>
  <si>
    <t>TTFLDST101</t>
  </si>
  <si>
    <t>Train.Freight.Loco.DST.01.</t>
  </si>
  <si>
    <t>TTF</t>
  </si>
  <si>
    <t>TTFLELC101</t>
  </si>
  <si>
    <t>Train.Freight.Loco.ELC.01.</t>
  </si>
  <si>
    <t>Output</t>
  </si>
  <si>
    <t>TAV101</t>
  </si>
  <si>
    <t>Aviation.Domestic.01.</t>
  </si>
  <si>
    <t>TRABJF</t>
  </si>
  <si>
    <t>TAV</t>
  </si>
  <si>
    <t>TAI101</t>
  </si>
  <si>
    <t>Aviation.International.01.</t>
  </si>
  <si>
    <t>Life</t>
  </si>
  <si>
    <t>START</t>
  </si>
  <si>
    <t>TNB101</t>
  </si>
  <si>
    <t>Navigation.Generic.Bunker.01.</t>
  </si>
  <si>
    <t>TRAHFO</t>
  </si>
  <si>
    <t>TNB</t>
  </si>
  <si>
    <t>~FI_Comm</t>
  </si>
  <si>
    <t>Csets</t>
  </si>
  <si>
    <t>CommName</t>
  </si>
  <si>
    <t>CommDesc</t>
  </si>
  <si>
    <t>Unit</t>
  </si>
  <si>
    <t>LimType</t>
  </si>
  <si>
    <t>Ctype</t>
  </si>
  <si>
    <t>ENT</t>
  </si>
  <si>
    <t>Bio Jet Fuel</t>
  </si>
  <si>
    <t>Dimethyl Ether (DME)</t>
  </si>
  <si>
    <t>Fischer-Tropsch Diesel</t>
  </si>
  <si>
    <t>Methanol</t>
  </si>
  <si>
    <t>Methanol for low-blend in GSL</t>
  </si>
  <si>
    <t>~FI_Process</t>
  </si>
  <si>
    <t>Sets</t>
  </si>
  <si>
    <t>TechDesc</t>
  </si>
  <si>
    <t>Tact</t>
  </si>
  <si>
    <t>Tcap</t>
  </si>
  <si>
    <t>PrimaryCG</t>
  </si>
  <si>
    <t>Tslvl</t>
  </si>
  <si>
    <t>Vintage</t>
  </si>
  <si>
    <t>DMD</t>
  </si>
  <si>
    <t>DEMO</t>
  </si>
  <si>
    <t>NO</t>
  </si>
  <si>
    <t>Truck.Light.Hybrid.GSL.01.</t>
  </si>
  <si>
    <t>Truck.Light.LPG.City.01.</t>
  </si>
  <si>
    <t>LightElectricVehicle(LEV).Freight.01.</t>
  </si>
  <si>
    <t>LightElectricVehicle(LEV).Passenger.01.</t>
  </si>
  <si>
    <t>Moto.ELC.01.</t>
  </si>
  <si>
    <t>Moto.GSL.01</t>
  </si>
  <si>
    <t>Walking.Nonenergy.01.</t>
  </si>
  <si>
    <t>BicYcle.Electric.Freight.01.</t>
  </si>
  <si>
    <t>BicYcle.Electric.Passenger.01.</t>
  </si>
  <si>
    <t>BicYcle.Freight.01.</t>
  </si>
  <si>
    <t>BicYcle.Passenger.01.</t>
  </si>
  <si>
    <t>TCARBDL901</t>
  </si>
  <si>
    <t>TCARDST901</t>
  </si>
  <si>
    <t>Car.DST.City.01.</t>
  </si>
  <si>
    <t>TCARELC901</t>
  </si>
  <si>
    <t>Car.ELC.City.01.</t>
  </si>
  <si>
    <t>TCARETH901</t>
  </si>
  <si>
    <t>Car.ETH.City.01.</t>
  </si>
  <si>
    <t>TCARGAS901</t>
  </si>
  <si>
    <t>Car.GAS.City.01.</t>
  </si>
  <si>
    <t>TCARGSL901</t>
  </si>
  <si>
    <t>Car.GSL.City.01.</t>
  </si>
  <si>
    <t>TCARHFC901</t>
  </si>
  <si>
    <t>Car.H2G.City.01.</t>
  </si>
  <si>
    <t>TCARHYD901</t>
  </si>
  <si>
    <t>Car.Hybrid.DST.City.01.</t>
  </si>
  <si>
    <t>TCARHYG901</t>
  </si>
  <si>
    <t>Car.Hybrid.GSL.City.01.</t>
  </si>
  <si>
    <t>TCARLPG901</t>
  </si>
  <si>
    <t>Car.LPG.City.01.</t>
  </si>
  <si>
    <t>TCARPYD901</t>
  </si>
  <si>
    <t>Car.Plugin-Hybrid.DST.City.01.</t>
  </si>
  <si>
    <t>TCARPYG901</t>
  </si>
  <si>
    <t>Car.Plugin-Hybrid.GSL.City.01.</t>
  </si>
  <si>
    <t>TFLEBDL901</t>
  </si>
  <si>
    <t>Truck.Light.BDL.City.01.</t>
  </si>
  <si>
    <t>TFLEDME901</t>
  </si>
  <si>
    <t>Truck.Light.DME.City.01.</t>
  </si>
  <si>
    <t>TFLEDST901</t>
  </si>
  <si>
    <t>Truck.Light.DST.City.01.</t>
  </si>
  <si>
    <t>TFLEELC901</t>
  </si>
  <si>
    <t>Truck.Light.ELC.City.01.</t>
  </si>
  <si>
    <t>TFLEETH901</t>
  </si>
  <si>
    <t>Truck.Light.ETH.City.01.</t>
  </si>
  <si>
    <t>TFLEGAS901</t>
  </si>
  <si>
    <t>Truck.Light.GAS.City.01.</t>
  </si>
  <si>
    <t>TFLEGSL901</t>
  </si>
  <si>
    <t>Truck.Light.GSL.City.01.</t>
  </si>
  <si>
    <t>TFLEHFC901</t>
  </si>
  <si>
    <t>Truck.Light.H2G.City.01.</t>
  </si>
  <si>
    <t>TFLELPG901</t>
  </si>
  <si>
    <t>TFREBDL901</t>
  </si>
  <si>
    <t>Truck.Heavy.BDL.City.01.</t>
  </si>
  <si>
    <t>TFREDME901</t>
  </si>
  <si>
    <t>Truck.Heavy.DME.City.01.</t>
  </si>
  <si>
    <t>TFREDST901</t>
  </si>
  <si>
    <t>Truck.Heavy.DST.City.01.</t>
  </si>
  <si>
    <t>TFREELC901</t>
  </si>
  <si>
    <t>TFREETH901</t>
  </si>
  <si>
    <t>Truck.Heavy.ETH.City.01.</t>
  </si>
  <si>
    <t>TFREGAS901</t>
  </si>
  <si>
    <t>Truck.Heavy.GAS.City.01.</t>
  </si>
  <si>
    <t>TFREGSL901</t>
  </si>
  <si>
    <t>Truck.Heavy.GSL.City.01.</t>
  </si>
  <si>
    <t>TFREHFC901</t>
  </si>
  <si>
    <t>Truck.Heavy.H2G.City.01.</t>
  </si>
  <si>
    <t>LightElectricVehicle(LEV).Freight.City.01.</t>
  </si>
  <si>
    <t>LightElectricVehicle(LEV).Passenger.City.01.</t>
  </si>
  <si>
    <t>TNA101</t>
  </si>
  <si>
    <t>Navigation.Generic.Passenger.01.</t>
  </si>
  <si>
    <t>TNCDST101</t>
  </si>
  <si>
    <t>Navigation.Local.Ferry.DST.01.</t>
  </si>
  <si>
    <t>TNCELC101</t>
  </si>
  <si>
    <t>Navigation.Local.Ferry.ELC.01.</t>
  </si>
  <si>
    <t>TNCGAS101</t>
  </si>
  <si>
    <t>Navigation.Local.Ferry.GAS.01.</t>
  </si>
  <si>
    <t>TNO901</t>
  </si>
  <si>
    <t>TWN901</t>
  </si>
  <si>
    <t>Walking.Nonenergy.City.01.</t>
  </si>
  <si>
    <t>TYEF901</t>
  </si>
  <si>
    <t>BicYcle.Electric.Freight.City.01.</t>
  </si>
  <si>
    <t>TYEP901</t>
  </si>
  <si>
    <t>BicYcle.Electric.Passenger.City.01.</t>
  </si>
  <si>
    <t>TYNF901</t>
  </si>
  <si>
    <t>BicYcle.Freight.City.01.</t>
  </si>
  <si>
    <t>TYNP901</t>
  </si>
  <si>
    <t>BicYcle.Passenger.City.01.</t>
  </si>
  <si>
    <t>TCS-C</t>
  </si>
  <si>
    <t>TCL-C</t>
  </si>
  <si>
    <t>TNC</t>
  </si>
  <si>
    <t>CEFF - Long Distance</t>
  </si>
  <si>
    <t>MJ/100 km</t>
  </si>
  <si>
    <t>Own assumption; same relative efficiency improvement compared to DST as for heavy trucks</t>
  </si>
  <si>
    <t>JRC-EU-TIMES</t>
  </si>
  <si>
    <t>Own assumption</t>
  </si>
  <si>
    <t>TFLEHYD901</t>
  </si>
  <si>
    <t>TFLEHYG901</t>
  </si>
  <si>
    <t>TFLEPYD901</t>
  </si>
  <si>
    <t>TFLEPYG901</t>
  </si>
  <si>
    <t>CEFF - Short Distance</t>
  </si>
  <si>
    <t>Own assumption; same efficiency gain as BDL car</t>
  </si>
  <si>
    <t>Own assumption; same efficiency gain as DST car</t>
  </si>
  <si>
    <t>TTLRELC100</t>
  </si>
  <si>
    <t>TTMEELC100</t>
  </si>
  <si>
    <t>TTPRELC100</t>
  </si>
  <si>
    <t>TTPLELC100</t>
  </si>
  <si>
    <t>TTPHELC100</t>
  </si>
  <si>
    <t>TTPLDST100</t>
  </si>
  <si>
    <t>TTPRDST100</t>
  </si>
  <si>
    <t>TTFLDST100</t>
  </si>
  <si>
    <t>TTFLELC100</t>
  </si>
  <si>
    <t>GJ</t>
  </si>
  <si>
    <t>Comments</t>
  </si>
  <si>
    <t xml:space="preserve">All processes should have </t>
  </si>
  <si>
    <t>-Life (otherwisse they will go in and out)</t>
  </si>
  <si>
    <t>-Start year (Start year should not be BaseYear!!!)</t>
  </si>
  <si>
    <t>Other</t>
  </si>
  <si>
    <t>Processes should either have INPUT/OUTPUT, or Efficiency</t>
  </si>
  <si>
    <t>- Should have either input/PUTPUT OR Eff</t>
  </si>
  <si>
    <t>CEFF~2020</t>
  </si>
  <si>
    <t>CEFF~2030</t>
  </si>
  <si>
    <t>Car.DST.01.</t>
  </si>
  <si>
    <t>Car.ELC.01.</t>
  </si>
  <si>
    <t>Car.ETH.01.</t>
  </si>
  <si>
    <t>Car.GAS.01.</t>
  </si>
  <si>
    <t>Car.GSL.01.</t>
  </si>
  <si>
    <t>Car.H2G.01.</t>
  </si>
  <si>
    <t>Car.Hybrid.DST.01.</t>
  </si>
  <si>
    <t>Car.Hybrid.GSL.01.</t>
  </si>
  <si>
    <t>Car.Plugin-Hybrid.DST.01.</t>
  </si>
  <si>
    <t>Car.Plugin-Hybrid.GSL.01.</t>
  </si>
  <si>
    <t>TFLL</t>
  </si>
  <si>
    <t>TFRL</t>
  </si>
  <si>
    <t>TFLS</t>
  </si>
  <si>
    <t>TFRS</t>
  </si>
  <si>
    <t>Bus.Urban.Hybrid.DST.01.</t>
  </si>
  <si>
    <t>TBUSHYD101</t>
  </si>
  <si>
    <t>Bus.Urban.Plugin-Hybrid.DST.01.</t>
  </si>
  <si>
    <t>TBUSPYD101</t>
  </si>
  <si>
    <t>Bus.Intercity.Hybrid.DST.01.</t>
  </si>
  <si>
    <t>TBISHYD101</t>
  </si>
  <si>
    <t>Truck.Heavy.Hybrid.DST.01.</t>
  </si>
  <si>
    <t>TFREHYD101</t>
  </si>
  <si>
    <t>TFMEBDL101</t>
  </si>
  <si>
    <t>TFMEDME101</t>
  </si>
  <si>
    <t>TFMEDST101</t>
  </si>
  <si>
    <t>TFMEELC101</t>
  </si>
  <si>
    <t>TFMEETH101</t>
  </si>
  <si>
    <t>TFMEGAS101</t>
  </si>
  <si>
    <t>TFMEGSL101</t>
  </si>
  <si>
    <t>TFMEHYD101</t>
  </si>
  <si>
    <t>TFMEHFC101</t>
  </si>
  <si>
    <t>TFMEMDE101</t>
  </si>
  <si>
    <t>Truck.Medium.BDL.01.</t>
  </si>
  <si>
    <t>Truck.Medium.DME.01.</t>
  </si>
  <si>
    <t>Truck.Medium.DST.01.</t>
  </si>
  <si>
    <t>Truck.Medium.ELC.01.</t>
  </si>
  <si>
    <t>Truck.Medium.ETH.01.</t>
  </si>
  <si>
    <t>Truck.Medium.GAS.01.</t>
  </si>
  <si>
    <t>Truck.Medium.GSL.01.</t>
  </si>
  <si>
    <t>Truck.Medium.Hybrid.DST.01.</t>
  </si>
  <si>
    <t>Truck.Medium.H2G.01.</t>
  </si>
  <si>
    <t>TFML</t>
  </si>
  <si>
    <t>TFMS</t>
  </si>
  <si>
    <t>TBU-C</t>
  </si>
  <si>
    <t>TBI-C</t>
  </si>
  <si>
    <t>TTL-C</t>
  </si>
  <si>
    <t>TTM-C</t>
  </si>
  <si>
    <t>TTH-C</t>
  </si>
  <si>
    <t>TTP-C</t>
  </si>
  <si>
    <t>TTF-C</t>
  </si>
  <si>
    <t>TAV-C</t>
  </si>
  <si>
    <t>TMO</t>
  </si>
  <si>
    <t>TBUSHYG101</t>
  </si>
  <si>
    <t>Bus.Urban.Hybrid.GSL.01.</t>
  </si>
  <si>
    <t>Bus.Urban.LPG.01</t>
  </si>
  <si>
    <t>TBUSPYG101</t>
  </si>
  <si>
    <t>Bus.Urban.Plugin-Hybrid.GSL.01.</t>
  </si>
  <si>
    <t>TJ</t>
  </si>
  <si>
    <t>INVCOST</t>
  </si>
  <si>
    <t>CEFF~2016</t>
  </si>
  <si>
    <t>AF~2016</t>
  </si>
  <si>
    <t>AF~2040</t>
  </si>
  <si>
    <t>INVCOST~2016</t>
  </si>
  <si>
    <t>TNB-C</t>
  </si>
  <si>
    <t>TNC-C</t>
  </si>
  <si>
    <t>TYNF-C</t>
  </si>
  <si>
    <t>TYEF-C</t>
  </si>
  <si>
    <t>TEF-C</t>
  </si>
  <si>
    <t>TWN-C</t>
  </si>
  <si>
    <t>TYEP-C</t>
  </si>
  <si>
    <t>TYNP-C</t>
  </si>
  <si>
    <t>ROAD - PASSENGER: Cars - City's own organisation</t>
  </si>
  <si>
    <t>ROAD - PASSENGER: Cars - Pool</t>
  </si>
  <si>
    <t>Car.DST.Pool.01.</t>
  </si>
  <si>
    <t>Car.ELC.Pool.01.</t>
  </si>
  <si>
    <t>Car.ETH.Pool.01.</t>
  </si>
  <si>
    <t>Car.GAS.Pool.01.</t>
  </si>
  <si>
    <t>Car.GSL.Pool.01.</t>
  </si>
  <si>
    <t>Car.H2G.Pool.01.</t>
  </si>
  <si>
    <t>Car.Hybrid.DST.Pool.01.</t>
  </si>
  <si>
    <t>Car.Hybrid.GSL.Pool.01.</t>
  </si>
  <si>
    <t>Car.LPG.Pool.01.</t>
  </si>
  <si>
    <t>Car.Plugin-Hybrid.DST.Pool.01.</t>
  </si>
  <si>
    <t>Car.Plugin-Hybrid.GSL.Pool.01.</t>
  </si>
  <si>
    <t>TBISHYG101</t>
  </si>
  <si>
    <t>TBISPYD101</t>
  </si>
  <si>
    <t>TBISPYG101</t>
  </si>
  <si>
    <t>TFMEPYD101</t>
  </si>
  <si>
    <t>TFMEHYG101</t>
  </si>
  <si>
    <t>TFMEPYG101</t>
  </si>
  <si>
    <t>TFMELPG101</t>
  </si>
  <si>
    <t>TFREHYG101</t>
  </si>
  <si>
    <t>TFRELPG101</t>
  </si>
  <si>
    <t>TFREPYD101</t>
  </si>
  <si>
    <t>TFREPYG101</t>
  </si>
  <si>
    <t>Own assumption; equal to DST</t>
  </si>
  <si>
    <t>Own assumption; equal to GSL</t>
  </si>
  <si>
    <t>JRC-EU-TIMES; 30 kWh battery capacity</t>
  </si>
  <si>
    <t>Own assumption; equal to HFC</t>
  </si>
  <si>
    <t>Own assumption; equal to GAS</t>
  </si>
  <si>
    <t>See TFRE* below</t>
  </si>
  <si>
    <t>TFREHYD901</t>
  </si>
  <si>
    <t>TFREHYG901</t>
  </si>
  <si>
    <t>TFRELPG901</t>
  </si>
  <si>
    <t>TFREMDE901</t>
  </si>
  <si>
    <t>TFREPYD901</t>
  </si>
  <si>
    <t>TFREPYG901</t>
  </si>
  <si>
    <t>TFMEBDL901</t>
  </si>
  <si>
    <t>TFMEDME901</t>
  </si>
  <si>
    <t>TFMEDST901</t>
  </si>
  <si>
    <t>TFMEELC901</t>
  </si>
  <si>
    <t>TFMEETH901</t>
  </si>
  <si>
    <t>TFMEGAS901</t>
  </si>
  <si>
    <t>TFMEGSL901</t>
  </si>
  <si>
    <t>TFMEHYD901</t>
  </si>
  <si>
    <t>TFMEHYG901</t>
  </si>
  <si>
    <t>TFMEHFC901</t>
  </si>
  <si>
    <t>TFMELPG901</t>
  </si>
  <si>
    <t>TFMEMDE901</t>
  </si>
  <si>
    <t>TFMEPYD901</t>
  </si>
  <si>
    <t>TFMEPYG901</t>
  </si>
  <si>
    <t>20% more expensive than DST</t>
  </si>
  <si>
    <t>TCL-P</t>
  </si>
  <si>
    <t>Sheet</t>
  </si>
  <si>
    <t>TRA_TAV</t>
  </si>
  <si>
    <t>TRA_Buses</t>
  </si>
  <si>
    <t>TRA_Cars_Pool</t>
  </si>
  <si>
    <t>ROAD - PASSENGER: Cars - Private</t>
  </si>
  <si>
    <t>AF~2020</t>
  </si>
  <si>
    <t>TRA_TT</t>
  </si>
  <si>
    <t>Same as for GAS101</t>
  </si>
  <si>
    <t>Same as for GSL101</t>
  </si>
  <si>
    <t>TRA_Trucks</t>
  </si>
  <si>
    <t>TRA_TNA</t>
  </si>
  <si>
    <t>TRA_Others</t>
  </si>
  <si>
    <t>TCS-P</t>
  </si>
  <si>
    <t>Own assumption; equal to DST in long-distance</t>
  </si>
  <si>
    <t>Own assumption; equal to GSL in long-distance</t>
  </si>
  <si>
    <t>l/100 km</t>
  </si>
  <si>
    <t>Unit converter</t>
  </si>
  <si>
    <r>
      <t>MJ/l (GJ/m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</si>
  <si>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Quant.</t>
  </si>
  <si>
    <t>MWh</t>
  </si>
  <si>
    <t>Gasoline</t>
  </si>
  <si>
    <t>Kerosene/jet fuel</t>
  </si>
  <si>
    <t>Diesel</t>
  </si>
  <si>
    <t>LFO (Eo 1)</t>
  </si>
  <si>
    <t>HFO (Eo 2-6)</t>
  </si>
  <si>
    <t>Ethanol</t>
  </si>
  <si>
    <t>FAME</t>
  </si>
  <si>
    <t>HVO</t>
  </si>
  <si>
    <t>Natural gas</t>
  </si>
  <si>
    <t>Biogas</t>
  </si>
  <si>
    <t>LPG</t>
  </si>
  <si>
    <r>
      <t>1 m</t>
    </r>
    <r>
      <rPr>
        <vertAlign val="superscript"/>
        <sz val="11"/>
        <rFont val="Calibri"/>
        <family val="2"/>
        <scheme val="minor"/>
      </rPr>
      <t>3</t>
    </r>
  </si>
  <si>
    <r>
      <t>1000 m</t>
    </r>
    <r>
      <rPr>
        <vertAlign val="superscript"/>
        <sz val="11"/>
        <rFont val="Calibri"/>
        <family val="2"/>
        <scheme val="minor"/>
      </rPr>
      <t>3</t>
    </r>
  </si>
  <si>
    <t>TFLS-C</t>
  </si>
  <si>
    <t>TFLL-C</t>
  </si>
  <si>
    <t>TFML-C</t>
  </si>
  <si>
    <t>TFRL-C</t>
  </si>
  <si>
    <t>TAI, TAI-C</t>
  </si>
  <si>
    <t>TAV, TAV-C</t>
  </si>
  <si>
    <t>TBI, TBI-C</t>
  </si>
  <si>
    <t>TNA, TNA-C</t>
  </si>
  <si>
    <t>TNB, TNB-C</t>
  </si>
  <si>
    <t>25% higher fuel consumption compared to long-distance</t>
  </si>
  <si>
    <t>TFMS-C</t>
  </si>
  <si>
    <t>TFRS-C</t>
  </si>
  <si>
    <t>TBU, TBU-C</t>
  </si>
  <si>
    <t>Same as for DST</t>
  </si>
  <si>
    <t>Same as for ELC</t>
  </si>
  <si>
    <t>TBISELC101</t>
  </si>
  <si>
    <t>CHANGE COLUMNS O-S ONLY IF BETTER DATA IS AVAILABLE</t>
  </si>
  <si>
    <t>Equal to DST</t>
  </si>
  <si>
    <t>Source / Comments</t>
  </si>
  <si>
    <t>Own assumption; same relative efficiency gain as GAS car</t>
  </si>
  <si>
    <t>Own assumption; same relative efficiency gain as GSL car</t>
  </si>
  <si>
    <t>40% more efficient than DST bus (SL)</t>
  </si>
  <si>
    <t>Bus.Intercity.Hybrid.GSL.01.</t>
  </si>
  <si>
    <t>Bus.Intercity.Plugin-Hybrid.DST.01.</t>
  </si>
  <si>
    <t>Bus.Intercity.Plugin-Hybrid.GSL.01.</t>
  </si>
  <si>
    <t>Truck.Light.Hybrid.GSL.City.01.</t>
  </si>
  <si>
    <t>Truck.Light.Hybrid.DST.City.01.</t>
  </si>
  <si>
    <t>Truck.Light.Plugin-Hybrid.DST.City.01.</t>
  </si>
  <si>
    <t>Truck.Light.Plugin-Hybrid.GSL01.</t>
  </si>
  <si>
    <t>Truck.Light.Plugin-Hybrid.GSL.City.01.</t>
  </si>
  <si>
    <t>Truck.Medium.BDL.City.01.</t>
  </si>
  <si>
    <t>Truck.Medium.DME.City.01.</t>
  </si>
  <si>
    <t>Truck.Medium.DST.City.01.</t>
  </si>
  <si>
    <t>Truck.Medium.ELC.City.01.</t>
  </si>
  <si>
    <t>Truck.Medium.ETH.City.01.</t>
  </si>
  <si>
    <t>Truck.Medium.GAS.City.01.</t>
  </si>
  <si>
    <t>Truck.Medium.GSL.City.01.</t>
  </si>
  <si>
    <t>Truck.Medium.H2G.City.01.</t>
  </si>
  <si>
    <t>Truck.Medium.Hybrid.DST.City.01.</t>
  </si>
  <si>
    <t>Truck.Medium.Hybrid.GSL.01.</t>
  </si>
  <si>
    <t>Truck.Medium.Hybrid.GSL.City.01.</t>
  </si>
  <si>
    <t>Equal to heavy truck</t>
  </si>
  <si>
    <t>Truck.Medium.LPG.01.</t>
  </si>
  <si>
    <t>Truck.Medium.LPG.City.01.</t>
  </si>
  <si>
    <t>Truck.Medium.Plugin-Hybrid.DST.01.</t>
  </si>
  <si>
    <t>Truck.Medium.Plugin-Hybrid.DST.City.01.</t>
  </si>
  <si>
    <t>Truck.Medium.Plugin-Hybrid.GSL.01.</t>
  </si>
  <si>
    <t>Truck.Medium.Plugin-Hybrid.GSL.City.01.</t>
  </si>
  <si>
    <t>Truck.Heavy.Hybrid.DST.City.01.</t>
  </si>
  <si>
    <t>Truck.Heavy.Hybrid.GSL.01.</t>
  </si>
  <si>
    <t>Truck.Heavy.Hybrid.GSL.City.01.</t>
  </si>
  <si>
    <t>Truck.Heavy.LPG.01.</t>
  </si>
  <si>
    <t>Truck.Heavy.LPG.City.01.</t>
  </si>
  <si>
    <t>Truck.Heavy.Plugin-Hybrid.DST.01.</t>
  </si>
  <si>
    <t>Truck.Heavy.Plugin-Hybrid.DST.City.01.</t>
  </si>
  <si>
    <t>Truck.Heavy.Plugin-Hybrid.GSL.01.</t>
  </si>
  <si>
    <t>Truck.Heavy.Plugin-Hybrid.GSL.City.01.</t>
  </si>
  <si>
    <t>TEP-C</t>
  </si>
  <si>
    <t>TNC, TNC-C</t>
  </si>
  <si>
    <t>TMOTELC901</t>
  </si>
  <si>
    <t>TMO-C</t>
  </si>
  <si>
    <t>TMOTGSL901</t>
  </si>
  <si>
    <t>Guesstimate</t>
  </si>
  <si>
    <t>Double price of electric cargo bike</t>
  </si>
  <si>
    <t>kWh/km</t>
  </si>
  <si>
    <t>TRA_Cars</t>
  </si>
  <si>
    <t>Passenger/ Train</t>
  </si>
  <si>
    <t>Stock/ Demand</t>
  </si>
  <si>
    <t>ROAD - FREIGHT: Light Trucks &lt;3.5 tons - City's own organisation</t>
  </si>
  <si>
    <t>ROAD - FREIGHT: Light Trucks &lt;3.5 tons - Private</t>
  </si>
  <si>
    <t>ROAD - FREIGHT: Medium trucks 3.5-16 tons - Private</t>
  </si>
  <si>
    <t>ROAD - FREIGHT: Medium trucks 3.5-16 tons - City's own organisation</t>
  </si>
  <si>
    <t>ROAD - FREIGHT: Heavy trucks &gt;16 tons - Private</t>
  </si>
  <si>
    <t>Long distance efficiency</t>
  </si>
  <si>
    <t>Short distance efficiency</t>
  </si>
  <si>
    <t>ROAD - FREIGHT: Heavy trucks &gt;16 tons - City's own organisation</t>
  </si>
  <si>
    <t>DO NOT CHANGE! Calculated from columns P-T!</t>
  </si>
  <si>
    <t>Own assumption; same relative efficiency gain as for HYD compared to DST</t>
  </si>
  <si>
    <t>Own assumption; ca 5% more efficient than GSL</t>
  </si>
  <si>
    <t>Assumption / Source / Comments</t>
  </si>
  <si>
    <t>Assumed same efficiency gain compared to DST as HYD</t>
  </si>
  <si>
    <t>Assumed same efficiency gain compared to GSL as HYG</t>
  </si>
  <si>
    <t>Own assumption; same as HYD</t>
  </si>
  <si>
    <t>Own assumption; 20% more expensive than non-plugin hybrid due to bigger battery + charging opp.</t>
  </si>
  <si>
    <t>Own assumption; equal to DME</t>
  </si>
  <si>
    <t>TCARDST101P</t>
  </si>
  <si>
    <t>TCARELC101P</t>
  </si>
  <si>
    <t>TCARETH101P</t>
  </si>
  <si>
    <t>TCARGAS101P</t>
  </si>
  <si>
    <t>TCARGSL101P</t>
  </si>
  <si>
    <t>TCARHFC101P</t>
  </si>
  <si>
    <t>TCARHYD101P</t>
  </si>
  <si>
    <t>TCARHYG101P</t>
  </si>
  <si>
    <t>TCARLPG101P</t>
  </si>
  <si>
    <t>TCARPYD101P</t>
  </si>
  <si>
    <t>TCARPYG101P</t>
  </si>
  <si>
    <t>TCARBDL101P</t>
  </si>
  <si>
    <t>TLEPELC101</t>
  </si>
  <si>
    <t>TLEFELC101</t>
  </si>
  <si>
    <t>TLEP</t>
  </si>
  <si>
    <t>TLEF</t>
  </si>
  <si>
    <t>TLEFELC901</t>
  </si>
  <si>
    <t>TLEPELC901</t>
  </si>
  <si>
    <t>Own assumption, 10% more expensive than DST</t>
  </si>
  <si>
    <t>Exclude???</t>
  </si>
  <si>
    <t>Sheet name should be could "sector" name; TRA_xxx, IND_xxx, RSD_xxx etc.</t>
  </si>
  <si>
    <t>TRAMTH</t>
  </si>
  <si>
    <t>TRAMTHM</t>
  </si>
  <si>
    <t>TCARMTH101</t>
  </si>
  <si>
    <t>TCARMTH901</t>
  </si>
  <si>
    <t>Car.MTH.City.01.</t>
  </si>
  <si>
    <t>TCARMTH101P</t>
  </si>
  <si>
    <t>TBUSMTH101</t>
  </si>
  <si>
    <t>TBISMTH101</t>
  </si>
  <si>
    <t>TFMEMTH901</t>
  </si>
  <si>
    <t>TFREMTH101</t>
  </si>
  <si>
    <t>TFREMTH901</t>
  </si>
  <si>
    <t>TFLEMTH101</t>
  </si>
  <si>
    <t>TFLEMTH901</t>
  </si>
  <si>
    <t>TFMEMTH101</t>
  </si>
  <si>
    <t>TNCMTH101</t>
  </si>
  <si>
    <t>Navigation.Local.Ferry.MTH.01.</t>
  </si>
  <si>
    <t>Bus.Intercity.MTH.01.</t>
  </si>
  <si>
    <t>Bus.Urban.MTH.01.</t>
  </si>
  <si>
    <t>Car.MTH.01.</t>
  </si>
  <si>
    <t>Car.MTH.Pool.01.</t>
  </si>
  <si>
    <t>Truck.Light.MTH.01.</t>
  </si>
  <si>
    <t>Truck.Light.MTH.City.01.</t>
  </si>
  <si>
    <t>Truck.Medium.MTH.01.</t>
  </si>
  <si>
    <t>Truck.Medium.MTH.City.01.</t>
  </si>
  <si>
    <t>Truck.Heavy.MTH.01.</t>
  </si>
  <si>
    <t>Truck.Heavy.MTH.City.01.</t>
  </si>
  <si>
    <t>Same as ETH, GSL, LPG, MTH</t>
  </si>
  <si>
    <t>AVIATION - PASSENGER: Domestic</t>
  </si>
  <si>
    <t>AVIATION - PASSENGER: International</t>
  </si>
  <si>
    <t>Input~2016</t>
  </si>
  <si>
    <t>Input~2020</t>
  </si>
  <si>
    <t>Input~2030</t>
  </si>
  <si>
    <t>Input~2040</t>
  </si>
  <si>
    <t>Input~2050</t>
  </si>
  <si>
    <t>Euro/TJ</t>
  </si>
  <si>
    <t>DUMMY VALUE</t>
  </si>
  <si>
    <t>TJa</t>
  </si>
  <si>
    <t>kEuro/TJa</t>
  </si>
  <si>
    <t>Dummy value</t>
  </si>
  <si>
    <t>TLEP-C</t>
  </si>
  <si>
    <t>Moto.ELC.City.01.</t>
  </si>
  <si>
    <t>Moto.GSL.City.01</t>
  </si>
  <si>
    <t>TLEF-C</t>
  </si>
  <si>
    <r>
      <t xml:space="preserve">Van Hool Fuel cell bus, Stockholm Transit Authority (SL), </t>
    </r>
    <r>
      <rPr>
        <i/>
        <sz val="11"/>
        <color theme="1"/>
        <rFont val="Calibri"/>
        <family val="2"/>
        <scheme val="minor"/>
      </rPr>
      <t xml:space="preserve">Utredningsbeslut som avser övergången till eldriven busstrafik </t>
    </r>
    <r>
      <rPr>
        <sz val="11"/>
        <color theme="1"/>
        <rFont val="Calibri"/>
        <family val="2"/>
        <scheme val="minor"/>
      </rPr>
      <t>(2016)</t>
    </r>
  </si>
  <si>
    <r>
      <t xml:space="preserve">Stockholm Transit Authority (SL), </t>
    </r>
    <r>
      <rPr>
        <i/>
        <sz val="11"/>
        <color theme="1"/>
        <rFont val="Calibri"/>
        <family val="2"/>
        <scheme val="minor"/>
      </rPr>
      <t xml:space="preserve">Utredningsbeslut som avser övergången till eldriven busstrafik </t>
    </r>
    <r>
      <rPr>
        <sz val="11"/>
        <color theme="1"/>
        <rFont val="Calibri"/>
        <family val="2"/>
        <scheme val="minor"/>
      </rPr>
      <t>(2016)</t>
    </r>
  </si>
  <si>
    <t>Guesstimate: 50% more expensive than TNCDST</t>
  </si>
  <si>
    <t>Guesstimate: 30% more expensive than TNCDST</t>
  </si>
  <si>
    <t>NAVIGATION: Local City Ferry</t>
  </si>
  <si>
    <t>TOV101</t>
  </si>
  <si>
    <t>TOV901</t>
  </si>
  <si>
    <t>Other.Vehicles.01.</t>
  </si>
  <si>
    <t>Other.Vehicles.City.01.</t>
  </si>
  <si>
    <t>TRA_Other</t>
  </si>
  <si>
    <t>TOV</t>
  </si>
  <si>
    <t>TOV-C</t>
  </si>
  <si>
    <t>NAVIGATION: Freight (Generic)</t>
  </si>
  <si>
    <t>Tons/ Vessel</t>
  </si>
  <si>
    <t>TRALFO</t>
  </si>
  <si>
    <t>Own assumption, equal to GAS</t>
  </si>
  <si>
    <t>Stock/ demand</t>
  </si>
  <si>
    <t>TNA</t>
  </si>
  <si>
    <t>TNA-C</t>
  </si>
  <si>
    <t>Same as GSL</t>
  </si>
  <si>
    <t>NEED TO BE CHECKED!</t>
  </si>
  <si>
    <t>Own assumption; equal to DST (ED95)</t>
  </si>
  <si>
    <t>Equal to BUS - ERASE TECHNOLOGY???</t>
  </si>
  <si>
    <t>Assumed equal to ELC BUS</t>
  </si>
  <si>
    <t>Assumed same as DST</t>
  </si>
  <si>
    <t>TAI</t>
  </si>
  <si>
    <t>TAI-C</t>
  </si>
  <si>
    <t>OTHER VEHICLES: Working Machinery - PRIVATE</t>
  </si>
  <si>
    <t>OILKER</t>
  </si>
  <si>
    <t>Vkm/MJ</t>
  </si>
  <si>
    <t>Dummy, need to be bigger than zero…</t>
  </si>
  <si>
    <t>CHANGE COLUMNS P-T ONLY IF BETTER DATA IS AVAILABLE</t>
  </si>
  <si>
    <t>units</t>
  </si>
  <si>
    <t>kEuro/unit</t>
  </si>
  <si>
    <t>Max Annual '000 km</t>
  </si>
  <si>
    <t>000_Vkm</t>
  </si>
  <si>
    <t>Euro/'000 km</t>
  </si>
  <si>
    <t>kEuro/unit per Year</t>
  </si>
  <si>
    <t>kkEuro/unit</t>
  </si>
  <si>
    <t>kEuro/unit - % of investment</t>
  </si>
  <si>
    <t>DST</t>
  </si>
  <si>
    <t>ELC</t>
  </si>
  <si>
    <t>HFC</t>
  </si>
  <si>
    <t>HFC_alt</t>
  </si>
  <si>
    <t>ELC_bonus</t>
  </si>
  <si>
    <t>HFC_bonus</t>
  </si>
  <si>
    <t>JRC-EU-TIMES price in 2016, same cost curve as for light duty HFC vehicles</t>
  </si>
  <si>
    <t>Assumed 30% more efficient than DST bus, same efficiency gain as DST</t>
  </si>
  <si>
    <t>Asssumed 30% more efficient than GSL bus, same efficiency gain as GSL</t>
  </si>
  <si>
    <t>Equal to DST - ERASE TECHNOLOGY???</t>
  </si>
  <si>
    <t>10% more fuel efficient than DST; same relative efficiency gain as DST</t>
  </si>
  <si>
    <t>10% more fuel efficient than GSL; same relative efficiency gain as GSL</t>
  </si>
  <si>
    <t>TNB201</t>
  </si>
  <si>
    <t>Navigation.Generic.Bunker.Gas.01</t>
  </si>
  <si>
    <t>TNB301</t>
  </si>
  <si>
    <t>Navigation.Generic.Bunker.Methanol.01</t>
  </si>
  <si>
    <t>50% of ELC car</t>
  </si>
  <si>
    <t>50% of GSL car</t>
  </si>
  <si>
    <t>10% of ELC car</t>
  </si>
  <si>
    <t>Double cost of TNB101</t>
  </si>
  <si>
    <t>kEuro/1000 km</t>
  </si>
  <si>
    <t>Own assumption; close to DST (ED95)</t>
  </si>
  <si>
    <t>Own assumption; 5% more expensive than GSL</t>
  </si>
  <si>
    <t>TRAELR</t>
  </si>
  <si>
    <t>TRADSR</t>
  </si>
  <si>
    <t>TRABDR</t>
  </si>
  <si>
    <t>Share~UP~2020</t>
  </si>
  <si>
    <t>Share~UP~2030</t>
  </si>
  <si>
    <t>Share~UP~2040</t>
  </si>
  <si>
    <t>Share~UP~2050</t>
  </si>
  <si>
    <t>TRABDL, TRADST, TRABDLM</t>
  </si>
  <si>
    <t>TRAGSL, TRAETHM, TRABGSLM, TRAMTHM</t>
  </si>
  <si>
    <t>TRANGS, TRABGS</t>
  </si>
  <si>
    <t>TRABGS, TRANGS</t>
  </si>
  <si>
    <t>ELC_Low</t>
  </si>
  <si>
    <t>$/kWh</t>
  </si>
  <si>
    <t>% change</t>
  </si>
  <si>
    <t>BNEF</t>
  </si>
  <si>
    <t>Battery cost as % of total retail price</t>
  </si>
  <si>
    <t>ELC_Low_Bonus</t>
  </si>
  <si>
    <t>__FI_T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</si>
</sst>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Te\x\t"/>
    <numFmt numFmtId="165" formatCode="0.0"/>
    <numFmt numFmtId="166" formatCode="#,##0.0"/>
    <numFmt numFmtId="167" formatCode="0.000"/>
    <numFmt numFmtId="168" formatCode="0.0%"/>
    <numFmt numFmtId="169" formatCode="0.000%"/>
    <numFmt numFmtId="170" formatCode="#,##0.000"/>
    <numFmt numFmtId="171" formatCode="#,##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Bembo"/>
      <family val="2"/>
    </font>
    <font>
      <sz val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i/>
      <sz val="10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Verdana"/>
      <family val="2"/>
    </font>
    <font>
      <vertAlign val="superscript"/>
      <sz val="11"/>
      <name val="Calibri"/>
      <family val="2"/>
      <scheme val="minor"/>
    </font>
    <font>
      <b/>
      <sz val="11"/>
      <name val="Verdana"/>
      <family val="2"/>
    </font>
    <font>
      <i/>
      <sz val="11"/>
      <name val="Calibri"/>
      <family val="2"/>
      <scheme val="minor"/>
    </font>
    <font>
      <b/>
      <sz val="11"/>
      <color rgb="FFFF0000"/>
      <name val="Verdana"/>
      <family val="2"/>
    </font>
    <font>
      <sz val="11"/>
      <color rgb="FFFF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</cellStyleXfs>
  <cellXfs count="321">
    <xf numFmtId="0" fontId="0" fillId="0" borderId="0" xfId="0"/>
    <xf numFmtId="0" fontId="0" fillId="0" borderId="0" xfId="0" quotePrefix="1"/>
    <xf numFmtId="0" fontId="8" fillId="0" borderId="1" xfId="0" applyFont="1" applyBorder="1"/>
    <xf numFmtId="0" fontId="0" fillId="0" borderId="1" xfId="0" applyBorder="1"/>
    <xf numFmtId="0" fontId="11" fillId="0" borderId="0" xfId="0" applyFont="1"/>
    <xf numFmtId="0" fontId="8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/>
    <xf numFmtId="0" fontId="14" fillId="0" borderId="0" xfId="0" applyFont="1"/>
    <xf numFmtId="0" fontId="15" fillId="3" borderId="0" xfId="0" applyFont="1" applyFill="1" applyAlignment="1">
      <alignment vertical="center"/>
    </xf>
    <xf numFmtId="3" fontId="15" fillId="3" borderId="0" xfId="0" applyNumberFormat="1" applyFont="1" applyFill="1" applyAlignment="1">
      <alignment horizontal="right" vertical="center" wrapText="1"/>
    </xf>
    <xf numFmtId="165" fontId="15" fillId="3" borderId="0" xfId="0" applyNumberFormat="1" applyFont="1" applyFill="1" applyAlignment="1">
      <alignment horizontal="right" vertical="center" wrapText="1"/>
    </xf>
    <xf numFmtId="4" fontId="0" fillId="3" borderId="0" xfId="0" applyNumberFormat="1" applyFill="1" applyAlignment="1">
      <alignment horizontal="right" vertical="center" wrapText="1"/>
    </xf>
    <xf numFmtId="3" fontId="0" fillId="3" borderId="0" xfId="0" applyNumberFormat="1" applyFill="1" applyAlignment="1">
      <alignment horizontal="right" vertical="center" wrapText="1"/>
    </xf>
    <xf numFmtId="166" fontId="0" fillId="3" borderId="0" xfId="0" applyNumberFormat="1" applyFill="1" applyAlignment="1">
      <alignment horizontal="right" vertical="center" wrapText="1"/>
    </xf>
    <xf numFmtId="0" fontId="15" fillId="3" borderId="4" xfId="0" applyFont="1" applyFill="1" applyBorder="1" applyAlignment="1">
      <alignment vertical="center"/>
    </xf>
    <xf numFmtId="3" fontId="15" fillId="3" borderId="4" xfId="0" applyNumberFormat="1" applyFont="1" applyFill="1" applyBorder="1" applyAlignment="1">
      <alignment horizontal="right" vertical="center" wrapText="1"/>
    </xf>
    <xf numFmtId="165" fontId="15" fillId="3" borderId="4" xfId="0" applyNumberFormat="1" applyFont="1" applyFill="1" applyBorder="1" applyAlignment="1">
      <alignment horizontal="right" vertical="center" wrapText="1"/>
    </xf>
    <xf numFmtId="4" fontId="0" fillId="3" borderId="4" xfId="0" applyNumberFormat="1" applyFill="1" applyBorder="1" applyAlignment="1">
      <alignment horizontal="right" vertical="center" wrapText="1"/>
    </xf>
    <xf numFmtId="3" fontId="0" fillId="3" borderId="4" xfId="0" applyNumberFormat="1" applyFill="1" applyBorder="1" applyAlignment="1">
      <alignment horizontal="right" vertical="center" wrapText="1"/>
    </xf>
    <xf numFmtId="166" fontId="0" fillId="3" borderId="4" xfId="0" applyNumberFormat="1" applyFill="1" applyBorder="1" applyAlignment="1">
      <alignment horizontal="right" vertical="center" wrapText="1"/>
    </xf>
    <xf numFmtId="1" fontId="15" fillId="3" borderId="0" xfId="1" applyNumberFormat="1" applyFont="1" applyFill="1" applyAlignment="1">
      <alignment horizontal="right"/>
    </xf>
    <xf numFmtId="3" fontId="15" fillId="3" borderId="5" xfId="0" applyNumberFormat="1" applyFont="1" applyFill="1" applyBorder="1" applyAlignment="1">
      <alignment horizontal="right" vertical="center" wrapText="1"/>
    </xf>
    <xf numFmtId="165" fontId="15" fillId="3" borderId="5" xfId="0" applyNumberFormat="1" applyFont="1" applyFill="1" applyBorder="1" applyAlignment="1">
      <alignment horizontal="right" vertical="center" wrapText="1"/>
    </xf>
    <xf numFmtId="0" fontId="15" fillId="3" borderId="5" xfId="0" applyFont="1" applyFill="1" applyBorder="1" applyAlignment="1">
      <alignment vertical="center"/>
    </xf>
    <xf numFmtId="4" fontId="0" fillId="3" borderId="5" xfId="0" applyNumberFormat="1" applyFill="1" applyBorder="1" applyAlignment="1">
      <alignment horizontal="right" vertical="center" wrapText="1"/>
    </xf>
    <xf numFmtId="3" fontId="0" fillId="3" borderId="5" xfId="0" applyNumberFormat="1" applyFill="1" applyBorder="1" applyAlignment="1">
      <alignment horizontal="right" vertical="center" wrapText="1"/>
    </xf>
    <xf numFmtId="0" fontId="15" fillId="3" borderId="0" xfId="0" applyFont="1" applyFill="1" applyAlignment="1">
      <alignment horizontal="right" vertical="center" wrapText="1"/>
    </xf>
    <xf numFmtId="0" fontId="15" fillId="3" borderId="5" xfId="0" applyFont="1" applyFill="1" applyBorder="1" applyAlignment="1">
      <alignment horizontal="right" vertical="center" wrapText="1"/>
    </xf>
    <xf numFmtId="0" fontId="15" fillId="0" borderId="0" xfId="0" applyFont="1" applyAlignment="1">
      <alignment vertical="center"/>
    </xf>
    <xf numFmtId="3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3" fontId="15" fillId="0" borderId="0" xfId="1" applyNumberFormat="1" applyFont="1"/>
    <xf numFmtId="167" fontId="15" fillId="0" borderId="0" xfId="1" applyNumberFormat="1" applyFont="1"/>
    <xf numFmtId="165" fontId="15" fillId="0" borderId="0" xfId="1" applyNumberFormat="1" applyFont="1"/>
    <xf numFmtId="0" fontId="15" fillId="0" borderId="0" xfId="0" applyFont="1"/>
    <xf numFmtId="3" fontId="15" fillId="3" borderId="0" xfId="1" applyNumberFormat="1" applyFont="1" applyFill="1"/>
    <xf numFmtId="165" fontId="15" fillId="3" borderId="0" xfId="1" applyNumberFormat="1" applyFont="1" applyFill="1"/>
    <xf numFmtId="2" fontId="15" fillId="3" borderId="0" xfId="1" applyNumberFormat="1" applyFont="1" applyFill="1"/>
    <xf numFmtId="3" fontId="15" fillId="3" borderId="0" xfId="1" applyNumberFormat="1" applyFont="1" applyFill="1" applyAlignment="1">
      <alignment horizontal="right"/>
    </xf>
    <xf numFmtId="2" fontId="15" fillId="3" borderId="4" xfId="1" applyNumberFormat="1" applyFont="1" applyFill="1" applyBorder="1"/>
    <xf numFmtId="3" fontId="15" fillId="3" borderId="4" xfId="1" applyNumberFormat="1" applyFont="1" applyFill="1" applyBorder="1"/>
    <xf numFmtId="165" fontId="15" fillId="3" borderId="4" xfId="1" applyNumberFormat="1" applyFont="1" applyFill="1" applyBorder="1"/>
    <xf numFmtId="2" fontId="15" fillId="0" borderId="0" xfId="1" applyNumberFormat="1" applyFont="1"/>
    <xf numFmtId="3" fontId="15" fillId="0" borderId="0" xfId="1" applyNumberFormat="1" applyFont="1" applyAlignment="1">
      <alignment horizontal="right"/>
    </xf>
    <xf numFmtId="3" fontId="9" fillId="3" borderId="0" xfId="1" applyNumberFormat="1" applyFont="1" applyFill="1"/>
    <xf numFmtId="0" fontId="15" fillId="3" borderId="0" xfId="0" applyFont="1" applyFill="1"/>
    <xf numFmtId="0" fontId="15" fillId="3" borderId="4" xfId="0" applyFont="1" applyFill="1" applyBorder="1"/>
    <xf numFmtId="3" fontId="15" fillId="3" borderId="4" xfId="1" applyNumberFormat="1" applyFont="1" applyFill="1" applyBorder="1" applyAlignment="1">
      <alignment horizontal="right"/>
    </xf>
    <xf numFmtId="3" fontId="9" fillId="3" borderId="4" xfId="1" applyNumberFormat="1" applyFont="1" applyFill="1" applyBorder="1"/>
    <xf numFmtId="3" fontId="15" fillId="3" borderId="5" xfId="1" applyNumberFormat="1" applyFont="1" applyFill="1" applyBorder="1"/>
    <xf numFmtId="165" fontId="15" fillId="3" borderId="5" xfId="1" applyNumberFormat="1" applyFont="1" applyFill="1" applyBorder="1"/>
    <xf numFmtId="2" fontId="15" fillId="3" borderId="5" xfId="1" applyNumberFormat="1" applyFont="1" applyFill="1" applyBorder="1"/>
    <xf numFmtId="3" fontId="9" fillId="3" borderId="0" xfId="1" applyNumberFormat="1" applyFont="1" applyFill="1" applyAlignment="1">
      <alignment horizontal="right"/>
    </xf>
    <xf numFmtId="1" fontId="15" fillId="0" borderId="0" xfId="1" applyNumberFormat="1" applyFont="1"/>
    <xf numFmtId="0" fontId="15" fillId="3" borderId="0" xfId="1" applyNumberFormat="1" applyFont="1" applyFill="1"/>
    <xf numFmtId="1" fontId="15" fillId="3" borderId="0" xfId="1" applyNumberFormat="1" applyFont="1" applyFill="1"/>
    <xf numFmtId="165" fontId="9" fillId="3" borderId="0" xfId="1" applyNumberFormat="1" applyFont="1" applyFill="1"/>
    <xf numFmtId="1" fontId="15" fillId="3" borderId="5" xfId="1" applyNumberFormat="1" applyFont="1" applyFill="1" applyBorder="1"/>
    <xf numFmtId="0" fontId="15" fillId="3" borderId="4" xfId="1" applyNumberFormat="1" applyFont="1" applyFill="1" applyBorder="1"/>
    <xf numFmtId="1" fontId="15" fillId="3" borderId="4" xfId="1" applyNumberFormat="1" applyFont="1" applyFill="1" applyBorder="1"/>
    <xf numFmtId="167" fontId="15" fillId="3" borderId="0" xfId="1" applyNumberFormat="1" applyFont="1" applyFill="1"/>
    <xf numFmtId="1" fontId="15" fillId="0" borderId="0" xfId="1" applyNumberFormat="1" applyFont="1" applyAlignment="1">
      <alignment horizontal="right"/>
    </xf>
    <xf numFmtId="1" fontId="15" fillId="3" borderId="5" xfId="0" applyNumberFormat="1" applyFont="1" applyFill="1" applyBorder="1"/>
    <xf numFmtId="0" fontId="0" fillId="3" borderId="0" xfId="0" applyFill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3" fontId="15" fillId="3" borderId="7" xfId="1" applyNumberFormat="1" applyFont="1" applyFill="1" applyBorder="1"/>
    <xf numFmtId="165" fontId="15" fillId="3" borderId="7" xfId="1" applyNumberFormat="1" applyFont="1" applyFill="1" applyBorder="1"/>
    <xf numFmtId="2" fontId="15" fillId="3" borderId="7" xfId="1" applyNumberFormat="1" applyFont="1" applyFill="1" applyBorder="1"/>
    <xf numFmtId="0" fontId="15" fillId="0" borderId="5" xfId="0" applyFont="1" applyBorder="1"/>
    <xf numFmtId="0" fontId="15" fillId="0" borderId="4" xfId="0" applyFont="1" applyBorder="1"/>
    <xf numFmtId="166" fontId="15" fillId="3" borderId="5" xfId="1" applyNumberFormat="1" applyFont="1" applyFill="1" applyBorder="1"/>
    <xf numFmtId="2" fontId="15" fillId="3" borderId="5" xfId="0" applyNumberFormat="1" applyFont="1" applyFill="1" applyBorder="1" applyAlignment="1">
      <alignment horizontal="right"/>
    </xf>
    <xf numFmtId="2" fontId="15" fillId="3" borderId="0" xfId="0" applyNumberFormat="1" applyFont="1" applyFill="1" applyAlignment="1">
      <alignment horizontal="right"/>
    </xf>
    <xf numFmtId="2" fontId="15" fillId="3" borderId="4" xfId="0" applyNumberFormat="1" applyFont="1" applyFill="1" applyBorder="1" applyAlignment="1">
      <alignment horizontal="right"/>
    </xf>
    <xf numFmtId="167" fontId="15" fillId="3" borderId="4" xfId="1" applyNumberFormat="1" applyFont="1" applyFill="1" applyBorder="1"/>
    <xf numFmtId="0" fontId="16" fillId="0" borderId="0" xfId="0" applyFont="1"/>
    <xf numFmtId="164" fontId="17" fillId="0" borderId="0" xfId="0" applyNumberFormat="1" applyFont="1"/>
    <xf numFmtId="164" fontId="0" fillId="0" borderId="0" xfId="0" applyNumberFormat="1"/>
    <xf numFmtId="164" fontId="11" fillId="0" borderId="0" xfId="0" applyNumberFormat="1" applyFont="1" applyAlignment="1">
      <alignment horizontal="left"/>
    </xf>
    <xf numFmtId="164" fontId="14" fillId="0" borderId="0" xfId="0" applyNumberFormat="1" applyFont="1"/>
    <xf numFmtId="164" fontId="11" fillId="0" borderId="0" xfId="0" applyNumberFormat="1" applyFont="1"/>
    <xf numFmtId="164" fontId="1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2" fillId="5" borderId="0" xfId="0" quotePrefix="1" applyFont="1" applyFill="1" applyAlignment="1">
      <alignment horizontal="left"/>
    </xf>
    <xf numFmtId="0" fontId="12" fillId="0" borderId="0" xfId="0" quotePrefix="1" applyFont="1" applyAlignment="1">
      <alignment horizontal="left"/>
    </xf>
    <xf numFmtId="0" fontId="11" fillId="0" borderId="0" xfId="0" quotePrefix="1" applyFont="1" applyAlignment="1">
      <alignment horizontal="left"/>
    </xf>
    <xf numFmtId="0" fontId="15" fillId="0" borderId="0" xfId="2" applyFont="1"/>
    <xf numFmtId="3" fontId="8" fillId="0" borderId="0" xfId="0" applyNumberFormat="1" applyFont="1"/>
    <xf numFmtId="3" fontId="0" fillId="0" borderId="0" xfId="0" applyNumberFormat="1"/>
    <xf numFmtId="0" fontId="9" fillId="0" borderId="0" xfId="0" applyFont="1"/>
    <xf numFmtId="0" fontId="10" fillId="5" borderId="0" xfId="3" applyFont="1" applyFill="1"/>
    <xf numFmtId="0" fontId="15" fillId="0" borderId="0" xfId="2" applyFont="1" applyAlignment="1">
      <alignment horizontal="left"/>
    </xf>
    <xf numFmtId="0" fontId="0" fillId="0" borderId="0" xfId="0" applyAlignment="1">
      <alignment vertical="top"/>
    </xf>
    <xf numFmtId="0" fontId="0" fillId="6" borderId="0" xfId="0" applyFill="1"/>
    <xf numFmtId="0" fontId="15" fillId="6" borderId="0" xfId="0" applyFont="1" applyFill="1"/>
    <xf numFmtId="164" fontId="15" fillId="6" borderId="0" xfId="0" applyNumberFormat="1" applyFont="1" applyFill="1"/>
    <xf numFmtId="164" fontId="15" fillId="6" borderId="0" xfId="0" applyNumberFormat="1" applyFont="1" applyFill="1" applyAlignment="1">
      <alignment horizontal="center"/>
    </xf>
    <xf numFmtId="164" fontId="15" fillId="6" borderId="0" xfId="0" applyNumberFormat="1" applyFont="1" applyFill="1" applyAlignment="1">
      <alignment vertical="top"/>
    </xf>
    <xf numFmtId="164" fontId="15" fillId="6" borderId="0" xfId="0" applyNumberFormat="1" applyFont="1" applyFill="1" applyAlignment="1">
      <alignment horizontal="center" vertical="top"/>
    </xf>
    <xf numFmtId="165" fontId="15" fillId="0" borderId="0" xfId="1" applyNumberFormat="1" applyFont="1" applyAlignment="1">
      <alignment horizontal="right"/>
    </xf>
    <xf numFmtId="0" fontId="19" fillId="5" borderId="0" xfId="3" applyFont="1" applyFill="1"/>
    <xf numFmtId="0" fontId="19" fillId="5" borderId="0" xfId="3" applyFont="1" applyFill="1" applyAlignment="1">
      <alignment horizontal="center"/>
    </xf>
    <xf numFmtId="3" fontId="15" fillId="6" borderId="0" xfId="0" applyNumberFormat="1" applyFont="1" applyFill="1"/>
    <xf numFmtId="3" fontId="21" fillId="7" borderId="0" xfId="0" applyNumberFormat="1" applyFont="1" applyFill="1"/>
    <xf numFmtId="0" fontId="21" fillId="7" borderId="0" xfId="0" applyFont="1" applyFill="1"/>
    <xf numFmtId="0" fontId="15" fillId="6" borderId="0" xfId="0" applyFont="1" applyFill="1" applyAlignment="1">
      <alignment vertical="center"/>
    </xf>
    <xf numFmtId="0" fontId="15" fillId="6" borderId="4" xfId="0" applyFont="1" applyFill="1" applyBorder="1"/>
    <xf numFmtId="3" fontId="21" fillId="7" borderId="4" xfId="0" applyNumberFormat="1" applyFont="1" applyFill="1" applyBorder="1"/>
    <xf numFmtId="166" fontId="0" fillId="6" borderId="0" xfId="0" applyNumberFormat="1" applyFill="1"/>
    <xf numFmtId="3" fontId="9" fillId="7" borderId="0" xfId="0" applyNumberFormat="1" applyFont="1" applyFill="1"/>
    <xf numFmtId="3" fontId="0" fillId="6" borderId="0" xfId="0" applyNumberFormat="1" applyFill="1"/>
    <xf numFmtId="166" fontId="0" fillId="6" borderId="4" xfId="0" applyNumberFormat="1" applyFill="1" applyBorder="1"/>
    <xf numFmtId="0" fontId="0" fillId="8" borderId="0" xfId="0" applyFill="1"/>
    <xf numFmtId="0" fontId="0" fillId="7" borderId="0" xfId="0" applyFill="1"/>
    <xf numFmtId="165" fontId="0" fillId="8" borderId="0" xfId="0" applyNumberFormat="1" applyFill="1"/>
    <xf numFmtId="165" fontId="0" fillId="7" borderId="0" xfId="0" applyNumberFormat="1" applyFill="1"/>
    <xf numFmtId="3" fontId="0" fillId="7" borderId="0" xfId="0" applyNumberFormat="1" applyFill="1"/>
    <xf numFmtId="0" fontId="23" fillId="3" borderId="9" xfId="0" applyFont="1" applyFill="1" applyBorder="1" applyAlignment="1">
      <alignment horizontal="center"/>
    </xf>
    <xf numFmtId="0" fontId="23" fillId="3" borderId="0" xfId="0" applyFont="1" applyFill="1"/>
    <xf numFmtId="2" fontId="23" fillId="3" borderId="0" xfId="0" applyNumberFormat="1" applyFont="1" applyFill="1"/>
    <xf numFmtId="0" fontId="23" fillId="0" borderId="0" xfId="0" applyFont="1"/>
    <xf numFmtId="0" fontId="23" fillId="9" borderId="10" xfId="0" applyFont="1" applyFill="1" applyBorder="1"/>
    <xf numFmtId="2" fontId="23" fillId="9" borderId="8" xfId="0" applyNumberFormat="1" applyFont="1" applyFill="1" applyBorder="1"/>
    <xf numFmtId="0" fontId="23" fillId="9" borderId="9" xfId="0" applyFont="1" applyFill="1" applyBorder="1"/>
    <xf numFmtId="0" fontId="23" fillId="9" borderId="0" xfId="0" applyFont="1" applyFill="1"/>
    <xf numFmtId="3" fontId="23" fillId="3" borderId="0" xfId="0" applyNumberFormat="1" applyFont="1" applyFill="1"/>
    <xf numFmtId="0" fontId="25" fillId="0" borderId="0" xfId="0" applyFont="1"/>
    <xf numFmtId="0" fontId="25" fillId="0" borderId="6" xfId="0" applyFont="1" applyBorder="1" applyAlignment="1">
      <alignment horizontal="center"/>
    </xf>
    <xf numFmtId="0" fontId="25" fillId="0" borderId="0" xfId="0" applyFont="1" applyAlignment="1">
      <alignment horizontal="right"/>
    </xf>
    <xf numFmtId="168" fontId="0" fillId="0" borderId="0" xfId="1" applyNumberFormat="1" applyFont="1"/>
    <xf numFmtId="0" fontId="15" fillId="7" borderId="0" xfId="0" applyFont="1" applyFill="1"/>
    <xf numFmtId="0" fontId="9" fillId="7" borderId="0" xfId="0" applyFont="1" applyFill="1"/>
    <xf numFmtId="3" fontId="9" fillId="6" borderId="0" xfId="0" applyNumberFormat="1" applyFont="1" applyFill="1"/>
    <xf numFmtId="166" fontId="15" fillId="3" borderId="4" xfId="1" applyNumberFormat="1" applyFont="1" applyFill="1" applyBorder="1"/>
    <xf numFmtId="1" fontId="15" fillId="6" borderId="0" xfId="1" applyNumberFormat="1" applyFont="1" applyFill="1"/>
    <xf numFmtId="165" fontId="15" fillId="6" borderId="0" xfId="1" applyNumberFormat="1" applyFont="1" applyFill="1"/>
    <xf numFmtId="4" fontId="15" fillId="6" borderId="0" xfId="1" applyNumberFormat="1" applyFont="1" applyFill="1"/>
    <xf numFmtId="3" fontId="15" fillId="6" borderId="0" xfId="1" applyNumberFormat="1" applyFont="1" applyFill="1"/>
    <xf numFmtId="167" fontId="15" fillId="6" borderId="0" xfId="1" applyNumberFormat="1" applyFont="1" applyFill="1"/>
    <xf numFmtId="2" fontId="15" fillId="6" borderId="0" xfId="1" applyNumberFormat="1" applyFont="1" applyFill="1"/>
    <xf numFmtId="0" fontId="15" fillId="3" borderId="4" xfId="0" applyFont="1" applyFill="1" applyBorder="1" applyAlignment="1">
      <alignment horizontal="right" vertical="center" wrapText="1"/>
    </xf>
    <xf numFmtId="0" fontId="0" fillId="7" borderId="4" xfId="0" applyFill="1" applyBorder="1"/>
    <xf numFmtId="169" fontId="0" fillId="0" borderId="0" xfId="1" applyNumberFormat="1" applyFont="1"/>
    <xf numFmtId="4" fontId="15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4" fontId="26" fillId="0" borderId="0" xfId="1" applyNumberFormat="1" applyFont="1" applyAlignment="1">
      <alignment horizontal="right"/>
    </xf>
    <xf numFmtId="3" fontId="15" fillId="6" borderId="4" xfId="0" applyNumberFormat="1" applyFont="1" applyFill="1" applyBorder="1"/>
    <xf numFmtId="166" fontId="15" fillId="6" borderId="0" xfId="0" applyNumberFormat="1" applyFont="1" applyFill="1" applyAlignment="1">
      <alignment horizontal="right" vertical="center" wrapText="1"/>
    </xf>
    <xf numFmtId="3" fontId="9" fillId="6" borderId="4" xfId="0" applyNumberFormat="1" applyFont="1" applyFill="1" applyBorder="1"/>
    <xf numFmtId="3" fontId="15" fillId="4" borderId="4" xfId="0" applyNumberFormat="1" applyFont="1" applyFill="1" applyBorder="1"/>
    <xf numFmtId="167" fontId="15" fillId="3" borderId="5" xfId="1" applyNumberFormat="1" applyFont="1" applyFill="1" applyBorder="1"/>
    <xf numFmtId="167" fontId="15" fillId="3" borderId="7" xfId="1" applyNumberFormat="1" applyFont="1" applyFill="1" applyBorder="1"/>
    <xf numFmtId="4" fontId="9" fillId="6" borderId="0" xfId="0" applyNumberFormat="1" applyFont="1" applyFill="1"/>
    <xf numFmtId="0" fontId="15" fillId="6" borderId="0" xfId="2" applyFont="1" applyFill="1"/>
    <xf numFmtId="3" fontId="0" fillId="6" borderId="4" xfId="0" applyNumberFormat="1" applyFill="1" applyBorder="1"/>
    <xf numFmtId="164" fontId="15" fillId="6" borderId="0" xfId="0" applyNumberFormat="1" applyFont="1" applyFill="1" applyAlignment="1">
      <alignment vertical="center"/>
    </xf>
    <xf numFmtId="0" fontId="15" fillId="2" borderId="0" xfId="0" applyFont="1" applyFill="1"/>
    <xf numFmtId="1" fontId="15" fillId="3" borderId="0" xfId="0" applyNumberFormat="1" applyFont="1" applyFill="1" applyAlignment="1">
      <alignment horizontal="right" vertical="center" wrapText="1"/>
    </xf>
    <xf numFmtId="166" fontId="15" fillId="3" borderId="0" xfId="1" applyNumberFormat="1" applyFont="1" applyFill="1"/>
    <xf numFmtId="166" fontId="15" fillId="3" borderId="0" xfId="1" applyNumberFormat="1" applyFont="1" applyFill="1" applyAlignment="1">
      <alignment horizontal="right"/>
    </xf>
    <xf numFmtId="1" fontId="15" fillId="3" borderId="4" xfId="0" applyNumberFormat="1" applyFont="1" applyFill="1" applyBorder="1" applyAlignment="1">
      <alignment horizontal="right" vertical="center" wrapText="1"/>
    </xf>
    <xf numFmtId="1" fontId="15" fillId="3" borderId="5" xfId="0" applyNumberFormat="1" applyFont="1" applyFill="1" applyBorder="1" applyAlignment="1">
      <alignment horizontal="right" vertical="center" wrapText="1"/>
    </xf>
    <xf numFmtId="166" fontId="0" fillId="3" borderId="4" xfId="0" applyNumberFormat="1" applyFill="1" applyBorder="1" applyAlignment="1">
      <alignment horizontal="center" vertical="center" wrapText="1"/>
    </xf>
    <xf numFmtId="166" fontId="15" fillId="3" borderId="0" xfId="0" applyNumberFormat="1" applyFont="1" applyFill="1" applyAlignment="1">
      <alignment horizontal="center" vertical="center" wrapText="1"/>
    </xf>
    <xf numFmtId="1" fontId="15" fillId="6" borderId="4" xfId="1" applyNumberFormat="1" applyFont="1" applyFill="1" applyBorder="1"/>
    <xf numFmtId="165" fontId="15" fillId="6" borderId="4" xfId="1" applyNumberFormat="1" applyFont="1" applyFill="1" applyBorder="1"/>
    <xf numFmtId="2" fontId="15" fillId="6" borderId="4" xfId="1" applyNumberFormat="1" applyFont="1" applyFill="1" applyBorder="1"/>
    <xf numFmtId="0" fontId="15" fillId="6" borderId="6" xfId="0" applyFont="1" applyFill="1" applyBorder="1"/>
    <xf numFmtId="1" fontId="15" fillId="6" borderId="6" xfId="1" applyNumberFormat="1" applyFont="1" applyFill="1" applyBorder="1"/>
    <xf numFmtId="165" fontId="15" fillId="6" borderId="6" xfId="1" applyNumberFormat="1" applyFont="1" applyFill="1" applyBorder="1"/>
    <xf numFmtId="2" fontId="15" fillId="6" borderId="6" xfId="1" applyNumberFormat="1" applyFont="1" applyFill="1" applyBorder="1"/>
    <xf numFmtId="3" fontId="15" fillId="3" borderId="6" xfId="1" applyNumberFormat="1" applyFont="1" applyFill="1" applyBorder="1" applyAlignment="1">
      <alignment horizontal="right"/>
    </xf>
    <xf numFmtId="2" fontId="15" fillId="3" borderId="6" xfId="1" applyNumberFormat="1" applyFont="1" applyFill="1" applyBorder="1"/>
    <xf numFmtId="3" fontId="9" fillId="3" borderId="6" xfId="1" applyNumberFormat="1" applyFont="1" applyFill="1" applyBorder="1"/>
    <xf numFmtId="165" fontId="15" fillId="3" borderId="6" xfId="1" applyNumberFormat="1" applyFont="1" applyFill="1" applyBorder="1"/>
    <xf numFmtId="0" fontId="15" fillId="3" borderId="6" xfId="0" applyFont="1" applyFill="1" applyBorder="1"/>
    <xf numFmtId="3" fontId="15" fillId="3" borderId="6" xfId="1" applyNumberFormat="1" applyFont="1" applyFill="1" applyBorder="1"/>
    <xf numFmtId="1" fontId="15" fillId="3" borderId="6" xfId="1" applyNumberFormat="1" applyFont="1" applyFill="1" applyBorder="1"/>
    <xf numFmtId="0" fontId="15" fillId="3" borderId="6" xfId="0" applyFont="1" applyFill="1" applyBorder="1" applyAlignment="1">
      <alignment vertical="center"/>
    </xf>
    <xf numFmtId="3" fontId="15" fillId="3" borderId="6" xfId="0" applyNumberFormat="1" applyFont="1" applyFill="1" applyBorder="1" applyAlignment="1">
      <alignment horizontal="right" vertical="center" wrapText="1"/>
    </xf>
    <xf numFmtId="165" fontId="15" fillId="3" borderId="6" xfId="0" applyNumberFormat="1" applyFont="1" applyFill="1" applyBorder="1" applyAlignment="1">
      <alignment horizontal="center" vertical="center" wrapText="1"/>
    </xf>
    <xf numFmtId="1" fontId="15" fillId="3" borderId="6" xfId="0" applyNumberFormat="1" applyFont="1" applyFill="1" applyBorder="1" applyAlignment="1">
      <alignment horizontal="right" vertical="center" wrapText="1"/>
    </xf>
    <xf numFmtId="0" fontId="0" fillId="3" borderId="6" xfId="0" applyFill="1" applyBorder="1" applyAlignment="1">
      <alignment horizontal="right" vertical="center"/>
    </xf>
    <xf numFmtId="0" fontId="15" fillId="3" borderId="6" xfId="0" applyFont="1" applyFill="1" applyBorder="1" applyAlignment="1">
      <alignment horizontal="right" vertical="center" wrapText="1"/>
    </xf>
    <xf numFmtId="3" fontId="0" fillId="3" borderId="6" xfId="0" applyNumberFormat="1" applyFill="1" applyBorder="1" applyAlignment="1">
      <alignment horizontal="right" vertical="center" wrapText="1"/>
    </xf>
    <xf numFmtId="165" fontId="15" fillId="3" borderId="6" xfId="0" applyNumberFormat="1" applyFont="1" applyFill="1" applyBorder="1" applyAlignment="1">
      <alignment horizontal="right" vertical="center" wrapText="1"/>
    </xf>
    <xf numFmtId="0" fontId="0" fillId="3" borderId="6" xfId="0" applyFill="1" applyBorder="1" applyAlignment="1">
      <alignment horizontal="center" vertical="center" wrapText="1"/>
    </xf>
    <xf numFmtId="3" fontId="15" fillId="3" borderId="6" xfId="0" applyNumberFormat="1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right" vertical="center"/>
    </xf>
    <xf numFmtId="2" fontId="15" fillId="3" borderId="0" xfId="0" applyNumberFormat="1" applyFont="1" applyFill="1" applyAlignment="1">
      <alignment horizontal="right" vertical="center" wrapText="1"/>
    </xf>
    <xf numFmtId="0" fontId="15" fillId="3" borderId="6" xfId="1" applyNumberFormat="1" applyFont="1" applyFill="1" applyBorder="1"/>
    <xf numFmtId="167" fontId="15" fillId="3" borderId="6" xfId="1" applyNumberFormat="1" applyFont="1" applyFill="1" applyBorder="1"/>
    <xf numFmtId="3" fontId="15" fillId="0" borderId="0" xfId="0" applyNumberFormat="1" applyFont="1"/>
    <xf numFmtId="3" fontId="9" fillId="7" borderId="4" xfId="0" applyNumberFormat="1" applyFont="1" applyFill="1" applyBorder="1"/>
    <xf numFmtId="0" fontId="15" fillId="10" borderId="1" xfId="0" applyFont="1" applyFill="1" applyBorder="1" applyAlignment="1">
      <alignment vertical="center"/>
    </xf>
    <xf numFmtId="0" fontId="15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vertical="center"/>
    </xf>
    <xf numFmtId="0" fontId="15" fillId="10" borderId="2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15" fillId="10" borderId="7" xfId="0" applyFont="1" applyFill="1" applyBorder="1"/>
    <xf numFmtId="164" fontId="0" fillId="10" borderId="0" xfId="0" applyNumberFormat="1" applyFill="1" applyAlignment="1">
      <alignment vertical="center"/>
    </xf>
    <xf numFmtId="0" fontId="15" fillId="10" borderId="0" xfId="0" applyFont="1" applyFill="1"/>
    <xf numFmtId="0" fontId="15" fillId="10" borderId="4" xfId="0" applyFont="1" applyFill="1" applyBorder="1"/>
    <xf numFmtId="164" fontId="15" fillId="10" borderId="0" xfId="0" applyNumberFormat="1" applyFont="1" applyFill="1"/>
    <xf numFmtId="0" fontId="15" fillId="10" borderId="5" xfId="0" applyFont="1" applyFill="1" applyBorder="1"/>
    <xf numFmtId="0" fontId="15" fillId="10" borderId="6" xfId="0" applyFont="1" applyFill="1" applyBorder="1"/>
    <xf numFmtId="0" fontId="15" fillId="10" borderId="0" xfId="2" applyFont="1" applyFill="1"/>
    <xf numFmtId="164" fontId="15" fillId="10" borderId="4" xfId="0" applyNumberFormat="1" applyFont="1" applyFill="1" applyBorder="1"/>
    <xf numFmtId="0" fontId="21" fillId="10" borderId="0" xfId="2" applyFont="1" applyFill="1"/>
    <xf numFmtId="0" fontId="15" fillId="10" borderId="4" xfId="2" applyFont="1" applyFill="1" applyBorder="1"/>
    <xf numFmtId="0" fontId="0" fillId="10" borderId="0" xfId="0" applyFill="1"/>
    <xf numFmtId="0" fontId="15" fillId="10" borderId="0" xfId="2" applyFont="1" applyFill="1" applyAlignment="1">
      <alignment horizontal="left"/>
    </xf>
    <xf numFmtId="0" fontId="15" fillId="10" borderId="4" xfId="2" applyFont="1" applyFill="1" applyBorder="1" applyAlignment="1">
      <alignment horizontal="left"/>
    </xf>
    <xf numFmtId="0" fontId="21" fillId="10" borderId="4" xfId="2" applyFont="1" applyFill="1" applyBorder="1"/>
    <xf numFmtId="0" fontId="21" fillId="10" borderId="0" xfId="0" applyFont="1" applyFill="1"/>
    <xf numFmtId="0" fontId="21" fillId="10" borderId="4" xfId="0" applyFont="1" applyFill="1" applyBorder="1"/>
    <xf numFmtId="0" fontId="21" fillId="10" borderId="0" xfId="2" applyFont="1" applyFill="1" applyAlignment="1">
      <alignment horizontal="left"/>
    </xf>
    <xf numFmtId="0" fontId="21" fillId="10" borderId="4" xfId="2" applyFont="1" applyFill="1" applyBorder="1" applyAlignment="1">
      <alignment horizontal="left"/>
    </xf>
    <xf numFmtId="0" fontId="9" fillId="10" borderId="0" xfId="2" applyFont="1" applyFill="1"/>
    <xf numFmtId="164" fontId="15" fillId="10" borderId="0" xfId="0" applyNumberFormat="1" applyFont="1" applyFill="1" applyAlignment="1">
      <alignment vertical="top" wrapText="1"/>
    </xf>
    <xf numFmtId="164" fontId="15" fillId="10" borderId="0" xfId="0" applyNumberFormat="1" applyFont="1" applyFill="1" applyAlignment="1">
      <alignment vertical="top"/>
    </xf>
    <xf numFmtId="0" fontId="0" fillId="10" borderId="2" xfId="0" applyFill="1" applyBorder="1" applyAlignment="1">
      <alignment horizontal="center" vertical="center"/>
    </xf>
    <xf numFmtId="164" fontId="0" fillId="10" borderId="4" xfId="0" applyNumberFormat="1" applyFill="1" applyBorder="1" applyAlignment="1">
      <alignment vertical="center"/>
    </xf>
    <xf numFmtId="164" fontId="0" fillId="10" borderId="6" xfId="0" applyNumberFormat="1" applyFill="1" applyBorder="1" applyAlignment="1">
      <alignment vertical="center"/>
    </xf>
    <xf numFmtId="0" fontId="15" fillId="10" borderId="0" xfId="0" applyFont="1" applyFill="1" applyAlignment="1">
      <alignment vertical="center"/>
    </xf>
    <xf numFmtId="0" fontId="15" fillId="10" borderId="4" xfId="0" applyFont="1" applyFill="1" applyBorder="1" applyAlignment="1">
      <alignment vertical="center"/>
    </xf>
    <xf numFmtId="0" fontId="9" fillId="10" borderId="0" xfId="0" applyFont="1" applyFill="1" applyAlignment="1">
      <alignment vertical="center"/>
    </xf>
    <xf numFmtId="0" fontId="15" fillId="10" borderId="5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15" fillId="10" borderId="6" xfId="0" applyFont="1" applyFill="1" applyBorder="1" applyAlignment="1">
      <alignment vertical="center"/>
    </xf>
    <xf numFmtId="164" fontId="15" fillId="10" borderId="6" xfId="0" applyNumberFormat="1" applyFont="1" applyFill="1" applyBorder="1"/>
    <xf numFmtId="0" fontId="15" fillId="10" borderId="3" xfId="0" applyFont="1" applyFill="1" applyBorder="1" applyAlignment="1">
      <alignment horizontal="center" vertical="center"/>
    </xf>
    <xf numFmtId="164" fontId="15" fillId="10" borderId="0" xfId="0" applyNumberFormat="1" applyFont="1" applyFill="1" applyAlignment="1">
      <alignment vertical="center"/>
    </xf>
    <xf numFmtId="0" fontId="9" fillId="7" borderId="4" xfId="0" applyFont="1" applyFill="1" applyBorder="1"/>
    <xf numFmtId="3" fontId="9" fillId="0" borderId="0" xfId="0" applyNumberFormat="1" applyFont="1"/>
    <xf numFmtId="0" fontId="27" fillId="0" borderId="0" xfId="0" applyFont="1" applyAlignment="1">
      <alignment horizontal="right"/>
    </xf>
    <xf numFmtId="0" fontId="28" fillId="3" borderId="9" xfId="0" applyFont="1" applyFill="1" applyBorder="1" applyAlignment="1">
      <alignment horizontal="center"/>
    </xf>
    <xf numFmtId="0" fontId="28" fillId="3" borderId="0" xfId="0" applyFont="1" applyFill="1"/>
    <xf numFmtId="3" fontId="28" fillId="3" borderId="0" xfId="0" applyNumberFormat="1" applyFont="1" applyFill="1"/>
    <xf numFmtId="166" fontId="9" fillId="7" borderId="0" xfId="0" applyNumberFormat="1" applyFont="1" applyFill="1"/>
    <xf numFmtId="164" fontId="15" fillId="0" borderId="0" xfId="0" applyNumberFormat="1" applyFont="1"/>
    <xf numFmtId="3" fontId="15" fillId="0" borderId="0" xfId="0" applyNumberFormat="1" applyFont="1" applyAlignment="1">
      <alignment horizontal="center" vertical="center" wrapText="1"/>
    </xf>
    <xf numFmtId="165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right" vertical="center"/>
    </xf>
    <xf numFmtId="4" fontId="0" fillId="6" borderId="0" xfId="0" applyNumberFormat="1" applyFill="1"/>
    <xf numFmtId="170" fontId="0" fillId="6" borderId="0" xfId="0" applyNumberFormat="1" applyFill="1"/>
    <xf numFmtId="4" fontId="0" fillId="6" borderId="4" xfId="0" applyNumberFormat="1" applyFill="1" applyBorder="1"/>
    <xf numFmtId="170" fontId="0" fillId="6" borderId="4" xfId="0" applyNumberFormat="1" applyFill="1" applyBorder="1"/>
    <xf numFmtId="166" fontId="0" fillId="3" borderId="0" xfId="0" applyNumberFormat="1" applyFill="1" applyAlignment="1">
      <alignment horizontal="right" vertical="center"/>
    </xf>
    <xf numFmtId="166" fontId="15" fillId="3" borderId="5" xfId="0" applyNumberFormat="1" applyFont="1" applyFill="1" applyBorder="1" applyAlignment="1">
      <alignment horizontal="right" vertical="center"/>
    </xf>
    <xf numFmtId="166" fontId="0" fillId="3" borderId="4" xfId="0" applyNumberFormat="1" applyFill="1" applyBorder="1" applyAlignment="1">
      <alignment horizontal="right" vertical="center"/>
    </xf>
    <xf numFmtId="166" fontId="15" fillId="3" borderId="4" xfId="1" applyNumberFormat="1" applyFont="1" applyFill="1" applyBorder="1" applyAlignment="1">
      <alignment horizontal="right"/>
    </xf>
    <xf numFmtId="166" fontId="15" fillId="3" borderId="5" xfId="1" applyNumberFormat="1" applyFont="1" applyFill="1" applyBorder="1" applyAlignment="1">
      <alignment horizontal="right"/>
    </xf>
    <xf numFmtId="166" fontId="9" fillId="3" borderId="0" xfId="1" applyNumberFormat="1" applyFont="1" applyFill="1" applyAlignment="1">
      <alignment horizontal="right"/>
    </xf>
    <xf numFmtId="166" fontId="15" fillId="3" borderId="6" xfId="1" applyNumberFormat="1" applyFont="1" applyFill="1" applyBorder="1" applyAlignment="1">
      <alignment horizontal="right"/>
    </xf>
    <xf numFmtId="4" fontId="15" fillId="3" borderId="0" xfId="1" applyNumberFormat="1" applyFont="1" applyFill="1" applyAlignment="1">
      <alignment horizontal="right"/>
    </xf>
    <xf numFmtId="4" fontId="15" fillId="3" borderId="4" xfId="1" applyNumberFormat="1" applyFont="1" applyFill="1" applyBorder="1" applyAlignment="1">
      <alignment horizontal="right"/>
    </xf>
    <xf numFmtId="4" fontId="15" fillId="3" borderId="6" xfId="1" applyNumberFormat="1" applyFont="1" applyFill="1" applyBorder="1" applyAlignment="1">
      <alignment horizontal="right"/>
    </xf>
    <xf numFmtId="4" fontId="15" fillId="3" borderId="0" xfId="1" applyNumberFormat="1" applyFont="1" applyFill="1"/>
    <xf numFmtId="4" fontId="15" fillId="3" borderId="5" xfId="1" applyNumberFormat="1" applyFont="1" applyFill="1" applyBorder="1"/>
    <xf numFmtId="3" fontId="15" fillId="6" borderId="0" xfId="2" applyNumberFormat="1" applyFont="1" applyFill="1"/>
    <xf numFmtId="164" fontId="15" fillId="6" borderId="0" xfId="0" quotePrefix="1" applyNumberFormat="1" applyFont="1" applyFill="1"/>
    <xf numFmtId="166" fontId="15" fillId="6" borderId="0" xfId="2" applyNumberFormat="1" applyFont="1" applyFill="1"/>
    <xf numFmtId="166" fontId="15" fillId="6" borderId="0" xfId="0" applyNumberFormat="1" applyFont="1" applyFill="1"/>
    <xf numFmtId="166" fontId="15" fillId="6" borderId="4" xfId="0" applyNumberFormat="1" applyFont="1" applyFill="1" applyBorder="1"/>
    <xf numFmtId="170" fontId="15" fillId="6" borderId="0" xfId="0" applyNumberFormat="1" applyFont="1" applyFill="1"/>
    <xf numFmtId="170" fontId="15" fillId="6" borderId="4" xfId="0" applyNumberFormat="1" applyFont="1" applyFill="1" applyBorder="1"/>
    <xf numFmtId="171" fontId="15" fillId="3" borderId="0" xfId="1" applyNumberFormat="1" applyFont="1" applyFill="1" applyAlignment="1">
      <alignment horizontal="right"/>
    </xf>
    <xf numFmtId="170" fontId="15" fillId="3" borderId="0" xfId="1" applyNumberFormat="1" applyFont="1" applyFill="1" applyAlignment="1">
      <alignment horizontal="right"/>
    </xf>
    <xf numFmtId="4" fontId="15" fillId="3" borderId="6" xfId="1" applyNumberFormat="1" applyFont="1" applyFill="1" applyBorder="1"/>
    <xf numFmtId="0" fontId="9" fillId="10" borderId="0" xfId="0" applyFont="1" applyFill="1"/>
    <xf numFmtId="171" fontId="15" fillId="3" borderId="6" xfId="1" applyNumberFormat="1" applyFont="1" applyFill="1" applyBorder="1" applyAlignment="1">
      <alignment horizontal="right"/>
    </xf>
    <xf numFmtId="170" fontId="15" fillId="3" borderId="6" xfId="1" applyNumberFormat="1" applyFont="1" applyFill="1" applyBorder="1" applyAlignment="1">
      <alignment horizontal="right"/>
    </xf>
    <xf numFmtId="3" fontId="0" fillId="3" borderId="0" xfId="0" applyNumberFormat="1" applyFill="1" applyAlignment="1">
      <alignment horizontal="right" vertical="center"/>
    </xf>
    <xf numFmtId="3" fontId="0" fillId="3" borderId="4" xfId="0" applyNumberFormat="1" applyFill="1" applyBorder="1" applyAlignment="1">
      <alignment horizontal="right" vertical="center"/>
    </xf>
    <xf numFmtId="3" fontId="15" fillId="3" borderId="0" xfId="0" applyNumberFormat="1" applyFont="1" applyFill="1" applyAlignment="1">
      <alignment horizontal="right" vertical="center"/>
    </xf>
    <xf numFmtId="3" fontId="15" fillId="3" borderId="5" xfId="0" applyNumberFormat="1" applyFont="1" applyFill="1" applyBorder="1" applyAlignment="1">
      <alignment horizontal="right" vertical="center"/>
    </xf>
    <xf numFmtId="2" fontId="15" fillId="6" borderId="4" xfId="0" applyNumberFormat="1" applyFont="1" applyFill="1" applyBorder="1"/>
    <xf numFmtId="2" fontId="15" fillId="6" borderId="0" xfId="0" applyNumberFormat="1" applyFont="1" applyFill="1"/>
    <xf numFmtId="170" fontId="15" fillId="3" borderId="4" xfId="1" applyNumberFormat="1" applyFont="1" applyFill="1" applyBorder="1"/>
    <xf numFmtId="170" fontId="15" fillId="3" borderId="0" xfId="1" applyNumberFormat="1" applyFont="1" applyFill="1"/>
    <xf numFmtId="4" fontId="15" fillId="3" borderId="4" xfId="1" applyNumberFormat="1" applyFont="1" applyFill="1" applyBorder="1"/>
    <xf numFmtId="171" fontId="9" fillId="6" borderId="0" xfId="0" applyNumberFormat="1" applyFont="1" applyFill="1"/>
    <xf numFmtId="171" fontId="9" fillId="6" borderId="4" xfId="0" applyNumberFormat="1" applyFont="1" applyFill="1" applyBorder="1"/>
    <xf numFmtId="166" fontId="9" fillId="6" borderId="0" xfId="0" applyNumberFormat="1" applyFont="1" applyFill="1"/>
    <xf numFmtId="166" fontId="9" fillId="6" borderId="4" xfId="0" applyNumberFormat="1" applyFont="1" applyFill="1" applyBorder="1"/>
    <xf numFmtId="3" fontId="21" fillId="0" borderId="0" xfId="0" applyNumberFormat="1" applyFont="1"/>
    <xf numFmtId="4" fontId="15" fillId="6" borderId="0" xfId="0" applyNumberFormat="1" applyFont="1" applyFill="1"/>
    <xf numFmtId="4" fontId="15" fillId="6" borderId="4" xfId="0" applyNumberFormat="1" applyFont="1" applyFill="1" applyBorder="1"/>
    <xf numFmtId="3" fontId="9" fillId="6" borderId="0" xfId="2" applyNumberFormat="1" applyFont="1" applyFill="1"/>
    <xf numFmtId="0" fontId="15" fillId="3" borderId="0" xfId="0" applyFont="1" applyFill="1" applyAlignment="1">
      <alignment horizontal="center" vertical="center"/>
    </xf>
    <xf numFmtId="3" fontId="15" fillId="3" borderId="0" xfId="1" applyNumberFormat="1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5" fillId="3" borderId="4" xfId="0" applyFont="1" applyFill="1" applyBorder="1" applyAlignment="1">
      <alignment horizontal="center"/>
    </xf>
    <xf numFmtId="3" fontId="15" fillId="3" borderId="4" xfId="1" applyNumberFormat="1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3" fontId="15" fillId="3" borderId="6" xfId="1" applyNumberFormat="1" applyFont="1" applyFill="1" applyBorder="1" applyAlignment="1">
      <alignment horizontal="center"/>
    </xf>
    <xf numFmtId="0" fontId="15" fillId="6" borderId="0" xfId="0" applyFont="1" applyFill="1" applyAlignment="1">
      <alignment horizontal="center" vertical="center"/>
    </xf>
    <xf numFmtId="3" fontId="15" fillId="6" borderId="0" xfId="0" applyNumberFormat="1" applyFont="1" applyFill="1" applyAlignment="1">
      <alignment horizontal="center" vertical="center"/>
    </xf>
    <xf numFmtId="0" fontId="15" fillId="6" borderId="0" xfId="0" applyFont="1" applyFill="1" applyAlignment="1">
      <alignment horizontal="center"/>
    </xf>
    <xf numFmtId="0" fontId="15" fillId="6" borderId="4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3" fontId="15" fillId="3" borderId="5" xfId="1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9" fontId="0" fillId="0" borderId="0" xfId="1" applyFont="1"/>
    <xf numFmtId="9" fontId="0" fillId="0" borderId="0" xfId="1" applyNumberFormat="1" applyFont="1"/>
    <xf numFmtId="164" fontId="11" fillId="10" borderId="0" xfId="0" applyNumberFormat="1" applyFont="1" applyFill="1"/>
    <xf numFmtId="1" fontId="0" fillId="0" borderId="0" xfId="0" applyNumberFormat="1"/>
    <xf numFmtId="164" fontId="15" fillId="10" borderId="0" xfId="0" applyNumberFormat="1" applyFont="1" applyFill="1" applyAlignment="1"/>
    <xf numFmtId="9" fontId="9" fillId="0" borderId="0" xfId="1" applyFont="1"/>
    <xf numFmtId="171" fontId="0" fillId="0" borderId="0" xfId="0" applyNumberFormat="1"/>
  </cellXfs>
  <cellStyles count="4">
    <cellStyle name="Normal" xfId="0" builtinId="0"/>
    <cellStyle name="Normal 10" xfId="3" xr:uid="{00000000-0005-0000-0000-000001000000}"/>
    <cellStyle name="Normal 4" xfId="2" xr:uid="{00000000-0005-0000-0000-000002000000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B9BD5"/>
      <color rgb="FFEEEEEE"/>
      <color rgb="FFC2CDE4"/>
      <color rgb="FFDCE3F0"/>
      <color rgb="FFDCE1FA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Car inv.cost</a:t>
            </a:r>
            <a:r>
              <a:rPr lang="en-GB" baseline="0"/>
              <a:t> (kEuro/unit)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INVCOST!$D$6:$K$6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INVCOST!$D$40:$K$40</c:f>
              <c:numCache>
                <c:formatCode>#,##0.0</c:formatCode>
                <c:ptCount val="8"/>
                <c:pt idx="0">
                  <c:v>41.054000000000002</c:v>
                </c:pt>
                <c:pt idx="1">
                  <c:v>35.389000000000003</c:v>
                </c:pt>
                <c:pt idx="2">
                  <c:v>31.187999999999999</c:v>
                </c:pt>
                <c:pt idx="3">
                  <c:v>29.695</c:v>
                </c:pt>
                <c:pt idx="4">
                  <c:v>28.536999999999999</c:v>
                </c:pt>
                <c:pt idx="5">
                  <c:v>27.753</c:v>
                </c:pt>
                <c:pt idx="6">
                  <c:v>27.114000000000001</c:v>
                </c:pt>
                <c:pt idx="7">
                  <c:v>26.594000000000001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2-494F-9714-6924B2B7D9BB}"/>
            </c:ext>
          </c:extLst>
        </c:ser>
        <c:ser>
          <c:idx val="1"/>
          <c:order val="1"/>
          <c:tx>
            <c:v>GSL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INVCOST!$D$49:$K$49</c:f>
              <c:numCache>
                <c:formatCode>#,##0.0</c:formatCode>
                <c:ptCount val="8"/>
                <c:pt idx="0">
                  <c:v>19.734999999999999</c:v>
                </c:pt>
                <c:pt idx="1">
                  <c:v>19.452000000000002</c:v>
                </c:pt>
                <c:pt idx="2">
                  <c:v>19.43</c:v>
                </c:pt>
                <c:pt idx="3">
                  <c:v>19.414999999999999</c:v>
                </c:pt>
                <c:pt idx="4">
                  <c:v>19.402999999999999</c:v>
                </c:pt>
                <c:pt idx="5">
                  <c:v>19.393000000000001</c:v>
                </c:pt>
                <c:pt idx="6">
                  <c:v>19.385000000000002</c:v>
                </c:pt>
                <c:pt idx="7">
                  <c:v>19.378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2-494F-9714-6924B2B7D9BB}"/>
            </c:ext>
          </c:extLst>
        </c:ser>
        <c:ser>
          <c:idx val="2"/>
          <c:order val="2"/>
          <c:tx>
            <c:v>DST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INVCOST!$D$37:$K$37</c:f>
              <c:numCache>
                <c:formatCode>#,##0.0</c:formatCode>
                <c:ptCount val="8"/>
                <c:pt idx="0">
                  <c:v>21.434999999999999</c:v>
                </c:pt>
                <c:pt idx="1">
                  <c:v>21.155000000000001</c:v>
                </c:pt>
                <c:pt idx="2">
                  <c:v>21.132000000000001</c:v>
                </c:pt>
                <c:pt idx="3">
                  <c:v>21.117999999999999</c:v>
                </c:pt>
                <c:pt idx="4">
                  <c:v>21.108000000000001</c:v>
                </c:pt>
                <c:pt idx="5">
                  <c:v>21.1</c:v>
                </c:pt>
                <c:pt idx="6">
                  <c:v>21.093</c:v>
                </c:pt>
                <c:pt idx="7">
                  <c:v>21.088000000000001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D2-494F-9714-6924B2B7D9BB}"/>
            </c:ext>
          </c:extLst>
        </c:ser>
        <c:ser>
          <c:idx val="3"/>
          <c:order val="3"/>
          <c:tx>
            <c:v>PHEV_DST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INVCOST!$D$67:$K$67</c:f>
              <c:numCache>
                <c:formatCode>#,##0.0</c:formatCode>
                <c:ptCount val="8"/>
                <c:pt idx="0">
                  <c:v>32.155000000000001</c:v>
                </c:pt>
                <c:pt idx="1">
                  <c:v>29.478999999999999</c:v>
                </c:pt>
                <c:pt idx="2">
                  <c:v>27.831</c:v>
                </c:pt>
                <c:pt idx="3">
                  <c:v>26.962</c:v>
                </c:pt>
                <c:pt idx="4">
                  <c:v>26.277000000000001</c:v>
                </c:pt>
                <c:pt idx="5">
                  <c:v>25.709</c:v>
                </c:pt>
                <c:pt idx="6">
                  <c:v>25.244</c:v>
                </c:pt>
                <c:pt idx="7">
                  <c:v>24.864000000000001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D2-494F-9714-6924B2B7D9BB}"/>
            </c:ext>
          </c:extLst>
        </c:ser>
        <c:ser>
          <c:idx val="4"/>
          <c:order val="4"/>
          <c:tx>
            <c:v>PHEV_GSL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INVCOST!$D$70:$K$70</c:f>
              <c:numCache>
                <c:formatCode>#,##0.0</c:formatCode>
                <c:ptCount val="8"/>
                <c:pt idx="0">
                  <c:v>30.745000000000001</c:v>
                </c:pt>
                <c:pt idx="1">
                  <c:v>28.067</c:v>
                </c:pt>
                <c:pt idx="2">
                  <c:v>26.41</c:v>
                </c:pt>
                <c:pt idx="3">
                  <c:v>25.536000000000001</c:v>
                </c:pt>
                <c:pt idx="4">
                  <c:v>24.844999999999999</c:v>
                </c:pt>
                <c:pt idx="5">
                  <c:v>24.273</c:v>
                </c:pt>
                <c:pt idx="6">
                  <c:v>23.803000000000001</c:v>
                </c:pt>
                <c:pt idx="7">
                  <c:v>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D2-494F-9714-6924B2B7D9BB}"/>
            </c:ext>
          </c:extLst>
        </c:ser>
        <c:ser>
          <c:idx val="5"/>
          <c:order val="5"/>
          <c:tx>
            <c:v>GAS/ETH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INVCOST!$D$46:$K$46</c:f>
              <c:numCache>
                <c:formatCode>#,##0.0</c:formatCode>
                <c:ptCount val="8"/>
                <c:pt idx="0">
                  <c:v>20.72175</c:v>
                </c:pt>
                <c:pt idx="1">
                  <c:v>20.424600000000002</c:v>
                </c:pt>
                <c:pt idx="2">
                  <c:v>20.401500000000002</c:v>
                </c:pt>
                <c:pt idx="3">
                  <c:v>20.385750000000002</c:v>
                </c:pt>
                <c:pt idx="4">
                  <c:v>20.373149999999999</c:v>
                </c:pt>
                <c:pt idx="5">
                  <c:v>20.362650000000002</c:v>
                </c:pt>
                <c:pt idx="6">
                  <c:v>20.354250000000004</c:v>
                </c:pt>
                <c:pt idx="7">
                  <c:v>20.346900000000002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D2-494F-9714-6924B2B7D9BB}"/>
            </c:ext>
          </c:extLst>
        </c:ser>
        <c:ser>
          <c:idx val="7"/>
          <c:order val="7"/>
          <c:tx>
            <c:strRef>
              <c:f>INVCOST!$P$42</c:f>
              <c:strCache>
                <c:ptCount val="1"/>
                <c:pt idx="0">
                  <c:v>ELC_Low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INVCOST!$Q$42:$X$42</c:f>
              <c:numCache>
                <c:formatCode>#,##0.0</c:formatCode>
                <c:ptCount val="8"/>
                <c:pt idx="0">
                  <c:v>41.054000000000002</c:v>
                </c:pt>
                <c:pt idx="1">
                  <c:v>29.76819840628567</c:v>
                </c:pt>
                <c:pt idx="2">
                  <c:v>29.429504322801861</c:v>
                </c:pt>
                <c:pt idx="3">
                  <c:v>21.117975736342508</c:v>
                </c:pt>
                <c:pt idx="4">
                  <c:v>21.117975736342508</c:v>
                </c:pt>
                <c:pt idx="5">
                  <c:v>21.117975736342508</c:v>
                </c:pt>
                <c:pt idx="6">
                  <c:v>21.117975736342508</c:v>
                </c:pt>
                <c:pt idx="7">
                  <c:v>21.117975736342508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B-4E3C-ADE4-5E9C7A3C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947992"/>
        <c:axId val="706948320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v>ETH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INVCOST!$D$43:$K$43</c15:sqref>
                        </c15:formulaRef>
                      </c:ext>
                    </c:extLst>
                    <c:numCache>
                      <c:formatCode>#,##0.0</c:formatCode>
                      <c:ptCount val="8"/>
                      <c:pt idx="0">
                        <c:v>20.72175</c:v>
                      </c:pt>
                      <c:pt idx="1">
                        <c:v>20.424600000000002</c:v>
                      </c:pt>
                      <c:pt idx="2">
                        <c:v>20.401500000000002</c:v>
                      </c:pt>
                      <c:pt idx="3">
                        <c:v>20.385750000000002</c:v>
                      </c:pt>
                      <c:pt idx="4">
                        <c:v>20.373149999999999</c:v>
                      </c:pt>
                      <c:pt idx="5">
                        <c:v>20.362650000000002</c:v>
                      </c:pt>
                      <c:pt idx="6">
                        <c:v>20.354250000000004</c:v>
                      </c:pt>
                      <c:pt idx="7">
                        <c:v>20.346900000000002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CD2-494F-9714-6924B2B7D9BB}"/>
                  </c:ext>
                </c:extLst>
              </c15:ser>
            </c15:filteredLineSeries>
          </c:ext>
        </c:extLst>
      </c:lineChart>
      <c:catAx>
        <c:axId val="70694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48320"/>
        <c:crosses val="autoZero"/>
        <c:auto val="1"/>
        <c:lblAlgn val="ctr"/>
        <c:lblOffset val="100"/>
        <c:noMultiLvlLbl val="0"/>
      </c:catAx>
      <c:valAx>
        <c:axId val="7069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4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Battery pack cost, $/kWh</a:t>
            </a:r>
          </a:p>
          <a:p>
            <a:pPr>
              <a:defRPr/>
            </a:pPr>
            <a:r>
              <a:rPr lang="sv-SE" sz="1000"/>
              <a:t>Sources:</a:t>
            </a:r>
            <a:r>
              <a:rPr lang="sv-SE" sz="1000" baseline="0"/>
              <a:t> BNEF (actual values 2010-2019) + 2020-2030 learning rate based on Nykvist &amp; Nilsson (2015)</a:t>
            </a:r>
            <a:endParaRPr lang="sv-S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EB-4252-B039-FDA06ED8A20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FEB-4252-B039-FDA06ED8A20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EB-4252-B039-FDA06ED8A20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FEB-4252-B039-FDA06ED8A20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EB-4252-B039-FDA06ED8A20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FEB-4252-B039-FDA06ED8A20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EB-4252-B039-FDA06ED8A20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FEB-4252-B039-FDA06ED8A20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EB-4252-B039-FDA06ED8A20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FEB-4252-B039-FDA06ED8A20E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FEB-4252-B039-FDA06ED8A20E}"/>
              </c:ext>
            </c:extLst>
          </c:dPt>
          <c:cat>
            <c:numRef>
              <c:f>INVCOST!$Q$48:$AK$48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INVCOST!$Q$49:$AK$49</c:f>
              <c:numCache>
                <c:formatCode>General</c:formatCode>
                <c:ptCount val="21"/>
                <c:pt idx="0">
                  <c:v>1160</c:v>
                </c:pt>
                <c:pt idx="1">
                  <c:v>899</c:v>
                </c:pt>
                <c:pt idx="2">
                  <c:v>707</c:v>
                </c:pt>
                <c:pt idx="3">
                  <c:v>650</c:v>
                </c:pt>
                <c:pt idx="4">
                  <c:v>577</c:v>
                </c:pt>
                <c:pt idx="5">
                  <c:v>373</c:v>
                </c:pt>
                <c:pt idx="6">
                  <c:v>288</c:v>
                </c:pt>
                <c:pt idx="7">
                  <c:v>214</c:v>
                </c:pt>
                <c:pt idx="8">
                  <c:v>176</c:v>
                </c:pt>
                <c:pt idx="9">
                  <c:v>156</c:v>
                </c:pt>
                <c:pt idx="10" formatCode="0">
                  <c:v>143.52000000000001</c:v>
                </c:pt>
                <c:pt idx="11" formatCode="0">
                  <c:v>132.0384</c:v>
                </c:pt>
                <c:pt idx="12" formatCode="0">
                  <c:v>121.475328</c:v>
                </c:pt>
                <c:pt idx="13" formatCode="0">
                  <c:v>111.75730176000002</c:v>
                </c:pt>
                <c:pt idx="14" formatCode="0">
                  <c:v>102.81671761920002</c:v>
                </c:pt>
                <c:pt idx="15" formatCode="0">
                  <c:v>94.591380209664024</c:v>
                </c:pt>
                <c:pt idx="16" formatCode="0">
                  <c:v>87.024069792890899</c:v>
                </c:pt>
                <c:pt idx="17" formatCode="0">
                  <c:v>80.062144209459632</c:v>
                </c:pt>
                <c:pt idx="18" formatCode="0">
                  <c:v>73.65717267270287</c:v>
                </c:pt>
                <c:pt idx="19" formatCode="0">
                  <c:v>67.764598858886643</c:v>
                </c:pt>
                <c:pt idx="20" formatCode="0">
                  <c:v>62.343430950175708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B-4252-B039-FDA06ED8A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75221136"/>
        <c:axId val="475219824"/>
      </c:barChart>
      <c:catAx>
        <c:axId val="47522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19824"/>
        <c:crosses val="autoZero"/>
        <c:auto val="1"/>
        <c:lblAlgn val="ctr"/>
        <c:lblOffset val="100"/>
        <c:noMultiLvlLbl val="0"/>
      </c:catAx>
      <c:valAx>
        <c:axId val="47521982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2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222248</xdr:colOff>
      <xdr:row>14</xdr:row>
      <xdr:rowOff>114300</xdr:rowOff>
    </xdr:from>
    <xdr:to>
      <xdr:col>26</xdr:col>
      <xdr:colOff>507999</xdr:colOff>
      <xdr:row>33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558800</xdr:colOff>
      <xdr:row>30</xdr:row>
      <xdr:rowOff>50800</xdr:rowOff>
    </xdr:from>
    <xdr:to>
      <xdr:col>39</xdr:col>
      <xdr:colOff>241300</xdr:colOff>
      <xdr:row>45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249"/>
  <sheetViews>
    <sheetView tabSelected="1" zoomScale="75" zoomScaleNormal="75" workbookViewId="0">
      <selection activeCell="X1" sqref="X1:X1048576"/>
    </sheetView>
  </sheetViews>
  <sheetFormatPr defaultColWidth="9.109375" defaultRowHeight="14.4" x14ac:dyDescent="0.3"/>
  <cols>
    <col min="2" max="2" width="20.6640625" customWidth="1"/>
    <col min="3" max="3" width="29.44140625" customWidth="1"/>
    <col min="4" max="4" width="38.5546875" bestFit="1" customWidth="1"/>
    <col min="5" max="5" width="14.109375" customWidth="1"/>
    <col min="6" max="6" width="14.33203125" bestFit="1" customWidth="1"/>
    <col min="7" max="7" width="11.44140625" style="39" bestFit="1" customWidth="1"/>
    <col min="8" max="8" width="6.33203125" bestFit="1" customWidth="1"/>
    <col min="9" max="9" width="11" customWidth="1"/>
    <col min="10" max="10" width="14.33203125" bestFit="1" customWidth="1"/>
    <col min="11" max="14" width="8.88671875" customWidth="1"/>
    <col min="15" max="18" width="11.88671875" customWidth="1"/>
    <col min="19" max="21" width="14" customWidth="1"/>
    <col min="22" max="22" width="12.88671875" customWidth="1"/>
    <col min="23" max="23" width="12.33203125" customWidth="1"/>
    <col min="24" max="30" width="13.88671875" customWidth="1"/>
    <col min="31" max="31" width="11.33203125" customWidth="1"/>
  </cols>
  <sheetData>
    <row r="2" spans="2:30" s="39" customFormat="1" x14ac:dyDescent="0.3">
      <c r="H2" s="36"/>
      <c r="I2" s="37"/>
      <c r="J2" s="38"/>
      <c r="K2" s="47"/>
      <c r="L2" s="47"/>
      <c r="M2" s="47"/>
      <c r="N2" s="47"/>
      <c r="O2" s="149"/>
      <c r="P2" s="149"/>
      <c r="Q2" s="149"/>
      <c r="R2" s="149"/>
      <c r="S2" s="36"/>
      <c r="T2" s="36"/>
      <c r="U2" s="36"/>
      <c r="V2" s="38"/>
      <c r="W2" s="150"/>
      <c r="X2" s="149"/>
      <c r="Y2" s="149"/>
      <c r="Z2" s="149"/>
      <c r="AA2" s="149"/>
      <c r="AB2" s="149"/>
      <c r="AC2" s="149"/>
      <c r="AD2" s="149"/>
    </row>
    <row r="3" spans="2:30" x14ac:dyDescent="0.3">
      <c r="B3" s="6" t="s">
        <v>464</v>
      </c>
      <c r="C3" s="7"/>
      <c r="D3" s="8"/>
      <c r="E3" s="8"/>
      <c r="F3" s="9" t="s">
        <v>1</v>
      </c>
      <c r="G3" s="4"/>
    </row>
    <row r="4" spans="2:30" ht="27.9" customHeight="1" x14ac:dyDescent="0.3">
      <c r="B4" s="201" t="s">
        <v>2</v>
      </c>
      <c r="C4" s="201" t="s">
        <v>3</v>
      </c>
      <c r="D4" s="201" t="s">
        <v>4</v>
      </c>
      <c r="E4" s="201" t="s">
        <v>5</v>
      </c>
      <c r="F4" s="202" t="s">
        <v>6</v>
      </c>
      <c r="G4" s="202" t="s">
        <v>187</v>
      </c>
      <c r="H4" s="203" t="s">
        <v>186</v>
      </c>
      <c r="I4" s="203" t="s">
        <v>11</v>
      </c>
      <c r="J4" s="202" t="s">
        <v>12</v>
      </c>
      <c r="K4" s="203" t="s">
        <v>708</v>
      </c>
      <c r="L4" s="203" t="s">
        <v>709</v>
      </c>
      <c r="M4" s="203" t="s">
        <v>710</v>
      </c>
      <c r="N4" s="203" t="s">
        <v>711</v>
      </c>
      <c r="O4" s="203" t="s">
        <v>335</v>
      </c>
      <c r="P4" s="203" t="s">
        <v>336</v>
      </c>
      <c r="Q4" s="203" t="s">
        <v>9</v>
      </c>
      <c r="R4" s="203" t="s">
        <v>10</v>
      </c>
      <c r="S4" s="203" t="s">
        <v>465</v>
      </c>
      <c r="T4" s="203" t="s">
        <v>13</v>
      </c>
      <c r="U4" s="203" t="s">
        <v>398</v>
      </c>
      <c r="V4" s="203" t="s">
        <v>42</v>
      </c>
      <c r="W4" s="203" t="s">
        <v>14</v>
      </c>
      <c r="X4" s="203" t="s">
        <v>15</v>
      </c>
      <c r="Y4" s="203" t="s">
        <v>16</v>
      </c>
      <c r="Z4" s="203" t="s">
        <v>17</v>
      </c>
      <c r="AA4" s="203" t="s">
        <v>18</v>
      </c>
      <c r="AB4" s="203" t="s">
        <v>19</v>
      </c>
      <c r="AC4" s="203" t="s">
        <v>20</v>
      </c>
      <c r="AD4" s="203" t="s">
        <v>21</v>
      </c>
    </row>
    <row r="5" spans="2:30" ht="33.75" customHeight="1" thickBot="1" x14ac:dyDescent="0.35">
      <c r="B5" s="204" t="s">
        <v>22</v>
      </c>
      <c r="C5" s="204"/>
      <c r="D5" s="204"/>
      <c r="E5" s="204"/>
      <c r="F5" s="205" t="s">
        <v>23</v>
      </c>
      <c r="G5" s="205">
        <v>2020</v>
      </c>
      <c r="H5" s="206" t="s">
        <v>26</v>
      </c>
      <c r="I5" s="206" t="s">
        <v>560</v>
      </c>
      <c r="J5" s="206" t="s">
        <v>25</v>
      </c>
      <c r="K5" s="205"/>
      <c r="L5" s="205"/>
      <c r="M5" s="205"/>
      <c r="N5" s="205"/>
      <c r="O5" s="207" t="s">
        <v>671</v>
      </c>
      <c r="P5" s="207" t="str">
        <f>O5</f>
        <v>Vkm/MJ</v>
      </c>
      <c r="Q5" s="207" t="str">
        <f>P5</f>
        <v>Vkm/MJ</v>
      </c>
      <c r="R5" s="207" t="str">
        <f>Q5</f>
        <v>Vkm/MJ</v>
      </c>
      <c r="S5" s="206" t="s">
        <v>676</v>
      </c>
      <c r="T5" s="206" t="s">
        <v>676</v>
      </c>
      <c r="U5" s="206" t="s">
        <v>676</v>
      </c>
      <c r="V5" s="208" t="s">
        <v>679</v>
      </c>
      <c r="W5" s="208" t="s">
        <v>678</v>
      </c>
      <c r="X5" s="208" t="s">
        <v>675</v>
      </c>
      <c r="Y5" s="208" t="s">
        <v>675</v>
      </c>
      <c r="Z5" s="208" t="s">
        <v>675</v>
      </c>
      <c r="AA5" s="208" t="s">
        <v>675</v>
      </c>
      <c r="AB5" s="208" t="s">
        <v>675</v>
      </c>
      <c r="AC5" s="208" t="s">
        <v>675</v>
      </c>
      <c r="AD5" s="208" t="s">
        <v>675</v>
      </c>
    </row>
    <row r="6" spans="2:30" s="39" customFormat="1" x14ac:dyDescent="0.3">
      <c r="B6" s="211" t="s">
        <v>47</v>
      </c>
      <c r="C6" s="210" t="str">
        <f>LOOKUP(B6, TRA_COMM_PRO!$C$17:$C$199, TRA_COMM_PRO!$D$17:$D$199)</f>
        <v>Car.DST.01.</v>
      </c>
      <c r="D6" s="211" t="s">
        <v>712</v>
      </c>
      <c r="E6" s="211"/>
      <c r="F6" s="211"/>
      <c r="G6" s="300">
        <f>$G$5</f>
        <v>2020</v>
      </c>
      <c r="H6" s="301">
        <v>15</v>
      </c>
      <c r="I6" s="65">
        <f>10^-3</f>
        <v>1E-3</v>
      </c>
      <c r="J6" s="41">
        <v>1.7</v>
      </c>
      <c r="K6" s="42"/>
      <c r="L6" s="42"/>
      <c r="M6" s="42"/>
      <c r="N6" s="42"/>
      <c r="O6" s="43"/>
      <c r="P6" s="43"/>
      <c r="Q6" s="43"/>
      <c r="R6" s="43"/>
      <c r="S6" s="40"/>
      <c r="T6" s="40"/>
      <c r="U6" s="49"/>
      <c r="V6" s="42"/>
      <c r="W6" s="42">
        <f>LOOKUP(B6, FIXOM_VAROM!$C$8:$C$190, FIXOM_VAROM!$D$8:$D$190)</f>
        <v>0.05</v>
      </c>
      <c r="X6" s="40">
        <f>LOOKUP($B6, INVCOST!$C$8:$C$193, INVCOST!E$8:E$193)</f>
        <v>21.155000000000001</v>
      </c>
      <c r="Y6" s="40">
        <f>LOOKUP($B6, INVCOST!$C$8:$C$193, INVCOST!F$8:F$193)</f>
        <v>21.132000000000001</v>
      </c>
      <c r="Z6" s="40">
        <f>LOOKUP($B6, INVCOST!$C$8:$C$193, INVCOST!G$8:G$193)</f>
        <v>21.117999999999999</v>
      </c>
      <c r="AA6" s="40">
        <f>LOOKUP($B6, INVCOST!$C$8:$C$193, INVCOST!H$8:H$193)</f>
        <v>21.108000000000001</v>
      </c>
      <c r="AB6" s="40">
        <f>LOOKUP($B6, INVCOST!$C$8:$C$193, INVCOST!I$8:I$193)</f>
        <v>21.1</v>
      </c>
      <c r="AC6" s="40">
        <f>LOOKUP($B6, INVCOST!$C$8:$C$193, INVCOST!J$8:J$193)</f>
        <v>21.093</v>
      </c>
      <c r="AD6" s="40">
        <f>LOOKUP($B6, INVCOST!$C$8:$C$193, INVCOST!K$8:K$193)</f>
        <v>21.088000000000001</v>
      </c>
    </row>
    <row r="7" spans="2:30" s="39" customFormat="1" x14ac:dyDescent="0.3">
      <c r="B7" s="211"/>
      <c r="C7" s="211"/>
      <c r="D7" s="211"/>
      <c r="E7" s="211"/>
      <c r="F7" s="211" t="s">
        <v>45</v>
      </c>
      <c r="G7" s="302"/>
      <c r="H7" s="301"/>
      <c r="I7" s="41"/>
      <c r="J7" s="41"/>
      <c r="K7" s="42"/>
      <c r="L7" s="42"/>
      <c r="M7" s="42"/>
      <c r="N7" s="42"/>
      <c r="O7" s="166">
        <f>LOOKUP($B6, CEFF!$C$10:$C$156, CEFF!G$10:G$156)</f>
        <v>0.61350000000000005</v>
      </c>
      <c r="P7" s="166">
        <f>LOOKUP($B6, CEFF!$C$10:$C$156, CEFF!H$10:H$156)</f>
        <v>0.64515999999999996</v>
      </c>
      <c r="Q7" s="166">
        <f>LOOKUP($B6, CEFF!$C$10:$C$156, CEFF!I$10:I$156)</f>
        <v>0.68027000000000004</v>
      </c>
      <c r="R7" s="166">
        <f>LOOKUP($B6, CEFF!$C$10:$C$156, CEFF!J$10:J$156)</f>
        <v>0.71428999999999998</v>
      </c>
      <c r="S7" s="40"/>
      <c r="T7" s="40"/>
      <c r="U7" s="49"/>
      <c r="V7" s="41"/>
      <c r="W7" s="60"/>
      <c r="X7" s="40"/>
      <c r="Y7" s="40"/>
      <c r="Z7" s="40"/>
      <c r="AA7" s="40"/>
      <c r="AB7" s="40"/>
      <c r="AC7" s="40"/>
      <c r="AD7" s="40"/>
    </row>
    <row r="8" spans="2:30" s="39" customFormat="1" x14ac:dyDescent="0.3">
      <c r="B8" s="212"/>
      <c r="C8" s="212"/>
      <c r="D8" s="212"/>
      <c r="E8" s="212"/>
      <c r="F8" s="212" t="s">
        <v>46</v>
      </c>
      <c r="G8" s="303"/>
      <c r="H8" s="304"/>
      <c r="I8" s="46"/>
      <c r="J8" s="46"/>
      <c r="K8" s="44"/>
      <c r="L8" s="44"/>
      <c r="M8" s="44"/>
      <c r="N8" s="44"/>
      <c r="O8" s="261">
        <f>LOOKUP($B6, CEFF!$C$163:$C$330, CEFF!G$163:G$330)</f>
        <v>0.53763000000000005</v>
      </c>
      <c r="P8" s="261">
        <f>LOOKUP($B6, CEFF!$C$163:$C$330, CEFF!H$163:H$330)</f>
        <v>0.56496999999999997</v>
      </c>
      <c r="Q8" s="261">
        <f>LOOKUP($B6, CEFF!$C$163:$C$330, CEFF!I$163:I$330)</f>
        <v>0.59523999999999999</v>
      </c>
      <c r="R8" s="261">
        <f>LOOKUP($B6, CEFF!$C$163:$C$330, CEFF!J$163:J$330)</f>
        <v>0.625</v>
      </c>
      <c r="S8" s="45"/>
      <c r="T8" s="45"/>
      <c r="U8" s="53"/>
      <c r="V8" s="46"/>
      <c r="W8" s="64"/>
      <c r="X8" s="45"/>
      <c r="Y8" s="45"/>
      <c r="Z8" s="45"/>
      <c r="AA8" s="45"/>
      <c r="AB8" s="45"/>
      <c r="AC8" s="45"/>
      <c r="AD8" s="45"/>
    </row>
    <row r="9" spans="2:30" s="39" customFormat="1" x14ac:dyDescent="0.3">
      <c r="B9" s="214" t="s">
        <v>49</v>
      </c>
      <c r="C9" s="214" t="str">
        <f ca="1">LOOKUP(B9, TRA_COMM_PRO!$C$17:$C$199, TRA_COMM_PRO!$D$17:D77)</f>
        <v>Car.ELC.01.</v>
      </c>
      <c r="D9" s="214" t="s">
        <v>27</v>
      </c>
      <c r="E9" s="214"/>
      <c r="F9" s="214"/>
      <c r="G9" s="300">
        <f>$G$5</f>
        <v>2020</v>
      </c>
      <c r="H9" s="312">
        <v>15</v>
      </c>
      <c r="I9" s="157">
        <f>$I$6</f>
        <v>1E-3</v>
      </c>
      <c r="J9" s="41">
        <f>J6</f>
        <v>1.7</v>
      </c>
      <c r="K9" s="56"/>
      <c r="L9" s="56"/>
      <c r="M9" s="56"/>
      <c r="N9" s="56"/>
      <c r="O9" s="262"/>
      <c r="P9" s="262"/>
      <c r="Q9" s="262"/>
      <c r="R9" s="262"/>
      <c r="S9" s="40"/>
      <c r="T9" s="40"/>
      <c r="U9" s="49"/>
      <c r="V9" s="56"/>
      <c r="W9" s="42">
        <f>LOOKUP(B9, FIXOM_VAROM!$C$8:$C$190, FIXOM_VAROM!$D$8:$D$190)</f>
        <v>0.03</v>
      </c>
      <c r="X9" s="40">
        <f>LOOKUP($B9, INVCOST!$C$8:$C$193, INVCOST!E$8:E$193)</f>
        <v>35.389000000000003</v>
      </c>
      <c r="Y9" s="40">
        <f>LOOKUP($B9, INVCOST!$C$8:$C$193, INVCOST!F$8:F$193)</f>
        <v>31.187999999999999</v>
      </c>
      <c r="Z9" s="40">
        <f>LOOKUP($B9, INVCOST!$C$8:$C$193, INVCOST!G$8:G$193)</f>
        <v>29.695</v>
      </c>
      <c r="AA9" s="40">
        <f>LOOKUP($B9, INVCOST!$C$8:$C$193, INVCOST!H$8:H$193)</f>
        <v>28.536999999999999</v>
      </c>
      <c r="AB9" s="40">
        <f>LOOKUP($B9, INVCOST!$C$8:$C$193, INVCOST!I$8:I$193)</f>
        <v>27.753</v>
      </c>
      <c r="AC9" s="40">
        <f>LOOKUP($B9, INVCOST!$C$8:$C$193, INVCOST!J$8:J$193)</f>
        <v>27.114000000000001</v>
      </c>
      <c r="AD9" s="40">
        <f>LOOKUP($B9, INVCOST!$C$8:$C$193, INVCOST!K$8:K$193)</f>
        <v>26.594000000000001</v>
      </c>
    </row>
    <row r="10" spans="2:30" s="39" customFormat="1" x14ac:dyDescent="0.3">
      <c r="B10" s="211"/>
      <c r="C10" s="211"/>
      <c r="D10" s="211"/>
      <c r="E10" s="211"/>
      <c r="F10" s="211" t="s">
        <v>45</v>
      </c>
      <c r="G10" s="302"/>
      <c r="H10" s="302"/>
      <c r="I10" s="41"/>
      <c r="J10" s="41"/>
      <c r="K10" s="42"/>
      <c r="L10" s="42"/>
      <c r="M10" s="42"/>
      <c r="N10" s="42"/>
      <c r="O10" s="166">
        <f>LOOKUP($B9, CEFF!$C$10:$C$156, CEFF!G$10:G$156)</f>
        <v>1.2987</v>
      </c>
      <c r="P10" s="166">
        <f>LOOKUP($B9, CEFF!$C$10:$C$156, CEFF!H$10:H$156)</f>
        <v>1.3698600000000001</v>
      </c>
      <c r="Q10" s="166">
        <f>LOOKUP($B9, CEFF!$C$10:$C$156, CEFF!I$10:I$156)</f>
        <v>1.4285699999999999</v>
      </c>
      <c r="R10" s="166">
        <f>LOOKUP($B9, CEFF!$C$10:$C$156, CEFF!J$10:J$156)</f>
        <v>1.51515</v>
      </c>
      <c r="S10" s="40"/>
      <c r="T10" s="40"/>
      <c r="U10" s="49"/>
      <c r="V10" s="41"/>
      <c r="W10" s="42"/>
      <c r="X10" s="40"/>
      <c r="Y10" s="40"/>
      <c r="Z10" s="40"/>
      <c r="AA10" s="40"/>
      <c r="AB10" s="40"/>
      <c r="AC10" s="40"/>
      <c r="AD10" s="40"/>
    </row>
    <row r="11" spans="2:30" s="39" customFormat="1" x14ac:dyDescent="0.3">
      <c r="B11" s="211"/>
      <c r="C11" s="211"/>
      <c r="D11" s="211"/>
      <c r="E11" s="211"/>
      <c r="F11" s="212" t="s">
        <v>46</v>
      </c>
      <c r="G11" s="303"/>
      <c r="H11" s="301"/>
      <c r="I11" s="41"/>
      <c r="J11" s="46"/>
      <c r="K11" s="42"/>
      <c r="L11" s="42"/>
      <c r="M11" s="42"/>
      <c r="N11" s="42"/>
      <c r="O11" s="261">
        <f>LOOKUP($B9, CEFF!$C$163:$C$330, CEFF!G$163:G$330)</f>
        <v>1.6129</v>
      </c>
      <c r="P11" s="261">
        <f>LOOKUP($B9, CEFF!$C$163:$C$330, CEFF!H$163:H$330)</f>
        <v>1.69492</v>
      </c>
      <c r="Q11" s="261">
        <f>LOOKUP($B9, CEFF!$C$163:$C$330, CEFF!I$163:I$330)</f>
        <v>1.7857099999999999</v>
      </c>
      <c r="R11" s="261">
        <f>LOOKUP($B9, CEFF!$C$163:$C$330, CEFF!J$163:J$330)</f>
        <v>1.88679</v>
      </c>
      <c r="S11" s="45"/>
      <c r="T11" s="45"/>
      <c r="U11" s="53"/>
      <c r="V11" s="41"/>
      <c r="W11" s="44"/>
      <c r="X11" s="45"/>
      <c r="Y11" s="45"/>
      <c r="Z11" s="45"/>
      <c r="AA11" s="45"/>
      <c r="AB11" s="45"/>
      <c r="AC11" s="45"/>
      <c r="AD11" s="45"/>
    </row>
    <row r="12" spans="2:30" s="39" customFormat="1" x14ac:dyDescent="0.3">
      <c r="B12" s="214" t="s">
        <v>50</v>
      </c>
      <c r="C12" s="214" t="str">
        <f ca="1">LOOKUP(B12, TRA_COMM_PRO!$C$17:$C$199, TRA_COMM_PRO!$D$17:D78)</f>
        <v>Car.ETH.01.</v>
      </c>
      <c r="D12" s="214" t="s">
        <v>51</v>
      </c>
      <c r="E12" s="214"/>
      <c r="F12" s="214"/>
      <c r="G12" s="300">
        <f>$G$5</f>
        <v>2020</v>
      </c>
      <c r="H12" s="312">
        <f>$H$6</f>
        <v>15</v>
      </c>
      <c r="I12" s="157">
        <f>$I$6</f>
        <v>1E-3</v>
      </c>
      <c r="J12" s="41">
        <f>$J$6</f>
        <v>1.7</v>
      </c>
      <c r="K12" s="56"/>
      <c r="L12" s="56"/>
      <c r="M12" s="56"/>
      <c r="N12" s="56"/>
      <c r="O12" s="262"/>
      <c r="P12" s="262"/>
      <c r="Q12" s="262"/>
      <c r="R12" s="262"/>
      <c r="S12" s="40"/>
      <c r="T12" s="40"/>
      <c r="U12" s="49"/>
      <c r="V12" s="56"/>
      <c r="W12" s="42">
        <f>LOOKUP(B12, FIXOM_VAROM!$C$8:$C$190, FIXOM_VAROM!$D$8:$D$190)</f>
        <v>0.05</v>
      </c>
      <c r="X12" s="40">
        <f>LOOKUP($B12, INVCOST!$C$8:$C$193, INVCOST!E$8:E$193)</f>
        <v>20.424600000000002</v>
      </c>
      <c r="Y12" s="40">
        <f>LOOKUP($B12, INVCOST!$C$8:$C$193, INVCOST!F$8:F$193)</f>
        <v>20.401500000000002</v>
      </c>
      <c r="Z12" s="40">
        <f>LOOKUP($B12, INVCOST!$C$8:$C$193, INVCOST!G$8:G$193)</f>
        <v>20.385750000000002</v>
      </c>
      <c r="AA12" s="40">
        <f>LOOKUP($B12, INVCOST!$C$8:$C$193, INVCOST!H$8:H$193)</f>
        <v>20.373149999999999</v>
      </c>
      <c r="AB12" s="40">
        <f>LOOKUP($B12, INVCOST!$C$8:$C$193, INVCOST!I$8:I$193)</f>
        <v>20.362650000000002</v>
      </c>
      <c r="AC12" s="40">
        <f>LOOKUP($B12, INVCOST!$C$8:$C$193, INVCOST!J$8:J$193)</f>
        <v>20.354250000000004</v>
      </c>
      <c r="AD12" s="40">
        <f>LOOKUP($B12, INVCOST!$C$8:$C$193, INVCOST!K$8:K$193)</f>
        <v>20.346900000000002</v>
      </c>
    </row>
    <row r="13" spans="2:30" s="39" customFormat="1" x14ac:dyDescent="0.3">
      <c r="B13" s="211"/>
      <c r="C13" s="211"/>
      <c r="D13" s="211" t="s">
        <v>39</v>
      </c>
      <c r="E13" s="211"/>
      <c r="F13" s="211"/>
      <c r="G13" s="302"/>
      <c r="H13" s="301"/>
      <c r="I13" s="41"/>
      <c r="J13" s="41"/>
      <c r="K13" s="42">
        <v>0.15</v>
      </c>
      <c r="L13" s="42">
        <v>0.15</v>
      </c>
      <c r="M13" s="42">
        <v>0.15</v>
      </c>
      <c r="N13" s="42">
        <v>0.15</v>
      </c>
      <c r="O13" s="166"/>
      <c r="P13" s="166"/>
      <c r="Q13" s="166"/>
      <c r="R13" s="166"/>
      <c r="S13" s="40"/>
      <c r="T13" s="40"/>
      <c r="U13" s="49"/>
      <c r="V13" s="41"/>
      <c r="W13" s="42"/>
      <c r="X13" s="40"/>
      <c r="Y13" s="40"/>
      <c r="Z13" s="40"/>
      <c r="AA13" s="40"/>
      <c r="AB13" s="40"/>
      <c r="AC13" s="40"/>
      <c r="AD13" s="40"/>
    </row>
    <row r="14" spans="2:30" s="39" customFormat="1" x14ac:dyDescent="0.3">
      <c r="B14" s="211"/>
      <c r="C14" s="211"/>
      <c r="D14" s="211"/>
      <c r="E14" s="211"/>
      <c r="F14" s="211" t="s">
        <v>45</v>
      </c>
      <c r="G14" s="302"/>
      <c r="H14" s="301"/>
      <c r="I14" s="41"/>
      <c r="J14" s="41"/>
      <c r="K14" s="42"/>
      <c r="L14" s="42"/>
      <c r="M14" s="42"/>
      <c r="N14" s="42"/>
      <c r="O14" s="166">
        <f>LOOKUP($B12, CEFF!$C$10:$C$156, CEFF!G$10:G$156)</f>
        <v>0.55249000000000004</v>
      </c>
      <c r="P14" s="166">
        <f>LOOKUP($B12, CEFF!$C$10:$C$156, CEFF!H$10:H$156)</f>
        <v>0.58140000000000003</v>
      </c>
      <c r="Q14" s="166">
        <f>LOOKUP($B12, CEFF!$C$10:$C$156, CEFF!I$10:I$156)</f>
        <v>0.61350000000000005</v>
      </c>
      <c r="R14" s="166">
        <f>LOOKUP($B12, CEFF!$C$10:$C$156, CEFF!J$10:J$156)</f>
        <v>0.64515999999999996</v>
      </c>
      <c r="S14" s="40"/>
      <c r="T14" s="40"/>
      <c r="U14" s="49"/>
      <c r="V14" s="42"/>
      <c r="W14" s="42"/>
      <c r="X14" s="40"/>
      <c r="Y14" s="40"/>
      <c r="Z14" s="40"/>
      <c r="AA14" s="40"/>
      <c r="AB14" s="40"/>
      <c r="AC14" s="40"/>
      <c r="AD14" s="40"/>
    </row>
    <row r="15" spans="2:30" s="39" customFormat="1" x14ac:dyDescent="0.3">
      <c r="B15" s="211"/>
      <c r="C15" s="211"/>
      <c r="D15" s="211"/>
      <c r="E15" s="211"/>
      <c r="F15" s="212" t="s">
        <v>46</v>
      </c>
      <c r="G15" s="303"/>
      <c r="H15" s="301"/>
      <c r="I15" s="41"/>
      <c r="J15" s="46"/>
      <c r="K15" s="42"/>
      <c r="L15" s="42"/>
      <c r="M15" s="42"/>
      <c r="N15" s="42"/>
      <c r="O15" s="261">
        <f>LOOKUP($B12, CEFF!$C$163:$C$330, CEFF!G$163:G$330)</f>
        <v>0.45455000000000001</v>
      </c>
      <c r="P15" s="261">
        <f>LOOKUP($B12, CEFF!$C$163:$C$330, CEFF!H$163:H$330)</f>
        <v>0.47847000000000001</v>
      </c>
      <c r="Q15" s="261">
        <f>LOOKUP($B12, CEFF!$C$163:$C$330, CEFF!I$163:I$330)</f>
        <v>0.50251000000000001</v>
      </c>
      <c r="R15" s="261">
        <f>LOOKUP($B12, CEFF!$C$163:$C$330, CEFF!J$163:J$330)</f>
        <v>0.52910000000000001</v>
      </c>
      <c r="S15" s="45"/>
      <c r="T15" s="45"/>
      <c r="U15" s="53"/>
      <c r="V15" s="42"/>
      <c r="W15" s="44"/>
      <c r="X15" s="45"/>
      <c r="Y15" s="45"/>
      <c r="Z15" s="45"/>
      <c r="AA15" s="45"/>
      <c r="AB15" s="45"/>
      <c r="AC15" s="45"/>
      <c r="AD15" s="45"/>
    </row>
    <row r="16" spans="2:30" s="39" customFormat="1" x14ac:dyDescent="0.3">
      <c r="B16" s="214" t="s">
        <v>52</v>
      </c>
      <c r="C16" s="214" t="str">
        <f ca="1">LOOKUP(B16, TRA_COMM_PRO!$C$17:$C$199, TRA_COMM_PRO!$D$17:D82)</f>
        <v>Car.GAS.01.</v>
      </c>
      <c r="D16" s="214" t="s">
        <v>39</v>
      </c>
      <c r="E16" s="214"/>
      <c r="F16" s="214"/>
      <c r="G16" s="300">
        <f>$G$5</f>
        <v>2020</v>
      </c>
      <c r="H16" s="312">
        <f>$H$6</f>
        <v>15</v>
      </c>
      <c r="I16" s="157">
        <f>$I$6</f>
        <v>1E-3</v>
      </c>
      <c r="J16" s="41">
        <f>$J$6</f>
        <v>1.7</v>
      </c>
      <c r="K16" s="56">
        <v>0.05</v>
      </c>
      <c r="L16" s="56">
        <v>0.05</v>
      </c>
      <c r="M16" s="56">
        <v>0.05</v>
      </c>
      <c r="N16" s="56">
        <v>0.05</v>
      </c>
      <c r="O16" s="262"/>
      <c r="P16" s="262"/>
      <c r="Q16" s="262"/>
      <c r="R16" s="262"/>
      <c r="S16" s="40"/>
      <c r="T16" s="40"/>
      <c r="U16" s="49"/>
      <c r="V16" s="55"/>
      <c r="W16" s="42">
        <f>LOOKUP(B16, FIXOM_VAROM!$C$8:$C$190, FIXOM_VAROM!$D$8:$D$190)</f>
        <v>0.05</v>
      </c>
      <c r="X16" s="40">
        <f>LOOKUP($B16, INVCOST!$C$8:$C$193, INVCOST!E$8:E$193)</f>
        <v>20.424600000000002</v>
      </c>
      <c r="Y16" s="40">
        <f>LOOKUP($B16, INVCOST!$C$8:$C$193, INVCOST!F$8:F$193)</f>
        <v>20.401500000000002</v>
      </c>
      <c r="Z16" s="40">
        <f>LOOKUP($B16, INVCOST!$C$8:$C$193, INVCOST!G$8:G$193)</f>
        <v>20.385750000000002</v>
      </c>
      <c r="AA16" s="40">
        <f>LOOKUP($B16, INVCOST!$C$8:$C$193, INVCOST!H$8:H$193)</f>
        <v>20.373149999999999</v>
      </c>
      <c r="AB16" s="40">
        <f>LOOKUP($B16, INVCOST!$C$8:$C$193, INVCOST!I$8:I$193)</f>
        <v>20.362650000000002</v>
      </c>
      <c r="AC16" s="40">
        <f>LOOKUP($B16, INVCOST!$C$8:$C$193, INVCOST!J$8:J$193)</f>
        <v>20.354250000000004</v>
      </c>
      <c r="AD16" s="40">
        <f>LOOKUP($B16, INVCOST!$C$8:$C$193, INVCOST!K$8:K$193)</f>
        <v>20.346900000000002</v>
      </c>
    </row>
    <row r="17" spans="1:30" s="39" customFormat="1" x14ac:dyDescent="0.3">
      <c r="B17" s="211"/>
      <c r="C17" s="211"/>
      <c r="D17" s="211" t="s">
        <v>715</v>
      </c>
      <c r="E17" s="211"/>
      <c r="F17" s="211"/>
      <c r="G17" s="302"/>
      <c r="H17" s="301"/>
      <c r="I17" s="41"/>
      <c r="J17" s="41"/>
      <c r="K17" s="42"/>
      <c r="L17" s="42"/>
      <c r="M17" s="42"/>
      <c r="N17" s="42"/>
      <c r="O17" s="166"/>
      <c r="P17" s="166"/>
      <c r="Q17" s="166"/>
      <c r="R17" s="166"/>
      <c r="S17" s="40"/>
      <c r="T17" s="40"/>
      <c r="U17" s="49"/>
      <c r="V17" s="41"/>
      <c r="W17" s="42"/>
      <c r="X17" s="40"/>
      <c r="Y17" s="40"/>
      <c r="Z17" s="40"/>
      <c r="AA17" s="40"/>
      <c r="AB17" s="40"/>
      <c r="AC17" s="40"/>
      <c r="AD17" s="40"/>
    </row>
    <row r="18" spans="1:30" s="39" customFormat="1" x14ac:dyDescent="0.3">
      <c r="B18" s="211"/>
      <c r="C18" s="211"/>
      <c r="D18" s="211"/>
      <c r="E18" s="211"/>
      <c r="F18" s="211" t="s">
        <v>45</v>
      </c>
      <c r="G18" s="302"/>
      <c r="H18" s="301"/>
      <c r="I18" s="41"/>
      <c r="J18" s="41"/>
      <c r="K18" s="42"/>
      <c r="L18" s="42"/>
      <c r="M18" s="42"/>
      <c r="N18" s="42"/>
      <c r="O18" s="166">
        <f>LOOKUP($B16, CEFF!$C$10:$C$156, CEFF!G$10:G$156)</f>
        <v>0.55249000000000004</v>
      </c>
      <c r="P18" s="166">
        <f>LOOKUP($B16, CEFF!$C$10:$C$156, CEFF!H$10:H$156)</f>
        <v>0.58140000000000003</v>
      </c>
      <c r="Q18" s="166">
        <f>LOOKUP($B16, CEFF!$C$10:$C$156, CEFF!I$10:I$156)</f>
        <v>0.61350000000000005</v>
      </c>
      <c r="R18" s="166">
        <f>LOOKUP($B16, CEFF!$C$10:$C$156, CEFF!J$10:J$156)</f>
        <v>0.64515999999999996</v>
      </c>
      <c r="S18" s="40"/>
      <c r="T18" s="40"/>
      <c r="U18" s="49"/>
      <c r="V18" s="42"/>
      <c r="W18" s="42"/>
      <c r="X18" s="40"/>
      <c r="Y18" s="40"/>
      <c r="Z18" s="40"/>
      <c r="AA18" s="40"/>
      <c r="AB18" s="40"/>
      <c r="AC18" s="40"/>
      <c r="AD18" s="40"/>
    </row>
    <row r="19" spans="1:30" s="39" customFormat="1" x14ac:dyDescent="0.3">
      <c r="B19" s="211"/>
      <c r="C19" s="211"/>
      <c r="D19" s="211"/>
      <c r="E19" s="211"/>
      <c r="F19" s="212" t="s">
        <v>46</v>
      </c>
      <c r="G19" s="303"/>
      <c r="H19" s="301"/>
      <c r="I19" s="41"/>
      <c r="J19" s="46"/>
      <c r="K19" s="42"/>
      <c r="L19" s="42"/>
      <c r="M19" s="42"/>
      <c r="N19" s="42"/>
      <c r="O19" s="261">
        <f>LOOKUP($B16, CEFF!$C$163:$C$330, CEFF!G$163:G$330)</f>
        <v>0.45455000000000001</v>
      </c>
      <c r="P19" s="261">
        <f>LOOKUP($B16, CEFF!$C$163:$C$330, CEFF!H$163:H$330)</f>
        <v>0.47847000000000001</v>
      </c>
      <c r="Q19" s="261">
        <f>LOOKUP($B16, CEFF!$C$163:$C$330, CEFF!I$163:I$330)</f>
        <v>0.50251000000000001</v>
      </c>
      <c r="R19" s="261">
        <f>LOOKUP($B16, CEFF!$C$163:$C$330, CEFF!J$163:J$330)</f>
        <v>0.52910000000000001</v>
      </c>
      <c r="S19" s="45"/>
      <c r="T19" s="45"/>
      <c r="U19" s="53"/>
      <c r="V19" s="42"/>
      <c r="W19" s="44"/>
      <c r="X19" s="45"/>
      <c r="Y19" s="45"/>
      <c r="Z19" s="45"/>
      <c r="AA19" s="45"/>
      <c r="AB19" s="45"/>
      <c r="AC19" s="45"/>
      <c r="AD19" s="45"/>
    </row>
    <row r="20" spans="1:30" s="39" customFormat="1" x14ac:dyDescent="0.3">
      <c r="B20" s="214" t="s">
        <v>55</v>
      </c>
      <c r="C20" s="214" t="str">
        <f ca="1">LOOKUP(B20, TRA_COMM_PRO!$C$17:$C$199, TRA_COMM_PRO!$D$17:D91)</f>
        <v>Car.GSL.01.</v>
      </c>
      <c r="D20" s="214" t="s">
        <v>713</v>
      </c>
      <c r="E20" s="214"/>
      <c r="F20" s="214"/>
      <c r="G20" s="300">
        <f>$G$5</f>
        <v>2020</v>
      </c>
      <c r="H20" s="312">
        <f>$H$6</f>
        <v>15</v>
      </c>
      <c r="I20" s="157">
        <f>$I$6</f>
        <v>1E-3</v>
      </c>
      <c r="J20" s="41">
        <f>$J$6</f>
        <v>1.7</v>
      </c>
      <c r="K20" s="56"/>
      <c r="L20" s="56"/>
      <c r="M20" s="56"/>
      <c r="N20" s="56"/>
      <c r="O20" s="262"/>
      <c r="P20" s="262"/>
      <c r="Q20" s="262"/>
      <c r="R20" s="262"/>
      <c r="S20" s="40"/>
      <c r="T20" s="40"/>
      <c r="U20" s="49"/>
      <c r="V20" s="56"/>
      <c r="W20" s="42">
        <f>LOOKUP(B20, FIXOM_VAROM!$C$8:$C$190, FIXOM_VAROM!$D$8:$D$190)</f>
        <v>0.05</v>
      </c>
      <c r="X20" s="40">
        <f>LOOKUP($B20, INVCOST!$C$8:$C$193, INVCOST!E$8:E$193)</f>
        <v>19.452000000000002</v>
      </c>
      <c r="Y20" s="40">
        <f>LOOKUP($B20, INVCOST!$C$8:$C$193, INVCOST!F$8:F$193)</f>
        <v>19.43</v>
      </c>
      <c r="Z20" s="40">
        <f>LOOKUP($B20, INVCOST!$C$8:$C$193, INVCOST!G$8:G$193)</f>
        <v>19.414999999999999</v>
      </c>
      <c r="AA20" s="40">
        <f>LOOKUP($B20, INVCOST!$C$8:$C$193, INVCOST!H$8:H$193)</f>
        <v>19.402999999999999</v>
      </c>
      <c r="AB20" s="40">
        <f>LOOKUP($B20, INVCOST!$C$8:$C$193, INVCOST!I$8:I$193)</f>
        <v>19.393000000000001</v>
      </c>
      <c r="AC20" s="40">
        <f>LOOKUP($B20, INVCOST!$C$8:$C$193, INVCOST!J$8:J$193)</f>
        <v>19.385000000000002</v>
      </c>
      <c r="AD20" s="40">
        <f>LOOKUP($B20, INVCOST!$C$8:$C$193, INVCOST!K$8:K$193)</f>
        <v>19.378</v>
      </c>
    </row>
    <row r="21" spans="1:30" s="39" customFormat="1" x14ac:dyDescent="0.3">
      <c r="B21" s="211"/>
      <c r="C21" s="211"/>
      <c r="D21" s="211"/>
      <c r="E21" s="211"/>
      <c r="F21" s="211" t="s">
        <v>45</v>
      </c>
      <c r="G21" s="302"/>
      <c r="H21" s="301"/>
      <c r="I21" s="41"/>
      <c r="J21" s="41"/>
      <c r="K21" s="42"/>
      <c r="L21" s="42"/>
      <c r="M21" s="42"/>
      <c r="N21" s="42"/>
      <c r="O21" s="166">
        <f>LOOKUP($B20, CEFF!$C$10:$C$156, CEFF!G$10:G$156)</f>
        <v>0.55249000000000004</v>
      </c>
      <c r="P21" s="166">
        <f>LOOKUP($B20, CEFF!$C$10:$C$156, CEFF!H$10:H$156)</f>
        <v>0.58140000000000003</v>
      </c>
      <c r="Q21" s="166">
        <f>LOOKUP($B20, CEFF!$C$10:$C$156, CEFF!I$10:I$156)</f>
        <v>0.61350000000000005</v>
      </c>
      <c r="R21" s="166">
        <f>LOOKUP($B20, CEFF!$C$10:$C$156, CEFF!J$10:J$156)</f>
        <v>0.64515999999999996</v>
      </c>
      <c r="S21" s="40"/>
      <c r="T21" s="40"/>
      <c r="U21" s="49"/>
      <c r="V21" s="41"/>
      <c r="W21" s="42"/>
      <c r="X21" s="40"/>
      <c r="Y21" s="40"/>
      <c r="Z21" s="40"/>
      <c r="AA21" s="40"/>
      <c r="AB21" s="40"/>
      <c r="AC21" s="40"/>
      <c r="AD21" s="40"/>
    </row>
    <row r="22" spans="1:30" s="39" customFormat="1" x14ac:dyDescent="0.3">
      <c r="B22" s="212"/>
      <c r="C22" s="212"/>
      <c r="D22" s="212"/>
      <c r="E22" s="212"/>
      <c r="F22" s="212" t="s">
        <v>46</v>
      </c>
      <c r="G22" s="303"/>
      <c r="H22" s="301"/>
      <c r="I22" s="41"/>
      <c r="J22" s="46"/>
      <c r="K22" s="42"/>
      <c r="L22" s="42"/>
      <c r="M22" s="42"/>
      <c r="N22" s="42"/>
      <c r="O22" s="261">
        <f>LOOKUP($B20, CEFF!$C$163:$C$330, CEFF!G$163:G$330)</f>
        <v>0.45455000000000001</v>
      </c>
      <c r="P22" s="261">
        <f>LOOKUP($B20, CEFF!$C$163:$C$330, CEFF!H$163:H$330)</f>
        <v>0.47847000000000001</v>
      </c>
      <c r="Q22" s="261">
        <f>LOOKUP($B20, CEFF!$C$163:$C$330, CEFF!I$163:I$330)</f>
        <v>0.50251000000000001</v>
      </c>
      <c r="R22" s="261">
        <f>LOOKUP($B20, CEFF!$C$163:$C$330, CEFF!J$163:J$330)</f>
        <v>0.52910000000000001</v>
      </c>
      <c r="S22" s="45"/>
      <c r="T22" s="45"/>
      <c r="U22" s="53"/>
      <c r="V22" s="41"/>
      <c r="W22" s="44"/>
      <c r="X22" s="45"/>
      <c r="Y22" s="45"/>
      <c r="Z22" s="45"/>
      <c r="AA22" s="45"/>
      <c r="AB22" s="45"/>
      <c r="AC22" s="45"/>
      <c r="AD22" s="45"/>
    </row>
    <row r="23" spans="1:30" s="39" customFormat="1" x14ac:dyDescent="0.3">
      <c r="B23" s="211" t="s">
        <v>56</v>
      </c>
      <c r="C23" s="214" t="str">
        <f ca="1">LOOKUP(B23, TRA_COMM_PRO!$C$17:$C$199, TRA_COMM_PRO!$D$17:D95)</f>
        <v>Car.H2G.01.</v>
      </c>
      <c r="D23" s="211" t="s">
        <v>57</v>
      </c>
      <c r="E23" s="211"/>
      <c r="F23" s="211"/>
      <c r="G23" s="300">
        <f>$G$5</f>
        <v>2020</v>
      </c>
      <c r="H23" s="312">
        <f>$H$6</f>
        <v>15</v>
      </c>
      <c r="I23" s="157">
        <f>$I$6</f>
        <v>1E-3</v>
      </c>
      <c r="J23" s="41">
        <f>$J$6</f>
        <v>1.7</v>
      </c>
      <c r="K23" s="56"/>
      <c r="L23" s="56"/>
      <c r="M23" s="56"/>
      <c r="N23" s="56"/>
      <c r="O23" s="262"/>
      <c r="P23" s="262"/>
      <c r="Q23" s="262"/>
      <c r="R23" s="262"/>
      <c r="S23" s="40"/>
      <c r="T23" s="40"/>
      <c r="U23" s="49"/>
      <c r="V23" s="56"/>
      <c r="W23" s="42">
        <f>LOOKUP(B23, FIXOM_VAROM!$C$8:$C$190, FIXOM_VAROM!$D$8:$D$190)</f>
        <v>0.03</v>
      </c>
      <c r="X23" s="40">
        <f>LOOKUP($B23, INVCOST!$C$8:$C$193, INVCOST!E$8:E$193)</f>
        <v>33.204999999999998</v>
      </c>
      <c r="Y23" s="40">
        <f>LOOKUP($B23, INVCOST!$C$8:$C$193, INVCOST!F$8:F$193)</f>
        <v>30.501000000000001</v>
      </c>
      <c r="Z23" s="40">
        <f>LOOKUP($B23, INVCOST!$C$8:$C$193, INVCOST!G$8:G$193)</f>
        <v>29.122</v>
      </c>
      <c r="AA23" s="40">
        <f>LOOKUP($B23, INVCOST!$C$8:$C$193, INVCOST!H$8:H$193)</f>
        <v>28.056000000000001</v>
      </c>
      <c r="AB23" s="40">
        <f>LOOKUP($B23, INVCOST!$C$8:$C$193, INVCOST!I$8:I$193)</f>
        <v>27.158999999999999</v>
      </c>
      <c r="AC23" s="40">
        <f>LOOKUP($B23, INVCOST!$C$8:$C$193, INVCOST!J$8:J$193)</f>
        <v>26.395</v>
      </c>
      <c r="AD23" s="40">
        <f>LOOKUP($B23, INVCOST!$C$8:$C$193, INVCOST!K$8:K$193)</f>
        <v>25.727</v>
      </c>
    </row>
    <row r="24" spans="1:30" s="39" customFormat="1" x14ac:dyDescent="0.3">
      <c r="B24" s="211"/>
      <c r="C24" s="211"/>
      <c r="D24" s="211"/>
      <c r="E24" s="211"/>
      <c r="F24" s="211" t="s">
        <v>45</v>
      </c>
      <c r="G24" s="302"/>
      <c r="H24" s="301"/>
      <c r="I24" s="41"/>
      <c r="J24" s="41"/>
      <c r="K24" s="42"/>
      <c r="L24" s="42"/>
      <c r="M24" s="42"/>
      <c r="N24" s="42"/>
      <c r="O24" s="166">
        <f>LOOKUP($B23, CEFF!$C$10:$C$156, CEFF!G$10:G$156)</f>
        <v>0.98038999999999998</v>
      </c>
      <c r="P24" s="166">
        <f>LOOKUP($B23, CEFF!$C$10:$C$156, CEFF!H$10:H$156)</f>
        <v>1.0869599999999999</v>
      </c>
      <c r="Q24" s="166">
        <f>LOOKUP($B23, CEFF!$C$10:$C$156, CEFF!I$10:I$156)</f>
        <v>1.20482</v>
      </c>
      <c r="R24" s="166">
        <f>LOOKUP($B23, CEFF!$C$10:$C$156, CEFF!J$10:J$156)</f>
        <v>1.2658199999999999</v>
      </c>
      <c r="S24" s="40"/>
      <c r="T24" s="40"/>
      <c r="U24" s="49"/>
      <c r="V24" s="42"/>
      <c r="W24" s="42"/>
      <c r="X24" s="40"/>
      <c r="Y24" s="40"/>
      <c r="Z24" s="40"/>
      <c r="AA24" s="40"/>
      <c r="AB24" s="40"/>
      <c r="AC24" s="40"/>
      <c r="AD24" s="40"/>
    </row>
    <row r="25" spans="1:30" s="39" customFormat="1" x14ac:dyDescent="0.3">
      <c r="B25" s="212"/>
      <c r="C25" s="212"/>
      <c r="D25" s="212"/>
      <c r="E25" s="212"/>
      <c r="F25" s="212" t="s">
        <v>46</v>
      </c>
      <c r="G25" s="303"/>
      <c r="H25" s="304"/>
      <c r="I25" s="46"/>
      <c r="J25" s="46"/>
      <c r="K25" s="44"/>
      <c r="L25" s="44"/>
      <c r="M25" s="44"/>
      <c r="N25" s="44"/>
      <c r="O25" s="261">
        <f>LOOKUP($B23, CEFF!$C$163:$C$330, CEFF!G$163:G$330)</f>
        <v>0.80645</v>
      </c>
      <c r="P25" s="261">
        <f>LOOKUP($B23, CEFF!$C$163:$C$330, CEFF!H$163:H$330)</f>
        <v>0.89285999999999999</v>
      </c>
      <c r="Q25" s="261">
        <f>LOOKUP($B23, CEFF!$C$163:$C$330, CEFF!I$163:I$330)</f>
        <v>0.99009999999999998</v>
      </c>
      <c r="R25" s="261">
        <f>LOOKUP($B23, CEFF!$C$163:$C$330, CEFF!J$163:J$330)</f>
        <v>1.0989</v>
      </c>
      <c r="S25" s="45"/>
      <c r="T25" s="45"/>
      <c r="U25" s="53"/>
      <c r="V25" s="44"/>
      <c r="W25" s="44"/>
      <c r="X25" s="45"/>
      <c r="Y25" s="45"/>
      <c r="Z25" s="45"/>
      <c r="AA25" s="45"/>
      <c r="AB25" s="45"/>
      <c r="AC25" s="45"/>
      <c r="AD25" s="45"/>
    </row>
    <row r="26" spans="1:30" s="39" customFormat="1" x14ac:dyDescent="0.3">
      <c r="B26" s="211" t="s">
        <v>58</v>
      </c>
      <c r="C26" s="214" t="str">
        <f ca="1">LOOKUP(B26, TRA_COMM_PRO!$C$17:$C$199, TRA_COMM_PRO!$D$17:D100)</f>
        <v>Car.Hybrid.DST.01.</v>
      </c>
      <c r="D26" s="211" t="s">
        <v>712</v>
      </c>
      <c r="E26" s="211"/>
      <c r="F26" s="211"/>
      <c r="G26" s="300">
        <f>$G$5</f>
        <v>2020</v>
      </c>
      <c r="H26" s="312">
        <f>$H$6</f>
        <v>15</v>
      </c>
      <c r="I26" s="157">
        <f>$I$6</f>
        <v>1E-3</v>
      </c>
      <c r="J26" s="41">
        <f>$J$6</f>
        <v>1.7</v>
      </c>
      <c r="K26" s="42"/>
      <c r="L26" s="42"/>
      <c r="M26" s="42"/>
      <c r="N26" s="42"/>
      <c r="O26" s="166"/>
      <c r="P26" s="166"/>
      <c r="Q26" s="166"/>
      <c r="R26" s="166"/>
      <c r="S26" s="40"/>
      <c r="T26" s="40"/>
      <c r="U26" s="49"/>
      <c r="V26" s="42"/>
      <c r="W26" s="42">
        <f>LOOKUP(B26, FIXOM_VAROM!$C$8:$C$190, FIXOM_VAROM!$D$8:$D$190)</f>
        <v>0.05</v>
      </c>
      <c r="X26" s="40">
        <f>LOOKUP($B26, INVCOST!$C$8:$C$193, INVCOST!E$8:E$193)</f>
        <v>23.181999999999999</v>
      </c>
      <c r="Y26" s="40">
        <f>LOOKUP($B26, INVCOST!$C$8:$C$193, INVCOST!F$8:F$193)</f>
        <v>22.738</v>
      </c>
      <c r="Z26" s="40">
        <f>LOOKUP($B26, INVCOST!$C$8:$C$193, INVCOST!G$8:G$193)</f>
        <v>22.478000000000002</v>
      </c>
      <c r="AA26" s="40">
        <f>LOOKUP($B26, INVCOST!$C$8:$C$193, INVCOST!H$8:H$193)</f>
        <v>22.3</v>
      </c>
      <c r="AB26" s="40">
        <f>LOOKUP($B26, INVCOST!$C$8:$C$193, INVCOST!I$8:I$193)</f>
        <v>22.170999999999999</v>
      </c>
      <c r="AC26" s="40">
        <f>LOOKUP($B26, INVCOST!$C$8:$C$193, INVCOST!J$8:J$193)</f>
        <v>22.068999999999999</v>
      </c>
      <c r="AD26" s="40">
        <f>LOOKUP($B26, INVCOST!$C$8:$C$193, INVCOST!K$8:K$193)</f>
        <v>21.995000000000001</v>
      </c>
    </row>
    <row r="27" spans="1:30" s="39" customFormat="1" x14ac:dyDescent="0.3">
      <c r="B27" s="211"/>
      <c r="C27" s="211"/>
      <c r="D27" s="211"/>
      <c r="E27" s="211"/>
      <c r="F27" s="211" t="s">
        <v>45</v>
      </c>
      <c r="G27" s="302"/>
      <c r="H27" s="301"/>
      <c r="I27" s="41"/>
      <c r="J27" s="41"/>
      <c r="K27" s="42"/>
      <c r="L27" s="42"/>
      <c r="M27" s="42"/>
      <c r="N27" s="42"/>
      <c r="O27" s="166">
        <f>LOOKUP($B26, CEFF!$C$10:$C$156, CEFF!G$10:G$156)</f>
        <v>0.74626999999999999</v>
      </c>
      <c r="P27" s="166">
        <f>LOOKUP($B26, CEFF!$C$10:$C$156, CEFF!H$10:H$156)</f>
        <v>0.82645000000000002</v>
      </c>
      <c r="Q27" s="166">
        <f>LOOKUP($B26, CEFF!$C$10:$C$156, CEFF!I$10:I$156)</f>
        <v>0.91742999999999997</v>
      </c>
      <c r="R27" s="166">
        <f>LOOKUP($B26, CEFF!$C$10:$C$156, CEFF!J$10:J$156)</f>
        <v>1.02041</v>
      </c>
      <c r="S27" s="40"/>
      <c r="T27" s="40"/>
      <c r="U27" s="49"/>
      <c r="V27" s="42"/>
      <c r="W27" s="42"/>
      <c r="X27" s="40"/>
      <c r="Y27" s="40"/>
      <c r="Z27" s="40"/>
      <c r="AA27" s="40"/>
      <c r="AB27" s="40"/>
      <c r="AC27" s="40"/>
      <c r="AD27" s="40"/>
    </row>
    <row r="28" spans="1:30" s="39" customFormat="1" x14ac:dyDescent="0.3">
      <c r="B28" s="212"/>
      <c r="C28" s="212"/>
      <c r="D28" s="212"/>
      <c r="E28" s="212"/>
      <c r="F28" s="212" t="s">
        <v>46</v>
      </c>
      <c r="G28" s="303"/>
      <c r="H28" s="304"/>
      <c r="I28" s="46"/>
      <c r="J28" s="46"/>
      <c r="K28" s="44"/>
      <c r="L28" s="44"/>
      <c r="M28" s="44"/>
      <c r="N28" s="44"/>
      <c r="O28" s="261">
        <f>LOOKUP($B26, CEFF!$C$163:$C$330, CEFF!G$163:G$330)</f>
        <v>0.65788999999999997</v>
      </c>
      <c r="P28" s="261">
        <f>LOOKUP($B26, CEFF!$C$163:$C$330, CEFF!H$163:H$330)</f>
        <v>0.72992999999999997</v>
      </c>
      <c r="Q28" s="261">
        <f>LOOKUP($B26, CEFF!$C$163:$C$330, CEFF!I$163:I$330)</f>
        <v>0.80645</v>
      </c>
      <c r="R28" s="261">
        <f>LOOKUP($B26, CEFF!$C$163:$C$330, CEFF!J$163:J$330)</f>
        <v>0.89285999999999999</v>
      </c>
      <c r="S28" s="45"/>
      <c r="T28" s="45"/>
      <c r="U28" s="53"/>
      <c r="V28" s="44"/>
      <c r="W28" s="44"/>
      <c r="X28" s="45"/>
      <c r="Y28" s="45"/>
      <c r="Z28" s="45"/>
      <c r="AA28" s="45"/>
      <c r="AB28" s="45"/>
      <c r="AC28" s="45"/>
      <c r="AD28" s="45"/>
    </row>
    <row r="29" spans="1:30" s="39" customFormat="1" x14ac:dyDescent="0.3">
      <c r="B29" s="211" t="s">
        <v>59</v>
      </c>
      <c r="C29" s="211" t="str">
        <f ca="1">LOOKUP(B29, TRA_COMM_PRO!$C$17:$C$199, TRA_COMM_PRO!$D$17:D104)</f>
        <v>Car.Hybrid.GSL.01.</v>
      </c>
      <c r="D29" s="214" t="s">
        <v>713</v>
      </c>
      <c r="E29" s="211"/>
      <c r="F29" s="211"/>
      <c r="G29" s="300">
        <f>$G$5</f>
        <v>2020</v>
      </c>
      <c r="H29" s="312">
        <f>$H$6</f>
        <v>15</v>
      </c>
      <c r="I29" s="157">
        <f>$I$6</f>
        <v>1E-3</v>
      </c>
      <c r="J29" s="41">
        <f>$J$6</f>
        <v>1.7</v>
      </c>
      <c r="K29" s="42"/>
      <c r="L29" s="42"/>
      <c r="M29" s="42"/>
      <c r="N29" s="42"/>
      <c r="O29" s="263"/>
      <c r="P29" s="263"/>
      <c r="Q29" s="263"/>
      <c r="R29" s="263"/>
      <c r="S29" s="40"/>
      <c r="T29" s="40"/>
      <c r="U29" s="49"/>
      <c r="V29" s="42"/>
      <c r="W29" s="42">
        <f>LOOKUP(B29, FIXOM_VAROM!$C$8:$C$190, FIXOM_VAROM!$D$8:$D$190)</f>
        <v>0.05</v>
      </c>
      <c r="X29" s="40">
        <f>LOOKUP($B29, INVCOST!$C$8:$C$193, INVCOST!E$8:E$193)</f>
        <v>21.329000000000001</v>
      </c>
      <c r="Y29" s="40">
        <f>LOOKUP($B29, INVCOST!$C$8:$C$193, INVCOST!F$8:F$193)</f>
        <v>20.885999999999999</v>
      </c>
      <c r="Z29" s="40">
        <f>LOOKUP($B29, INVCOST!$C$8:$C$193, INVCOST!G$8:G$193)</f>
        <v>20.626000000000001</v>
      </c>
      <c r="AA29" s="40">
        <f>LOOKUP($B29, INVCOST!$C$8:$C$193, INVCOST!H$8:H$193)</f>
        <v>20.446000000000002</v>
      </c>
      <c r="AB29" s="40">
        <f>LOOKUP($B29, INVCOST!$C$8:$C$193, INVCOST!I$8:I$193)</f>
        <v>20.135999999999999</v>
      </c>
      <c r="AC29" s="40">
        <f>LOOKUP($B29, INVCOST!$C$8:$C$193, INVCOST!J$8:J$193)</f>
        <v>20.212</v>
      </c>
      <c r="AD29" s="40">
        <f>LOOKUP($B29, INVCOST!$C$8:$C$193, INVCOST!K$8:K$193)</f>
        <v>20.135999999999999</v>
      </c>
    </row>
    <row r="30" spans="1:30" s="39" customFormat="1" x14ac:dyDescent="0.3">
      <c r="B30" s="211"/>
      <c r="C30" s="211"/>
      <c r="D30" s="211"/>
      <c r="E30" s="211"/>
      <c r="F30" s="211" t="s">
        <v>45</v>
      </c>
      <c r="G30" s="302"/>
      <c r="H30" s="301"/>
      <c r="I30" s="41"/>
      <c r="J30" s="41"/>
      <c r="K30" s="42"/>
      <c r="L30" s="42"/>
      <c r="M30" s="42"/>
      <c r="N30" s="42"/>
      <c r="O30" s="166">
        <f>LOOKUP($B29, CEFF!$C$10:$C$156, CEFF!G$10:G$156)</f>
        <v>0.67113999999999996</v>
      </c>
      <c r="P30" s="166">
        <f>LOOKUP($B29, CEFF!$C$10:$C$156, CEFF!H$10:H$156)</f>
        <v>0.74626999999999999</v>
      </c>
      <c r="Q30" s="166">
        <f>LOOKUP($B29, CEFF!$C$10:$C$156, CEFF!I$10:I$156)</f>
        <v>0.82645000000000002</v>
      </c>
      <c r="R30" s="166">
        <f>LOOKUP($B29, CEFF!$C$10:$C$156, CEFF!J$10:J$156)</f>
        <v>0.91742999999999997</v>
      </c>
      <c r="S30" s="40"/>
      <c r="T30" s="40"/>
      <c r="U30" s="49"/>
      <c r="V30" s="42"/>
      <c r="W30" s="42"/>
      <c r="X30" s="40"/>
      <c r="Y30" s="40"/>
      <c r="Z30" s="40"/>
      <c r="AA30" s="40"/>
      <c r="AB30" s="40"/>
      <c r="AC30" s="40"/>
      <c r="AD30" s="40"/>
    </row>
    <row r="31" spans="1:30" s="39" customFormat="1" x14ac:dyDescent="0.3">
      <c r="B31" s="212"/>
      <c r="C31" s="212"/>
      <c r="D31" s="212"/>
      <c r="E31" s="212"/>
      <c r="F31" s="212" t="s">
        <v>46</v>
      </c>
      <c r="G31" s="303"/>
      <c r="H31" s="304"/>
      <c r="I31" s="46"/>
      <c r="J31" s="46"/>
      <c r="K31" s="44"/>
      <c r="L31" s="44"/>
      <c r="M31" s="44"/>
      <c r="N31" s="44"/>
      <c r="O31" s="261">
        <f>LOOKUP($B29, CEFF!$C$163:$C$330, CEFF!G$163:G$330)</f>
        <v>0.55249000000000004</v>
      </c>
      <c r="P31" s="261">
        <f>LOOKUP($B29, CEFF!$C$163:$C$330, CEFF!H$163:H$330)</f>
        <v>0.61350000000000005</v>
      </c>
      <c r="Q31" s="261">
        <f>LOOKUP($B29, CEFF!$C$163:$C$330, CEFF!I$163:I$330)</f>
        <v>0.68027000000000004</v>
      </c>
      <c r="R31" s="261">
        <f>LOOKUP($B29, CEFF!$C$163:$C$330, CEFF!J$163:J$330)</f>
        <v>0.75187999999999999</v>
      </c>
      <c r="S31" s="45"/>
      <c r="T31" s="45"/>
      <c r="U31" s="53"/>
      <c r="V31" s="44"/>
      <c r="W31" s="44"/>
      <c r="X31" s="45"/>
      <c r="Y31" s="45"/>
      <c r="Z31" s="45"/>
      <c r="AA31" s="45"/>
      <c r="AB31" s="45"/>
      <c r="AC31" s="45"/>
      <c r="AD31" s="45"/>
    </row>
    <row r="32" spans="1:30" s="39" customFormat="1" x14ac:dyDescent="0.3">
      <c r="A32"/>
      <c r="B32" s="214" t="s">
        <v>60</v>
      </c>
      <c r="C32" s="214" t="s">
        <v>61</v>
      </c>
      <c r="D32" s="214" t="s">
        <v>62</v>
      </c>
      <c r="E32" s="214"/>
      <c r="F32" s="214"/>
      <c r="G32" s="300">
        <f>$G$5</f>
        <v>2020</v>
      </c>
      <c r="H32" s="312">
        <f>$H$6</f>
        <v>15</v>
      </c>
      <c r="I32" s="157">
        <f>$I$6</f>
        <v>1E-3</v>
      </c>
      <c r="J32" s="41">
        <f>$J$6</f>
        <v>1.7</v>
      </c>
      <c r="K32" s="56"/>
      <c r="L32" s="56"/>
      <c r="M32" s="56"/>
      <c r="N32" s="56"/>
      <c r="O32" s="262"/>
      <c r="P32" s="262"/>
      <c r="Q32" s="262"/>
      <c r="R32" s="262"/>
      <c r="S32" s="54"/>
      <c r="T32" s="54"/>
      <c r="U32" s="54"/>
      <c r="V32" s="55"/>
      <c r="W32" s="42">
        <f>LOOKUP(B32, FIXOM_VAROM!$C$8:$C$190, FIXOM_VAROM!$D$8:$D$190)</f>
        <v>0.05</v>
      </c>
      <c r="X32" s="40">
        <f>LOOKUP($B32, INVCOST!$C$8:$C$193, INVCOST!E$8:E$193)</f>
        <v>20.424600000000002</v>
      </c>
      <c r="Y32" s="40">
        <f>LOOKUP($B32, INVCOST!$C$8:$C$193, INVCOST!F$8:F$193)</f>
        <v>20.401500000000002</v>
      </c>
      <c r="Z32" s="40">
        <f>LOOKUP($B32, INVCOST!$C$8:$C$193, INVCOST!G$8:G$193)</f>
        <v>20.385750000000002</v>
      </c>
      <c r="AA32" s="40">
        <f>LOOKUP($B32, INVCOST!$C$8:$C$193, INVCOST!H$8:H$193)</f>
        <v>20.373149999999999</v>
      </c>
      <c r="AB32" s="40">
        <f>LOOKUP($B32, INVCOST!$C$8:$C$193, INVCOST!I$8:I$193)</f>
        <v>20.362650000000002</v>
      </c>
      <c r="AC32" s="40">
        <f>LOOKUP($B32, INVCOST!$C$8:$C$193, INVCOST!J$8:J$193)</f>
        <v>20.354250000000004</v>
      </c>
      <c r="AD32" s="40">
        <f>LOOKUP($B32, INVCOST!$C$8:$C$193, INVCOST!K$8:K$193)</f>
        <v>20.346900000000002</v>
      </c>
    </row>
    <row r="33" spans="1:31" s="39" customFormat="1" x14ac:dyDescent="0.3">
      <c r="A33"/>
      <c r="B33" s="211"/>
      <c r="C33" s="211"/>
      <c r="D33" s="211"/>
      <c r="E33" s="211"/>
      <c r="F33" s="211" t="s">
        <v>45</v>
      </c>
      <c r="G33" s="302"/>
      <c r="H33" s="301"/>
      <c r="I33" s="41"/>
      <c r="J33" s="41"/>
      <c r="K33" s="42"/>
      <c r="L33" s="42"/>
      <c r="M33" s="42"/>
      <c r="N33" s="42"/>
      <c r="O33" s="166">
        <f>LOOKUP($B32, CEFF!$C$10:$C$156, CEFF!G$10:G$156)</f>
        <v>0.55249000000000004</v>
      </c>
      <c r="P33" s="166">
        <f>LOOKUP($B32, CEFF!$C$10:$C$156, CEFF!H$10:H$156)</f>
        <v>0.58140000000000003</v>
      </c>
      <c r="Q33" s="166">
        <f>LOOKUP($B32, CEFF!$C$10:$C$156, CEFF!I$10:I$156)</f>
        <v>0.61350000000000005</v>
      </c>
      <c r="R33" s="166">
        <f>LOOKUP($B32, CEFF!$C$10:$C$156, CEFF!J$10:J$156)</f>
        <v>0.64515999999999996</v>
      </c>
      <c r="S33" s="40"/>
      <c r="T33" s="40"/>
      <c r="U33" s="40"/>
      <c r="V33" s="42"/>
      <c r="W33" s="42"/>
      <c r="X33" s="40"/>
      <c r="Y33" s="40"/>
      <c r="Z33" s="40"/>
      <c r="AA33" s="40"/>
      <c r="AB33" s="40"/>
      <c r="AC33" s="40"/>
      <c r="AD33" s="40"/>
    </row>
    <row r="34" spans="1:31" s="39" customFormat="1" x14ac:dyDescent="0.3">
      <c r="A34"/>
      <c r="B34" s="211"/>
      <c r="C34" s="211"/>
      <c r="D34" s="211"/>
      <c r="E34" s="211"/>
      <c r="F34" s="211" t="s">
        <v>46</v>
      </c>
      <c r="G34" s="303"/>
      <c r="H34" s="301"/>
      <c r="I34" s="41"/>
      <c r="J34" s="41"/>
      <c r="K34" s="42"/>
      <c r="L34" s="42"/>
      <c r="M34" s="42"/>
      <c r="N34" s="42"/>
      <c r="O34" s="261">
        <f>LOOKUP($B32, CEFF!$C$163:$C$330, CEFF!G$163:G$330)</f>
        <v>0.45455000000000001</v>
      </c>
      <c r="P34" s="261">
        <f>LOOKUP($B32, CEFF!$C$163:$C$330, CEFF!H$163:H$330)</f>
        <v>0.47847000000000001</v>
      </c>
      <c r="Q34" s="261">
        <f>LOOKUP($B32, CEFF!$C$163:$C$330, CEFF!I$163:I$330)</f>
        <v>0.50251000000000001</v>
      </c>
      <c r="R34" s="261">
        <f>LOOKUP($B32, CEFF!$C$163:$C$330, CEFF!J$163:J$330)</f>
        <v>0.52910000000000001</v>
      </c>
      <c r="S34" s="42"/>
      <c r="T34" s="42"/>
      <c r="U34" s="42"/>
      <c r="V34" s="42"/>
      <c r="W34" s="44"/>
      <c r="X34" s="45"/>
      <c r="Y34" s="45"/>
      <c r="Z34" s="45"/>
      <c r="AA34" s="45"/>
      <c r="AB34" s="45"/>
      <c r="AC34" s="45"/>
      <c r="AD34" s="45"/>
    </row>
    <row r="35" spans="1:31" s="39" customFormat="1" x14ac:dyDescent="0.3">
      <c r="B35" s="214" t="s">
        <v>601</v>
      </c>
      <c r="C35" s="214" t="str">
        <f ca="1">LOOKUP(B35, TRA_COMM_PRO!$C$17:$C$199, TRA_COMM_PRO!$D$17:D201)</f>
        <v>Car.MTH.01.</v>
      </c>
      <c r="D35" s="214" t="s">
        <v>599</v>
      </c>
      <c r="E35" s="214"/>
      <c r="F35" s="214"/>
      <c r="G35" s="300">
        <f>$G$5</f>
        <v>2020</v>
      </c>
      <c r="H35" s="312">
        <f>$H$6</f>
        <v>15</v>
      </c>
      <c r="I35" s="157">
        <f>$I$6</f>
        <v>1E-3</v>
      </c>
      <c r="J35" s="55">
        <f>$J$6</f>
        <v>1.7</v>
      </c>
      <c r="K35" s="56"/>
      <c r="L35" s="56"/>
      <c r="M35" s="56"/>
      <c r="N35" s="56"/>
      <c r="O35" s="262"/>
      <c r="P35" s="262"/>
      <c r="Q35" s="262"/>
      <c r="R35" s="262"/>
      <c r="S35" s="54"/>
      <c r="T35" s="55"/>
      <c r="U35" s="55"/>
      <c r="V35" s="55"/>
      <c r="W35" s="42">
        <f>LOOKUP(B35, FIXOM_VAROM!$C$8:$C$190, FIXOM_VAROM!$D$8:$D$190)</f>
        <v>0.05</v>
      </c>
      <c r="X35" s="40">
        <f>LOOKUP($B35, INVCOST!$C$8:$C$193, INVCOST!E$8:E$193)</f>
        <v>20.424600000000002</v>
      </c>
      <c r="Y35" s="40">
        <f>LOOKUP($B35, INVCOST!$C$8:$C$193, INVCOST!F$8:F$193)</f>
        <v>20.401500000000002</v>
      </c>
      <c r="Z35" s="40">
        <f>LOOKUP($B35, INVCOST!$C$8:$C$193, INVCOST!G$8:G$193)</f>
        <v>20.385750000000002</v>
      </c>
      <c r="AA35" s="40">
        <f>LOOKUP($B35, INVCOST!$C$8:$C$193, INVCOST!H$8:H$193)</f>
        <v>20.373149999999999</v>
      </c>
      <c r="AB35" s="40">
        <f>LOOKUP($B35, INVCOST!$C$8:$C$193, INVCOST!I$8:I$193)</f>
        <v>20.362650000000002</v>
      </c>
      <c r="AC35" s="40">
        <f>LOOKUP($B35, INVCOST!$C$8:$C$193, INVCOST!J$8:J$193)</f>
        <v>20.354250000000004</v>
      </c>
      <c r="AD35" s="40">
        <f>LOOKUP($B35, INVCOST!$C$8:$C$193, INVCOST!K$8:K$193)</f>
        <v>20.346900000000002</v>
      </c>
    </row>
    <row r="36" spans="1:31" s="39" customFormat="1" x14ac:dyDescent="0.3">
      <c r="B36" s="211"/>
      <c r="C36" s="211"/>
      <c r="D36" s="211"/>
      <c r="E36" s="211"/>
      <c r="F36" s="211" t="s">
        <v>45</v>
      </c>
      <c r="G36" s="302"/>
      <c r="H36" s="301"/>
      <c r="I36" s="41"/>
      <c r="J36" s="41"/>
      <c r="K36" s="42"/>
      <c r="L36" s="42"/>
      <c r="M36" s="42"/>
      <c r="N36" s="42"/>
      <c r="O36" s="166">
        <f>LOOKUP($B35, CEFF!$C$10:$C$156, CEFF!G$10:G$156)</f>
        <v>0.55249000000000004</v>
      </c>
      <c r="P36" s="166">
        <f>LOOKUP($B35, CEFF!$C$10:$C$156, CEFF!H$10:H$156)</f>
        <v>0.58140000000000003</v>
      </c>
      <c r="Q36" s="166">
        <f>LOOKUP($B35, CEFF!$C$10:$C$156, CEFF!I$10:I$156)</f>
        <v>0.61350000000000005</v>
      </c>
      <c r="R36" s="166">
        <f>LOOKUP($B35, CEFF!$C$10:$C$156, CEFF!J$10:J$156)</f>
        <v>0.64515999999999996</v>
      </c>
      <c r="S36" s="40"/>
      <c r="T36" s="40"/>
      <c r="U36" s="49"/>
      <c r="V36" s="42"/>
      <c r="W36" s="42"/>
      <c r="X36" s="40"/>
      <c r="Y36" s="40"/>
      <c r="Z36" s="40"/>
      <c r="AA36" s="40"/>
      <c r="AB36" s="40"/>
      <c r="AC36" s="40"/>
      <c r="AD36" s="40"/>
    </row>
    <row r="37" spans="1:31" s="39" customFormat="1" x14ac:dyDescent="0.3">
      <c r="B37" s="212"/>
      <c r="C37" s="212"/>
      <c r="D37" s="212"/>
      <c r="E37" s="212"/>
      <c r="F37" s="212" t="s">
        <v>46</v>
      </c>
      <c r="G37" s="303"/>
      <c r="H37" s="304"/>
      <c r="I37" s="46"/>
      <c r="J37" s="46"/>
      <c r="K37" s="44"/>
      <c r="L37" s="44"/>
      <c r="M37" s="44"/>
      <c r="N37" s="44"/>
      <c r="O37" s="261">
        <f>LOOKUP($B35, CEFF!$C$163:$C$330, CEFF!G$163:G$330)</f>
        <v>0.45455000000000001</v>
      </c>
      <c r="P37" s="261">
        <f>LOOKUP($B35, CEFF!$C$163:$C$330, CEFF!H$163:H$330)</f>
        <v>0.47847000000000001</v>
      </c>
      <c r="Q37" s="261">
        <f>LOOKUP($B35, CEFF!$C$163:$C$330, CEFF!I$163:I$330)</f>
        <v>0.50251000000000001</v>
      </c>
      <c r="R37" s="261">
        <f>LOOKUP($B35, CEFF!$C$163:$C$330, CEFF!J$163:J$330)</f>
        <v>0.52910000000000001</v>
      </c>
      <c r="S37" s="45"/>
      <c r="T37" s="45"/>
      <c r="U37" s="53"/>
      <c r="V37" s="44"/>
      <c r="W37" s="44"/>
      <c r="X37" s="45"/>
      <c r="Y37" s="45"/>
      <c r="Z37" s="45"/>
      <c r="AA37" s="45"/>
      <c r="AB37" s="45"/>
      <c r="AC37" s="45"/>
      <c r="AD37" s="45"/>
    </row>
    <row r="38" spans="1:31" s="39" customFormat="1" x14ac:dyDescent="0.3">
      <c r="B38" s="211" t="s">
        <v>63</v>
      </c>
      <c r="C38" s="214" t="str">
        <f ca="1">LOOKUP(B38, TRA_COMM_PRO!$C$17:$C$199, TRA_COMM_PRO!$D$17:D176)</f>
        <v>Car.Plugin-Hybrid.DST.01.</v>
      </c>
      <c r="D38" s="211" t="s">
        <v>712</v>
      </c>
      <c r="E38" s="211"/>
      <c r="F38" s="211"/>
      <c r="G38" s="300">
        <f>$G$5</f>
        <v>2020</v>
      </c>
      <c r="H38" s="312">
        <f>$H$6</f>
        <v>15</v>
      </c>
      <c r="I38" s="157">
        <f>$I$6</f>
        <v>1E-3</v>
      </c>
      <c r="J38" s="41">
        <f>$J$6</f>
        <v>1.7</v>
      </c>
      <c r="K38" s="42"/>
      <c r="L38" s="42"/>
      <c r="M38" s="42"/>
      <c r="N38" s="42"/>
      <c r="O38" s="166"/>
      <c r="P38" s="166"/>
      <c r="Q38" s="166"/>
      <c r="R38" s="166"/>
      <c r="S38" s="40"/>
      <c r="T38" s="40"/>
      <c r="U38" s="49"/>
      <c r="V38" s="42"/>
      <c r="W38" s="42">
        <f>LOOKUP(B38, FIXOM_VAROM!$C$8:$C$190, FIXOM_VAROM!$D$8:$D$190)</f>
        <v>0.05</v>
      </c>
      <c r="X38" s="40">
        <f>LOOKUP($B38, INVCOST!$C$8:$C$193, INVCOST!E$8:E$193)</f>
        <v>29.478999999999999</v>
      </c>
      <c r="Y38" s="40">
        <f>LOOKUP($B38, INVCOST!$C$8:$C$193, INVCOST!F$8:F$193)</f>
        <v>27.831</v>
      </c>
      <c r="Z38" s="40">
        <f>LOOKUP($B38, INVCOST!$C$8:$C$193, INVCOST!G$8:G$193)</f>
        <v>26.962</v>
      </c>
      <c r="AA38" s="40">
        <f>LOOKUP($B38, INVCOST!$C$8:$C$193, INVCOST!H$8:H$193)</f>
        <v>26.277000000000001</v>
      </c>
      <c r="AB38" s="40">
        <f>LOOKUP($B38, INVCOST!$C$8:$C$193, INVCOST!I$8:I$193)</f>
        <v>25.709</v>
      </c>
      <c r="AC38" s="40">
        <f>LOOKUP($B38, INVCOST!$C$8:$C$193, INVCOST!J$8:J$193)</f>
        <v>25.244</v>
      </c>
      <c r="AD38" s="40">
        <f>LOOKUP($B38, INVCOST!$C$8:$C$193, INVCOST!K$8:K$193)</f>
        <v>24.864000000000001</v>
      </c>
    </row>
    <row r="39" spans="1:31" s="39" customFormat="1" x14ac:dyDescent="0.3">
      <c r="B39" s="211"/>
      <c r="C39" s="211"/>
      <c r="D39" s="211"/>
      <c r="E39" s="211"/>
      <c r="F39" s="211" t="s">
        <v>45</v>
      </c>
      <c r="G39" s="302"/>
      <c r="H39" s="301"/>
      <c r="I39" s="41"/>
      <c r="J39" s="41"/>
      <c r="K39" s="42"/>
      <c r="L39" s="42"/>
      <c r="M39" s="42"/>
      <c r="N39" s="42"/>
      <c r="O39" s="166">
        <f>LOOKUP($B38, CEFF!$C$10:$C$156, CEFF!G$10:G$156)</f>
        <v>0.85470000000000002</v>
      </c>
      <c r="P39" s="166">
        <f>LOOKUP($B38, CEFF!$C$10:$C$156, CEFF!H$10:H$156)</f>
        <v>0.94340000000000002</v>
      </c>
      <c r="Q39" s="166">
        <f>LOOKUP($B38, CEFF!$C$10:$C$156, CEFF!I$10:I$156)</f>
        <v>1.0416700000000001</v>
      </c>
      <c r="R39" s="166">
        <f>LOOKUP($B38, CEFF!$C$10:$C$156, CEFF!J$10:J$156)</f>
        <v>1.16279</v>
      </c>
      <c r="S39" s="40"/>
      <c r="T39" s="40"/>
      <c r="U39" s="49"/>
      <c r="V39" s="42"/>
      <c r="W39" s="42"/>
      <c r="X39" s="40"/>
      <c r="Y39" s="40"/>
      <c r="Z39" s="40"/>
      <c r="AA39" s="40"/>
      <c r="AB39" s="40"/>
      <c r="AC39" s="40"/>
      <c r="AD39" s="40"/>
    </row>
    <row r="40" spans="1:31" s="39" customFormat="1" x14ac:dyDescent="0.3">
      <c r="B40" s="212"/>
      <c r="C40" s="212"/>
      <c r="D40" s="212"/>
      <c r="E40" s="212"/>
      <c r="F40" s="212" t="s">
        <v>46</v>
      </c>
      <c r="G40" s="303"/>
      <c r="H40" s="304"/>
      <c r="I40" s="46"/>
      <c r="J40" s="46"/>
      <c r="K40" s="44"/>
      <c r="L40" s="44"/>
      <c r="M40" s="44"/>
      <c r="N40" s="44"/>
      <c r="O40" s="261">
        <f>LOOKUP($B38, CEFF!$C$163:$C$330, CEFF!G$163:G$330)</f>
        <v>1.0638300000000001</v>
      </c>
      <c r="P40" s="261">
        <f>LOOKUP($B38, CEFF!$C$163:$C$330, CEFF!H$163:H$330)</f>
        <v>1.13636</v>
      </c>
      <c r="Q40" s="261">
        <f>LOOKUP($B38, CEFF!$C$163:$C$330, CEFF!I$163:I$330)</f>
        <v>1.2195100000000001</v>
      </c>
      <c r="R40" s="261">
        <f>LOOKUP($B38, CEFF!$C$163:$C$330, CEFF!J$163:J$330)</f>
        <v>1.31579</v>
      </c>
      <c r="S40" s="45"/>
      <c r="T40" s="45"/>
      <c r="U40" s="53"/>
      <c r="V40" s="44"/>
      <c r="W40" s="44"/>
      <c r="X40" s="45"/>
      <c r="Y40" s="45"/>
      <c r="Z40" s="45"/>
      <c r="AA40" s="45"/>
      <c r="AB40" s="45"/>
      <c r="AC40" s="45"/>
      <c r="AD40" s="45"/>
    </row>
    <row r="41" spans="1:31" s="39" customFormat="1" x14ac:dyDescent="0.3">
      <c r="B41" s="211" t="s">
        <v>64</v>
      </c>
      <c r="C41" s="211" t="str">
        <f ca="1">LOOKUP(B41, TRA_COMM_PRO!$C$17:$C$199, TRA_COMM_PRO!$D$17:D201)</f>
        <v>Car.Plugin-Hybrid.GSL.01.</v>
      </c>
      <c r="D41" s="214" t="s">
        <v>713</v>
      </c>
      <c r="E41" s="211"/>
      <c r="F41" s="211"/>
      <c r="G41" s="300">
        <f>$G$5</f>
        <v>2020</v>
      </c>
      <c r="H41" s="312">
        <f>$H$6</f>
        <v>15</v>
      </c>
      <c r="I41" s="157">
        <f>$I$6</f>
        <v>1E-3</v>
      </c>
      <c r="J41" s="41">
        <f>$J$6</f>
        <v>1.7</v>
      </c>
      <c r="K41" s="42"/>
      <c r="L41" s="42"/>
      <c r="M41" s="42"/>
      <c r="N41" s="42"/>
      <c r="O41" s="166"/>
      <c r="P41" s="166"/>
      <c r="Q41" s="166"/>
      <c r="R41" s="166"/>
      <c r="S41" s="40"/>
      <c r="T41" s="40"/>
      <c r="U41" s="49"/>
      <c r="V41" s="42"/>
      <c r="W41" s="42">
        <f>LOOKUP(B41, FIXOM_VAROM!$C$8:$C$190, FIXOM_VAROM!$D$8:$D$190)</f>
        <v>0.05</v>
      </c>
      <c r="X41" s="40">
        <f>LOOKUP($B41, INVCOST!$C$8:$C$193, INVCOST!E$8:E$193)</f>
        <v>28.067</v>
      </c>
      <c r="Y41" s="40">
        <f>LOOKUP($B41, INVCOST!$C$8:$C$193, INVCOST!F$8:F$193)</f>
        <v>26.41</v>
      </c>
      <c r="Z41" s="40">
        <f>LOOKUP($B41, INVCOST!$C$8:$C$193, INVCOST!G$8:G$193)</f>
        <v>25.536000000000001</v>
      </c>
      <c r="AA41" s="40">
        <f>LOOKUP($B41, INVCOST!$C$8:$C$193, INVCOST!H$8:H$193)</f>
        <v>24.844999999999999</v>
      </c>
      <c r="AB41" s="40">
        <f>LOOKUP($B41, INVCOST!$C$8:$C$193, INVCOST!I$8:I$193)</f>
        <v>24.273</v>
      </c>
      <c r="AC41" s="40">
        <f>LOOKUP($B41, INVCOST!$C$8:$C$193, INVCOST!J$8:J$193)</f>
        <v>23.803000000000001</v>
      </c>
      <c r="AD41" s="40">
        <f>LOOKUP($B41, INVCOST!$C$8:$C$193, INVCOST!K$8:K$193)</f>
        <v>23.42</v>
      </c>
    </row>
    <row r="42" spans="1:31" s="39" customFormat="1" x14ac:dyDescent="0.3">
      <c r="B42" s="211"/>
      <c r="C42" s="211"/>
      <c r="D42" s="211"/>
      <c r="E42" s="211"/>
      <c r="F42" s="211" t="s">
        <v>45</v>
      </c>
      <c r="G42" s="302"/>
      <c r="H42" s="301"/>
      <c r="I42" s="41"/>
      <c r="J42" s="41"/>
      <c r="K42" s="42"/>
      <c r="L42" s="42"/>
      <c r="M42" s="42"/>
      <c r="N42" s="42"/>
      <c r="O42" s="166">
        <f>LOOKUP($B41, CEFF!$C$10:$C$156, CEFF!G$10:G$156)</f>
        <v>0.90908999999999995</v>
      </c>
      <c r="P42" s="166">
        <f>LOOKUP($B41, CEFF!$C$10:$C$156, CEFF!H$10:H$156)</f>
        <v>1.0101</v>
      </c>
      <c r="Q42" s="166">
        <f>LOOKUP($B41, CEFF!$C$10:$C$156, CEFF!I$10:I$156)</f>
        <v>1.11111</v>
      </c>
      <c r="R42" s="166">
        <f>LOOKUP($B41, CEFF!$C$10:$C$156, CEFF!J$10:J$156)</f>
        <v>1.2345699999999999</v>
      </c>
      <c r="S42" s="49"/>
      <c r="T42" s="49"/>
      <c r="U42" s="49"/>
      <c r="V42" s="42"/>
      <c r="W42" s="41"/>
      <c r="X42" s="41"/>
      <c r="Y42" s="41"/>
      <c r="Z42" s="41"/>
      <c r="AA42" s="41"/>
      <c r="AB42" s="41"/>
      <c r="AC42" s="41"/>
      <c r="AD42" s="41"/>
    </row>
    <row r="43" spans="1:31" s="39" customFormat="1" x14ac:dyDescent="0.3">
      <c r="B43" s="215"/>
      <c r="C43" s="215"/>
      <c r="D43" s="215"/>
      <c r="E43" s="215"/>
      <c r="F43" s="215" t="s">
        <v>46</v>
      </c>
      <c r="G43" s="305"/>
      <c r="H43" s="306"/>
      <c r="I43" s="181"/>
      <c r="J43" s="181"/>
      <c r="K43" s="179"/>
      <c r="L43" s="179"/>
      <c r="M43" s="179"/>
      <c r="N43" s="179"/>
      <c r="O43" s="264">
        <f>LOOKUP($B41, CEFF!$C$163:$C$330, CEFF!G$163:G$330)</f>
        <v>0.99009999999999998</v>
      </c>
      <c r="P43" s="264">
        <f>LOOKUP($B41, CEFF!$C$163:$C$330, CEFF!H$163:H$330)</f>
        <v>1.05263</v>
      </c>
      <c r="Q43" s="264">
        <f>LOOKUP($B41, CEFF!$C$163:$C$330, CEFF!I$163:I$330)</f>
        <v>1.1235999999999999</v>
      </c>
      <c r="R43" s="264">
        <f>LOOKUP($B41, CEFF!$C$163:$C$330, CEFF!J$163:J$330)</f>
        <v>1.19048</v>
      </c>
      <c r="S43" s="180"/>
      <c r="T43" s="180"/>
      <c r="U43" s="180"/>
      <c r="V43" s="179"/>
      <c r="W43" s="181"/>
      <c r="X43" s="181"/>
      <c r="Y43" s="181"/>
      <c r="Z43" s="181"/>
      <c r="AA43" s="181"/>
      <c r="AB43" s="181"/>
      <c r="AC43" s="181"/>
      <c r="AD43" s="181"/>
    </row>
    <row r="44" spans="1:31" s="39" customFormat="1" x14ac:dyDescent="0.3">
      <c r="H44" s="36"/>
      <c r="I44" s="38"/>
      <c r="J44" s="38"/>
      <c r="K44" s="47"/>
      <c r="L44" s="47"/>
      <c r="M44" s="47"/>
      <c r="N44" s="47"/>
      <c r="O44" s="48"/>
      <c r="P44" s="48"/>
      <c r="Q44" s="48"/>
      <c r="R44" s="48"/>
      <c r="S44" s="36"/>
      <c r="T44" s="36"/>
      <c r="U44" s="36"/>
      <c r="V44" s="38"/>
      <c r="W44" s="38"/>
      <c r="X44" s="38"/>
      <c r="Y44" s="38"/>
      <c r="Z44" s="38"/>
      <c r="AA44" s="38"/>
      <c r="AB44" s="38"/>
      <c r="AC44" s="38"/>
      <c r="AD44" s="38"/>
    </row>
    <row r="46" spans="1:31" x14ac:dyDescent="0.3">
      <c r="W46" s="150"/>
      <c r="X46" s="149"/>
      <c r="Y46" s="149"/>
      <c r="Z46" s="149"/>
      <c r="AA46" s="149"/>
      <c r="AB46" s="149"/>
      <c r="AC46" s="149"/>
      <c r="AD46" s="149"/>
    </row>
    <row r="47" spans="1:31" x14ac:dyDescent="0.3">
      <c r="B47" s="6" t="s">
        <v>408</v>
      </c>
      <c r="C47" s="7"/>
      <c r="D47" s="4"/>
      <c r="E47" s="4"/>
      <c r="F47" s="9" t="s">
        <v>722</v>
      </c>
      <c r="G47" s="4"/>
      <c r="H47" s="9"/>
      <c r="I47" s="4"/>
    </row>
    <row r="48" spans="1:31" ht="27.9" customHeight="1" x14ac:dyDescent="0.3">
      <c r="B48" s="201" t="s">
        <v>2</v>
      </c>
      <c r="C48" s="201" t="s">
        <v>3</v>
      </c>
      <c r="D48" s="201" t="s">
        <v>4</v>
      </c>
      <c r="E48" s="201" t="s">
        <v>5</v>
      </c>
      <c r="F48" s="202" t="s">
        <v>6</v>
      </c>
      <c r="G48" s="202" t="s">
        <v>187</v>
      </c>
      <c r="H48" s="203" t="s">
        <v>186</v>
      </c>
      <c r="I48" s="203" t="s">
        <v>11</v>
      </c>
      <c r="J48" s="202" t="s">
        <v>12</v>
      </c>
      <c r="K48" s="203" t="str">
        <f>K4</f>
        <v>Share~UP~2020</v>
      </c>
      <c r="L48" s="203" t="str">
        <f>L4</f>
        <v>Share~UP~2030</v>
      </c>
      <c r="M48" s="203" t="str">
        <f>M4</f>
        <v>Share~UP~2040</v>
      </c>
      <c r="N48" s="203" t="str">
        <f>N4</f>
        <v>Share~UP~2050</v>
      </c>
      <c r="O48" s="203" t="s">
        <v>335</v>
      </c>
      <c r="P48" s="203" t="s">
        <v>336</v>
      </c>
      <c r="Q48" s="203" t="s">
        <v>9</v>
      </c>
      <c r="R48" s="203" t="s">
        <v>10</v>
      </c>
      <c r="S48" s="203" t="s">
        <v>465</v>
      </c>
      <c r="T48" s="203" t="s">
        <v>13</v>
      </c>
      <c r="U48" s="203" t="s">
        <v>398</v>
      </c>
      <c r="V48" s="203" t="s">
        <v>42</v>
      </c>
      <c r="W48" s="203" t="s">
        <v>14</v>
      </c>
      <c r="X48" s="203" t="s">
        <v>15</v>
      </c>
      <c r="Y48" s="203" t="s">
        <v>16</v>
      </c>
      <c r="Z48" s="203" t="s">
        <v>17</v>
      </c>
      <c r="AA48" s="203" t="s">
        <v>18</v>
      </c>
      <c r="AB48" s="203" t="s">
        <v>19</v>
      </c>
      <c r="AC48" s="203" t="s">
        <v>20</v>
      </c>
      <c r="AD48" s="203" t="s">
        <v>21</v>
      </c>
      <c r="AE48" s="32"/>
    </row>
    <row r="49" spans="1:31" ht="33.75" customHeight="1" thickBot="1" x14ac:dyDescent="0.35">
      <c r="B49" s="204" t="s">
        <v>22</v>
      </c>
      <c r="C49" s="204"/>
      <c r="D49" s="204"/>
      <c r="E49" s="204"/>
      <c r="F49" s="205" t="s">
        <v>23</v>
      </c>
      <c r="G49" s="205">
        <v>2020</v>
      </c>
      <c r="H49" s="206" t="s">
        <v>26</v>
      </c>
      <c r="I49" s="206" t="s">
        <v>560</v>
      </c>
      <c r="J49" s="206" t="s">
        <v>25</v>
      </c>
      <c r="K49" s="205"/>
      <c r="L49" s="205"/>
      <c r="M49" s="205"/>
      <c r="N49" s="205"/>
      <c r="O49" s="207" t="e">
        <f>#REF!</f>
        <v>#REF!</v>
      </c>
      <c r="P49" s="207" t="e">
        <f>O49</f>
        <v>#REF!</v>
      </c>
      <c r="Q49" s="207" t="e">
        <f>P49</f>
        <v>#REF!</v>
      </c>
      <c r="R49" s="207" t="e">
        <f>Q49</f>
        <v>#REF!</v>
      </c>
      <c r="S49" s="206" t="s">
        <v>676</v>
      </c>
      <c r="T49" s="206" t="s">
        <v>676</v>
      </c>
      <c r="U49" s="206" t="s">
        <v>676</v>
      </c>
      <c r="V49" s="208" t="s">
        <v>679</v>
      </c>
      <c r="W49" s="208" t="s">
        <v>678</v>
      </c>
      <c r="X49" s="208" t="s">
        <v>675</v>
      </c>
      <c r="Y49" s="208" t="s">
        <v>675</v>
      </c>
      <c r="Z49" s="208" t="s">
        <v>675</v>
      </c>
      <c r="AA49" s="208" t="s">
        <v>675</v>
      </c>
      <c r="AB49" s="208" t="s">
        <v>675</v>
      </c>
      <c r="AC49" s="208" t="s">
        <v>675</v>
      </c>
      <c r="AD49" s="208" t="s">
        <v>675</v>
      </c>
      <c r="AE49" s="88"/>
    </row>
    <row r="50" spans="1:31" s="39" customFormat="1" x14ac:dyDescent="0.3">
      <c r="A50"/>
      <c r="B50" s="211" t="s">
        <v>228</v>
      </c>
      <c r="C50" s="210" t="str">
        <f ca="1">LOOKUP(B50, TRA_COMM_PRO!$C$17:$C$192, TRA_COMM_PRO!$D$17:D95)</f>
        <v>Car.DST.City.01.</v>
      </c>
      <c r="D50" s="211" t="s">
        <v>712</v>
      </c>
      <c r="E50" s="211"/>
      <c r="F50" s="211"/>
      <c r="G50" s="307">
        <f>$G$49</f>
        <v>2020</v>
      </c>
      <c r="H50" s="308">
        <v>15</v>
      </c>
      <c r="I50" s="65">
        <f>10^-3</f>
        <v>1E-3</v>
      </c>
      <c r="J50" s="41">
        <v>1.7</v>
      </c>
      <c r="K50" s="42"/>
      <c r="L50" s="42"/>
      <c r="M50" s="42"/>
      <c r="N50" s="42"/>
      <c r="O50" s="43"/>
      <c r="P50" s="43"/>
      <c r="Q50" s="43"/>
      <c r="R50" s="43"/>
      <c r="S50" s="40"/>
      <c r="T50" s="40"/>
      <c r="U50" s="40"/>
      <c r="V50" s="42"/>
      <c r="W50" s="60">
        <f>LOOKUP(B50, FIXOM_VAROM!$C$8:$C$190, FIXOM_VAROM!$D$8:$D$190)</f>
        <v>0.05</v>
      </c>
      <c r="X50" s="40">
        <f>LOOKUP($B50, INVCOST!$C$8:$C$193, INVCOST!E$8:E$193)</f>
        <v>21.155000000000001</v>
      </c>
      <c r="Y50" s="40">
        <f>LOOKUP($B50, INVCOST!$C$8:$C$193, INVCOST!F$8:F$193)</f>
        <v>21.132000000000001</v>
      </c>
      <c r="Z50" s="40">
        <f>LOOKUP($B50, INVCOST!$C$8:$C$193, INVCOST!G$8:G$193)</f>
        <v>21.117999999999999</v>
      </c>
      <c r="AA50" s="40">
        <f>LOOKUP($B50, INVCOST!$C$8:$C$193, INVCOST!H$8:H$193)</f>
        <v>21.108000000000001</v>
      </c>
      <c r="AB50" s="40">
        <f>LOOKUP($B50, INVCOST!$C$8:$C$193, INVCOST!I$8:I$193)</f>
        <v>21.1</v>
      </c>
      <c r="AC50" s="40">
        <f>LOOKUP($B50, INVCOST!$C$8:$C$193, INVCOST!J$8:J$193)</f>
        <v>21.093</v>
      </c>
      <c r="AD50" s="40">
        <f>LOOKUP($B50, INVCOST!$C$8:$C$193, INVCOST!K$8:K$193)</f>
        <v>21.088000000000001</v>
      </c>
    </row>
    <row r="51" spans="1:31" s="39" customFormat="1" x14ac:dyDescent="0.3">
      <c r="A51"/>
      <c r="B51" s="211"/>
      <c r="C51" s="211"/>
      <c r="D51" s="211"/>
      <c r="E51" s="211"/>
      <c r="F51" s="211" t="s">
        <v>304</v>
      </c>
      <c r="G51" s="309"/>
      <c r="H51" s="309"/>
      <c r="I51" s="65"/>
      <c r="J51" s="41"/>
      <c r="K51" s="42"/>
      <c r="L51" s="42"/>
      <c r="M51" s="42"/>
      <c r="N51" s="42"/>
      <c r="O51" s="166">
        <f>LOOKUP($B50, CEFF!$C$10:$C$156, CEFF!G$10:G$156)</f>
        <v>0.61350000000000005</v>
      </c>
      <c r="P51" s="166">
        <f>LOOKUP($B50, CEFF!$C$10:$C$156, CEFF!H$10:H$156)</f>
        <v>0.64515999999999996</v>
      </c>
      <c r="Q51" s="166">
        <f>LOOKUP($B50, CEFF!$C$10:$C$156, CEFF!I$10:I$156)</f>
        <v>0.68027000000000004</v>
      </c>
      <c r="R51" s="166">
        <f>LOOKUP($B50, CEFF!$C$10:$C$156, CEFF!J$10:J$156)</f>
        <v>0.71428999999999998</v>
      </c>
      <c r="S51" s="40"/>
      <c r="T51" s="40"/>
      <c r="U51" s="40"/>
      <c r="V51" s="41"/>
      <c r="W51" s="60"/>
      <c r="X51" s="40"/>
      <c r="Y51" s="40"/>
      <c r="Z51" s="40"/>
      <c r="AA51" s="40"/>
      <c r="AB51" s="40"/>
      <c r="AC51" s="40"/>
      <c r="AD51" s="40"/>
    </row>
    <row r="52" spans="1:31" s="39" customFormat="1" x14ac:dyDescent="0.3">
      <c r="A52"/>
      <c r="B52" s="211"/>
      <c r="C52" s="212"/>
      <c r="D52" s="211"/>
      <c r="E52" s="211"/>
      <c r="F52" s="212" t="s">
        <v>303</v>
      </c>
      <c r="G52" s="310"/>
      <c r="H52" s="310"/>
      <c r="I52" s="46"/>
      <c r="J52" s="46"/>
      <c r="K52" s="44"/>
      <c r="L52" s="44"/>
      <c r="M52" s="44"/>
      <c r="N52" s="44"/>
      <c r="O52" s="261">
        <f>LOOKUP($B50, CEFF!$C$163:$C$330, CEFF!G$163:G$330)</f>
        <v>0.53763000000000005</v>
      </c>
      <c r="P52" s="261">
        <f>LOOKUP($B50, CEFF!$C$163:$C$330, CEFF!H$163:H$330)</f>
        <v>0.56496999999999997</v>
      </c>
      <c r="Q52" s="261">
        <f>LOOKUP($B50, CEFF!$C$163:$C$330, CEFF!I$163:I$330)</f>
        <v>0.59523999999999999</v>
      </c>
      <c r="R52" s="261">
        <f>LOOKUP($B50, CEFF!$C$163:$C$330, CEFF!J$163:J$330)</f>
        <v>0.625</v>
      </c>
      <c r="S52" s="40"/>
      <c r="T52" s="40"/>
      <c r="U52" s="40"/>
      <c r="V52" s="41"/>
      <c r="W52" s="60"/>
      <c r="X52" s="45"/>
      <c r="Y52" s="45"/>
      <c r="Z52" s="45"/>
      <c r="AA52" s="45"/>
      <c r="AB52" s="45"/>
      <c r="AC52" s="45"/>
      <c r="AD52" s="45"/>
    </row>
    <row r="53" spans="1:31" s="39" customFormat="1" x14ac:dyDescent="0.3">
      <c r="A53"/>
      <c r="B53" s="214" t="s">
        <v>230</v>
      </c>
      <c r="C53" s="210" t="str">
        <f ca="1">LOOKUP(B53, TRA_COMM_PRO!$C$17:$C$192, TRA_COMM_PRO!$D$17:D102)</f>
        <v>Car.ELC.City.01.</v>
      </c>
      <c r="D53" s="214" t="s">
        <v>27</v>
      </c>
      <c r="E53" s="214"/>
      <c r="F53" s="214"/>
      <c r="G53" s="307">
        <f>$G$49</f>
        <v>2020</v>
      </c>
      <c r="H53" s="308">
        <f>H9</f>
        <v>15</v>
      </c>
      <c r="I53" s="65">
        <f>$I$50</f>
        <v>1E-3</v>
      </c>
      <c r="J53" s="41">
        <f>$J$50</f>
        <v>1.7</v>
      </c>
      <c r="K53" s="56"/>
      <c r="L53" s="56"/>
      <c r="M53" s="56"/>
      <c r="N53" s="56"/>
      <c r="O53" s="262"/>
      <c r="P53" s="262"/>
      <c r="Q53" s="262"/>
      <c r="R53" s="262"/>
      <c r="S53" s="54"/>
      <c r="T53" s="54"/>
      <c r="U53" s="54"/>
      <c r="V53" s="56"/>
      <c r="W53" s="62">
        <f>LOOKUP(B53, FIXOM_VAROM!$C$8:$C$190, FIXOM_VAROM!$D$8:$D$190)</f>
        <v>0.03</v>
      </c>
      <c r="X53" s="40">
        <f>LOOKUP($B53, INVCOST!$C$8:$C$193, INVCOST!E$8:E$193)</f>
        <v>35.389000000000003</v>
      </c>
      <c r="Y53" s="40">
        <f>LOOKUP($B53, INVCOST!$C$8:$C$193, INVCOST!F$8:F$193)</f>
        <v>31.187999999999999</v>
      </c>
      <c r="Z53" s="40">
        <f>LOOKUP($B53, INVCOST!$C$8:$C$193, INVCOST!G$8:G$193)</f>
        <v>29.695</v>
      </c>
      <c r="AA53" s="40">
        <f>LOOKUP($B53, INVCOST!$C$8:$C$193, INVCOST!H$8:H$193)</f>
        <v>28.536999999999999</v>
      </c>
      <c r="AB53" s="40">
        <f>LOOKUP($B53, INVCOST!$C$8:$C$193, INVCOST!I$8:I$193)</f>
        <v>27.753</v>
      </c>
      <c r="AC53" s="40">
        <f>LOOKUP($B53, INVCOST!$C$8:$C$193, INVCOST!J$8:J$193)</f>
        <v>27.114000000000001</v>
      </c>
      <c r="AD53" s="40">
        <f>LOOKUP($B53, INVCOST!$C$8:$C$193, INVCOST!K$8:K$193)</f>
        <v>26.594000000000001</v>
      </c>
    </row>
    <row r="54" spans="1:31" s="39" customFormat="1" x14ac:dyDescent="0.3">
      <c r="A54"/>
      <c r="B54" s="211"/>
      <c r="C54" s="211"/>
      <c r="D54" s="211"/>
      <c r="E54" s="211"/>
      <c r="F54" s="211" t="s">
        <v>304</v>
      </c>
      <c r="G54" s="309"/>
      <c r="H54" s="309"/>
      <c r="I54" s="41"/>
      <c r="J54" s="41"/>
      <c r="K54" s="42"/>
      <c r="L54" s="42"/>
      <c r="M54" s="42"/>
      <c r="N54" s="42"/>
      <c r="O54" s="166">
        <f>LOOKUP($B53, CEFF!$C$10:$C$156, CEFF!G$10:G$156)</f>
        <v>1.2987</v>
      </c>
      <c r="P54" s="166">
        <f>LOOKUP($B53, CEFF!$C$10:$C$156, CEFF!H$10:H$156)</f>
        <v>1.3698600000000001</v>
      </c>
      <c r="Q54" s="166">
        <f>LOOKUP($B53, CEFF!$C$10:$C$156, CEFF!I$10:I$156)</f>
        <v>1.4285699999999999</v>
      </c>
      <c r="R54" s="166">
        <f>LOOKUP($B53, CEFF!$C$10:$C$156, CEFF!J$10:J$156)</f>
        <v>1.51515</v>
      </c>
      <c r="S54" s="40"/>
      <c r="T54" s="50"/>
      <c r="U54" s="50"/>
      <c r="V54" s="41"/>
      <c r="W54" s="60"/>
      <c r="X54" s="40"/>
      <c r="Y54" s="40"/>
      <c r="Z54" s="40"/>
      <c r="AA54" s="40"/>
      <c r="AB54" s="40"/>
      <c r="AC54" s="40"/>
      <c r="AD54" s="40"/>
    </row>
    <row r="55" spans="1:31" s="39" customFormat="1" x14ac:dyDescent="0.3">
      <c r="A55"/>
      <c r="B55" s="211"/>
      <c r="C55" s="212"/>
      <c r="D55" s="211"/>
      <c r="E55" s="211"/>
      <c r="F55" s="212" t="s">
        <v>303</v>
      </c>
      <c r="G55" s="310"/>
      <c r="H55" s="310"/>
      <c r="I55" s="46"/>
      <c r="J55" s="46"/>
      <c r="K55" s="42"/>
      <c r="L55" s="42"/>
      <c r="M55" s="42"/>
      <c r="N55" s="42"/>
      <c r="O55" s="261">
        <f>LOOKUP($B53, CEFF!$C$163:$C$330, CEFF!G$163:G$330)</f>
        <v>1.6129</v>
      </c>
      <c r="P55" s="261">
        <f>LOOKUP($B53, CEFF!$C$163:$C$330, CEFF!H$163:H$330)</f>
        <v>1.69492</v>
      </c>
      <c r="Q55" s="261">
        <f>LOOKUP($B53, CEFF!$C$163:$C$330, CEFF!I$163:I$330)</f>
        <v>1.7857099999999999</v>
      </c>
      <c r="R55" s="261">
        <f>LOOKUP($B53, CEFF!$C$163:$C$330, CEFF!J$163:J$330)</f>
        <v>1.88679</v>
      </c>
      <c r="S55" s="40"/>
      <c r="T55" s="40"/>
      <c r="U55" s="40"/>
      <c r="V55" s="41"/>
      <c r="W55" s="60"/>
      <c r="X55" s="45"/>
      <c r="Y55" s="45"/>
      <c r="Z55" s="45"/>
      <c r="AA55" s="45"/>
      <c r="AB55" s="45"/>
      <c r="AC55" s="45"/>
      <c r="AD55" s="45"/>
    </row>
    <row r="56" spans="1:31" s="39" customFormat="1" x14ac:dyDescent="0.3">
      <c r="A56"/>
      <c r="B56" s="214" t="s">
        <v>232</v>
      </c>
      <c r="C56" s="210" t="str">
        <f ca="1">LOOKUP(B56, TRA_COMM_PRO!$C$17:$C$192, TRA_COMM_PRO!$D$17:D105)</f>
        <v>Car.ETH.City.01.</v>
      </c>
      <c r="D56" s="214" t="s">
        <v>51</v>
      </c>
      <c r="E56" s="214"/>
      <c r="F56" s="214"/>
      <c r="G56" s="307">
        <f>$G$49</f>
        <v>2020</v>
      </c>
      <c r="H56" s="308">
        <f>$H$50</f>
        <v>15</v>
      </c>
      <c r="I56" s="65">
        <f>$I$50</f>
        <v>1E-3</v>
      </c>
      <c r="J56" s="41">
        <f>$J$50</f>
        <v>1.7</v>
      </c>
      <c r="K56" s="56"/>
      <c r="L56" s="56"/>
      <c r="M56" s="56"/>
      <c r="N56" s="56"/>
      <c r="O56" s="262"/>
      <c r="P56" s="262"/>
      <c r="Q56" s="262"/>
      <c r="R56" s="262"/>
      <c r="S56" s="54"/>
      <c r="T56" s="54"/>
      <c r="U56" s="54"/>
      <c r="V56" s="56"/>
      <c r="W56" s="62">
        <f>LOOKUP(B56, FIXOM_VAROM!$C$8:$C$190, FIXOM_VAROM!$D$8:$D$190)</f>
        <v>0.05</v>
      </c>
      <c r="X56" s="40">
        <f>LOOKUP($B56, INVCOST!$C$8:$C$193, INVCOST!E$8:E$193)</f>
        <v>20.424600000000002</v>
      </c>
      <c r="Y56" s="40">
        <f>LOOKUP($B56, INVCOST!$C$8:$C$193, INVCOST!F$8:F$193)</f>
        <v>20.401500000000002</v>
      </c>
      <c r="Z56" s="40">
        <f>LOOKUP($B56, INVCOST!$C$8:$C$193, INVCOST!G$8:G$193)</f>
        <v>20.385750000000002</v>
      </c>
      <c r="AA56" s="40">
        <f>LOOKUP($B56, INVCOST!$C$8:$C$193, INVCOST!H$8:H$193)</f>
        <v>20.373149999999999</v>
      </c>
      <c r="AB56" s="40">
        <f>LOOKUP($B56, INVCOST!$C$8:$C$193, INVCOST!I$8:I$193)</f>
        <v>20.362650000000002</v>
      </c>
      <c r="AC56" s="40">
        <f>LOOKUP($B56, INVCOST!$C$8:$C$193, INVCOST!J$8:J$193)</f>
        <v>20.354250000000004</v>
      </c>
      <c r="AD56" s="40">
        <f>LOOKUP($B56, INVCOST!$C$8:$C$193, INVCOST!K$8:K$193)</f>
        <v>20.346900000000002</v>
      </c>
    </row>
    <row r="57" spans="1:31" s="39" customFormat="1" x14ac:dyDescent="0.3">
      <c r="A57"/>
      <c r="B57" s="211"/>
      <c r="C57" s="211"/>
      <c r="D57" s="211" t="s">
        <v>39</v>
      </c>
      <c r="E57" s="211"/>
      <c r="F57" s="211"/>
      <c r="G57" s="309"/>
      <c r="H57" s="309"/>
      <c r="I57" s="41"/>
      <c r="J57" s="41"/>
      <c r="K57" s="42">
        <v>0.15</v>
      </c>
      <c r="L57" s="42">
        <v>0.15</v>
      </c>
      <c r="M57" s="42">
        <v>0.15</v>
      </c>
      <c r="N57" s="42">
        <v>0.15</v>
      </c>
      <c r="O57" s="166"/>
      <c r="P57" s="166"/>
      <c r="Q57" s="166"/>
      <c r="R57" s="166"/>
      <c r="S57" s="40"/>
      <c r="T57" s="40"/>
      <c r="U57" s="40"/>
      <c r="V57" s="41"/>
      <c r="W57" s="60"/>
      <c r="X57" s="40"/>
      <c r="Y57" s="40"/>
      <c r="Z57" s="40"/>
      <c r="AA57" s="40"/>
      <c r="AB57" s="40"/>
      <c r="AC57" s="40"/>
      <c r="AD57" s="40"/>
    </row>
    <row r="58" spans="1:31" s="39" customFormat="1" x14ac:dyDescent="0.3">
      <c r="A58"/>
      <c r="B58" s="211"/>
      <c r="C58" s="211"/>
      <c r="D58" s="211"/>
      <c r="E58" s="211"/>
      <c r="F58" s="211" t="s">
        <v>304</v>
      </c>
      <c r="G58" s="309"/>
      <c r="H58" s="309"/>
      <c r="I58" s="41"/>
      <c r="J58" s="41"/>
      <c r="K58" s="42"/>
      <c r="L58" s="42"/>
      <c r="M58" s="42"/>
      <c r="N58" s="42"/>
      <c r="O58" s="166">
        <f>LOOKUP($B56, CEFF!$C$10:$C$156, CEFF!G$10:G$156)</f>
        <v>0.55249000000000004</v>
      </c>
      <c r="P58" s="166">
        <f>LOOKUP($B56, CEFF!$C$10:$C$156, CEFF!H$10:H$156)</f>
        <v>0.58140000000000003</v>
      </c>
      <c r="Q58" s="166">
        <f>LOOKUP($B56, CEFF!$C$10:$C$156, CEFF!I$10:I$156)</f>
        <v>0.61350000000000005</v>
      </c>
      <c r="R58" s="166">
        <f>LOOKUP($B56, CEFF!$C$10:$C$156, CEFF!J$10:J$156)</f>
        <v>0.64515999999999996</v>
      </c>
      <c r="S58" s="40"/>
      <c r="T58" s="40"/>
      <c r="U58" s="40"/>
      <c r="V58" s="42"/>
      <c r="W58" s="60"/>
      <c r="X58" s="40"/>
      <c r="Y58" s="40"/>
      <c r="Z58" s="40"/>
      <c r="AA58" s="40"/>
      <c r="AB58" s="40"/>
      <c r="AC58" s="40"/>
      <c r="AD58" s="40"/>
    </row>
    <row r="59" spans="1:31" s="39" customFormat="1" x14ac:dyDescent="0.3">
      <c r="A59"/>
      <c r="B59" s="211"/>
      <c r="C59" s="212"/>
      <c r="D59" s="211"/>
      <c r="E59" s="211"/>
      <c r="F59" s="212" t="s">
        <v>303</v>
      </c>
      <c r="G59" s="310"/>
      <c r="H59" s="310"/>
      <c r="I59" s="46"/>
      <c r="J59" s="46"/>
      <c r="K59" s="42"/>
      <c r="L59" s="42"/>
      <c r="M59" s="42"/>
      <c r="N59" s="42"/>
      <c r="O59" s="261">
        <f>LOOKUP($B56, CEFF!$C$163:$C$330, CEFF!G$163:G$330)</f>
        <v>0.45455000000000001</v>
      </c>
      <c r="P59" s="261">
        <f>LOOKUP($B56, CEFF!$C$163:$C$330, CEFF!H$163:H$330)</f>
        <v>0.47847000000000001</v>
      </c>
      <c r="Q59" s="261">
        <f>LOOKUP($B56, CEFF!$C$163:$C$330, CEFF!I$163:I$330)</f>
        <v>0.50251000000000001</v>
      </c>
      <c r="R59" s="261">
        <f>LOOKUP($B56, CEFF!$C$163:$C$330, CEFF!J$163:J$330)</f>
        <v>0.52910000000000001</v>
      </c>
      <c r="S59" s="40"/>
      <c r="T59" s="40"/>
      <c r="U59" s="40"/>
      <c r="V59" s="42"/>
      <c r="W59" s="60"/>
      <c r="X59" s="45"/>
      <c r="Y59" s="45"/>
      <c r="Z59" s="45"/>
      <c r="AA59" s="45"/>
      <c r="AB59" s="45"/>
      <c r="AC59" s="45"/>
      <c r="AD59" s="45"/>
    </row>
    <row r="60" spans="1:31" s="39" customFormat="1" x14ac:dyDescent="0.3">
      <c r="A60"/>
      <c r="B60" s="214" t="s">
        <v>234</v>
      </c>
      <c r="C60" s="210" t="str">
        <f ca="1">LOOKUP(B60, TRA_COMM_PRO!$C$17:$C$192, TRA_COMM_PRO!$D$17:D201)</f>
        <v>Car.GAS.City.01.</v>
      </c>
      <c r="D60" s="214" t="s">
        <v>39</v>
      </c>
      <c r="E60" s="214"/>
      <c r="F60" s="214"/>
      <c r="G60" s="307">
        <f>$G$49</f>
        <v>2020</v>
      </c>
      <c r="H60" s="308">
        <f>$H$50</f>
        <v>15</v>
      </c>
      <c r="I60" s="65">
        <f>$I$50</f>
        <v>1E-3</v>
      </c>
      <c r="J60" s="41">
        <f>$J$50</f>
        <v>1.7</v>
      </c>
      <c r="K60" s="56">
        <v>0.05</v>
      </c>
      <c r="L60" s="56">
        <v>0.05</v>
      </c>
      <c r="M60" s="56">
        <v>0.05</v>
      </c>
      <c r="N60" s="56">
        <v>0.05</v>
      </c>
      <c r="O60" s="262"/>
      <c r="P60" s="262"/>
      <c r="Q60" s="262"/>
      <c r="R60" s="262"/>
      <c r="S60" s="54"/>
      <c r="T60" s="54"/>
      <c r="U60" s="54"/>
      <c r="V60" s="55"/>
      <c r="W60" s="62">
        <f>LOOKUP(B60, FIXOM_VAROM!$C$8:$C$190, FIXOM_VAROM!$D$8:$D$190)</f>
        <v>0.05</v>
      </c>
      <c r="X60" s="40">
        <f>LOOKUP($B60, INVCOST!$C$8:$C$193, INVCOST!E$8:E$193)</f>
        <v>20.424600000000002</v>
      </c>
      <c r="Y60" s="40">
        <f>LOOKUP($B60, INVCOST!$C$8:$C$193, INVCOST!F$8:F$193)</f>
        <v>20.401500000000002</v>
      </c>
      <c r="Z60" s="40">
        <f>LOOKUP($B60, INVCOST!$C$8:$C$193, INVCOST!G$8:G$193)</f>
        <v>20.385750000000002</v>
      </c>
      <c r="AA60" s="40">
        <f>LOOKUP($B60, INVCOST!$C$8:$C$193, INVCOST!H$8:H$193)</f>
        <v>20.373149999999999</v>
      </c>
      <c r="AB60" s="40">
        <f>LOOKUP($B60, INVCOST!$C$8:$C$193, INVCOST!I$8:I$193)</f>
        <v>20.362650000000002</v>
      </c>
      <c r="AC60" s="40">
        <f>LOOKUP($B60, INVCOST!$C$8:$C$193, INVCOST!J$8:J$193)</f>
        <v>20.354250000000004</v>
      </c>
      <c r="AD60" s="40">
        <f>LOOKUP($B60, INVCOST!$C$8:$C$193, INVCOST!K$8:K$193)</f>
        <v>20.346900000000002</v>
      </c>
    </row>
    <row r="61" spans="1:31" s="39" customFormat="1" x14ac:dyDescent="0.3">
      <c r="A61"/>
      <c r="B61" s="211"/>
      <c r="C61" s="211"/>
      <c r="D61" s="211" t="s">
        <v>715</v>
      </c>
      <c r="E61" s="211"/>
      <c r="F61" s="211"/>
      <c r="G61" s="309"/>
      <c r="H61" s="309"/>
      <c r="I61" s="41"/>
      <c r="J61" s="41"/>
      <c r="K61" s="42"/>
      <c r="L61" s="42"/>
      <c r="M61" s="42"/>
      <c r="N61" s="42"/>
      <c r="O61" s="166"/>
      <c r="P61" s="166"/>
      <c r="Q61" s="166"/>
      <c r="R61" s="166"/>
      <c r="S61" s="40"/>
      <c r="T61" s="40"/>
      <c r="U61" s="40"/>
      <c r="V61" s="41"/>
      <c r="W61" s="60"/>
      <c r="X61" s="40"/>
      <c r="Y61" s="40"/>
      <c r="Z61" s="40"/>
      <c r="AA61" s="40"/>
      <c r="AB61" s="40"/>
      <c r="AC61" s="40"/>
      <c r="AD61" s="40"/>
    </row>
    <row r="62" spans="1:31" s="39" customFormat="1" x14ac:dyDescent="0.3">
      <c r="A62"/>
      <c r="B62" s="211"/>
      <c r="C62" s="211"/>
      <c r="D62" s="211"/>
      <c r="E62" s="211"/>
      <c r="F62" s="211" t="s">
        <v>304</v>
      </c>
      <c r="G62" s="309"/>
      <c r="H62" s="309"/>
      <c r="I62" s="41"/>
      <c r="J62" s="41"/>
      <c r="K62" s="42"/>
      <c r="L62" s="42"/>
      <c r="M62" s="42"/>
      <c r="N62" s="42"/>
      <c r="O62" s="166">
        <f>LOOKUP($B60, CEFF!$C$10:$C$156, CEFF!G$10:G$156)</f>
        <v>0.55249000000000004</v>
      </c>
      <c r="P62" s="166">
        <f>LOOKUP($B60, CEFF!$C$10:$C$156, CEFF!H$10:H$156)</f>
        <v>0.58140000000000003</v>
      </c>
      <c r="Q62" s="166">
        <f>LOOKUP($B60, CEFF!$C$10:$C$156, CEFF!I$10:I$156)</f>
        <v>0.61350000000000005</v>
      </c>
      <c r="R62" s="166">
        <f>LOOKUP($B60, CEFF!$C$10:$C$156, CEFF!J$10:J$156)</f>
        <v>0.64515999999999996</v>
      </c>
      <c r="S62" s="40"/>
      <c r="T62" s="40"/>
      <c r="U62" s="40"/>
      <c r="V62" s="42"/>
      <c r="W62" s="60"/>
      <c r="X62" s="40"/>
      <c r="Y62" s="40"/>
      <c r="Z62" s="40"/>
      <c r="AA62" s="40"/>
      <c r="AB62" s="40"/>
      <c r="AC62" s="40"/>
      <c r="AD62" s="40"/>
    </row>
    <row r="63" spans="1:31" s="39" customFormat="1" x14ac:dyDescent="0.3">
      <c r="A63"/>
      <c r="B63" s="211"/>
      <c r="C63" s="212"/>
      <c r="D63" s="211"/>
      <c r="E63" s="211"/>
      <c r="F63" s="212" t="s">
        <v>303</v>
      </c>
      <c r="G63" s="310"/>
      <c r="H63" s="310"/>
      <c r="I63" s="46"/>
      <c r="J63" s="46"/>
      <c r="K63" s="42"/>
      <c r="L63" s="42"/>
      <c r="M63" s="42"/>
      <c r="N63" s="42"/>
      <c r="O63" s="261">
        <f>LOOKUP($B60, CEFF!$C$163:$C$330, CEFF!G$163:G$330)</f>
        <v>0.45455000000000001</v>
      </c>
      <c r="P63" s="261">
        <f>LOOKUP($B60, CEFF!$C$163:$C$330, CEFF!H$163:H$330)</f>
        <v>0.47847000000000001</v>
      </c>
      <c r="Q63" s="261">
        <f>LOOKUP($B60, CEFF!$C$163:$C$330, CEFF!I$163:I$330)</f>
        <v>0.50251000000000001</v>
      </c>
      <c r="R63" s="261">
        <f>LOOKUP($B60, CEFF!$C$163:$C$330, CEFF!J$163:J$330)</f>
        <v>0.52910000000000001</v>
      </c>
      <c r="S63" s="40"/>
      <c r="T63" s="40"/>
      <c r="U63" s="40"/>
      <c r="V63" s="42"/>
      <c r="W63" s="60"/>
      <c r="X63" s="45"/>
      <c r="Y63" s="45"/>
      <c r="Z63" s="45"/>
      <c r="AA63" s="45"/>
      <c r="AB63" s="45"/>
      <c r="AC63" s="45"/>
      <c r="AD63" s="45"/>
    </row>
    <row r="64" spans="1:31" s="39" customFormat="1" x14ac:dyDescent="0.3">
      <c r="A64"/>
      <c r="B64" s="214" t="s">
        <v>236</v>
      </c>
      <c r="C64" s="210" t="str">
        <f ca="1">LOOKUP(B64, TRA_COMM_PRO!$C$17:$C$192, TRA_COMM_PRO!$D$17:D176)</f>
        <v>Car.GSL.City.01.</v>
      </c>
      <c r="D64" s="214" t="s">
        <v>713</v>
      </c>
      <c r="E64" s="214"/>
      <c r="F64" s="214"/>
      <c r="G64" s="307">
        <f>$G$49</f>
        <v>2020</v>
      </c>
      <c r="H64" s="308">
        <f>$H$50</f>
        <v>15</v>
      </c>
      <c r="I64" s="65">
        <f>$I$50</f>
        <v>1E-3</v>
      </c>
      <c r="J64" s="41">
        <f>$J$50</f>
        <v>1.7</v>
      </c>
      <c r="K64" s="56"/>
      <c r="L64" s="56"/>
      <c r="M64" s="56"/>
      <c r="N64" s="56"/>
      <c r="O64" s="262"/>
      <c r="P64" s="262"/>
      <c r="Q64" s="262"/>
      <c r="R64" s="262"/>
      <c r="S64" s="54"/>
      <c r="T64" s="54"/>
      <c r="U64" s="54"/>
      <c r="V64" s="56"/>
      <c r="W64" s="62">
        <f>LOOKUP(B64, FIXOM_VAROM!$C$8:$C$190, FIXOM_VAROM!$D$8:$D$190)</f>
        <v>0.05</v>
      </c>
      <c r="X64" s="40">
        <f>LOOKUP($B64, INVCOST!$C$8:$C$193, INVCOST!E$8:E$193)</f>
        <v>19.452000000000002</v>
      </c>
      <c r="Y64" s="40">
        <f>LOOKUP($B64, INVCOST!$C$8:$C$193, INVCOST!F$8:F$193)</f>
        <v>19.43</v>
      </c>
      <c r="Z64" s="40">
        <f>LOOKUP($B64, INVCOST!$C$8:$C$193, INVCOST!G$8:G$193)</f>
        <v>19.414999999999999</v>
      </c>
      <c r="AA64" s="40">
        <f>LOOKUP($B64, INVCOST!$C$8:$C$193, INVCOST!H$8:H$193)</f>
        <v>19.402999999999999</v>
      </c>
      <c r="AB64" s="40">
        <f>LOOKUP($B64, INVCOST!$C$8:$C$193, INVCOST!I$8:I$193)</f>
        <v>19.393000000000001</v>
      </c>
      <c r="AC64" s="40">
        <f>LOOKUP($B64, INVCOST!$C$8:$C$193, INVCOST!J$8:J$193)</f>
        <v>19.385000000000002</v>
      </c>
      <c r="AD64" s="40">
        <f>LOOKUP($B64, INVCOST!$C$8:$C$193, INVCOST!K$8:K$193)</f>
        <v>19.378</v>
      </c>
    </row>
    <row r="65" spans="1:30" s="39" customFormat="1" x14ac:dyDescent="0.3">
      <c r="A65"/>
      <c r="B65" s="211"/>
      <c r="C65" s="211"/>
      <c r="D65" s="211"/>
      <c r="E65" s="211"/>
      <c r="F65" s="211" t="s">
        <v>304</v>
      </c>
      <c r="G65" s="309"/>
      <c r="H65" s="309"/>
      <c r="I65" s="41"/>
      <c r="J65" s="41"/>
      <c r="K65" s="42"/>
      <c r="L65" s="42"/>
      <c r="M65" s="42"/>
      <c r="N65" s="42"/>
      <c r="O65" s="166">
        <f>LOOKUP($B64, CEFF!$C$10:$C$156, CEFF!G$10:G$156)</f>
        <v>0.55249000000000004</v>
      </c>
      <c r="P65" s="166">
        <f>LOOKUP($B64, CEFF!$C$10:$C$156, CEFF!H$10:H$156)</f>
        <v>0.58140000000000003</v>
      </c>
      <c r="Q65" s="166">
        <f>LOOKUP($B64, CEFF!$C$10:$C$156, CEFF!I$10:I$156)</f>
        <v>0.61350000000000005</v>
      </c>
      <c r="R65" s="166">
        <f>LOOKUP($B64, CEFF!$C$10:$C$156, CEFF!J$10:J$156)</f>
        <v>0.64515999999999996</v>
      </c>
      <c r="S65" s="40"/>
      <c r="T65" s="40"/>
      <c r="U65" s="40"/>
      <c r="V65" s="41"/>
      <c r="W65" s="60"/>
      <c r="X65" s="40"/>
      <c r="Y65" s="40"/>
      <c r="Z65" s="40"/>
      <c r="AA65" s="40"/>
      <c r="AB65" s="40"/>
      <c r="AC65" s="40"/>
      <c r="AD65" s="40"/>
    </row>
    <row r="66" spans="1:30" s="39" customFormat="1" x14ac:dyDescent="0.3">
      <c r="A66"/>
      <c r="B66" s="212"/>
      <c r="C66" s="212"/>
      <c r="D66" s="212"/>
      <c r="E66" s="212"/>
      <c r="F66" s="212" t="s">
        <v>303</v>
      </c>
      <c r="G66" s="310"/>
      <c r="H66" s="310"/>
      <c r="I66" s="46"/>
      <c r="J66" s="46"/>
      <c r="K66" s="42"/>
      <c r="L66" s="42"/>
      <c r="M66" s="42"/>
      <c r="N66" s="42"/>
      <c r="O66" s="261">
        <f>LOOKUP($B64, CEFF!$C$163:$C$330, CEFF!G$163:G$330)</f>
        <v>0.45455000000000001</v>
      </c>
      <c r="P66" s="261">
        <f>LOOKUP($B64, CEFF!$C$163:$C$330, CEFF!H$163:H$330)</f>
        <v>0.47847000000000001</v>
      </c>
      <c r="Q66" s="261">
        <f>LOOKUP($B64, CEFF!$C$163:$C$330, CEFF!I$163:I$330)</f>
        <v>0.50251000000000001</v>
      </c>
      <c r="R66" s="261">
        <f>LOOKUP($B64, CEFF!$C$163:$C$330, CEFF!J$163:J$330)</f>
        <v>0.52910000000000001</v>
      </c>
      <c r="S66" s="40"/>
      <c r="T66" s="40"/>
      <c r="U66" s="40"/>
      <c r="V66" s="41"/>
      <c r="W66" s="60"/>
      <c r="X66" s="45"/>
      <c r="Y66" s="45"/>
      <c r="Z66" s="45"/>
      <c r="AA66" s="45"/>
      <c r="AB66" s="45"/>
      <c r="AC66" s="45"/>
      <c r="AD66" s="45"/>
    </row>
    <row r="67" spans="1:30" s="39" customFormat="1" x14ac:dyDescent="0.3">
      <c r="A67"/>
      <c r="B67" s="211" t="s">
        <v>238</v>
      </c>
      <c r="C67" s="210" t="str">
        <f ca="1">LOOKUP(B67, TRA_COMM_PRO!$C$17:$C$192, TRA_COMM_PRO!$D$17:D190)</f>
        <v>Car.H2G.City.01.</v>
      </c>
      <c r="D67" s="211" t="s">
        <v>57</v>
      </c>
      <c r="E67" s="211"/>
      <c r="F67" s="211"/>
      <c r="G67" s="307">
        <f>$G$49</f>
        <v>2020</v>
      </c>
      <c r="H67" s="308">
        <f>$H$50</f>
        <v>15</v>
      </c>
      <c r="I67" s="65">
        <f>$I$50</f>
        <v>1E-3</v>
      </c>
      <c r="J67" s="41">
        <f>$J$50</f>
        <v>1.7</v>
      </c>
      <c r="K67" s="56"/>
      <c r="L67" s="56"/>
      <c r="M67" s="56"/>
      <c r="N67" s="56"/>
      <c r="O67" s="262"/>
      <c r="P67" s="262"/>
      <c r="Q67" s="262"/>
      <c r="R67" s="262"/>
      <c r="S67" s="54"/>
      <c r="T67" s="54"/>
      <c r="U67" s="54"/>
      <c r="V67" s="56"/>
      <c r="W67" s="62">
        <f>LOOKUP(B67, FIXOM_VAROM!$C$8:$C$190, FIXOM_VAROM!$D$8:$D$190)</f>
        <v>0.03</v>
      </c>
      <c r="X67" s="40">
        <f>LOOKUP($B67, INVCOST!$C$8:$C$193, INVCOST!E$8:E$193)</f>
        <v>33.204999999999998</v>
      </c>
      <c r="Y67" s="40">
        <f>LOOKUP($B67, INVCOST!$C$8:$C$193, INVCOST!F$8:F$193)</f>
        <v>30.501000000000001</v>
      </c>
      <c r="Z67" s="40">
        <f>LOOKUP($B67, INVCOST!$C$8:$C$193, INVCOST!G$8:G$193)</f>
        <v>29.122</v>
      </c>
      <c r="AA67" s="40">
        <f>LOOKUP($B67, INVCOST!$C$8:$C$193, INVCOST!H$8:H$193)</f>
        <v>28.056000000000001</v>
      </c>
      <c r="AB67" s="40">
        <f>LOOKUP($B67, INVCOST!$C$8:$C$193, INVCOST!I$8:I$193)</f>
        <v>27.158999999999999</v>
      </c>
      <c r="AC67" s="40">
        <f>LOOKUP($B67, INVCOST!$C$8:$C$193, INVCOST!J$8:J$193)</f>
        <v>26.395</v>
      </c>
      <c r="AD67" s="40">
        <f>LOOKUP($B67, INVCOST!$C$8:$C$193, INVCOST!K$8:K$193)</f>
        <v>25.727</v>
      </c>
    </row>
    <row r="68" spans="1:30" s="39" customFormat="1" x14ac:dyDescent="0.3">
      <c r="A68"/>
      <c r="B68" s="211"/>
      <c r="C68" s="211"/>
      <c r="D68" s="211"/>
      <c r="E68" s="211"/>
      <c r="F68" s="211" t="s">
        <v>304</v>
      </c>
      <c r="G68" s="309"/>
      <c r="H68" s="309"/>
      <c r="I68" s="41"/>
      <c r="J68" s="41"/>
      <c r="K68" s="42"/>
      <c r="L68" s="42"/>
      <c r="M68" s="42"/>
      <c r="N68" s="42"/>
      <c r="O68" s="166">
        <f>LOOKUP($B67, CEFF!$C$10:$C$156, CEFF!G$10:G$156)</f>
        <v>0.98038999999999998</v>
      </c>
      <c r="P68" s="166">
        <f>LOOKUP($B67, CEFF!$C$10:$C$156, CEFF!H$10:H$156)</f>
        <v>1.0869599999999999</v>
      </c>
      <c r="Q68" s="166">
        <f>LOOKUP($B67, CEFF!$C$10:$C$156, CEFF!I$10:I$156)</f>
        <v>1.20482</v>
      </c>
      <c r="R68" s="166">
        <f>LOOKUP($B67, CEFF!$C$10:$C$156, CEFF!J$10:J$156)</f>
        <v>1.2658199999999999</v>
      </c>
      <c r="S68" s="40"/>
      <c r="T68" s="40"/>
      <c r="U68" s="40"/>
      <c r="V68" s="42"/>
      <c r="W68" s="60"/>
      <c r="X68" s="40"/>
      <c r="Y68" s="40"/>
      <c r="Z68" s="40"/>
      <c r="AA68" s="40"/>
      <c r="AB68" s="40"/>
      <c r="AC68" s="40"/>
      <c r="AD68" s="40"/>
    </row>
    <row r="69" spans="1:30" s="39" customFormat="1" x14ac:dyDescent="0.3">
      <c r="A69"/>
      <c r="B69" s="212"/>
      <c r="C69" s="212"/>
      <c r="D69" s="212"/>
      <c r="E69" s="212"/>
      <c r="F69" s="212" t="s">
        <v>303</v>
      </c>
      <c r="G69" s="310"/>
      <c r="H69" s="310"/>
      <c r="I69" s="46"/>
      <c r="J69" s="46"/>
      <c r="K69" s="44"/>
      <c r="L69" s="44"/>
      <c r="M69" s="44"/>
      <c r="N69" s="44"/>
      <c r="O69" s="261">
        <f>LOOKUP($B67, CEFF!$C$163:$C$330, CEFF!G$163:G$330)</f>
        <v>0.80645</v>
      </c>
      <c r="P69" s="261">
        <f>LOOKUP($B67, CEFF!$C$163:$C$330, CEFF!H$163:H$330)</f>
        <v>0.89285999999999999</v>
      </c>
      <c r="Q69" s="261">
        <f>LOOKUP($B67, CEFF!$C$163:$C$330, CEFF!I$163:I$330)</f>
        <v>0.99009999999999998</v>
      </c>
      <c r="R69" s="261">
        <f>LOOKUP($B67, CEFF!$C$163:$C$330, CEFF!J$163:J$330)</f>
        <v>1.0989</v>
      </c>
      <c r="S69" s="46"/>
      <c r="T69" s="46"/>
      <c r="U69" s="46"/>
      <c r="V69" s="46"/>
      <c r="W69" s="60"/>
      <c r="X69" s="45"/>
      <c r="Y69" s="45"/>
      <c r="Z69" s="45"/>
      <c r="AA69" s="45"/>
      <c r="AB69" s="45"/>
      <c r="AC69" s="45"/>
      <c r="AD69" s="45"/>
    </row>
    <row r="70" spans="1:30" s="39" customFormat="1" x14ac:dyDescent="0.3">
      <c r="B70" s="211" t="s">
        <v>240</v>
      </c>
      <c r="C70" s="211" t="str">
        <f ca="1">LOOKUP(B70, TRA_COMM_PRO!$C$17:$C$199, TRA_COMM_PRO!$D$17:D225)</f>
        <v>Car.Hybrid.DST.City.01.</v>
      </c>
      <c r="D70" s="211" t="s">
        <v>712</v>
      </c>
      <c r="E70" s="211"/>
      <c r="F70" s="211"/>
      <c r="G70" s="307">
        <f>$G$49</f>
        <v>2020</v>
      </c>
      <c r="H70" s="308">
        <f>$H$50</f>
        <v>15</v>
      </c>
      <c r="I70" s="65">
        <f>$I$50</f>
        <v>1E-3</v>
      </c>
      <c r="J70" s="41">
        <f>$J$50</f>
        <v>1.7</v>
      </c>
      <c r="K70" s="42"/>
      <c r="L70" s="42"/>
      <c r="M70" s="42"/>
      <c r="N70" s="42"/>
      <c r="O70" s="166"/>
      <c r="P70" s="166"/>
      <c r="Q70" s="166"/>
      <c r="R70" s="166"/>
      <c r="S70" s="41"/>
      <c r="T70" s="41"/>
      <c r="U70" s="41"/>
      <c r="V70" s="41"/>
      <c r="W70" s="62">
        <f>LOOKUP(B70, FIXOM_VAROM!$C$8:$C$190, FIXOM_VAROM!$D$8:$D$190)</f>
        <v>0.05</v>
      </c>
      <c r="X70" s="40">
        <f>LOOKUP($B70, INVCOST!$C$8:$C$193, INVCOST!E$8:E$193)</f>
        <v>23.181999999999999</v>
      </c>
      <c r="Y70" s="40">
        <f>LOOKUP($B70, INVCOST!$C$8:$C$193, INVCOST!F$8:F$193)</f>
        <v>22.738</v>
      </c>
      <c r="Z70" s="40">
        <f>LOOKUP($B70, INVCOST!$C$8:$C$193, INVCOST!G$8:G$193)</f>
        <v>22.478000000000002</v>
      </c>
      <c r="AA70" s="40">
        <f>LOOKUP($B70, INVCOST!$C$8:$C$193, INVCOST!H$8:H$193)</f>
        <v>22.3</v>
      </c>
      <c r="AB70" s="40">
        <f>LOOKUP($B70, INVCOST!$C$8:$C$193, INVCOST!I$8:I$193)</f>
        <v>22.170999999999999</v>
      </c>
      <c r="AC70" s="40">
        <f>LOOKUP($B70, INVCOST!$C$8:$C$193, INVCOST!J$8:J$193)</f>
        <v>22.068999999999999</v>
      </c>
      <c r="AD70" s="40">
        <f>LOOKUP($B70, INVCOST!$C$8:$C$193, INVCOST!K$8:K$193)</f>
        <v>21.995000000000001</v>
      </c>
    </row>
    <row r="71" spans="1:30" s="39" customFormat="1" x14ac:dyDescent="0.3">
      <c r="B71" s="211"/>
      <c r="C71" s="211"/>
      <c r="D71" s="211"/>
      <c r="E71" s="211"/>
      <c r="F71" s="211" t="s">
        <v>304</v>
      </c>
      <c r="G71" s="309"/>
      <c r="H71" s="309"/>
      <c r="I71" s="43"/>
      <c r="J71" s="43"/>
      <c r="K71" s="42"/>
      <c r="L71" s="42"/>
      <c r="M71" s="42"/>
      <c r="N71" s="42"/>
      <c r="O71" s="166">
        <f>LOOKUP($B70, CEFF!$C$10:$C$156, CEFF!G$10:G$156)</f>
        <v>0.74626999999999999</v>
      </c>
      <c r="P71" s="166">
        <f>LOOKUP($B70, CEFF!$C$10:$C$156, CEFF!H$10:H$156)</f>
        <v>0.82645000000000002</v>
      </c>
      <c r="Q71" s="166">
        <f>LOOKUP($B70, CEFF!$C$10:$C$156, CEFF!I$10:I$156)</f>
        <v>0.91742999999999997</v>
      </c>
      <c r="R71" s="166">
        <f>LOOKUP($B70, CEFF!$C$10:$C$156, CEFF!J$10:J$156)</f>
        <v>1.02041</v>
      </c>
      <c r="S71" s="43"/>
      <c r="T71" s="43"/>
      <c r="U71" s="40"/>
      <c r="V71" s="49"/>
      <c r="W71" s="60"/>
      <c r="X71" s="40"/>
      <c r="Y71" s="40"/>
      <c r="Z71" s="40"/>
      <c r="AA71" s="40"/>
      <c r="AB71" s="40"/>
      <c r="AC71" s="40"/>
      <c r="AD71" s="40"/>
    </row>
    <row r="72" spans="1:30" s="39" customFormat="1" x14ac:dyDescent="0.3">
      <c r="B72" s="212"/>
      <c r="C72" s="212"/>
      <c r="D72" s="212"/>
      <c r="E72" s="212"/>
      <c r="F72" s="212" t="s">
        <v>303</v>
      </c>
      <c r="G72" s="310"/>
      <c r="H72" s="310"/>
      <c r="I72" s="52"/>
      <c r="J72" s="52"/>
      <c r="K72" s="44"/>
      <c r="L72" s="44"/>
      <c r="M72" s="44"/>
      <c r="N72" s="44"/>
      <c r="O72" s="261">
        <f>LOOKUP($B70, CEFF!$C$163:$C$330, CEFF!G$163:G$330)</f>
        <v>0.65788999999999997</v>
      </c>
      <c r="P72" s="261">
        <f>LOOKUP($B70, CEFF!$C$163:$C$330, CEFF!H$163:H$330)</f>
        <v>0.72992999999999997</v>
      </c>
      <c r="Q72" s="261">
        <f>LOOKUP($B70, CEFF!$C$163:$C$330, CEFF!I$163:I$330)</f>
        <v>0.80645</v>
      </c>
      <c r="R72" s="261">
        <f>LOOKUP($B70, CEFF!$C$163:$C$330, CEFF!J$163:J$330)</f>
        <v>0.89285999999999999</v>
      </c>
      <c r="S72" s="52"/>
      <c r="T72" s="52"/>
      <c r="U72" s="45"/>
      <c r="V72" s="53"/>
      <c r="W72" s="60"/>
      <c r="X72" s="45"/>
      <c r="Y72" s="45"/>
      <c r="Z72" s="45"/>
      <c r="AA72" s="45"/>
      <c r="AB72" s="45"/>
      <c r="AC72" s="45"/>
      <c r="AD72" s="45"/>
    </row>
    <row r="73" spans="1:30" s="39" customFormat="1" x14ac:dyDescent="0.3">
      <c r="B73" s="211" t="s">
        <v>242</v>
      </c>
      <c r="C73" s="211" t="str">
        <f ca="1">LOOKUP(B73, TRA_COMM_PRO!$C$17:$C$199, TRA_COMM_PRO!$D$17:D229)</f>
        <v>Car.Hybrid.GSL.City.01.</v>
      </c>
      <c r="D73" s="214" t="s">
        <v>713</v>
      </c>
      <c r="E73" s="211"/>
      <c r="F73" s="211"/>
      <c r="G73" s="307">
        <f>$G$49</f>
        <v>2020</v>
      </c>
      <c r="H73" s="308">
        <f>$H$50</f>
        <v>15</v>
      </c>
      <c r="I73" s="65">
        <f>$I$50</f>
        <v>1E-3</v>
      </c>
      <c r="J73" s="41">
        <f>$J$50</f>
        <v>1.7</v>
      </c>
      <c r="K73" s="42"/>
      <c r="L73" s="42"/>
      <c r="M73" s="42"/>
      <c r="N73" s="42"/>
      <c r="O73" s="263"/>
      <c r="P73" s="263"/>
      <c r="Q73" s="263"/>
      <c r="R73" s="263"/>
      <c r="S73" s="57"/>
      <c r="T73" s="57"/>
      <c r="U73" s="40"/>
      <c r="V73" s="49"/>
      <c r="W73" s="62">
        <f>LOOKUP(B73, FIXOM_VAROM!$C$8:$C$190, FIXOM_VAROM!$D$8:$D$190)</f>
        <v>0.05</v>
      </c>
      <c r="X73" s="40">
        <f>LOOKUP($B73, INVCOST!$C$8:$C$193, INVCOST!E$8:E$193)</f>
        <v>21.329000000000001</v>
      </c>
      <c r="Y73" s="40">
        <f>LOOKUP($B73, INVCOST!$C$8:$C$193, INVCOST!F$8:F$193)</f>
        <v>20.885999999999999</v>
      </c>
      <c r="Z73" s="40">
        <f>LOOKUP($B73, INVCOST!$C$8:$C$193, INVCOST!G$8:G$193)</f>
        <v>20.626000000000001</v>
      </c>
      <c r="AA73" s="40">
        <f>LOOKUP($B73, INVCOST!$C$8:$C$193, INVCOST!H$8:H$193)</f>
        <v>20.446000000000002</v>
      </c>
      <c r="AB73" s="40">
        <f>LOOKUP($B73, INVCOST!$C$8:$C$193, INVCOST!I$8:I$193)</f>
        <v>20.135999999999999</v>
      </c>
      <c r="AC73" s="40">
        <f>LOOKUP($B73, INVCOST!$C$8:$C$193, INVCOST!J$8:J$193)</f>
        <v>20.212</v>
      </c>
      <c r="AD73" s="40">
        <f>LOOKUP($B73, INVCOST!$C$8:$C$193, INVCOST!K$8:K$193)</f>
        <v>20.135999999999999</v>
      </c>
    </row>
    <row r="74" spans="1:30" s="39" customFormat="1" x14ac:dyDescent="0.3">
      <c r="B74" s="211"/>
      <c r="C74" s="211"/>
      <c r="D74" s="211"/>
      <c r="E74" s="211"/>
      <c r="F74" s="211" t="s">
        <v>304</v>
      </c>
      <c r="G74" s="309"/>
      <c r="H74" s="309"/>
      <c r="I74" s="43"/>
      <c r="J74" s="43"/>
      <c r="K74" s="42"/>
      <c r="L74" s="42"/>
      <c r="M74" s="42"/>
      <c r="N74" s="42"/>
      <c r="O74" s="166">
        <f>LOOKUP($B73, CEFF!$C$10:$C$156, CEFF!G$10:G$156)</f>
        <v>0.67113999999999996</v>
      </c>
      <c r="P74" s="166">
        <f>LOOKUP($B73, CEFF!$C$10:$C$156, CEFF!H$10:H$156)</f>
        <v>0.74626999999999999</v>
      </c>
      <c r="Q74" s="166">
        <f>LOOKUP($B73, CEFF!$C$10:$C$156, CEFF!I$10:I$156)</f>
        <v>0.82645000000000002</v>
      </c>
      <c r="R74" s="166">
        <f>LOOKUP($B73, CEFF!$C$10:$C$156, CEFF!J$10:J$156)</f>
        <v>0.91742999999999997</v>
      </c>
      <c r="S74" s="43"/>
      <c r="T74" s="43"/>
      <c r="U74" s="40"/>
      <c r="V74" s="49"/>
      <c r="W74" s="60"/>
      <c r="X74" s="40"/>
      <c r="Y74" s="40"/>
      <c r="Z74" s="40"/>
      <c r="AA74" s="40"/>
      <c r="AB74" s="40"/>
      <c r="AC74" s="40"/>
      <c r="AD74" s="40"/>
    </row>
    <row r="75" spans="1:30" s="39" customFormat="1" x14ac:dyDescent="0.3">
      <c r="B75" s="212"/>
      <c r="C75" s="212"/>
      <c r="D75" s="212"/>
      <c r="E75" s="212"/>
      <c r="F75" s="212" t="s">
        <v>303</v>
      </c>
      <c r="G75" s="310"/>
      <c r="H75" s="310"/>
      <c r="I75" s="52"/>
      <c r="J75" s="52"/>
      <c r="K75" s="44"/>
      <c r="L75" s="44"/>
      <c r="M75" s="44"/>
      <c r="N75" s="44"/>
      <c r="O75" s="261">
        <f>LOOKUP($B73, CEFF!$C$163:$C$330, CEFF!G$163:G$330)</f>
        <v>0.55249000000000004</v>
      </c>
      <c r="P75" s="261">
        <f>LOOKUP($B73, CEFF!$C$163:$C$330, CEFF!H$163:H$330)</f>
        <v>0.61350000000000005</v>
      </c>
      <c r="Q75" s="261">
        <f>LOOKUP($B73, CEFF!$C$163:$C$330, CEFF!I$163:I$330)</f>
        <v>0.68027000000000004</v>
      </c>
      <c r="R75" s="261">
        <f>LOOKUP($B73, CEFF!$C$163:$C$330, CEFF!J$163:J$330)</f>
        <v>0.75187999999999999</v>
      </c>
      <c r="S75" s="52"/>
      <c r="T75" s="52"/>
      <c r="U75" s="45"/>
      <c r="V75" s="53"/>
      <c r="W75" s="60"/>
      <c r="X75" s="45"/>
      <c r="Y75" s="45"/>
      <c r="Z75" s="45"/>
      <c r="AA75" s="45"/>
      <c r="AB75" s="45"/>
      <c r="AC75" s="45"/>
      <c r="AD75" s="45"/>
    </row>
    <row r="76" spans="1:30" s="39" customFormat="1" x14ac:dyDescent="0.3">
      <c r="A76"/>
      <c r="B76" s="214" t="s">
        <v>244</v>
      </c>
      <c r="C76" s="214" t="s">
        <v>245</v>
      </c>
      <c r="D76" s="214" t="s">
        <v>62</v>
      </c>
      <c r="E76" s="214"/>
      <c r="F76" s="214"/>
      <c r="G76" s="307">
        <f>$G$49</f>
        <v>2020</v>
      </c>
      <c r="H76" s="308">
        <f>$H$50</f>
        <v>15</v>
      </c>
      <c r="I76" s="65">
        <f>$I$50</f>
        <v>1E-3</v>
      </c>
      <c r="J76" s="41">
        <f>$J$50</f>
        <v>1.7</v>
      </c>
      <c r="K76" s="56"/>
      <c r="L76" s="56"/>
      <c r="M76" s="56"/>
      <c r="N76" s="56"/>
      <c r="O76" s="262"/>
      <c r="P76" s="262"/>
      <c r="Q76" s="262"/>
      <c r="R76" s="262"/>
      <c r="S76" s="54"/>
      <c r="T76" s="54"/>
      <c r="U76" s="54"/>
      <c r="V76" s="55"/>
      <c r="W76" s="62">
        <f>LOOKUP(B76, FIXOM_VAROM!$C$8:$C$190, FIXOM_VAROM!$D$8:$D$190)</f>
        <v>0.05</v>
      </c>
      <c r="X76" s="40">
        <f>LOOKUP($B76, INVCOST!$C$8:$C$193, INVCOST!E$8:E$193)</f>
        <v>20.424600000000002</v>
      </c>
      <c r="Y76" s="40">
        <f>LOOKUP($B76, INVCOST!$C$8:$C$193, INVCOST!F$8:F$193)</f>
        <v>20.401500000000002</v>
      </c>
      <c r="Z76" s="40">
        <f>LOOKUP($B76, INVCOST!$C$8:$C$193, INVCOST!G$8:G$193)</f>
        <v>20.385750000000002</v>
      </c>
      <c r="AA76" s="40">
        <f>LOOKUP($B76, INVCOST!$C$8:$C$193, INVCOST!H$8:H$193)</f>
        <v>20.373149999999999</v>
      </c>
      <c r="AB76" s="40">
        <f>LOOKUP($B76, INVCOST!$C$8:$C$193, INVCOST!I$8:I$193)</f>
        <v>20.362650000000002</v>
      </c>
      <c r="AC76" s="40">
        <f>LOOKUP($B76, INVCOST!$C$8:$C$193, INVCOST!J$8:J$193)</f>
        <v>20.354250000000004</v>
      </c>
      <c r="AD76" s="40">
        <f>LOOKUP($B76, INVCOST!$C$8:$C$193, INVCOST!K$8:K$193)</f>
        <v>20.346900000000002</v>
      </c>
    </row>
    <row r="77" spans="1:30" s="39" customFormat="1" x14ac:dyDescent="0.3">
      <c r="A77"/>
      <c r="B77" s="211"/>
      <c r="C77" s="211"/>
      <c r="D77" s="211"/>
      <c r="E77" s="211"/>
      <c r="F77" s="211" t="s">
        <v>304</v>
      </c>
      <c r="G77" s="309"/>
      <c r="H77" s="309"/>
      <c r="I77" s="65"/>
      <c r="J77" s="41"/>
      <c r="K77" s="42"/>
      <c r="L77" s="42"/>
      <c r="M77" s="42"/>
      <c r="N77" s="42"/>
      <c r="O77" s="166">
        <f>LOOKUP($B76, CEFF!$C$10:$C$156, CEFF!G$10:G$156)</f>
        <v>0.55249000000000004</v>
      </c>
      <c r="P77" s="166">
        <f>LOOKUP($B76, CEFF!$C$10:$C$156, CEFF!H$10:H$156)</f>
        <v>0.58140000000000003</v>
      </c>
      <c r="Q77" s="166">
        <f>LOOKUP($B76, CEFF!$C$10:$C$156, CEFF!I$10:I$156)</f>
        <v>0.61350000000000005</v>
      </c>
      <c r="R77" s="166">
        <f>LOOKUP($B76, CEFF!$C$10:$C$156, CEFF!J$10:J$156)</f>
        <v>0.64515999999999996</v>
      </c>
      <c r="S77" s="40"/>
      <c r="T77" s="40"/>
      <c r="U77" s="40"/>
      <c r="V77" s="42"/>
      <c r="W77" s="60"/>
      <c r="X77" s="40"/>
      <c r="Y77" s="40"/>
      <c r="Z77" s="40"/>
      <c r="AA77" s="40"/>
      <c r="AB77" s="40"/>
      <c r="AC77" s="40"/>
      <c r="AD77" s="40"/>
    </row>
    <row r="78" spans="1:30" s="39" customFormat="1" x14ac:dyDescent="0.3">
      <c r="A78"/>
      <c r="B78" s="211"/>
      <c r="C78" s="211"/>
      <c r="D78" s="211"/>
      <c r="E78" s="211"/>
      <c r="F78" s="212" t="s">
        <v>303</v>
      </c>
      <c r="G78" s="310"/>
      <c r="H78" s="310"/>
      <c r="I78" s="52"/>
      <c r="J78" s="46"/>
      <c r="K78" s="42"/>
      <c r="L78" s="42"/>
      <c r="M78" s="42"/>
      <c r="N78" s="42"/>
      <c r="O78" s="261">
        <f>LOOKUP($B76, CEFF!$C$163:$C$330, CEFF!G$163:G$330)</f>
        <v>0.45455000000000001</v>
      </c>
      <c r="P78" s="261">
        <f>LOOKUP($B76, CEFF!$C$163:$C$330, CEFF!H$163:H$330)</f>
        <v>0.47847000000000001</v>
      </c>
      <c r="Q78" s="261">
        <f>LOOKUP($B76, CEFF!$C$163:$C$330, CEFF!I$163:I$330)</f>
        <v>0.50251000000000001</v>
      </c>
      <c r="R78" s="261">
        <f>LOOKUP($B76, CEFF!$C$163:$C$330, CEFF!J$163:J$330)</f>
        <v>0.52910000000000001</v>
      </c>
      <c r="S78" s="40"/>
      <c r="T78" s="40"/>
      <c r="U78" s="40"/>
      <c r="V78" s="42"/>
      <c r="W78" s="60"/>
      <c r="X78" s="45"/>
      <c r="Y78" s="45"/>
      <c r="Z78" s="45"/>
      <c r="AA78" s="45"/>
      <c r="AB78" s="45"/>
      <c r="AC78" s="45"/>
      <c r="AD78" s="45"/>
    </row>
    <row r="79" spans="1:30" s="39" customFormat="1" x14ac:dyDescent="0.3">
      <c r="A79"/>
      <c r="B79" s="214" t="s">
        <v>602</v>
      </c>
      <c r="C79" s="214" t="s">
        <v>603</v>
      </c>
      <c r="D79" s="214" t="s">
        <v>599</v>
      </c>
      <c r="E79" s="214"/>
      <c r="F79" s="214"/>
      <c r="G79" s="307">
        <f>$G$49</f>
        <v>2020</v>
      </c>
      <c r="H79" s="308">
        <f>$H$50</f>
        <v>15</v>
      </c>
      <c r="I79" s="65">
        <f>$I$50</f>
        <v>1E-3</v>
      </c>
      <c r="J79" s="41">
        <f>$J$50</f>
        <v>1.7</v>
      </c>
      <c r="K79" s="56"/>
      <c r="L79" s="56"/>
      <c r="M79" s="56"/>
      <c r="N79" s="56"/>
      <c r="O79" s="262"/>
      <c r="P79" s="262"/>
      <c r="Q79" s="262"/>
      <c r="R79" s="262"/>
      <c r="S79" s="54"/>
      <c r="T79" s="54"/>
      <c r="U79" s="54"/>
      <c r="V79" s="55"/>
      <c r="W79" s="62">
        <f>LOOKUP(B79, FIXOM_VAROM!$C$8:$C$190, FIXOM_VAROM!$D$8:$D$190)</f>
        <v>0.05</v>
      </c>
      <c r="X79" s="40">
        <f>LOOKUP($B79, INVCOST!$C$8:$C$193, INVCOST!E$8:E$193)</f>
        <v>20.424600000000002</v>
      </c>
      <c r="Y79" s="40">
        <f>LOOKUP($B79, INVCOST!$C$8:$C$193, INVCOST!F$8:F$193)</f>
        <v>20.401500000000002</v>
      </c>
      <c r="Z79" s="40">
        <f>LOOKUP($B79, INVCOST!$C$8:$C$193, INVCOST!G$8:G$193)</f>
        <v>20.385750000000002</v>
      </c>
      <c r="AA79" s="40">
        <f>LOOKUP($B79, INVCOST!$C$8:$C$193, INVCOST!H$8:H$193)</f>
        <v>20.373149999999999</v>
      </c>
      <c r="AB79" s="40">
        <f>LOOKUP($B79, INVCOST!$C$8:$C$193, INVCOST!I$8:I$193)</f>
        <v>20.362650000000002</v>
      </c>
      <c r="AC79" s="40">
        <f>LOOKUP($B79, INVCOST!$C$8:$C$193, INVCOST!J$8:J$193)</f>
        <v>20.354250000000004</v>
      </c>
      <c r="AD79" s="40">
        <f>LOOKUP($B79, INVCOST!$C$8:$C$193, INVCOST!K$8:K$193)</f>
        <v>20.346900000000002</v>
      </c>
    </row>
    <row r="80" spans="1:30" s="39" customFormat="1" x14ac:dyDescent="0.3">
      <c r="A80"/>
      <c r="B80" s="211"/>
      <c r="C80" s="211"/>
      <c r="D80" s="211"/>
      <c r="E80" s="211"/>
      <c r="F80" s="211" t="s">
        <v>304</v>
      </c>
      <c r="G80" s="309"/>
      <c r="H80" s="309"/>
      <c r="I80" s="65"/>
      <c r="J80" s="41"/>
      <c r="K80" s="42"/>
      <c r="L80" s="42"/>
      <c r="M80" s="42"/>
      <c r="N80" s="42"/>
      <c r="O80" s="166">
        <f>LOOKUP($B79, CEFF!$C$10:$C$156, CEFF!G$10:G$156)</f>
        <v>0.55249000000000004</v>
      </c>
      <c r="P80" s="166">
        <f>LOOKUP($B79, CEFF!$C$10:$C$156, CEFF!H$10:H$156)</f>
        <v>0.58140000000000003</v>
      </c>
      <c r="Q80" s="166">
        <f>LOOKUP($B79, CEFF!$C$10:$C$156, CEFF!I$10:I$156)</f>
        <v>0.61350000000000005</v>
      </c>
      <c r="R80" s="166">
        <f>LOOKUP($B79, CEFF!$C$10:$C$156, CEFF!J$10:J$156)</f>
        <v>0.64515999999999996</v>
      </c>
      <c r="S80" s="40"/>
      <c r="T80" s="40"/>
      <c r="U80" s="40"/>
      <c r="V80" s="42"/>
      <c r="W80" s="60"/>
      <c r="X80" s="40"/>
      <c r="Y80" s="40"/>
      <c r="Z80" s="40"/>
      <c r="AA80" s="40"/>
      <c r="AB80" s="40"/>
      <c r="AC80" s="40"/>
      <c r="AD80" s="40"/>
    </row>
    <row r="81" spans="1:30" s="39" customFormat="1" x14ac:dyDescent="0.3">
      <c r="A81"/>
      <c r="B81" s="212"/>
      <c r="C81" s="212"/>
      <c r="D81" s="212"/>
      <c r="E81" s="212"/>
      <c r="F81" s="212" t="s">
        <v>303</v>
      </c>
      <c r="G81" s="310"/>
      <c r="H81" s="310"/>
      <c r="I81" s="80"/>
      <c r="J81" s="46"/>
      <c r="K81" s="44"/>
      <c r="L81" s="44"/>
      <c r="M81" s="44"/>
      <c r="N81" s="44"/>
      <c r="O81" s="261">
        <f>LOOKUP($B79, CEFF!$C$163:$C$330, CEFF!G$163:G$330)</f>
        <v>0.45455000000000001</v>
      </c>
      <c r="P81" s="261">
        <f>LOOKUP($B79, CEFF!$C$163:$C$330, CEFF!H$163:H$330)</f>
        <v>0.47847000000000001</v>
      </c>
      <c r="Q81" s="261">
        <f>LOOKUP($B79, CEFF!$C$163:$C$330, CEFF!I$163:I$330)</f>
        <v>0.50251000000000001</v>
      </c>
      <c r="R81" s="261">
        <f>LOOKUP($B79, CEFF!$C$163:$C$330, CEFF!J$163:J$330)</f>
        <v>0.52910000000000001</v>
      </c>
      <c r="S81" s="45"/>
      <c r="T81" s="45"/>
      <c r="U81" s="45"/>
      <c r="V81" s="44"/>
      <c r="W81" s="60"/>
      <c r="X81" s="45"/>
      <c r="Y81" s="45"/>
      <c r="Z81" s="45"/>
      <c r="AA81" s="45"/>
      <c r="AB81" s="45"/>
      <c r="AC81" s="45"/>
      <c r="AD81" s="45"/>
    </row>
    <row r="82" spans="1:30" s="39" customFormat="1" x14ac:dyDescent="0.3">
      <c r="B82" s="211" t="s">
        <v>246</v>
      </c>
      <c r="C82" s="214" t="str">
        <f ca="1">LOOKUP(B82, TRA_COMM_PRO!$C$17:$C$199, TRA_COMM_PRO!$D$17:D232)</f>
        <v>Car.Plugin-Hybrid.DST.City.01.</v>
      </c>
      <c r="D82" s="211" t="s">
        <v>712</v>
      </c>
      <c r="E82" s="211"/>
      <c r="F82" s="211"/>
      <c r="G82" s="307">
        <f>$G$49</f>
        <v>2020</v>
      </c>
      <c r="H82" s="308">
        <f>$H$50</f>
        <v>15</v>
      </c>
      <c r="I82" s="65">
        <f>$I$50</f>
        <v>1E-3</v>
      </c>
      <c r="J82" s="41">
        <f>$J$50</f>
        <v>1.7</v>
      </c>
      <c r="K82" s="42"/>
      <c r="L82" s="42"/>
      <c r="M82" s="42"/>
      <c r="N82" s="42"/>
      <c r="O82" s="166"/>
      <c r="P82" s="166"/>
      <c r="Q82" s="166"/>
      <c r="R82" s="166"/>
      <c r="S82" s="43"/>
      <c r="T82" s="43"/>
      <c r="U82" s="40"/>
      <c r="V82" s="49"/>
      <c r="W82" s="62">
        <f>LOOKUP(B82, FIXOM_VAROM!$C$8:$C$190, FIXOM_VAROM!$D$8:$D$190)</f>
        <v>0.05</v>
      </c>
      <c r="X82" s="40">
        <f>LOOKUP($B82, INVCOST!$C$8:$C$193, INVCOST!E$8:E$193)</f>
        <v>29.478999999999999</v>
      </c>
      <c r="Y82" s="40">
        <f>LOOKUP($B82, INVCOST!$C$8:$C$193, INVCOST!F$8:F$193)</f>
        <v>27.831</v>
      </c>
      <c r="Z82" s="40">
        <f>LOOKUP($B82, INVCOST!$C$8:$C$193, INVCOST!G$8:G$193)</f>
        <v>26.962</v>
      </c>
      <c r="AA82" s="40">
        <f>LOOKUP($B82, INVCOST!$C$8:$C$193, INVCOST!H$8:H$193)</f>
        <v>26.277000000000001</v>
      </c>
      <c r="AB82" s="40">
        <f>LOOKUP($B82, INVCOST!$C$8:$C$193, INVCOST!I$8:I$193)</f>
        <v>25.709</v>
      </c>
      <c r="AC82" s="40">
        <f>LOOKUP($B82, INVCOST!$C$8:$C$193, INVCOST!J$8:J$193)</f>
        <v>25.244</v>
      </c>
      <c r="AD82" s="40">
        <f>LOOKUP($B82, INVCOST!$C$8:$C$193, INVCOST!K$8:K$193)</f>
        <v>24.864000000000001</v>
      </c>
    </row>
    <row r="83" spans="1:30" s="39" customFormat="1" x14ac:dyDescent="0.3">
      <c r="B83" s="211"/>
      <c r="C83" s="211"/>
      <c r="D83" s="211"/>
      <c r="E83" s="211"/>
      <c r="F83" s="211" t="s">
        <v>304</v>
      </c>
      <c r="G83" s="309"/>
      <c r="H83" s="309"/>
      <c r="I83" s="43"/>
      <c r="J83" s="43"/>
      <c r="K83" s="42"/>
      <c r="L83" s="42"/>
      <c r="M83" s="42"/>
      <c r="N83" s="42"/>
      <c r="O83" s="166">
        <f>LOOKUP($B82, CEFF!$C$10:$C$156, CEFF!G$10:G$156)</f>
        <v>0.85470000000000002</v>
      </c>
      <c r="P83" s="166">
        <f>LOOKUP($B82, CEFF!$C$10:$C$156, CEFF!H$10:H$156)</f>
        <v>0.94340000000000002</v>
      </c>
      <c r="Q83" s="166">
        <f>LOOKUP($B82, CEFF!$C$10:$C$156, CEFF!I$10:I$156)</f>
        <v>1.0416700000000001</v>
      </c>
      <c r="R83" s="166">
        <f>LOOKUP($B82, CEFF!$C$10:$C$156, CEFF!J$10:J$156)</f>
        <v>1.16279</v>
      </c>
      <c r="S83" s="43"/>
      <c r="T83" s="43"/>
      <c r="U83" s="40"/>
      <c r="V83" s="49"/>
      <c r="W83" s="60"/>
      <c r="X83" s="40"/>
      <c r="Y83" s="40"/>
      <c r="Z83" s="40"/>
      <c r="AA83" s="40"/>
      <c r="AB83" s="40"/>
      <c r="AC83" s="40"/>
      <c r="AD83" s="40"/>
    </row>
    <row r="84" spans="1:30" s="39" customFormat="1" x14ac:dyDescent="0.3">
      <c r="B84" s="212"/>
      <c r="C84" s="212"/>
      <c r="D84" s="212"/>
      <c r="E84" s="212"/>
      <c r="F84" s="212" t="s">
        <v>303</v>
      </c>
      <c r="G84" s="310"/>
      <c r="H84" s="310"/>
      <c r="I84" s="52"/>
      <c r="J84" s="52"/>
      <c r="K84" s="44"/>
      <c r="L84" s="44"/>
      <c r="M84" s="44"/>
      <c r="N84" s="44"/>
      <c r="O84" s="261">
        <f>LOOKUP($B82, CEFF!$C$163:$C$330, CEFF!G$163:G$330)</f>
        <v>1.0638300000000001</v>
      </c>
      <c r="P84" s="261">
        <f>LOOKUP($B82, CEFF!$C$163:$C$330, CEFF!H$163:H$330)</f>
        <v>1.13636</v>
      </c>
      <c r="Q84" s="261">
        <f>LOOKUP($B82, CEFF!$C$163:$C$330, CEFF!I$163:I$330)</f>
        <v>1.2195100000000001</v>
      </c>
      <c r="R84" s="261">
        <f>LOOKUP($B82, CEFF!$C$163:$C$330, CEFF!J$163:J$330)</f>
        <v>1.31579</v>
      </c>
      <c r="S84" s="52"/>
      <c r="T84" s="52"/>
      <c r="U84" s="45"/>
      <c r="V84" s="53"/>
      <c r="W84" s="60"/>
      <c r="X84" s="45"/>
      <c r="Y84" s="45"/>
      <c r="Z84" s="45"/>
      <c r="AA84" s="45"/>
      <c r="AB84" s="45"/>
      <c r="AC84" s="45"/>
      <c r="AD84" s="45"/>
    </row>
    <row r="85" spans="1:30" s="39" customFormat="1" x14ac:dyDescent="0.3">
      <c r="B85" s="211" t="s">
        <v>248</v>
      </c>
      <c r="C85" s="211" t="str">
        <f ca="1">LOOKUP(B85, TRA_COMM_PRO!$C$17:$C$199, TRA_COMM_PRO!$D$17:D235)</f>
        <v>Car.Plugin-Hybrid.GSL.City.01.</v>
      </c>
      <c r="D85" s="214" t="s">
        <v>713</v>
      </c>
      <c r="E85" s="211"/>
      <c r="F85" s="211"/>
      <c r="G85" s="307">
        <f>$G$49</f>
        <v>2020</v>
      </c>
      <c r="H85" s="308">
        <f>$H$50</f>
        <v>15</v>
      </c>
      <c r="I85" s="65">
        <f>$I$50</f>
        <v>1E-3</v>
      </c>
      <c r="J85" s="41">
        <f>$J$50</f>
        <v>1.7</v>
      </c>
      <c r="K85" s="42"/>
      <c r="L85" s="42"/>
      <c r="M85" s="42"/>
      <c r="N85" s="42"/>
      <c r="O85" s="166"/>
      <c r="P85" s="166"/>
      <c r="Q85" s="166"/>
      <c r="R85" s="166"/>
      <c r="S85" s="43"/>
      <c r="T85" s="43"/>
      <c r="U85" s="40"/>
      <c r="V85" s="49"/>
      <c r="W85" s="62">
        <f>LOOKUP(B85, FIXOM_VAROM!$C$8:$C$190, FIXOM_VAROM!$D$8:$D$190)</f>
        <v>0.05</v>
      </c>
      <c r="X85" s="40">
        <f>LOOKUP($B85, INVCOST!$C$8:$C$193, INVCOST!E$8:E$193)</f>
        <v>28.067</v>
      </c>
      <c r="Y85" s="40">
        <f>LOOKUP($B85, INVCOST!$C$8:$C$193, INVCOST!F$8:F$193)</f>
        <v>26.41</v>
      </c>
      <c r="Z85" s="40">
        <f>LOOKUP($B85, INVCOST!$C$8:$C$193, INVCOST!G$8:G$193)</f>
        <v>25.536000000000001</v>
      </c>
      <c r="AA85" s="40">
        <f>LOOKUP($B85, INVCOST!$C$8:$C$193, INVCOST!H$8:H$193)</f>
        <v>24.844999999999999</v>
      </c>
      <c r="AB85" s="40">
        <f>LOOKUP($B85, INVCOST!$C$8:$C$193, INVCOST!I$8:I$193)</f>
        <v>24.273</v>
      </c>
      <c r="AC85" s="40">
        <f>LOOKUP($B85, INVCOST!$C$8:$C$193, INVCOST!J$8:J$193)</f>
        <v>23.803000000000001</v>
      </c>
      <c r="AD85" s="40">
        <f>LOOKUP($B85, INVCOST!$C$8:$C$193, INVCOST!K$8:K$193)</f>
        <v>23.42</v>
      </c>
    </row>
    <row r="86" spans="1:30" s="39" customFormat="1" x14ac:dyDescent="0.3">
      <c r="B86" s="211"/>
      <c r="C86" s="211"/>
      <c r="D86" s="211"/>
      <c r="E86" s="211"/>
      <c r="F86" s="211" t="s">
        <v>304</v>
      </c>
      <c r="G86" s="309"/>
      <c r="H86" s="309"/>
      <c r="I86" s="43"/>
      <c r="J86" s="43"/>
      <c r="K86" s="42"/>
      <c r="L86" s="42"/>
      <c r="M86" s="42"/>
      <c r="N86" s="42"/>
      <c r="O86" s="166">
        <f>LOOKUP($B85, CEFF!$C$10:$C$156, CEFF!G$10:G$156)</f>
        <v>0.90908999999999995</v>
      </c>
      <c r="P86" s="166">
        <f>LOOKUP($B85, CEFF!$C$10:$C$156, CEFF!H$10:H$156)</f>
        <v>1.0101</v>
      </c>
      <c r="Q86" s="166">
        <f>LOOKUP($B85, CEFF!$C$10:$C$156, CEFF!I$10:I$156)</f>
        <v>1.11111</v>
      </c>
      <c r="R86" s="166">
        <f>LOOKUP($B85, CEFF!$C$10:$C$156, CEFF!J$10:J$156)</f>
        <v>1.2345699999999999</v>
      </c>
      <c r="S86" s="43"/>
      <c r="T86" s="43"/>
      <c r="U86" s="49"/>
      <c r="V86" s="49"/>
      <c r="W86" s="42"/>
      <c r="X86" s="41"/>
      <c r="Y86" s="41"/>
      <c r="Z86" s="41"/>
      <c r="AA86" s="41"/>
      <c r="AB86" s="41"/>
      <c r="AC86" s="41"/>
      <c r="AD86" s="41"/>
    </row>
    <row r="87" spans="1:30" s="39" customFormat="1" x14ac:dyDescent="0.3">
      <c r="B87" s="215"/>
      <c r="C87" s="215"/>
      <c r="D87" s="215"/>
      <c r="E87" s="215"/>
      <c r="F87" s="215" t="s">
        <v>303</v>
      </c>
      <c r="G87" s="311"/>
      <c r="H87" s="311"/>
      <c r="I87" s="178"/>
      <c r="J87" s="178"/>
      <c r="K87" s="179"/>
      <c r="L87" s="179"/>
      <c r="M87" s="179"/>
      <c r="N87" s="179"/>
      <c r="O87" s="264">
        <f>LOOKUP($B85, CEFF!$C$163:$C$330, CEFF!G$163:G$330)</f>
        <v>0.99009999999999998</v>
      </c>
      <c r="P87" s="264">
        <f>LOOKUP($B85, CEFF!$C$163:$C$330, CEFF!H$163:H$330)</f>
        <v>1.05263</v>
      </c>
      <c r="Q87" s="264">
        <f>LOOKUP($B85, CEFF!$C$163:$C$330, CEFF!I$163:I$330)</f>
        <v>1.1235999999999999</v>
      </c>
      <c r="R87" s="264">
        <f>LOOKUP($B85, CEFF!$C$163:$C$330, CEFF!J$163:J$330)</f>
        <v>1.19048</v>
      </c>
      <c r="S87" s="178"/>
      <c r="T87" s="178"/>
      <c r="U87" s="180"/>
      <c r="V87" s="180"/>
      <c r="W87" s="179"/>
      <c r="X87" s="181"/>
      <c r="Y87" s="181"/>
      <c r="Z87" s="181"/>
      <c r="AA87" s="181"/>
      <c r="AB87" s="181"/>
      <c r="AC87" s="181"/>
      <c r="AD87" s="181"/>
    </row>
    <row r="88" spans="1:30" s="39" customFormat="1" x14ac:dyDescent="0.3">
      <c r="I88" s="47"/>
      <c r="J88" s="47"/>
      <c r="K88" s="48"/>
      <c r="L88" s="48"/>
      <c r="M88" s="48"/>
      <c r="N88" s="48"/>
      <c r="O88" s="38"/>
      <c r="P88" s="37"/>
      <c r="Q88" s="37"/>
      <c r="R88" s="37"/>
      <c r="S88" s="36"/>
      <c r="T88" s="36"/>
      <c r="U88" s="36"/>
      <c r="V88" s="47"/>
      <c r="W88" s="38"/>
      <c r="X88" s="38"/>
      <c r="Y88" s="38"/>
      <c r="Z88" s="38"/>
      <c r="AA88" s="38"/>
      <c r="AB88" s="38"/>
      <c r="AC88" s="38"/>
      <c r="AD88" s="38"/>
    </row>
    <row r="89" spans="1:30" x14ac:dyDescent="0.3">
      <c r="W89" s="150"/>
      <c r="X89" s="149"/>
      <c r="Y89" s="149"/>
      <c r="Z89" s="149"/>
      <c r="AA89" s="149"/>
      <c r="AB89" s="149"/>
      <c r="AC89" s="149"/>
      <c r="AD89" s="149"/>
    </row>
    <row r="90" spans="1:30" x14ac:dyDescent="0.3">
      <c r="B90" s="6" t="s">
        <v>409</v>
      </c>
      <c r="C90" s="7"/>
      <c r="D90" s="8"/>
      <c r="E90" s="8"/>
      <c r="F90" s="9" t="s">
        <v>1</v>
      </c>
      <c r="G90" s="4"/>
    </row>
    <row r="91" spans="1:30" ht="27.9" customHeight="1" x14ac:dyDescent="0.3">
      <c r="B91" s="201" t="s">
        <v>2</v>
      </c>
      <c r="C91" s="201" t="s">
        <v>3</v>
      </c>
      <c r="D91" s="201" t="s">
        <v>4</v>
      </c>
      <c r="E91" s="201" t="s">
        <v>5</v>
      </c>
      <c r="F91" s="202" t="s">
        <v>6</v>
      </c>
      <c r="G91" s="202" t="s">
        <v>187</v>
      </c>
      <c r="H91" s="203" t="s">
        <v>186</v>
      </c>
      <c r="I91" s="203" t="s">
        <v>11</v>
      </c>
      <c r="J91" s="202" t="s">
        <v>12</v>
      </c>
      <c r="K91" s="203" t="str">
        <f t="shared" ref="K91:N91" si="0">K48</f>
        <v>Share~UP~2020</v>
      </c>
      <c r="L91" s="203" t="str">
        <f t="shared" si="0"/>
        <v>Share~UP~2030</v>
      </c>
      <c r="M91" s="203" t="str">
        <f t="shared" si="0"/>
        <v>Share~UP~2040</v>
      </c>
      <c r="N91" s="203" t="str">
        <f t="shared" si="0"/>
        <v>Share~UP~2050</v>
      </c>
      <c r="O91" s="203" t="s">
        <v>335</v>
      </c>
      <c r="P91" s="203" t="s">
        <v>336</v>
      </c>
      <c r="Q91" s="203" t="s">
        <v>9</v>
      </c>
      <c r="R91" s="203" t="s">
        <v>10</v>
      </c>
      <c r="S91" s="203" t="s">
        <v>465</v>
      </c>
      <c r="T91" s="203" t="s">
        <v>13</v>
      </c>
      <c r="U91" s="203" t="s">
        <v>398</v>
      </c>
      <c r="V91" s="203" t="s">
        <v>42</v>
      </c>
      <c r="W91" s="203" t="s">
        <v>14</v>
      </c>
      <c r="X91" s="203" t="s">
        <v>15</v>
      </c>
      <c r="Y91" s="203" t="s">
        <v>16</v>
      </c>
      <c r="Z91" s="203" t="s">
        <v>17</v>
      </c>
      <c r="AA91" s="203" t="s">
        <v>18</v>
      </c>
      <c r="AB91" s="203" t="s">
        <v>19</v>
      </c>
      <c r="AC91" s="203" t="s">
        <v>20</v>
      </c>
      <c r="AD91" s="203" t="s">
        <v>21</v>
      </c>
    </row>
    <row r="92" spans="1:30" ht="33.75" customHeight="1" thickBot="1" x14ac:dyDescent="0.35">
      <c r="B92" s="204" t="s">
        <v>22</v>
      </c>
      <c r="C92" s="204"/>
      <c r="D92" s="204"/>
      <c r="E92" s="204"/>
      <c r="F92" s="205" t="s">
        <v>23</v>
      </c>
      <c r="G92" s="205">
        <v>2020</v>
      </c>
      <c r="H92" s="206" t="s">
        <v>26</v>
      </c>
      <c r="I92" s="206" t="s">
        <v>560</v>
      </c>
      <c r="J92" s="206" t="s">
        <v>25</v>
      </c>
      <c r="K92" s="205"/>
      <c r="L92" s="205"/>
      <c r="M92" s="205"/>
      <c r="N92" s="205"/>
      <c r="O92" s="207" t="e">
        <f>#REF!</f>
        <v>#REF!</v>
      </c>
      <c r="P92" s="207" t="e">
        <f>O92</f>
        <v>#REF!</v>
      </c>
      <c r="Q92" s="207" t="e">
        <f>P92</f>
        <v>#REF!</v>
      </c>
      <c r="R92" s="207" t="e">
        <f>Q92</f>
        <v>#REF!</v>
      </c>
      <c r="S92" s="206" t="s">
        <v>676</v>
      </c>
      <c r="T92" s="206" t="s">
        <v>676</v>
      </c>
      <c r="U92" s="206" t="s">
        <v>676</v>
      </c>
      <c r="V92" s="208" t="s">
        <v>679</v>
      </c>
      <c r="W92" s="208" t="s">
        <v>678</v>
      </c>
      <c r="X92" s="208" t="s">
        <v>675</v>
      </c>
      <c r="Y92" s="208" t="s">
        <v>675</v>
      </c>
      <c r="Z92" s="208" t="s">
        <v>675</v>
      </c>
      <c r="AA92" s="208" t="s">
        <v>675</v>
      </c>
      <c r="AB92" s="208" t="s">
        <v>675</v>
      </c>
      <c r="AC92" s="208" t="s">
        <v>675</v>
      </c>
      <c r="AD92" s="208" t="s">
        <v>675</v>
      </c>
    </row>
    <row r="93" spans="1:30" s="39" customFormat="1" x14ac:dyDescent="0.3">
      <c r="B93" s="211" t="s">
        <v>578</v>
      </c>
      <c r="C93" s="210" t="str">
        <f>LOOKUP(B93, TRA_COMM_PRO!$C$17:$C$199, TRA_COMM_PRO!$D$17:$D$199)</f>
        <v>Car.DST.Pool.01.</v>
      </c>
      <c r="D93" s="211" t="s">
        <v>712</v>
      </c>
      <c r="E93" s="211"/>
      <c r="F93" s="211"/>
      <c r="G93" s="300">
        <f>$G$92</f>
        <v>2020</v>
      </c>
      <c r="H93" s="301">
        <v>15</v>
      </c>
      <c r="I93" s="65">
        <f>10^-3</f>
        <v>1E-3</v>
      </c>
      <c r="J93" s="41">
        <v>3</v>
      </c>
      <c r="K93" s="42"/>
      <c r="L93" s="42"/>
      <c r="M93" s="42"/>
      <c r="N93" s="42"/>
      <c r="O93" s="43"/>
      <c r="P93" s="43"/>
      <c r="Q93" s="43"/>
      <c r="R93" s="43"/>
      <c r="S93" s="40"/>
      <c r="T93" s="40"/>
      <c r="U93" s="49"/>
      <c r="V93" s="42"/>
      <c r="W93" s="62">
        <f>LOOKUP(B93, FIXOM_VAROM!$C$8:$C$190, FIXOM_VAROM!$D$8:$D$190)</f>
        <v>0.05</v>
      </c>
      <c r="X93" s="40">
        <f>LOOKUP($B93, INVCOST!$C$8:$C$193, INVCOST!E$8:E$193)</f>
        <v>21.155000000000001</v>
      </c>
      <c r="Y93" s="40">
        <f>LOOKUP($B93, INVCOST!$C$8:$C$193, INVCOST!F$8:F$193)</f>
        <v>21.132000000000001</v>
      </c>
      <c r="Z93" s="40">
        <f>LOOKUP($B93, INVCOST!$C$8:$C$193, INVCOST!G$8:G$193)</f>
        <v>21.117999999999999</v>
      </c>
      <c r="AA93" s="40">
        <f>LOOKUP($B93, INVCOST!$C$8:$C$193, INVCOST!H$8:H$193)</f>
        <v>21.108000000000001</v>
      </c>
      <c r="AB93" s="40">
        <f>LOOKUP($B93, INVCOST!$C$8:$C$193, INVCOST!I$8:I$193)</f>
        <v>21.1</v>
      </c>
      <c r="AC93" s="40">
        <f>LOOKUP($B93, INVCOST!$C$8:$C$193, INVCOST!J$8:J$193)</f>
        <v>21.093</v>
      </c>
      <c r="AD93" s="40">
        <f>LOOKUP($B93, INVCOST!$C$8:$C$193, INVCOST!K$8:K$193)</f>
        <v>21.088000000000001</v>
      </c>
    </row>
    <row r="94" spans="1:30" s="39" customFormat="1" x14ac:dyDescent="0.3">
      <c r="B94" s="211"/>
      <c r="C94" s="211"/>
      <c r="D94" s="211"/>
      <c r="E94" s="211"/>
      <c r="F94" s="211" t="s">
        <v>459</v>
      </c>
      <c r="G94" s="302"/>
      <c r="H94" s="301"/>
      <c r="I94" s="41"/>
      <c r="J94" s="41"/>
      <c r="K94" s="42"/>
      <c r="L94" s="42"/>
      <c r="M94" s="42"/>
      <c r="N94" s="42"/>
      <c r="O94" s="166">
        <f>LOOKUP($B93, CEFF!$C$10:$C$156, CEFF!G$10:G$156)</f>
        <v>0.61350000000000005</v>
      </c>
      <c r="P94" s="166">
        <f>LOOKUP($B93, CEFF!$C$10:$C$156, CEFF!H$10:H$156)</f>
        <v>0.64515999999999996</v>
      </c>
      <c r="Q94" s="166">
        <f>LOOKUP($B93, CEFF!$C$10:$C$156, CEFF!I$10:I$156)</f>
        <v>0.68027000000000004</v>
      </c>
      <c r="R94" s="166">
        <f>LOOKUP($B93, CEFF!$C$10:$C$156, CEFF!J$10:J$156)</f>
        <v>0.71428999999999998</v>
      </c>
      <c r="S94" s="40"/>
      <c r="T94" s="40"/>
      <c r="U94" s="49"/>
      <c r="V94" s="41"/>
      <c r="W94" s="60"/>
      <c r="X94" s="40"/>
      <c r="Y94" s="40"/>
      <c r="Z94" s="40"/>
      <c r="AA94" s="40"/>
      <c r="AB94" s="40"/>
      <c r="AC94" s="40"/>
      <c r="AD94" s="40"/>
    </row>
    <row r="95" spans="1:30" s="39" customFormat="1" x14ac:dyDescent="0.3">
      <c r="B95" s="212"/>
      <c r="C95" s="212"/>
      <c r="D95" s="212"/>
      <c r="E95" s="212"/>
      <c r="F95" s="212" t="s">
        <v>472</v>
      </c>
      <c r="G95" s="303"/>
      <c r="H95" s="304"/>
      <c r="I95" s="46"/>
      <c r="J95" s="46"/>
      <c r="K95" s="44"/>
      <c r="L95" s="44"/>
      <c r="M95" s="44"/>
      <c r="N95" s="44"/>
      <c r="O95" s="261">
        <f>LOOKUP($B93, CEFF!$C$163:$C$330, CEFF!G$163:G$330)</f>
        <v>0.53763000000000005</v>
      </c>
      <c r="P95" s="261">
        <f>LOOKUP($B93, CEFF!$C$163:$C$330, CEFF!H$163:H$330)</f>
        <v>0.56496999999999997</v>
      </c>
      <c r="Q95" s="261">
        <f>LOOKUP($B93, CEFF!$C$163:$C$330, CEFF!I$163:I$330)</f>
        <v>0.59523999999999999</v>
      </c>
      <c r="R95" s="261">
        <f>LOOKUP($B93, CEFF!$C$163:$C$330, CEFF!J$163:J$330)</f>
        <v>0.625</v>
      </c>
      <c r="S95" s="45"/>
      <c r="T95" s="45"/>
      <c r="U95" s="53"/>
      <c r="V95" s="46"/>
      <c r="W95" s="60"/>
      <c r="X95" s="45"/>
      <c r="Y95" s="45"/>
      <c r="Z95" s="45"/>
      <c r="AA95" s="45"/>
      <c r="AB95" s="45"/>
      <c r="AC95" s="45"/>
      <c r="AD95" s="45"/>
    </row>
    <row r="96" spans="1:30" s="39" customFormat="1" x14ac:dyDescent="0.3">
      <c r="B96" s="214" t="s">
        <v>579</v>
      </c>
      <c r="C96" s="214" t="str">
        <f ca="1">LOOKUP(B96, TRA_COMM_PRO!$C$17:$C$199, TRA_COMM_PRO!$D$17:D254)</f>
        <v>Car.ELC.Pool.01.</v>
      </c>
      <c r="D96" s="214" t="s">
        <v>27</v>
      </c>
      <c r="E96" s="214"/>
      <c r="F96" s="214"/>
      <c r="G96" s="300">
        <f>$G$92</f>
        <v>2020</v>
      </c>
      <c r="H96" s="312">
        <v>10</v>
      </c>
      <c r="I96" s="157">
        <f>$I$93</f>
        <v>1E-3</v>
      </c>
      <c r="J96" s="41">
        <f>$J$93</f>
        <v>3</v>
      </c>
      <c r="K96" s="56"/>
      <c r="L96" s="56"/>
      <c r="M96" s="56"/>
      <c r="N96" s="56"/>
      <c r="O96" s="262"/>
      <c r="P96" s="262"/>
      <c r="Q96" s="262"/>
      <c r="R96" s="262"/>
      <c r="S96" s="40"/>
      <c r="T96" s="40"/>
      <c r="U96" s="49"/>
      <c r="V96" s="56"/>
      <c r="W96" s="62">
        <f>LOOKUP(B96, FIXOM_VAROM!$C$8:$C$190, FIXOM_VAROM!$D$8:$D$190)</f>
        <v>0.03</v>
      </c>
      <c r="X96" s="40">
        <f>LOOKUP($B96, INVCOST!$C$8:$C$193, INVCOST!E$8:E$193)</f>
        <v>35.389000000000003</v>
      </c>
      <c r="Y96" s="40">
        <f>LOOKUP($B96, INVCOST!$C$8:$C$193, INVCOST!F$8:F$193)</f>
        <v>31.187999999999999</v>
      </c>
      <c r="Z96" s="40">
        <f>LOOKUP($B96, INVCOST!$C$8:$C$193, INVCOST!G$8:G$193)</f>
        <v>29.695</v>
      </c>
      <c r="AA96" s="40">
        <f>LOOKUP($B96, INVCOST!$C$8:$C$193, INVCOST!H$8:H$193)</f>
        <v>28.536999999999999</v>
      </c>
      <c r="AB96" s="40">
        <f>LOOKUP($B96, INVCOST!$C$8:$C$193, INVCOST!I$8:I$193)</f>
        <v>27.753</v>
      </c>
      <c r="AC96" s="40">
        <f>LOOKUP($B96, INVCOST!$C$8:$C$193, INVCOST!J$8:J$193)</f>
        <v>27.114000000000001</v>
      </c>
      <c r="AD96" s="40">
        <f>LOOKUP($B96, INVCOST!$C$8:$C$193, INVCOST!K$8:K$193)</f>
        <v>26.594000000000001</v>
      </c>
    </row>
    <row r="97" spans="2:30" s="39" customFormat="1" x14ac:dyDescent="0.3">
      <c r="B97" s="211"/>
      <c r="C97" s="211"/>
      <c r="D97" s="211"/>
      <c r="E97" s="211"/>
      <c r="F97" s="211" t="s">
        <v>459</v>
      </c>
      <c r="G97" s="302"/>
      <c r="H97" s="302"/>
      <c r="I97" s="41"/>
      <c r="J97" s="41"/>
      <c r="K97" s="42"/>
      <c r="L97" s="42"/>
      <c r="M97" s="42"/>
      <c r="N97" s="42"/>
      <c r="O97" s="166">
        <f>LOOKUP($B96, CEFF!$C$10:$C$156, CEFF!G$10:G$156)</f>
        <v>1.2987</v>
      </c>
      <c r="P97" s="166">
        <f>LOOKUP($B96, CEFF!$C$10:$C$156, CEFF!H$10:H$156)</f>
        <v>1.3698600000000001</v>
      </c>
      <c r="Q97" s="166">
        <f>LOOKUP($B96, CEFF!$C$10:$C$156, CEFF!I$10:I$156)</f>
        <v>1.4285699999999999</v>
      </c>
      <c r="R97" s="166">
        <f>LOOKUP($B96, CEFF!$C$10:$C$156, CEFF!J$10:J$156)</f>
        <v>1.51515</v>
      </c>
      <c r="S97" s="40"/>
      <c r="T97" s="40"/>
      <c r="U97" s="49"/>
      <c r="V97" s="41"/>
      <c r="W97" s="60"/>
      <c r="X97" s="40"/>
      <c r="Y97" s="40"/>
      <c r="Z97" s="40"/>
      <c r="AA97" s="40"/>
      <c r="AB97" s="40"/>
      <c r="AC97" s="40"/>
      <c r="AD97" s="40"/>
    </row>
    <row r="98" spans="2:30" s="39" customFormat="1" x14ac:dyDescent="0.3">
      <c r="B98" s="211"/>
      <c r="C98" s="211"/>
      <c r="D98" s="211"/>
      <c r="E98" s="211"/>
      <c r="F98" s="212" t="s">
        <v>472</v>
      </c>
      <c r="G98" s="303"/>
      <c r="H98" s="301"/>
      <c r="I98" s="41"/>
      <c r="J98" s="46"/>
      <c r="K98" s="42"/>
      <c r="L98" s="42"/>
      <c r="M98" s="42"/>
      <c r="N98" s="42"/>
      <c r="O98" s="261">
        <f>LOOKUP($B96, CEFF!$C$163:$C$330, CEFF!G$163:G$330)</f>
        <v>1.6129</v>
      </c>
      <c r="P98" s="261">
        <f>LOOKUP($B96, CEFF!$C$163:$C$330, CEFF!H$163:H$330)</f>
        <v>1.69492</v>
      </c>
      <c r="Q98" s="261">
        <f>LOOKUP($B96, CEFF!$C$163:$C$330, CEFF!I$163:I$330)</f>
        <v>1.7857099999999999</v>
      </c>
      <c r="R98" s="261">
        <f>LOOKUP($B96, CEFF!$C$163:$C$330, CEFF!J$163:J$330)</f>
        <v>1.88679</v>
      </c>
      <c r="S98" s="45"/>
      <c r="T98" s="45"/>
      <c r="U98" s="53"/>
      <c r="V98" s="41"/>
      <c r="W98" s="60"/>
      <c r="X98" s="45"/>
      <c r="Y98" s="45"/>
      <c r="Z98" s="45"/>
      <c r="AA98" s="45"/>
      <c r="AB98" s="45"/>
      <c r="AC98" s="45"/>
      <c r="AD98" s="45"/>
    </row>
    <row r="99" spans="2:30" s="39" customFormat="1" x14ac:dyDescent="0.3">
      <c r="B99" s="214" t="s">
        <v>580</v>
      </c>
      <c r="C99" s="214" t="str">
        <f ca="1">LOOKUP(B99, TRA_COMM_PRO!$C$17:$C$199, TRA_COMM_PRO!$D$17:D257)</f>
        <v>Car.ETH.Pool.01.</v>
      </c>
      <c r="D99" s="214" t="s">
        <v>51</v>
      </c>
      <c r="E99" s="214"/>
      <c r="F99" s="214"/>
      <c r="G99" s="300">
        <f>$G$92</f>
        <v>2020</v>
      </c>
      <c r="H99" s="312">
        <f>$H$93</f>
        <v>15</v>
      </c>
      <c r="I99" s="157">
        <f>$I$93</f>
        <v>1E-3</v>
      </c>
      <c r="J99" s="41">
        <f>$J$93</f>
        <v>3</v>
      </c>
      <c r="K99" s="56"/>
      <c r="L99" s="56"/>
      <c r="M99" s="56"/>
      <c r="N99" s="56"/>
      <c r="O99" s="262"/>
      <c r="P99" s="262"/>
      <c r="Q99" s="262"/>
      <c r="R99" s="262"/>
      <c r="S99" s="40"/>
      <c r="T99" s="40"/>
      <c r="U99" s="49"/>
      <c r="V99" s="56"/>
      <c r="W99" s="62">
        <f>LOOKUP(B99, FIXOM_VAROM!$C$8:$C$190, FIXOM_VAROM!$D$8:$D$190)</f>
        <v>0.05</v>
      </c>
      <c r="X99" s="40">
        <f>LOOKUP($B99, INVCOST!$C$8:$C$193, INVCOST!E$8:E$193)</f>
        <v>20.424600000000002</v>
      </c>
      <c r="Y99" s="40">
        <f>LOOKUP($B99, INVCOST!$C$8:$C$193, INVCOST!F$8:F$193)</f>
        <v>20.401500000000002</v>
      </c>
      <c r="Z99" s="40">
        <f>LOOKUP($B99, INVCOST!$C$8:$C$193, INVCOST!G$8:G$193)</f>
        <v>20.385750000000002</v>
      </c>
      <c r="AA99" s="40">
        <f>LOOKUP($B99, INVCOST!$C$8:$C$193, INVCOST!H$8:H$193)</f>
        <v>20.373149999999999</v>
      </c>
      <c r="AB99" s="40">
        <f>LOOKUP($B99, INVCOST!$C$8:$C$193, INVCOST!I$8:I$193)</f>
        <v>20.362650000000002</v>
      </c>
      <c r="AC99" s="40">
        <f>LOOKUP($B99, INVCOST!$C$8:$C$193, INVCOST!J$8:J$193)</f>
        <v>20.354250000000004</v>
      </c>
      <c r="AD99" s="40">
        <f>LOOKUP($B99, INVCOST!$C$8:$C$193, INVCOST!K$8:K$193)</f>
        <v>20.346900000000002</v>
      </c>
    </row>
    <row r="100" spans="2:30" s="39" customFormat="1" x14ac:dyDescent="0.3">
      <c r="B100" s="211"/>
      <c r="C100" s="211"/>
      <c r="D100" s="211" t="s">
        <v>39</v>
      </c>
      <c r="E100" s="211"/>
      <c r="F100" s="211"/>
      <c r="G100" s="302"/>
      <c r="H100" s="301"/>
      <c r="I100" s="41"/>
      <c r="J100" s="41"/>
      <c r="K100" s="42">
        <v>0.15</v>
      </c>
      <c r="L100" s="42">
        <v>0.15</v>
      </c>
      <c r="M100" s="42">
        <v>0.15</v>
      </c>
      <c r="N100" s="42">
        <v>0.15</v>
      </c>
      <c r="O100" s="166"/>
      <c r="P100" s="166"/>
      <c r="Q100" s="166"/>
      <c r="R100" s="166"/>
      <c r="S100" s="40"/>
      <c r="T100" s="40"/>
      <c r="U100" s="49"/>
      <c r="V100" s="41"/>
      <c r="W100" s="60"/>
      <c r="X100" s="40"/>
      <c r="Y100" s="40"/>
      <c r="Z100" s="40"/>
      <c r="AA100" s="40"/>
      <c r="AB100" s="40"/>
      <c r="AC100" s="40"/>
      <c r="AD100" s="40"/>
    </row>
    <row r="101" spans="2:30" s="39" customFormat="1" x14ac:dyDescent="0.3">
      <c r="B101" s="211"/>
      <c r="C101" s="211"/>
      <c r="D101" s="211"/>
      <c r="E101" s="211"/>
      <c r="F101" s="211" t="s">
        <v>459</v>
      </c>
      <c r="G101" s="302"/>
      <c r="H101" s="301"/>
      <c r="I101" s="41"/>
      <c r="J101" s="41"/>
      <c r="K101" s="42"/>
      <c r="L101" s="42"/>
      <c r="M101" s="42"/>
      <c r="N101" s="42"/>
      <c r="O101" s="166">
        <f>LOOKUP($B99, CEFF!$C$10:$C$156, CEFF!G$10:G$156)</f>
        <v>0.55249000000000004</v>
      </c>
      <c r="P101" s="166">
        <f>LOOKUP($B99, CEFF!$C$10:$C$156, CEFF!H$10:H$156)</f>
        <v>0.58140000000000003</v>
      </c>
      <c r="Q101" s="166">
        <f>LOOKUP($B99, CEFF!$C$10:$C$156, CEFF!I$10:I$156)</f>
        <v>0.61350000000000005</v>
      </c>
      <c r="R101" s="166">
        <f>LOOKUP($B99, CEFF!$C$10:$C$156, CEFF!J$10:J$156)</f>
        <v>0.64515999999999996</v>
      </c>
      <c r="S101" s="40"/>
      <c r="T101" s="40"/>
      <c r="U101" s="49"/>
      <c r="V101" s="42"/>
      <c r="W101" s="60"/>
      <c r="X101" s="40"/>
      <c r="Y101" s="40"/>
      <c r="Z101" s="40"/>
      <c r="AA101" s="40"/>
      <c r="AB101" s="40"/>
      <c r="AC101" s="40"/>
      <c r="AD101" s="40"/>
    </row>
    <row r="102" spans="2:30" s="39" customFormat="1" x14ac:dyDescent="0.3">
      <c r="B102" s="211"/>
      <c r="C102" s="211"/>
      <c r="D102" s="211"/>
      <c r="E102" s="211"/>
      <c r="F102" s="212" t="s">
        <v>472</v>
      </c>
      <c r="G102" s="303"/>
      <c r="H102" s="301"/>
      <c r="I102" s="41"/>
      <c r="J102" s="46"/>
      <c r="K102" s="42"/>
      <c r="L102" s="42"/>
      <c r="M102" s="42"/>
      <c r="N102" s="42"/>
      <c r="O102" s="261">
        <f>LOOKUP($B99, CEFF!$C$163:$C$330, CEFF!G$163:G$330)</f>
        <v>0.45455000000000001</v>
      </c>
      <c r="P102" s="261">
        <f>LOOKUP($B99, CEFF!$C$163:$C$330, CEFF!H$163:H$330)</f>
        <v>0.47847000000000001</v>
      </c>
      <c r="Q102" s="261">
        <f>LOOKUP($B99, CEFF!$C$163:$C$330, CEFF!I$163:I$330)</f>
        <v>0.50251000000000001</v>
      </c>
      <c r="R102" s="261">
        <f>LOOKUP($B99, CEFF!$C$163:$C$330, CEFF!J$163:J$330)</f>
        <v>0.52910000000000001</v>
      </c>
      <c r="S102" s="45"/>
      <c r="T102" s="45"/>
      <c r="U102" s="53"/>
      <c r="V102" s="42"/>
      <c r="W102" s="60"/>
      <c r="X102" s="45"/>
      <c r="Y102" s="45"/>
      <c r="Z102" s="45"/>
      <c r="AA102" s="45"/>
      <c r="AB102" s="45"/>
      <c r="AC102" s="45"/>
      <c r="AD102" s="45"/>
    </row>
    <row r="103" spans="2:30" s="39" customFormat="1" x14ac:dyDescent="0.3">
      <c r="B103" s="214" t="s">
        <v>581</v>
      </c>
      <c r="C103" s="214" t="str">
        <f ca="1">LOOKUP(B103, TRA_COMM_PRO!$C$17:$C$199, TRA_COMM_PRO!$D$17:D261)</f>
        <v>Car.GAS.Pool.01.</v>
      </c>
      <c r="D103" s="214" t="s">
        <v>39</v>
      </c>
      <c r="E103" s="214"/>
      <c r="F103" s="214"/>
      <c r="G103" s="300">
        <f>$G$92</f>
        <v>2020</v>
      </c>
      <c r="H103" s="312">
        <f>$H$93</f>
        <v>15</v>
      </c>
      <c r="I103" s="157">
        <f>$I$93</f>
        <v>1E-3</v>
      </c>
      <c r="J103" s="41">
        <f>$J$93</f>
        <v>3</v>
      </c>
      <c r="K103" s="56">
        <v>0.05</v>
      </c>
      <c r="L103" s="56">
        <v>0.05</v>
      </c>
      <c r="M103" s="56">
        <v>0.05</v>
      </c>
      <c r="N103" s="56">
        <v>0.05</v>
      </c>
      <c r="O103" s="262"/>
      <c r="P103" s="262"/>
      <c r="Q103" s="262"/>
      <c r="R103" s="262"/>
      <c r="S103" s="40"/>
      <c r="T103" s="40"/>
      <c r="U103" s="49"/>
      <c r="V103" s="55"/>
      <c r="W103" s="62">
        <f>LOOKUP(B103, FIXOM_VAROM!$C$8:$C$190, FIXOM_VAROM!$D$8:$D$190)</f>
        <v>0.05</v>
      </c>
      <c r="X103" s="40">
        <f>LOOKUP($B103, INVCOST!$C$8:$C$193, INVCOST!E$8:E$193)</f>
        <v>20.424600000000002</v>
      </c>
      <c r="Y103" s="40">
        <f>LOOKUP($B103, INVCOST!$C$8:$C$193, INVCOST!F$8:F$193)</f>
        <v>20.401500000000002</v>
      </c>
      <c r="Z103" s="40">
        <f>LOOKUP($B103, INVCOST!$C$8:$C$193, INVCOST!G$8:G$193)</f>
        <v>20.385750000000002</v>
      </c>
      <c r="AA103" s="40">
        <f>LOOKUP($B103, INVCOST!$C$8:$C$193, INVCOST!H$8:H$193)</f>
        <v>20.373149999999999</v>
      </c>
      <c r="AB103" s="40">
        <f>LOOKUP($B103, INVCOST!$C$8:$C$193, INVCOST!I$8:I$193)</f>
        <v>20.362650000000002</v>
      </c>
      <c r="AC103" s="40">
        <f>LOOKUP($B103, INVCOST!$C$8:$C$193, INVCOST!J$8:J$193)</f>
        <v>20.354250000000004</v>
      </c>
      <c r="AD103" s="40">
        <f>LOOKUP($B103, INVCOST!$C$8:$C$193, INVCOST!K$8:K$193)</f>
        <v>20.346900000000002</v>
      </c>
    </row>
    <row r="104" spans="2:30" s="39" customFormat="1" x14ac:dyDescent="0.3">
      <c r="B104" s="211"/>
      <c r="C104" s="211"/>
      <c r="D104" s="211" t="s">
        <v>715</v>
      </c>
      <c r="E104" s="211"/>
      <c r="F104" s="211"/>
      <c r="G104" s="302"/>
      <c r="H104" s="301"/>
      <c r="I104" s="41"/>
      <c r="J104" s="41"/>
      <c r="K104" s="42"/>
      <c r="L104" s="42"/>
      <c r="M104" s="42"/>
      <c r="N104" s="42"/>
      <c r="O104" s="166"/>
      <c r="P104" s="166"/>
      <c r="Q104" s="166"/>
      <c r="R104" s="166"/>
      <c r="S104" s="40"/>
      <c r="T104" s="40"/>
      <c r="U104" s="49"/>
      <c r="V104" s="41"/>
      <c r="W104" s="60"/>
      <c r="X104" s="40"/>
      <c r="Y104" s="40"/>
      <c r="Z104" s="40"/>
      <c r="AA104" s="40"/>
      <c r="AB104" s="40"/>
      <c r="AC104" s="40"/>
      <c r="AD104" s="40"/>
    </row>
    <row r="105" spans="2:30" s="39" customFormat="1" x14ac:dyDescent="0.3">
      <c r="B105" s="211"/>
      <c r="C105" s="211"/>
      <c r="D105" s="211"/>
      <c r="E105" s="211"/>
      <c r="F105" s="211" t="s">
        <v>459</v>
      </c>
      <c r="G105" s="302"/>
      <c r="H105" s="301"/>
      <c r="I105" s="41"/>
      <c r="J105" s="41"/>
      <c r="K105" s="42"/>
      <c r="L105" s="42"/>
      <c r="M105" s="42"/>
      <c r="N105" s="42"/>
      <c r="O105" s="166">
        <f>LOOKUP($B103, CEFF!$C$10:$C$156, CEFF!G$10:G$156)</f>
        <v>0.55249000000000004</v>
      </c>
      <c r="P105" s="166">
        <f>LOOKUP($B103, CEFF!$C$10:$C$156, CEFF!H$10:H$156)</f>
        <v>0.58140000000000003</v>
      </c>
      <c r="Q105" s="166">
        <f>LOOKUP($B103, CEFF!$C$10:$C$156, CEFF!I$10:I$156)</f>
        <v>0.61350000000000005</v>
      </c>
      <c r="R105" s="166">
        <f>LOOKUP($B103, CEFF!$C$10:$C$156, CEFF!J$10:J$156)</f>
        <v>0.64515999999999996</v>
      </c>
      <c r="S105" s="40"/>
      <c r="T105" s="40"/>
      <c r="U105" s="49"/>
      <c r="V105" s="42"/>
      <c r="W105" s="60"/>
      <c r="X105" s="40"/>
      <c r="Y105" s="40"/>
      <c r="Z105" s="40"/>
      <c r="AA105" s="40"/>
      <c r="AB105" s="40"/>
      <c r="AC105" s="40"/>
      <c r="AD105" s="40"/>
    </row>
    <row r="106" spans="2:30" s="39" customFormat="1" x14ac:dyDescent="0.3">
      <c r="B106" s="211"/>
      <c r="C106" s="211"/>
      <c r="D106" s="211"/>
      <c r="E106" s="211"/>
      <c r="F106" s="212" t="s">
        <v>472</v>
      </c>
      <c r="G106" s="303"/>
      <c r="H106" s="301"/>
      <c r="I106" s="41"/>
      <c r="J106" s="46"/>
      <c r="K106" s="42"/>
      <c r="L106" s="42"/>
      <c r="M106" s="42"/>
      <c r="N106" s="42"/>
      <c r="O106" s="261">
        <f>LOOKUP($B103, CEFF!$C$163:$C$330, CEFF!G$163:G$330)</f>
        <v>0.45455000000000001</v>
      </c>
      <c r="P106" s="261">
        <f>LOOKUP($B103, CEFF!$C$163:$C$330, CEFF!H$163:H$330)</f>
        <v>0.47847000000000001</v>
      </c>
      <c r="Q106" s="261">
        <f>LOOKUP($B103, CEFF!$C$163:$C$330, CEFF!I$163:I$330)</f>
        <v>0.50251000000000001</v>
      </c>
      <c r="R106" s="261">
        <f>LOOKUP($B103, CEFF!$C$163:$C$330, CEFF!J$163:J$330)</f>
        <v>0.52910000000000001</v>
      </c>
      <c r="S106" s="45"/>
      <c r="T106" s="45"/>
      <c r="U106" s="53"/>
      <c r="V106" s="42"/>
      <c r="W106" s="60"/>
      <c r="X106" s="45"/>
      <c r="Y106" s="45"/>
      <c r="Z106" s="45"/>
      <c r="AA106" s="45"/>
      <c r="AB106" s="45"/>
      <c r="AC106" s="45"/>
      <c r="AD106" s="45"/>
    </row>
    <row r="107" spans="2:30" s="39" customFormat="1" x14ac:dyDescent="0.3">
      <c r="B107" s="214" t="s">
        <v>582</v>
      </c>
      <c r="C107" s="214" t="str">
        <f ca="1">LOOKUP(B107, TRA_COMM_PRO!$C$17:$C$199, TRA_COMM_PRO!$D$17:D270)</f>
        <v>Car.GSL.Pool.01.</v>
      </c>
      <c r="D107" s="214" t="s">
        <v>713</v>
      </c>
      <c r="E107" s="214"/>
      <c r="F107" s="214"/>
      <c r="G107" s="300">
        <f>$G$92</f>
        <v>2020</v>
      </c>
      <c r="H107" s="312">
        <f>$H$93</f>
        <v>15</v>
      </c>
      <c r="I107" s="157">
        <f>$I$93</f>
        <v>1E-3</v>
      </c>
      <c r="J107" s="41">
        <f>$J$93</f>
        <v>3</v>
      </c>
      <c r="K107" s="56"/>
      <c r="L107" s="56"/>
      <c r="M107" s="56"/>
      <c r="N107" s="56"/>
      <c r="O107" s="262"/>
      <c r="P107" s="262"/>
      <c r="Q107" s="262"/>
      <c r="R107" s="262"/>
      <c r="S107" s="40"/>
      <c r="T107" s="40"/>
      <c r="U107" s="49"/>
      <c r="V107" s="56"/>
      <c r="W107" s="62">
        <f>LOOKUP(B107, FIXOM_VAROM!$C$8:$C$190, FIXOM_VAROM!$D$8:$D$190)</f>
        <v>0.05</v>
      </c>
      <c r="X107" s="40">
        <f>LOOKUP($B107, INVCOST!$C$8:$C$193, INVCOST!E$8:E$193)</f>
        <v>19.452000000000002</v>
      </c>
      <c r="Y107" s="40">
        <f>LOOKUP($B107, INVCOST!$C$8:$C$193, INVCOST!F$8:F$193)</f>
        <v>19.43</v>
      </c>
      <c r="Z107" s="40">
        <f>LOOKUP($B107, INVCOST!$C$8:$C$193, INVCOST!G$8:G$193)</f>
        <v>19.414999999999999</v>
      </c>
      <c r="AA107" s="40">
        <f>LOOKUP($B107, INVCOST!$C$8:$C$193, INVCOST!H$8:H$193)</f>
        <v>19.402999999999999</v>
      </c>
      <c r="AB107" s="40">
        <f>LOOKUP($B107, INVCOST!$C$8:$C$193, INVCOST!I$8:I$193)</f>
        <v>19.393000000000001</v>
      </c>
      <c r="AC107" s="40">
        <f>LOOKUP($B107, INVCOST!$C$8:$C$193, INVCOST!J$8:J$193)</f>
        <v>19.385000000000002</v>
      </c>
      <c r="AD107" s="40">
        <f>LOOKUP($B107, INVCOST!$C$8:$C$193, INVCOST!K$8:K$193)</f>
        <v>19.378</v>
      </c>
    </row>
    <row r="108" spans="2:30" s="39" customFormat="1" x14ac:dyDescent="0.3">
      <c r="B108" s="211"/>
      <c r="C108" s="211"/>
      <c r="D108" s="211"/>
      <c r="E108" s="211"/>
      <c r="F108" s="211" t="s">
        <v>459</v>
      </c>
      <c r="G108" s="302"/>
      <c r="H108" s="301"/>
      <c r="I108" s="41"/>
      <c r="J108" s="41"/>
      <c r="K108" s="42"/>
      <c r="L108" s="42"/>
      <c r="M108" s="42"/>
      <c r="N108" s="42"/>
      <c r="O108" s="166">
        <f>LOOKUP($B107, CEFF!$C$10:$C$156, CEFF!G$10:G$156)</f>
        <v>0.55249000000000004</v>
      </c>
      <c r="P108" s="166">
        <f>LOOKUP($B107, CEFF!$C$10:$C$156, CEFF!H$10:H$156)</f>
        <v>0.58140000000000003</v>
      </c>
      <c r="Q108" s="166">
        <f>LOOKUP($B107, CEFF!$C$10:$C$156, CEFF!I$10:I$156)</f>
        <v>0.61350000000000005</v>
      </c>
      <c r="R108" s="166">
        <f>LOOKUP($B107, CEFF!$C$10:$C$156, CEFF!J$10:J$156)</f>
        <v>0.64515999999999996</v>
      </c>
      <c r="S108" s="40"/>
      <c r="T108" s="40"/>
      <c r="U108" s="49"/>
      <c r="V108" s="41"/>
      <c r="W108" s="60"/>
      <c r="X108" s="40"/>
      <c r="Y108" s="40"/>
      <c r="Z108" s="40"/>
      <c r="AA108" s="40"/>
      <c r="AB108" s="40"/>
      <c r="AC108" s="40"/>
      <c r="AD108" s="40"/>
    </row>
    <row r="109" spans="2:30" s="39" customFormat="1" x14ac:dyDescent="0.3">
      <c r="B109" s="212"/>
      <c r="C109" s="212"/>
      <c r="D109" s="212"/>
      <c r="E109" s="212"/>
      <c r="F109" s="212" t="s">
        <v>472</v>
      </c>
      <c r="G109" s="303"/>
      <c r="H109" s="301"/>
      <c r="I109" s="41"/>
      <c r="J109" s="46"/>
      <c r="K109" s="42"/>
      <c r="L109" s="42"/>
      <c r="M109" s="42"/>
      <c r="N109" s="42"/>
      <c r="O109" s="261">
        <f>LOOKUP($B107, CEFF!$C$163:$C$330, CEFF!G$163:G$330)</f>
        <v>0.45455000000000001</v>
      </c>
      <c r="P109" s="261">
        <f>LOOKUP($B107, CEFF!$C$163:$C$330, CEFF!H$163:H$330)</f>
        <v>0.47847000000000001</v>
      </c>
      <c r="Q109" s="261">
        <f>LOOKUP($B107, CEFF!$C$163:$C$330, CEFF!I$163:I$330)</f>
        <v>0.50251000000000001</v>
      </c>
      <c r="R109" s="261">
        <f>LOOKUP($B107, CEFF!$C$163:$C$330, CEFF!J$163:J$330)</f>
        <v>0.52910000000000001</v>
      </c>
      <c r="S109" s="45"/>
      <c r="T109" s="45"/>
      <c r="U109" s="53"/>
      <c r="V109" s="41"/>
      <c r="W109" s="60"/>
      <c r="X109" s="45"/>
      <c r="Y109" s="45"/>
      <c r="Z109" s="45"/>
      <c r="AA109" s="45"/>
      <c r="AB109" s="45"/>
      <c r="AC109" s="45"/>
      <c r="AD109" s="45"/>
    </row>
    <row r="110" spans="2:30" s="39" customFormat="1" x14ac:dyDescent="0.3">
      <c r="B110" s="211" t="s">
        <v>583</v>
      </c>
      <c r="C110" s="214" t="str">
        <f ca="1">LOOKUP(B110, TRA_COMM_PRO!$C$17:$C$199, TRA_COMM_PRO!$D$17:D278)</f>
        <v>Car.H2G.Pool.01.</v>
      </c>
      <c r="D110" s="211" t="s">
        <v>57</v>
      </c>
      <c r="E110" s="211"/>
      <c r="F110" s="211"/>
      <c r="G110" s="300">
        <f>G67</f>
        <v>2020</v>
      </c>
      <c r="H110" s="312">
        <f>$H$93</f>
        <v>15</v>
      </c>
      <c r="I110" s="157">
        <f>$I$93</f>
        <v>1E-3</v>
      </c>
      <c r="J110" s="41">
        <f>$J$93</f>
        <v>3</v>
      </c>
      <c r="K110" s="56"/>
      <c r="L110" s="56"/>
      <c r="M110" s="56"/>
      <c r="N110" s="56"/>
      <c r="O110" s="262"/>
      <c r="P110" s="262"/>
      <c r="Q110" s="262"/>
      <c r="R110" s="262"/>
      <c r="S110" s="40"/>
      <c r="T110" s="40"/>
      <c r="U110" s="49"/>
      <c r="V110" s="56"/>
      <c r="W110" s="62">
        <f>LOOKUP(B110, FIXOM_VAROM!$C$8:$C$190, FIXOM_VAROM!$D$8:$D$190)</f>
        <v>0.03</v>
      </c>
      <c r="X110" s="40">
        <f>LOOKUP($B110, INVCOST!$C$8:$C$193, INVCOST!E$8:E$193)</f>
        <v>33.204999999999998</v>
      </c>
      <c r="Y110" s="40">
        <f>LOOKUP($B110, INVCOST!$C$8:$C$193, INVCOST!F$8:F$193)</f>
        <v>30.501000000000001</v>
      </c>
      <c r="Z110" s="40">
        <f>LOOKUP($B110, INVCOST!$C$8:$C$193, INVCOST!G$8:G$193)</f>
        <v>29.122</v>
      </c>
      <c r="AA110" s="40">
        <f>LOOKUP($B110, INVCOST!$C$8:$C$193, INVCOST!H$8:H$193)</f>
        <v>28.056000000000001</v>
      </c>
      <c r="AB110" s="40">
        <f>LOOKUP($B110, INVCOST!$C$8:$C$193, INVCOST!I$8:I$193)</f>
        <v>27.158999999999999</v>
      </c>
      <c r="AC110" s="40">
        <f>LOOKUP($B110, INVCOST!$C$8:$C$193, INVCOST!J$8:J$193)</f>
        <v>26.395</v>
      </c>
      <c r="AD110" s="40">
        <f>LOOKUP($B110, INVCOST!$C$8:$C$193, INVCOST!K$8:K$193)</f>
        <v>25.727</v>
      </c>
    </row>
    <row r="111" spans="2:30" s="39" customFormat="1" x14ac:dyDescent="0.3">
      <c r="B111" s="211"/>
      <c r="C111" s="211"/>
      <c r="D111" s="211"/>
      <c r="E111" s="211"/>
      <c r="F111" s="211" t="s">
        <v>459</v>
      </c>
      <c r="G111" s="302"/>
      <c r="H111" s="301"/>
      <c r="I111" s="41"/>
      <c r="J111" s="41"/>
      <c r="K111" s="42"/>
      <c r="L111" s="42"/>
      <c r="M111" s="42"/>
      <c r="N111" s="42"/>
      <c r="O111" s="166">
        <f>LOOKUP($B110, CEFF!$C$10:$C$156, CEFF!G$10:G$156)</f>
        <v>0.98038999999999998</v>
      </c>
      <c r="P111" s="166">
        <f>LOOKUP($B110, CEFF!$C$10:$C$156, CEFF!H$10:H$156)</f>
        <v>1.0869599999999999</v>
      </c>
      <c r="Q111" s="166">
        <f>LOOKUP($B110, CEFF!$C$10:$C$156, CEFF!I$10:I$156)</f>
        <v>1.20482</v>
      </c>
      <c r="R111" s="166">
        <f>LOOKUP($B110, CEFF!$C$10:$C$156, CEFF!J$10:J$156)</f>
        <v>1.2658199999999999</v>
      </c>
      <c r="S111" s="40"/>
      <c r="T111" s="40"/>
      <c r="U111" s="49"/>
      <c r="V111" s="42"/>
      <c r="W111" s="60"/>
      <c r="X111" s="40"/>
      <c r="Y111" s="40"/>
      <c r="Z111" s="40"/>
      <c r="AA111" s="40"/>
      <c r="AB111" s="40"/>
      <c r="AC111" s="40"/>
      <c r="AD111" s="40"/>
    </row>
    <row r="112" spans="2:30" s="39" customFormat="1" x14ac:dyDescent="0.3">
      <c r="B112" s="212"/>
      <c r="C112" s="212"/>
      <c r="D112" s="212"/>
      <c r="E112" s="212"/>
      <c r="F112" s="212" t="s">
        <v>472</v>
      </c>
      <c r="G112" s="303"/>
      <c r="H112" s="304"/>
      <c r="I112" s="46"/>
      <c r="J112" s="46"/>
      <c r="K112" s="44"/>
      <c r="L112" s="44"/>
      <c r="M112" s="44"/>
      <c r="N112" s="44"/>
      <c r="O112" s="261">
        <f>LOOKUP($B110, CEFF!$C$163:$C$330, CEFF!G$163:G$330)</f>
        <v>0.80645</v>
      </c>
      <c r="P112" s="261">
        <f>LOOKUP($B110, CEFF!$C$163:$C$330, CEFF!H$163:H$330)</f>
        <v>0.89285999999999999</v>
      </c>
      <c r="Q112" s="261">
        <f>LOOKUP($B110, CEFF!$C$163:$C$330, CEFF!I$163:I$330)</f>
        <v>0.99009999999999998</v>
      </c>
      <c r="R112" s="261">
        <f>LOOKUP($B110, CEFF!$C$163:$C$330, CEFF!J$163:J$330)</f>
        <v>1.0989</v>
      </c>
      <c r="S112" s="45"/>
      <c r="T112" s="45"/>
      <c r="U112" s="53"/>
      <c r="V112" s="44"/>
      <c r="W112" s="60"/>
      <c r="X112" s="45"/>
      <c r="Y112" s="45"/>
      <c r="Z112" s="45"/>
      <c r="AA112" s="45"/>
      <c r="AB112" s="45"/>
      <c r="AC112" s="45"/>
      <c r="AD112" s="45"/>
    </row>
    <row r="113" spans="1:30" s="39" customFormat="1" x14ac:dyDescent="0.3">
      <c r="B113" s="211" t="s">
        <v>584</v>
      </c>
      <c r="C113" s="214" t="str">
        <f ca="1">LOOKUP(B113, TRA_COMM_PRO!$C$17:$C$199, TRA_COMM_PRO!$D$17:D281)</f>
        <v>Car.Hybrid.DST.Pool.01.</v>
      </c>
      <c r="D113" s="211" t="s">
        <v>712</v>
      </c>
      <c r="E113" s="211"/>
      <c r="F113" s="211"/>
      <c r="G113" s="300">
        <f>$G$92</f>
        <v>2020</v>
      </c>
      <c r="H113" s="312">
        <f>$H$93</f>
        <v>15</v>
      </c>
      <c r="I113" s="157">
        <f>$I$93</f>
        <v>1E-3</v>
      </c>
      <c r="J113" s="41">
        <f>$J$93</f>
        <v>3</v>
      </c>
      <c r="K113" s="42"/>
      <c r="L113" s="42"/>
      <c r="M113" s="42"/>
      <c r="N113" s="42"/>
      <c r="O113" s="166"/>
      <c r="P113" s="166"/>
      <c r="Q113" s="166"/>
      <c r="R113" s="166"/>
      <c r="S113" s="40"/>
      <c r="T113" s="40"/>
      <c r="U113" s="49"/>
      <c r="V113" s="42"/>
      <c r="W113" s="62">
        <f>LOOKUP(B113, FIXOM_VAROM!$C$8:$C$190, FIXOM_VAROM!$D$8:$D$190)</f>
        <v>0.05</v>
      </c>
      <c r="X113" s="40">
        <f>LOOKUP($B113, INVCOST!$C$8:$C$193, INVCOST!E$8:E$193)</f>
        <v>23.181999999999999</v>
      </c>
      <c r="Y113" s="40">
        <f>LOOKUP($B113, INVCOST!$C$8:$C$193, INVCOST!F$8:F$193)</f>
        <v>22.738</v>
      </c>
      <c r="Z113" s="40">
        <f>LOOKUP($B113, INVCOST!$C$8:$C$193, INVCOST!G$8:G$193)</f>
        <v>22.478000000000002</v>
      </c>
      <c r="AA113" s="40">
        <f>LOOKUP($B113, INVCOST!$C$8:$C$193, INVCOST!H$8:H$193)</f>
        <v>22.3</v>
      </c>
      <c r="AB113" s="40">
        <f>LOOKUP($B113, INVCOST!$C$8:$C$193, INVCOST!I$8:I$193)</f>
        <v>22.170999999999999</v>
      </c>
      <c r="AC113" s="40">
        <f>LOOKUP($B113, INVCOST!$C$8:$C$193, INVCOST!J$8:J$193)</f>
        <v>22.068999999999999</v>
      </c>
      <c r="AD113" s="40">
        <f>LOOKUP($B113, INVCOST!$C$8:$C$193, INVCOST!K$8:K$193)</f>
        <v>21.995000000000001</v>
      </c>
    </row>
    <row r="114" spans="1:30" s="39" customFormat="1" x14ac:dyDescent="0.3">
      <c r="B114" s="211"/>
      <c r="C114" s="211"/>
      <c r="D114" s="211"/>
      <c r="E114" s="211"/>
      <c r="F114" s="211" t="s">
        <v>459</v>
      </c>
      <c r="G114" s="302"/>
      <c r="H114" s="301"/>
      <c r="I114" s="41"/>
      <c r="J114" s="41"/>
      <c r="K114" s="42"/>
      <c r="L114" s="42"/>
      <c r="M114" s="42"/>
      <c r="N114" s="42"/>
      <c r="O114" s="166">
        <f>LOOKUP($B113, CEFF!$C$10:$C$156, CEFF!G$10:G$156)</f>
        <v>0.74626999999999999</v>
      </c>
      <c r="P114" s="166">
        <f>LOOKUP($B113, CEFF!$C$10:$C$156, CEFF!H$10:H$156)</f>
        <v>0.82645000000000002</v>
      </c>
      <c r="Q114" s="166">
        <f>LOOKUP($B113, CEFF!$C$10:$C$156, CEFF!I$10:I$156)</f>
        <v>0.91742999999999997</v>
      </c>
      <c r="R114" s="166">
        <f>LOOKUP($B113, CEFF!$C$10:$C$156, CEFF!J$10:J$156)</f>
        <v>1.02041</v>
      </c>
      <c r="S114" s="40"/>
      <c r="T114" s="40"/>
      <c r="U114" s="49"/>
      <c r="V114" s="42"/>
      <c r="W114" s="60"/>
      <c r="X114" s="40"/>
      <c r="Y114" s="40"/>
      <c r="Z114" s="40"/>
      <c r="AA114" s="40"/>
      <c r="AB114" s="40"/>
      <c r="AC114" s="40"/>
      <c r="AD114" s="40"/>
    </row>
    <row r="115" spans="1:30" s="39" customFormat="1" x14ac:dyDescent="0.3">
      <c r="B115" s="212"/>
      <c r="C115" s="212"/>
      <c r="D115" s="212"/>
      <c r="E115" s="212"/>
      <c r="F115" s="212" t="s">
        <v>472</v>
      </c>
      <c r="G115" s="303"/>
      <c r="H115" s="304"/>
      <c r="I115" s="46"/>
      <c r="J115" s="46"/>
      <c r="K115" s="44"/>
      <c r="L115" s="44"/>
      <c r="M115" s="44"/>
      <c r="N115" s="44"/>
      <c r="O115" s="261">
        <f>LOOKUP($B113, CEFF!$C$163:$C$330, CEFF!G$163:G$330)</f>
        <v>0.65788999999999997</v>
      </c>
      <c r="P115" s="261">
        <f>LOOKUP($B113, CEFF!$C$163:$C$330, CEFF!H$163:H$330)</f>
        <v>0.72992999999999997</v>
      </c>
      <c r="Q115" s="261">
        <f>LOOKUP($B113, CEFF!$C$163:$C$330, CEFF!I$163:I$330)</f>
        <v>0.80645</v>
      </c>
      <c r="R115" s="261">
        <f>LOOKUP($B113, CEFF!$C$163:$C$330, CEFF!J$163:J$330)</f>
        <v>0.89285999999999999</v>
      </c>
      <c r="S115" s="45"/>
      <c r="T115" s="45"/>
      <c r="U115" s="53"/>
      <c r="V115" s="44"/>
      <c r="W115" s="60"/>
      <c r="X115" s="45"/>
      <c r="Y115" s="45"/>
      <c r="Z115" s="45"/>
      <c r="AA115" s="45"/>
      <c r="AB115" s="45"/>
      <c r="AC115" s="45"/>
      <c r="AD115" s="45"/>
    </row>
    <row r="116" spans="1:30" s="39" customFormat="1" x14ac:dyDescent="0.3">
      <c r="B116" s="211" t="s">
        <v>585</v>
      </c>
      <c r="C116" s="211" t="str">
        <f ca="1">LOOKUP(B116, TRA_COMM_PRO!$C$17:$C$199, TRA_COMM_PRO!$D$17:D285)</f>
        <v>Car.Hybrid.GSL.Pool.01.</v>
      </c>
      <c r="D116" s="214" t="s">
        <v>713</v>
      </c>
      <c r="E116" s="211"/>
      <c r="F116" s="211"/>
      <c r="G116" s="300">
        <f>$G$92</f>
        <v>2020</v>
      </c>
      <c r="H116" s="312">
        <f>$H$93</f>
        <v>15</v>
      </c>
      <c r="I116" s="157">
        <f>$I$93</f>
        <v>1E-3</v>
      </c>
      <c r="J116" s="41">
        <f>$J$93</f>
        <v>3</v>
      </c>
      <c r="K116" s="42"/>
      <c r="L116" s="42"/>
      <c r="M116" s="42"/>
      <c r="N116" s="42"/>
      <c r="O116" s="263"/>
      <c r="P116" s="263"/>
      <c r="Q116" s="263"/>
      <c r="R116" s="263"/>
      <c r="S116" s="40"/>
      <c r="T116" s="40"/>
      <c r="U116" s="49"/>
      <c r="V116" s="42"/>
      <c r="W116" s="62">
        <f>LOOKUP(B116, FIXOM_VAROM!$C$8:$C$190, FIXOM_VAROM!$D$8:$D$190)</f>
        <v>0.05</v>
      </c>
      <c r="X116" s="40">
        <f>LOOKUP($B116, INVCOST!$C$8:$C$193, INVCOST!E$8:E$193)</f>
        <v>21.329000000000001</v>
      </c>
      <c r="Y116" s="40">
        <f>LOOKUP($B116, INVCOST!$C$8:$C$193, INVCOST!F$8:F$193)</f>
        <v>20.885999999999999</v>
      </c>
      <c r="Z116" s="40">
        <f>LOOKUP($B116, INVCOST!$C$8:$C$193, INVCOST!G$8:G$193)</f>
        <v>20.626000000000001</v>
      </c>
      <c r="AA116" s="40">
        <f>LOOKUP($B116, INVCOST!$C$8:$C$193, INVCOST!H$8:H$193)</f>
        <v>20.446000000000002</v>
      </c>
      <c r="AB116" s="40">
        <f>LOOKUP($B116, INVCOST!$C$8:$C$193, INVCOST!I$8:I$193)</f>
        <v>20.135999999999999</v>
      </c>
      <c r="AC116" s="40">
        <f>LOOKUP($B116, INVCOST!$C$8:$C$193, INVCOST!J$8:J$193)</f>
        <v>20.212</v>
      </c>
      <c r="AD116" s="40">
        <f>LOOKUP($B116, INVCOST!$C$8:$C$193, INVCOST!K$8:K$193)</f>
        <v>20.135999999999999</v>
      </c>
    </row>
    <row r="117" spans="1:30" s="39" customFormat="1" x14ac:dyDescent="0.3">
      <c r="B117" s="211"/>
      <c r="C117" s="211"/>
      <c r="D117" s="211"/>
      <c r="E117" s="211"/>
      <c r="F117" s="211" t="s">
        <v>459</v>
      </c>
      <c r="G117" s="302"/>
      <c r="H117" s="301"/>
      <c r="I117" s="41"/>
      <c r="J117" s="41"/>
      <c r="K117" s="42"/>
      <c r="L117" s="42"/>
      <c r="M117" s="42"/>
      <c r="N117" s="42"/>
      <c r="O117" s="166">
        <f>LOOKUP($B116, CEFF!$C$10:$C$156, CEFF!G$10:G$156)</f>
        <v>0.67113999999999996</v>
      </c>
      <c r="P117" s="166">
        <f>LOOKUP($B116, CEFF!$C$10:$C$156, CEFF!H$10:H$156)</f>
        <v>0.74626999999999999</v>
      </c>
      <c r="Q117" s="166">
        <f>LOOKUP($B116, CEFF!$C$10:$C$156, CEFF!I$10:I$156)</f>
        <v>0.82645000000000002</v>
      </c>
      <c r="R117" s="166">
        <f>LOOKUP($B116, CEFF!$C$10:$C$156, CEFF!J$10:J$156)</f>
        <v>0.91742999999999997</v>
      </c>
      <c r="S117" s="40"/>
      <c r="T117" s="40"/>
      <c r="U117" s="49"/>
      <c r="V117" s="42"/>
      <c r="W117" s="60"/>
      <c r="X117" s="40"/>
      <c r="Y117" s="40"/>
      <c r="Z117" s="40"/>
      <c r="AA117" s="40"/>
      <c r="AB117" s="40"/>
      <c r="AC117" s="40"/>
      <c r="AD117" s="40"/>
    </row>
    <row r="118" spans="1:30" s="39" customFormat="1" x14ac:dyDescent="0.3">
      <c r="B118" s="212"/>
      <c r="C118" s="212"/>
      <c r="D118" s="212"/>
      <c r="E118" s="212"/>
      <c r="F118" s="212" t="s">
        <v>472</v>
      </c>
      <c r="G118" s="303"/>
      <c r="H118" s="304"/>
      <c r="I118" s="46"/>
      <c r="J118" s="46"/>
      <c r="K118" s="44"/>
      <c r="L118" s="44"/>
      <c r="M118" s="44"/>
      <c r="N118" s="44"/>
      <c r="O118" s="261">
        <f>LOOKUP($B116, CEFF!$C$163:$C$330, CEFF!G$163:G$330)</f>
        <v>0.55249000000000004</v>
      </c>
      <c r="P118" s="261">
        <f>LOOKUP($B116, CEFF!$C$163:$C$330, CEFF!H$163:H$330)</f>
        <v>0.61350000000000005</v>
      </c>
      <c r="Q118" s="261">
        <f>LOOKUP($B116, CEFF!$C$163:$C$330, CEFF!I$163:I$330)</f>
        <v>0.68027000000000004</v>
      </c>
      <c r="R118" s="261">
        <f>LOOKUP($B116, CEFF!$C$163:$C$330, CEFF!J$163:J$330)</f>
        <v>0.75187999999999999</v>
      </c>
      <c r="S118" s="45"/>
      <c r="T118" s="45"/>
      <c r="U118" s="53"/>
      <c r="V118" s="44"/>
      <c r="W118" s="60"/>
      <c r="X118" s="45"/>
      <c r="Y118" s="45"/>
      <c r="Z118" s="45"/>
      <c r="AA118" s="45"/>
      <c r="AB118" s="45"/>
      <c r="AC118" s="45"/>
      <c r="AD118" s="45"/>
    </row>
    <row r="119" spans="1:30" s="39" customFormat="1" x14ac:dyDescent="0.3">
      <c r="A119"/>
      <c r="B119" s="214" t="s">
        <v>586</v>
      </c>
      <c r="C119" s="214" t="s">
        <v>61</v>
      </c>
      <c r="D119" s="214" t="s">
        <v>62</v>
      </c>
      <c r="E119" s="214"/>
      <c r="F119" s="214"/>
      <c r="G119" s="300">
        <f>$G$92</f>
        <v>2020</v>
      </c>
      <c r="H119" s="312">
        <f>$H$93</f>
        <v>15</v>
      </c>
      <c r="I119" s="157">
        <f>$I$93</f>
        <v>1E-3</v>
      </c>
      <c r="J119" s="41">
        <f>$J$93</f>
        <v>3</v>
      </c>
      <c r="K119" s="56"/>
      <c r="L119" s="56"/>
      <c r="M119" s="56"/>
      <c r="N119" s="56"/>
      <c r="O119" s="262"/>
      <c r="P119" s="262"/>
      <c r="Q119" s="262"/>
      <c r="R119" s="262"/>
      <c r="S119" s="54"/>
      <c r="T119" s="54"/>
      <c r="U119" s="54"/>
      <c r="V119" s="55"/>
      <c r="W119" s="62">
        <f>LOOKUP(B119, FIXOM_VAROM!$C$8:$C$190, FIXOM_VAROM!$D$8:$D$190)</f>
        <v>0.05</v>
      </c>
      <c r="X119" s="40">
        <f>LOOKUP($B119, INVCOST!$C$8:$C$193, INVCOST!E$8:E$193)</f>
        <v>20.424600000000002</v>
      </c>
      <c r="Y119" s="40">
        <f>LOOKUP($B119, INVCOST!$C$8:$C$193, INVCOST!F$8:F$193)</f>
        <v>20.401500000000002</v>
      </c>
      <c r="Z119" s="40">
        <f>LOOKUP($B119, INVCOST!$C$8:$C$193, INVCOST!G$8:G$193)</f>
        <v>20.385750000000002</v>
      </c>
      <c r="AA119" s="40">
        <f>LOOKUP($B119, INVCOST!$C$8:$C$193, INVCOST!H$8:H$193)</f>
        <v>20.373149999999999</v>
      </c>
      <c r="AB119" s="40">
        <f>LOOKUP($B119, INVCOST!$C$8:$C$193, INVCOST!I$8:I$193)</f>
        <v>20.362650000000002</v>
      </c>
      <c r="AC119" s="40">
        <f>LOOKUP($B119, INVCOST!$C$8:$C$193, INVCOST!J$8:J$193)</f>
        <v>20.354250000000004</v>
      </c>
      <c r="AD119" s="40">
        <f>LOOKUP($B119, INVCOST!$C$8:$C$193, INVCOST!K$8:K$193)</f>
        <v>20.346900000000002</v>
      </c>
    </row>
    <row r="120" spans="1:30" s="39" customFormat="1" x14ac:dyDescent="0.3">
      <c r="A120"/>
      <c r="B120" s="211"/>
      <c r="C120" s="211"/>
      <c r="D120" s="211" t="s">
        <v>39</v>
      </c>
      <c r="E120" s="211"/>
      <c r="F120" s="211"/>
      <c r="G120" s="300"/>
      <c r="H120" s="301"/>
      <c r="I120" s="41"/>
      <c r="J120" s="41"/>
      <c r="K120" s="42"/>
      <c r="L120" s="42"/>
      <c r="M120" s="42"/>
      <c r="N120" s="42"/>
      <c r="O120" s="166"/>
      <c r="P120" s="166"/>
      <c r="Q120" s="166"/>
      <c r="R120" s="166"/>
      <c r="S120" s="40"/>
      <c r="T120" s="40"/>
      <c r="U120" s="40"/>
      <c r="V120" s="41"/>
      <c r="W120" s="60"/>
      <c r="X120" s="40"/>
      <c r="Y120" s="40"/>
      <c r="Z120" s="40"/>
      <c r="AA120" s="40"/>
      <c r="AB120" s="40"/>
      <c r="AC120" s="40"/>
      <c r="AD120" s="40"/>
    </row>
    <row r="121" spans="1:30" s="39" customFormat="1" x14ac:dyDescent="0.3">
      <c r="A121"/>
      <c r="B121" s="211"/>
      <c r="C121" s="211"/>
      <c r="D121" s="211"/>
      <c r="E121" s="211"/>
      <c r="F121" s="211" t="s">
        <v>459</v>
      </c>
      <c r="G121" s="302"/>
      <c r="H121" s="301"/>
      <c r="I121" s="41"/>
      <c r="J121" s="41"/>
      <c r="K121" s="42"/>
      <c r="L121" s="42"/>
      <c r="M121" s="42"/>
      <c r="N121" s="42"/>
      <c r="O121" s="166">
        <f>LOOKUP($B119, CEFF!$C$10:$C$156, CEFF!G$10:G$156)</f>
        <v>0.55249000000000004</v>
      </c>
      <c r="P121" s="166">
        <f>LOOKUP($B119, CEFF!$C$10:$C$156, CEFF!H$10:H$156)</f>
        <v>0.58140000000000003</v>
      </c>
      <c r="Q121" s="166">
        <f>LOOKUP($B119, CEFF!$C$10:$C$156, CEFF!I$10:I$156)</f>
        <v>0.61350000000000005</v>
      </c>
      <c r="R121" s="166">
        <f>LOOKUP($B119, CEFF!$C$10:$C$156, CEFF!J$10:J$156)</f>
        <v>0.64515999999999996</v>
      </c>
      <c r="S121" s="40"/>
      <c r="T121" s="40"/>
      <c r="U121" s="40"/>
      <c r="V121" s="42"/>
      <c r="W121" s="60"/>
      <c r="X121" s="40"/>
      <c r="Y121" s="40"/>
      <c r="Z121" s="40"/>
      <c r="AA121" s="40"/>
      <c r="AB121" s="40"/>
      <c r="AC121" s="40"/>
      <c r="AD121" s="40"/>
    </row>
    <row r="122" spans="1:30" s="39" customFormat="1" x14ac:dyDescent="0.3">
      <c r="A122"/>
      <c r="B122" s="211"/>
      <c r="C122" s="211"/>
      <c r="D122" s="211"/>
      <c r="E122" s="211"/>
      <c r="F122" s="212" t="s">
        <v>472</v>
      </c>
      <c r="G122" s="303"/>
      <c r="H122" s="301"/>
      <c r="I122" s="41"/>
      <c r="J122" s="41"/>
      <c r="K122" s="42"/>
      <c r="L122" s="42"/>
      <c r="M122" s="42"/>
      <c r="N122" s="42"/>
      <c r="O122" s="261">
        <f>LOOKUP($B119, CEFF!$C$163:$C$330, CEFF!G$163:G$330)</f>
        <v>0.45455000000000001</v>
      </c>
      <c r="P122" s="261">
        <f>LOOKUP($B119, CEFF!$C$163:$C$330, CEFF!H$163:H$330)</f>
        <v>0.47847000000000001</v>
      </c>
      <c r="Q122" s="261">
        <f>LOOKUP($B119, CEFF!$C$163:$C$330, CEFF!I$163:I$330)</f>
        <v>0.50251000000000001</v>
      </c>
      <c r="R122" s="261">
        <f>LOOKUP($B119, CEFF!$C$163:$C$330, CEFF!J$163:J$330)</f>
        <v>0.52910000000000001</v>
      </c>
      <c r="S122" s="42"/>
      <c r="T122" s="42"/>
      <c r="U122" s="42"/>
      <c r="V122" s="42"/>
      <c r="W122" s="60"/>
      <c r="X122" s="45"/>
      <c r="Y122" s="45"/>
      <c r="Z122" s="45"/>
      <c r="AA122" s="45"/>
      <c r="AB122" s="45"/>
      <c r="AC122" s="45"/>
      <c r="AD122" s="45"/>
    </row>
    <row r="123" spans="1:30" s="39" customFormat="1" x14ac:dyDescent="0.3">
      <c r="B123" s="214" t="s">
        <v>604</v>
      </c>
      <c r="C123" s="214" t="str">
        <f ca="1">LOOKUP(B123, TRA_COMM_PRO!$C$17:$C$199, TRA_COMM_PRO!$D$17:D293)</f>
        <v>Car.MTH.Pool.01.</v>
      </c>
      <c r="D123" s="214" t="s">
        <v>599</v>
      </c>
      <c r="E123" s="214"/>
      <c r="F123" s="214"/>
      <c r="G123" s="300">
        <f>$G$92</f>
        <v>2020</v>
      </c>
      <c r="H123" s="312">
        <f>$H$93</f>
        <v>15</v>
      </c>
      <c r="I123" s="157">
        <f>$I$93</f>
        <v>1E-3</v>
      </c>
      <c r="J123" s="55">
        <f>$J$93</f>
        <v>3</v>
      </c>
      <c r="K123" s="56"/>
      <c r="L123" s="56"/>
      <c r="M123" s="56"/>
      <c r="N123" s="56"/>
      <c r="O123" s="262"/>
      <c r="P123" s="262"/>
      <c r="Q123" s="262"/>
      <c r="R123" s="262"/>
      <c r="S123" s="54"/>
      <c r="T123" s="55"/>
      <c r="U123" s="55"/>
      <c r="V123" s="55"/>
      <c r="W123" s="62">
        <f>LOOKUP(B123, FIXOM_VAROM!$C$8:$C$190, FIXOM_VAROM!$D$8:$D$190)</f>
        <v>0.05</v>
      </c>
      <c r="X123" s="40">
        <f>LOOKUP($B123, INVCOST!$C$8:$C$193, INVCOST!E$8:E$193)</f>
        <v>20.424600000000002</v>
      </c>
      <c r="Y123" s="40">
        <f>LOOKUP($B123, INVCOST!$C$8:$C$193, INVCOST!F$8:F$193)</f>
        <v>20.401500000000002</v>
      </c>
      <c r="Z123" s="40">
        <f>LOOKUP($B123, INVCOST!$C$8:$C$193, INVCOST!G$8:G$193)</f>
        <v>20.385750000000002</v>
      </c>
      <c r="AA123" s="40">
        <f>LOOKUP($B123, INVCOST!$C$8:$C$193, INVCOST!H$8:H$193)</f>
        <v>20.373149999999999</v>
      </c>
      <c r="AB123" s="40">
        <f>LOOKUP($B123, INVCOST!$C$8:$C$193, INVCOST!I$8:I$193)</f>
        <v>20.362650000000002</v>
      </c>
      <c r="AC123" s="40">
        <f>LOOKUP($B123, INVCOST!$C$8:$C$193, INVCOST!J$8:J$193)</f>
        <v>20.354250000000004</v>
      </c>
      <c r="AD123" s="40">
        <f>LOOKUP($B123, INVCOST!$C$8:$C$193, INVCOST!K$8:K$193)</f>
        <v>20.346900000000002</v>
      </c>
    </row>
    <row r="124" spans="1:30" s="39" customFormat="1" x14ac:dyDescent="0.3">
      <c r="B124" s="211"/>
      <c r="C124" s="211"/>
      <c r="D124" s="211"/>
      <c r="E124" s="211"/>
      <c r="F124" s="211" t="s">
        <v>459</v>
      </c>
      <c r="G124" s="302"/>
      <c r="H124" s="301"/>
      <c r="I124" s="41"/>
      <c r="J124" s="41"/>
      <c r="K124" s="42"/>
      <c r="L124" s="42"/>
      <c r="M124" s="42"/>
      <c r="N124" s="42"/>
      <c r="O124" s="166">
        <f>LOOKUP($B123, CEFF!$C$10:$C$156, CEFF!G$10:G$156)</f>
        <v>0.55249000000000004</v>
      </c>
      <c r="P124" s="166">
        <f>LOOKUP($B123, CEFF!$C$10:$C$156, CEFF!H$10:H$156)</f>
        <v>0.58140000000000003</v>
      </c>
      <c r="Q124" s="166">
        <f>LOOKUP($B123, CEFF!$C$10:$C$156, CEFF!I$10:I$156)</f>
        <v>0.61350000000000005</v>
      </c>
      <c r="R124" s="166">
        <f>LOOKUP($B123, CEFF!$C$10:$C$156, CEFF!J$10:J$156)</f>
        <v>0.64515999999999996</v>
      </c>
      <c r="S124" s="40"/>
      <c r="T124" s="40"/>
      <c r="U124" s="49"/>
      <c r="V124" s="42"/>
      <c r="W124" s="60"/>
      <c r="X124" s="40"/>
      <c r="Y124" s="40"/>
      <c r="Z124" s="40"/>
      <c r="AA124" s="40"/>
      <c r="AB124" s="40"/>
      <c r="AC124" s="40"/>
      <c r="AD124" s="40"/>
    </row>
    <row r="125" spans="1:30" s="39" customFormat="1" x14ac:dyDescent="0.3">
      <c r="B125" s="212"/>
      <c r="C125" s="212"/>
      <c r="D125" s="212"/>
      <c r="E125" s="212"/>
      <c r="F125" s="212" t="s">
        <v>472</v>
      </c>
      <c r="G125" s="303"/>
      <c r="H125" s="304"/>
      <c r="I125" s="46"/>
      <c r="J125" s="46"/>
      <c r="K125" s="44"/>
      <c r="L125" s="44"/>
      <c r="M125" s="44"/>
      <c r="N125" s="44"/>
      <c r="O125" s="261">
        <f>LOOKUP($B123, CEFF!$C$163:$C$330, CEFF!G$163:G$330)</f>
        <v>0.45455000000000001</v>
      </c>
      <c r="P125" s="261">
        <f>LOOKUP($B123, CEFF!$C$163:$C$330, CEFF!H$163:H$330)</f>
        <v>0.47847000000000001</v>
      </c>
      <c r="Q125" s="261">
        <f>LOOKUP($B123, CEFF!$C$163:$C$330, CEFF!I$163:I$330)</f>
        <v>0.50251000000000001</v>
      </c>
      <c r="R125" s="261">
        <f>LOOKUP($B123, CEFF!$C$163:$C$330, CEFF!J$163:J$330)</f>
        <v>0.52910000000000001</v>
      </c>
      <c r="S125" s="45"/>
      <c r="T125" s="45"/>
      <c r="U125" s="53"/>
      <c r="V125" s="44"/>
      <c r="W125" s="60"/>
      <c r="X125" s="45"/>
      <c r="Y125" s="45"/>
      <c r="Z125" s="45"/>
      <c r="AA125" s="45"/>
      <c r="AB125" s="45"/>
      <c r="AC125" s="45"/>
      <c r="AD125" s="45"/>
    </row>
    <row r="126" spans="1:30" s="39" customFormat="1" x14ac:dyDescent="0.3">
      <c r="B126" s="211" t="s">
        <v>587</v>
      </c>
      <c r="C126" s="214" t="str">
        <f ca="1">LOOKUP(B126, TRA_COMM_PRO!$C$17:$C$199, TRA_COMM_PRO!$D$17:D296)</f>
        <v>Car.Plugin-Hybrid.DST.Pool.01.</v>
      </c>
      <c r="D126" s="211" t="s">
        <v>712</v>
      </c>
      <c r="E126" s="211"/>
      <c r="F126" s="211"/>
      <c r="G126" s="300">
        <f>$G$92</f>
        <v>2020</v>
      </c>
      <c r="H126" s="312">
        <f>$H$93</f>
        <v>15</v>
      </c>
      <c r="I126" s="157">
        <f>$I$93</f>
        <v>1E-3</v>
      </c>
      <c r="J126" s="41">
        <f>$J$93</f>
        <v>3</v>
      </c>
      <c r="K126" s="42"/>
      <c r="L126" s="42"/>
      <c r="M126" s="42"/>
      <c r="N126" s="42"/>
      <c r="O126" s="166"/>
      <c r="P126" s="166"/>
      <c r="Q126" s="166"/>
      <c r="R126" s="166"/>
      <c r="S126" s="40"/>
      <c r="T126" s="40"/>
      <c r="U126" s="49"/>
      <c r="V126" s="42"/>
      <c r="W126" s="62">
        <f>LOOKUP(B126, FIXOM_VAROM!$C$8:$C$190, FIXOM_VAROM!$D$8:$D$190)</f>
        <v>0.05</v>
      </c>
      <c r="X126" s="40">
        <f>LOOKUP($B126, INVCOST!$C$8:$C$193, INVCOST!E$8:E$193)</f>
        <v>29.478999999999999</v>
      </c>
      <c r="Y126" s="40">
        <f>LOOKUP($B126, INVCOST!$C$8:$C$193, INVCOST!F$8:F$193)</f>
        <v>27.831</v>
      </c>
      <c r="Z126" s="40">
        <f>LOOKUP($B126, INVCOST!$C$8:$C$193, INVCOST!G$8:G$193)</f>
        <v>26.962</v>
      </c>
      <c r="AA126" s="40">
        <f>LOOKUP($B126, INVCOST!$C$8:$C$193, INVCOST!H$8:H$193)</f>
        <v>26.277000000000001</v>
      </c>
      <c r="AB126" s="40">
        <f>LOOKUP($B126, INVCOST!$C$8:$C$193, INVCOST!I$8:I$193)</f>
        <v>25.709</v>
      </c>
      <c r="AC126" s="40">
        <f>LOOKUP($B126, INVCOST!$C$8:$C$193, INVCOST!J$8:J$193)</f>
        <v>25.244</v>
      </c>
      <c r="AD126" s="40">
        <f>LOOKUP($B126, INVCOST!$C$8:$C$193, INVCOST!K$8:K$193)</f>
        <v>24.864000000000001</v>
      </c>
    </row>
    <row r="127" spans="1:30" s="39" customFormat="1" x14ac:dyDescent="0.3">
      <c r="B127" s="211"/>
      <c r="C127" s="211"/>
      <c r="D127" s="211"/>
      <c r="E127" s="211"/>
      <c r="F127" s="211" t="s">
        <v>459</v>
      </c>
      <c r="G127" s="302"/>
      <c r="H127" s="301"/>
      <c r="I127" s="41"/>
      <c r="J127" s="41"/>
      <c r="K127" s="42"/>
      <c r="L127" s="42"/>
      <c r="M127" s="42"/>
      <c r="N127" s="42"/>
      <c r="O127" s="166">
        <f>LOOKUP($B126, CEFF!$C$10:$C$156, CEFF!G$10:G$156)</f>
        <v>0.85470000000000002</v>
      </c>
      <c r="P127" s="166">
        <f>LOOKUP($B126, CEFF!$C$10:$C$156, CEFF!H$10:H$156)</f>
        <v>0.94340000000000002</v>
      </c>
      <c r="Q127" s="166">
        <f>LOOKUP($B126, CEFF!$C$10:$C$156, CEFF!I$10:I$156)</f>
        <v>1.0416700000000001</v>
      </c>
      <c r="R127" s="166">
        <f>LOOKUP($B126, CEFF!$C$10:$C$156, CEFF!J$10:J$156)</f>
        <v>1.16279</v>
      </c>
      <c r="S127" s="40"/>
      <c r="T127" s="40"/>
      <c r="U127" s="49"/>
      <c r="V127" s="42"/>
      <c r="W127" s="60"/>
      <c r="X127" s="40"/>
      <c r="Y127" s="40"/>
      <c r="Z127" s="40"/>
      <c r="AA127" s="40"/>
      <c r="AB127" s="40"/>
      <c r="AC127" s="40"/>
      <c r="AD127" s="40"/>
    </row>
    <row r="128" spans="1:30" s="39" customFormat="1" x14ac:dyDescent="0.3">
      <c r="B128" s="212"/>
      <c r="C128" s="212"/>
      <c r="D128" s="212"/>
      <c r="E128" s="212"/>
      <c r="F128" s="212" t="s">
        <v>472</v>
      </c>
      <c r="G128" s="303"/>
      <c r="H128" s="304"/>
      <c r="I128" s="46"/>
      <c r="J128" s="46"/>
      <c r="K128" s="44"/>
      <c r="L128" s="44"/>
      <c r="M128" s="44"/>
      <c r="N128" s="44"/>
      <c r="O128" s="261">
        <f>LOOKUP($B126, CEFF!$C$163:$C$330, CEFF!G$163:G$330)</f>
        <v>1.0638300000000001</v>
      </c>
      <c r="P128" s="261">
        <f>LOOKUP($B126, CEFF!$C$163:$C$330, CEFF!H$163:H$330)</f>
        <v>1.13636</v>
      </c>
      <c r="Q128" s="261">
        <f>LOOKUP($B126, CEFF!$C$163:$C$330, CEFF!I$163:I$330)</f>
        <v>1.2195100000000001</v>
      </c>
      <c r="R128" s="261">
        <f>LOOKUP($B126, CEFF!$C$163:$C$330, CEFF!J$163:J$330)</f>
        <v>1.31579</v>
      </c>
      <c r="S128" s="45"/>
      <c r="T128" s="45"/>
      <c r="U128" s="53"/>
      <c r="V128" s="44"/>
      <c r="W128" s="60"/>
      <c r="X128" s="45"/>
      <c r="Y128" s="45"/>
      <c r="Z128" s="45"/>
      <c r="AA128" s="45"/>
      <c r="AB128" s="45"/>
      <c r="AC128" s="45"/>
      <c r="AD128" s="45"/>
    </row>
    <row r="129" spans="2:30" s="39" customFormat="1" x14ac:dyDescent="0.3">
      <c r="B129" s="211" t="s">
        <v>588</v>
      </c>
      <c r="C129" s="211" t="str">
        <f ca="1">LOOKUP(B129, TRA_COMM_PRO!$C$17:$C$199, TRA_COMM_PRO!$D$17:D299)</f>
        <v>Car.Plugin-Hybrid.GSL.Pool.01.</v>
      </c>
      <c r="D129" s="214" t="s">
        <v>713</v>
      </c>
      <c r="E129" s="211"/>
      <c r="F129" s="211"/>
      <c r="G129" s="300">
        <f>$G$92</f>
        <v>2020</v>
      </c>
      <c r="H129" s="312">
        <f>$H$93</f>
        <v>15</v>
      </c>
      <c r="I129" s="157">
        <f>$I$93</f>
        <v>1E-3</v>
      </c>
      <c r="J129" s="41">
        <f>$J$93</f>
        <v>3</v>
      </c>
      <c r="K129" s="42"/>
      <c r="L129" s="42"/>
      <c r="M129" s="42"/>
      <c r="N129" s="42"/>
      <c r="O129" s="166"/>
      <c r="P129" s="166"/>
      <c r="Q129" s="166"/>
      <c r="R129" s="166"/>
      <c r="S129" s="40"/>
      <c r="T129" s="40"/>
      <c r="U129" s="49"/>
      <c r="V129" s="42"/>
      <c r="W129" s="62">
        <f>LOOKUP(B129, FIXOM_VAROM!$C$8:$C$190, FIXOM_VAROM!$D$8:$D$190)</f>
        <v>0.05</v>
      </c>
      <c r="X129" s="40">
        <f>LOOKUP($B129, INVCOST!$C$8:$C$193, INVCOST!E$8:E$193)</f>
        <v>28.067</v>
      </c>
      <c r="Y129" s="40">
        <f>LOOKUP($B129, INVCOST!$C$8:$C$193, INVCOST!F$8:F$193)</f>
        <v>26.41</v>
      </c>
      <c r="Z129" s="40">
        <f>LOOKUP($B129, INVCOST!$C$8:$C$193, INVCOST!G$8:G$193)</f>
        <v>25.536000000000001</v>
      </c>
      <c r="AA129" s="40">
        <f>LOOKUP($B129, INVCOST!$C$8:$C$193, INVCOST!H$8:H$193)</f>
        <v>24.844999999999999</v>
      </c>
      <c r="AB129" s="40">
        <f>LOOKUP($B129, INVCOST!$C$8:$C$193, INVCOST!I$8:I$193)</f>
        <v>24.273</v>
      </c>
      <c r="AC129" s="40">
        <f>LOOKUP($B129, INVCOST!$C$8:$C$193, INVCOST!J$8:J$193)</f>
        <v>23.803000000000001</v>
      </c>
      <c r="AD129" s="40">
        <f>LOOKUP($B129, INVCOST!$C$8:$C$193, INVCOST!K$8:K$193)</f>
        <v>23.42</v>
      </c>
    </row>
    <row r="130" spans="2:30" s="39" customFormat="1" x14ac:dyDescent="0.3">
      <c r="B130" s="211"/>
      <c r="C130" s="211"/>
      <c r="D130" s="211"/>
      <c r="E130" s="211"/>
      <c r="F130" s="211" t="s">
        <v>459</v>
      </c>
      <c r="G130" s="302"/>
      <c r="H130" s="301"/>
      <c r="I130" s="41"/>
      <c r="J130" s="41"/>
      <c r="K130" s="42"/>
      <c r="L130" s="42"/>
      <c r="M130" s="42"/>
      <c r="N130" s="42"/>
      <c r="O130" s="166">
        <f>LOOKUP($B129, CEFF!$C$10:$C$156, CEFF!G$10:G$156)</f>
        <v>0.90908999999999995</v>
      </c>
      <c r="P130" s="166">
        <f>LOOKUP($B129, CEFF!$C$10:$C$156, CEFF!H$10:H$156)</f>
        <v>1.0101</v>
      </c>
      <c r="Q130" s="166">
        <f>LOOKUP($B129, CEFF!$C$10:$C$156, CEFF!I$10:I$156)</f>
        <v>1.11111</v>
      </c>
      <c r="R130" s="166">
        <f>LOOKUP($B129, CEFF!$C$10:$C$156, CEFF!J$10:J$156)</f>
        <v>1.2345699999999999</v>
      </c>
      <c r="S130" s="49"/>
      <c r="T130" s="49"/>
      <c r="U130" s="49"/>
      <c r="V130" s="42"/>
      <c r="W130" s="41"/>
      <c r="X130" s="41"/>
      <c r="Y130" s="41"/>
      <c r="Z130" s="41"/>
      <c r="AA130" s="41"/>
      <c r="AB130" s="41"/>
      <c r="AC130" s="41"/>
      <c r="AD130" s="41"/>
    </row>
    <row r="131" spans="2:30" s="39" customFormat="1" x14ac:dyDescent="0.3">
      <c r="B131" s="215"/>
      <c r="C131" s="215"/>
      <c r="D131" s="215"/>
      <c r="E131" s="215"/>
      <c r="F131" s="215" t="s">
        <v>472</v>
      </c>
      <c r="G131" s="305"/>
      <c r="H131" s="306"/>
      <c r="I131" s="181"/>
      <c r="J131" s="181"/>
      <c r="K131" s="179"/>
      <c r="L131" s="179"/>
      <c r="M131" s="179"/>
      <c r="N131" s="179"/>
      <c r="O131" s="264">
        <f>LOOKUP($B129, CEFF!$C$163:$C$330, CEFF!G$163:G$330)</f>
        <v>0.99009999999999998</v>
      </c>
      <c r="P131" s="264">
        <f>LOOKUP($B129, CEFF!$C$163:$C$330, CEFF!H$163:H$330)</f>
        <v>1.05263</v>
      </c>
      <c r="Q131" s="264">
        <f>LOOKUP($B129, CEFF!$C$163:$C$330, CEFF!I$163:I$330)</f>
        <v>1.1235999999999999</v>
      </c>
      <c r="R131" s="264">
        <f>LOOKUP($B129, CEFF!$C$163:$C$330, CEFF!J$163:J$330)</f>
        <v>1.19048</v>
      </c>
      <c r="S131" s="180"/>
      <c r="T131" s="180"/>
      <c r="U131" s="180"/>
      <c r="V131" s="179"/>
      <c r="W131" s="181"/>
      <c r="X131" s="181"/>
      <c r="Y131" s="181"/>
      <c r="Z131" s="181"/>
      <c r="AA131" s="181"/>
      <c r="AB131" s="181"/>
      <c r="AC131" s="181"/>
      <c r="AD131" s="181"/>
    </row>
    <row r="132" spans="2:30" s="39" customFormat="1" x14ac:dyDescent="0.3">
      <c r="H132" s="36"/>
      <c r="I132" s="37"/>
      <c r="J132" s="38"/>
      <c r="K132" s="58"/>
      <c r="L132" s="58"/>
      <c r="M132" s="58"/>
      <c r="N132" s="58"/>
      <c r="O132" s="38"/>
      <c r="P132" s="38"/>
      <c r="Q132" s="38"/>
      <c r="R132" s="38"/>
      <c r="S132" s="36"/>
      <c r="T132" s="36"/>
      <c r="U132" s="38"/>
      <c r="V132" s="38"/>
      <c r="W132" s="38"/>
      <c r="X132" s="38"/>
      <c r="Y132" s="38"/>
      <c r="Z132" s="38"/>
      <c r="AA132" s="38"/>
      <c r="AB132" s="38"/>
    </row>
    <row r="248" spans="7:29" s="39" customFormat="1" x14ac:dyDescent="0.3">
      <c r="G248" s="58"/>
      <c r="H248" s="58"/>
      <c r="I248" s="58"/>
      <c r="J248" s="58"/>
      <c r="K248" s="38"/>
      <c r="L248" s="38"/>
      <c r="M248" s="38"/>
      <c r="N248" s="38"/>
      <c r="O248" s="38"/>
      <c r="P248" s="36"/>
      <c r="Q248" s="36"/>
      <c r="R248" s="36"/>
      <c r="S248" s="36"/>
      <c r="T248" s="36"/>
      <c r="U248" s="38"/>
      <c r="V248" s="38"/>
      <c r="W248" s="38"/>
      <c r="X248" s="38"/>
      <c r="Y248" s="38"/>
      <c r="Z248" s="38"/>
      <c r="AA248" s="38"/>
      <c r="AB248" s="38"/>
      <c r="AC248" s="38"/>
    </row>
    <row r="249" spans="7:29" s="39" customFormat="1" x14ac:dyDescent="0.3">
      <c r="G249" s="58"/>
      <c r="H249" s="58"/>
      <c r="I249" s="38"/>
      <c r="J249" s="38"/>
      <c r="K249" s="38"/>
      <c r="L249" s="38"/>
      <c r="M249" s="38"/>
      <c r="N249" s="38"/>
      <c r="O249" s="38"/>
      <c r="P249" s="36"/>
      <c r="Q249" s="36"/>
      <c r="R249" s="36"/>
      <c r="S249" s="36"/>
      <c r="T249" s="36"/>
      <c r="U249" s="38"/>
      <c r="V249" s="38"/>
      <c r="W249" s="38"/>
      <c r="X249" s="38"/>
      <c r="Y249" s="38"/>
      <c r="Z249" s="38"/>
      <c r="AA249" s="38"/>
      <c r="AB249" s="38"/>
      <c r="AC249" s="38"/>
    </row>
  </sheetData>
  <sortState xmlns:xlrd2="http://schemas.microsoft.com/office/spreadsheetml/2017/richdata2" ref="F52:F53">
    <sortCondition ref="F52"/>
  </sortState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K193"/>
  <sheetViews>
    <sheetView zoomScale="75" zoomScaleNormal="75" workbookViewId="0">
      <selection activeCell="P36" sqref="P36:AK55"/>
    </sheetView>
  </sheetViews>
  <sheetFormatPr defaultRowHeight="14.4" x14ac:dyDescent="0.3"/>
  <cols>
    <col min="2" max="3" width="14.44140625" bestFit="1" customWidth="1"/>
    <col min="4" max="11" width="13.5546875" customWidth="1"/>
    <col min="13" max="13" width="115.5546875" bestFit="1" customWidth="1"/>
    <col min="16" max="16" width="34.5546875" bestFit="1" customWidth="1"/>
  </cols>
  <sheetData>
    <row r="2" spans="2:13" x14ac:dyDescent="0.3">
      <c r="C2" s="151"/>
      <c r="D2" s="152"/>
      <c r="E2" s="152"/>
      <c r="F2" s="152"/>
      <c r="G2" s="152"/>
      <c r="H2" s="152"/>
      <c r="I2" s="152"/>
      <c r="J2" s="152"/>
      <c r="K2" s="152"/>
    </row>
    <row r="3" spans="2:13" x14ac:dyDescent="0.3">
      <c r="B3" s="89" t="s">
        <v>395</v>
      </c>
      <c r="C3" s="90"/>
      <c r="D3" s="90"/>
      <c r="E3" s="90"/>
      <c r="F3" s="90"/>
      <c r="G3" s="91"/>
      <c r="H3" s="90"/>
    </row>
    <row r="4" spans="2:13" x14ac:dyDescent="0.3">
      <c r="B4" s="216" t="s">
        <v>680</v>
      </c>
      <c r="C4" s="92"/>
      <c r="D4" s="92">
        <v>1000</v>
      </c>
      <c r="E4" s="92"/>
      <c r="F4" s="92"/>
      <c r="G4" s="93"/>
      <c r="H4" s="94"/>
      <c r="I4" s="94"/>
      <c r="J4" s="94"/>
    </row>
    <row r="5" spans="2:13" x14ac:dyDescent="0.3">
      <c r="B5" s="95"/>
    </row>
    <row r="6" spans="2:13" x14ac:dyDescent="0.3">
      <c r="B6" s="106" t="s">
        <v>460</v>
      </c>
      <c r="C6" s="106" t="s">
        <v>2</v>
      </c>
      <c r="D6" s="107">
        <v>2016</v>
      </c>
      <c r="E6" s="107">
        <v>2020</v>
      </c>
      <c r="F6" s="107">
        <v>2025</v>
      </c>
      <c r="G6" s="107">
        <v>2030</v>
      </c>
      <c r="H6" s="107">
        <v>2035</v>
      </c>
      <c r="I6" s="107">
        <v>2040</v>
      </c>
      <c r="J6" s="107">
        <v>2045</v>
      </c>
      <c r="K6" s="107">
        <v>2050</v>
      </c>
      <c r="M6" s="106" t="s">
        <v>511</v>
      </c>
    </row>
    <row r="7" spans="2:13" x14ac:dyDescent="0.3">
      <c r="B7" s="96"/>
      <c r="C7" s="96"/>
      <c r="D7" s="96"/>
      <c r="E7" s="96"/>
      <c r="F7" s="96"/>
      <c r="G7" s="96"/>
      <c r="H7" s="96"/>
      <c r="I7" s="96"/>
      <c r="J7" s="96"/>
      <c r="K7" s="96"/>
      <c r="M7" s="106"/>
    </row>
    <row r="8" spans="2:13" x14ac:dyDescent="0.3">
      <c r="B8" s="213" t="s">
        <v>461</v>
      </c>
      <c r="C8" s="213" t="s">
        <v>184</v>
      </c>
      <c r="D8" s="116">
        <v>7777</v>
      </c>
      <c r="E8" s="116">
        <f>D8</f>
        <v>7777</v>
      </c>
      <c r="F8" s="116">
        <f t="shared" ref="F8:K8" si="0">E8</f>
        <v>7777</v>
      </c>
      <c r="G8" s="116">
        <f t="shared" si="0"/>
        <v>7777</v>
      </c>
      <c r="H8" s="116">
        <f t="shared" si="0"/>
        <v>7777</v>
      </c>
      <c r="I8" s="116">
        <f t="shared" si="0"/>
        <v>7777</v>
      </c>
      <c r="J8" s="116">
        <f t="shared" si="0"/>
        <v>7777</v>
      </c>
      <c r="K8" s="116">
        <f t="shared" si="0"/>
        <v>7777</v>
      </c>
      <c r="M8" s="119" t="s">
        <v>634</v>
      </c>
    </row>
    <row r="9" spans="2:13" x14ac:dyDescent="0.3">
      <c r="B9" s="217" t="s">
        <v>461</v>
      </c>
      <c r="C9" s="217" t="s">
        <v>180</v>
      </c>
      <c r="D9" s="161">
        <v>7777</v>
      </c>
      <c r="E9" s="161">
        <f>D9</f>
        <v>7777</v>
      </c>
      <c r="F9" s="161">
        <f t="shared" ref="F9:K9" si="1">E9</f>
        <v>7777</v>
      </c>
      <c r="G9" s="161">
        <f t="shared" si="1"/>
        <v>7777</v>
      </c>
      <c r="H9" s="161">
        <f t="shared" si="1"/>
        <v>7777</v>
      </c>
      <c r="I9" s="161">
        <f t="shared" si="1"/>
        <v>7777</v>
      </c>
      <c r="J9" s="161">
        <f t="shared" si="1"/>
        <v>7777</v>
      </c>
      <c r="K9" s="161">
        <f t="shared" si="1"/>
        <v>7777</v>
      </c>
      <c r="M9" s="147" t="s">
        <v>634</v>
      </c>
    </row>
    <row r="10" spans="2:13" x14ac:dyDescent="0.3">
      <c r="B10" s="213" t="s">
        <v>462</v>
      </c>
      <c r="C10" s="213" t="s">
        <v>88</v>
      </c>
      <c r="D10" s="108">
        <v>260</v>
      </c>
      <c r="E10" s="108">
        <v>260</v>
      </c>
      <c r="F10" s="108">
        <v>260</v>
      </c>
      <c r="G10" s="108">
        <v>260</v>
      </c>
      <c r="H10" s="108">
        <v>260</v>
      </c>
      <c r="I10" s="108">
        <v>260</v>
      </c>
      <c r="J10" s="108">
        <v>260</v>
      </c>
      <c r="K10" s="108">
        <v>260</v>
      </c>
      <c r="M10" s="119" t="s">
        <v>310</v>
      </c>
    </row>
    <row r="11" spans="2:13" x14ac:dyDescent="0.3">
      <c r="B11" s="213" t="s">
        <v>462</v>
      </c>
      <c r="C11" s="213" t="s">
        <v>91</v>
      </c>
      <c r="D11" s="108">
        <v>312</v>
      </c>
      <c r="E11" s="108">
        <v>312</v>
      </c>
      <c r="F11" s="108">
        <v>312</v>
      </c>
      <c r="G11" s="108">
        <v>312</v>
      </c>
      <c r="H11" s="108">
        <v>312</v>
      </c>
      <c r="I11" s="108">
        <v>312</v>
      </c>
      <c r="J11" s="108">
        <v>312</v>
      </c>
      <c r="K11" s="108">
        <v>312</v>
      </c>
      <c r="M11" s="119" t="s">
        <v>458</v>
      </c>
    </row>
    <row r="12" spans="2:13" x14ac:dyDescent="0.3">
      <c r="B12" s="213" t="s">
        <v>462</v>
      </c>
      <c r="C12" s="213" t="s">
        <v>93</v>
      </c>
      <c r="D12" s="108">
        <v>260</v>
      </c>
      <c r="E12" s="108">
        <v>260</v>
      </c>
      <c r="F12" s="108">
        <v>260</v>
      </c>
      <c r="G12" s="108">
        <v>260</v>
      </c>
      <c r="H12" s="108">
        <v>260</v>
      </c>
      <c r="I12" s="108">
        <v>260</v>
      </c>
      <c r="J12" s="108">
        <v>260</v>
      </c>
      <c r="K12" s="108">
        <v>260</v>
      </c>
      <c r="M12" s="119" t="s">
        <v>310</v>
      </c>
    </row>
    <row r="13" spans="2:13" x14ac:dyDescent="0.3">
      <c r="B13" s="213" t="s">
        <v>462</v>
      </c>
      <c r="C13" s="213" t="s">
        <v>95</v>
      </c>
      <c r="D13" s="108">
        <v>260</v>
      </c>
      <c r="E13" s="108">
        <v>260</v>
      </c>
      <c r="F13" s="108">
        <v>260</v>
      </c>
      <c r="G13" s="108">
        <v>260</v>
      </c>
      <c r="H13" s="108">
        <v>260</v>
      </c>
      <c r="I13" s="108">
        <v>260</v>
      </c>
      <c r="J13" s="108">
        <v>260</v>
      </c>
      <c r="K13" s="108">
        <v>260</v>
      </c>
      <c r="M13" s="119" t="s">
        <v>310</v>
      </c>
    </row>
    <row r="14" spans="2:13" x14ac:dyDescent="0.3">
      <c r="B14" s="213" t="s">
        <v>462</v>
      </c>
      <c r="C14" s="213" t="s">
        <v>97</v>
      </c>
      <c r="D14" s="108">
        <v>260</v>
      </c>
      <c r="E14" s="108">
        <v>260</v>
      </c>
      <c r="F14" s="108">
        <v>260</v>
      </c>
      <c r="G14" s="108">
        <v>260</v>
      </c>
      <c r="H14" s="108">
        <v>260</v>
      </c>
      <c r="I14" s="108">
        <v>260</v>
      </c>
      <c r="J14" s="108">
        <v>260</v>
      </c>
      <c r="K14" s="108">
        <v>260</v>
      </c>
      <c r="M14" s="119" t="s">
        <v>310</v>
      </c>
    </row>
    <row r="15" spans="2:13" x14ac:dyDescent="0.3">
      <c r="B15" s="213" t="s">
        <v>462</v>
      </c>
      <c r="C15" s="213" t="s">
        <v>99</v>
      </c>
      <c r="D15" s="108">
        <v>260</v>
      </c>
      <c r="E15" s="108">
        <v>260</v>
      </c>
      <c r="F15" s="108">
        <v>260</v>
      </c>
      <c r="G15" s="108">
        <v>260</v>
      </c>
      <c r="H15" s="108">
        <v>260</v>
      </c>
      <c r="I15" s="108">
        <v>260</v>
      </c>
      <c r="J15" s="108">
        <v>260</v>
      </c>
      <c r="K15" s="108">
        <v>260</v>
      </c>
      <c r="M15" s="119" t="s">
        <v>310</v>
      </c>
    </row>
    <row r="16" spans="2:13" x14ac:dyDescent="0.3">
      <c r="B16" s="213" t="s">
        <v>462</v>
      </c>
      <c r="C16" s="213" t="s">
        <v>101</v>
      </c>
      <c r="D16" s="108">
        <v>1000</v>
      </c>
      <c r="E16" s="108">
        <v>1000</v>
      </c>
      <c r="F16" s="108">
        <v>1000</v>
      </c>
      <c r="G16" s="108">
        <v>1000</v>
      </c>
      <c r="H16" s="108">
        <v>1000</v>
      </c>
      <c r="I16" s="108">
        <v>1000</v>
      </c>
      <c r="J16" s="108">
        <v>1000</v>
      </c>
      <c r="K16" s="108">
        <v>1000</v>
      </c>
      <c r="M16" s="119" t="s">
        <v>642</v>
      </c>
    </row>
    <row r="17" spans="2:13" x14ac:dyDescent="0.3">
      <c r="B17" s="213" t="s">
        <v>462</v>
      </c>
      <c r="C17" s="213" t="s">
        <v>356</v>
      </c>
      <c r="D17" s="108">
        <v>602</v>
      </c>
      <c r="E17" s="108">
        <v>602</v>
      </c>
      <c r="F17" s="108">
        <v>602</v>
      </c>
      <c r="G17" s="108">
        <v>602</v>
      </c>
      <c r="H17" s="108">
        <v>602</v>
      </c>
      <c r="I17" s="108">
        <v>602</v>
      </c>
      <c r="J17" s="108">
        <v>602</v>
      </c>
      <c r="K17" s="108">
        <v>602</v>
      </c>
      <c r="M17" s="119" t="s">
        <v>643</v>
      </c>
    </row>
    <row r="18" spans="2:13" x14ac:dyDescent="0.3">
      <c r="B18" s="213" t="s">
        <v>462</v>
      </c>
      <c r="C18" s="213" t="s">
        <v>421</v>
      </c>
      <c r="D18" s="108">
        <v>602</v>
      </c>
      <c r="E18" s="108">
        <v>602</v>
      </c>
      <c r="F18" s="108">
        <v>602</v>
      </c>
      <c r="G18" s="108">
        <v>602</v>
      </c>
      <c r="H18" s="108">
        <v>602</v>
      </c>
      <c r="I18" s="108">
        <v>602</v>
      </c>
      <c r="J18" s="108">
        <v>602</v>
      </c>
      <c r="K18" s="108">
        <v>602</v>
      </c>
      <c r="M18" s="119" t="s">
        <v>575</v>
      </c>
    </row>
    <row r="19" spans="2:13" x14ac:dyDescent="0.3">
      <c r="B19" s="213" t="s">
        <v>462</v>
      </c>
      <c r="C19" s="213" t="s">
        <v>103</v>
      </c>
      <c r="D19" s="108">
        <v>260</v>
      </c>
      <c r="E19" s="108">
        <v>260</v>
      </c>
      <c r="F19" s="108">
        <v>260</v>
      </c>
      <c r="G19" s="108">
        <v>260</v>
      </c>
      <c r="H19" s="108">
        <v>260</v>
      </c>
      <c r="I19" s="108">
        <v>260</v>
      </c>
      <c r="J19" s="108">
        <v>260</v>
      </c>
      <c r="K19" s="108">
        <v>260</v>
      </c>
      <c r="M19" s="119" t="s">
        <v>310</v>
      </c>
    </row>
    <row r="20" spans="2:13" x14ac:dyDescent="0.3">
      <c r="B20" s="213" t="s">
        <v>462</v>
      </c>
      <c r="C20" s="213" t="s">
        <v>606</v>
      </c>
      <c r="D20" s="108">
        <v>312</v>
      </c>
      <c r="E20" s="108">
        <v>312</v>
      </c>
      <c r="F20" s="108">
        <v>312</v>
      </c>
      <c r="G20" s="108">
        <v>312</v>
      </c>
      <c r="H20" s="108">
        <v>312</v>
      </c>
      <c r="I20" s="108">
        <v>312</v>
      </c>
      <c r="J20" s="108">
        <v>312</v>
      </c>
      <c r="K20" s="108">
        <v>312</v>
      </c>
      <c r="M20" s="119" t="s">
        <v>577</v>
      </c>
    </row>
    <row r="21" spans="2:13" x14ac:dyDescent="0.3">
      <c r="B21" s="213" t="s">
        <v>462</v>
      </c>
      <c r="C21" s="213" t="s">
        <v>422</v>
      </c>
      <c r="D21" s="108">
        <v>722.4</v>
      </c>
      <c r="E21" s="108">
        <v>722.4</v>
      </c>
      <c r="F21" s="108">
        <v>722.4</v>
      </c>
      <c r="G21" s="108">
        <v>722.4</v>
      </c>
      <c r="H21" s="108">
        <v>722.4</v>
      </c>
      <c r="I21" s="108">
        <v>722.4</v>
      </c>
      <c r="J21" s="108">
        <v>722.4</v>
      </c>
      <c r="K21" s="108">
        <v>722.4</v>
      </c>
      <c r="M21" s="119" t="s">
        <v>576</v>
      </c>
    </row>
    <row r="22" spans="2:13" x14ac:dyDescent="0.3">
      <c r="B22" s="217" t="s">
        <v>462</v>
      </c>
      <c r="C22" s="217" t="s">
        <v>423</v>
      </c>
      <c r="D22" s="161">
        <v>722.4</v>
      </c>
      <c r="E22" s="161">
        <v>722.4</v>
      </c>
      <c r="F22" s="161">
        <v>722.4</v>
      </c>
      <c r="G22" s="161">
        <v>722.4</v>
      </c>
      <c r="H22" s="161">
        <v>722.4</v>
      </c>
      <c r="I22" s="161">
        <v>722.4</v>
      </c>
      <c r="J22" s="161">
        <v>722.4</v>
      </c>
      <c r="K22" s="161">
        <v>722.4</v>
      </c>
      <c r="M22" s="147" t="s">
        <v>576</v>
      </c>
    </row>
    <row r="23" spans="2:13" x14ac:dyDescent="0.3">
      <c r="B23" s="213" t="s">
        <v>462</v>
      </c>
      <c r="C23" s="213" t="s">
        <v>66</v>
      </c>
      <c r="D23" s="270">
        <v>260</v>
      </c>
      <c r="E23" s="270">
        <v>260</v>
      </c>
      <c r="F23" s="270">
        <v>260</v>
      </c>
      <c r="G23" s="270">
        <v>260</v>
      </c>
      <c r="H23" s="270">
        <v>260</v>
      </c>
      <c r="I23" s="270">
        <v>260</v>
      </c>
      <c r="J23" s="270">
        <v>260</v>
      </c>
      <c r="K23" s="270">
        <v>260</v>
      </c>
      <c r="M23" s="119" t="s">
        <v>310</v>
      </c>
    </row>
    <row r="24" spans="2:13" x14ac:dyDescent="0.3">
      <c r="B24" s="213" t="s">
        <v>462</v>
      </c>
      <c r="C24" s="213" t="s">
        <v>69</v>
      </c>
      <c r="D24" s="270">
        <v>312</v>
      </c>
      <c r="E24" s="270">
        <v>312</v>
      </c>
      <c r="F24" s="270">
        <v>312</v>
      </c>
      <c r="G24" s="270">
        <v>312</v>
      </c>
      <c r="H24" s="270">
        <v>312</v>
      </c>
      <c r="I24" s="270">
        <v>312</v>
      </c>
      <c r="J24" s="270">
        <v>312</v>
      </c>
      <c r="K24" s="270">
        <v>312</v>
      </c>
      <c r="M24" s="119" t="s">
        <v>458</v>
      </c>
    </row>
    <row r="25" spans="2:13" x14ac:dyDescent="0.3">
      <c r="B25" s="213" t="s">
        <v>462</v>
      </c>
      <c r="C25" s="213" t="s">
        <v>72</v>
      </c>
      <c r="D25" s="270">
        <v>260</v>
      </c>
      <c r="E25" s="270">
        <v>260</v>
      </c>
      <c r="F25" s="270">
        <v>260</v>
      </c>
      <c r="G25" s="270">
        <v>260</v>
      </c>
      <c r="H25" s="270">
        <v>260</v>
      </c>
      <c r="I25" s="270">
        <v>260</v>
      </c>
      <c r="J25" s="270">
        <v>260</v>
      </c>
      <c r="K25" s="270">
        <v>260</v>
      </c>
      <c r="M25" s="119" t="s">
        <v>310</v>
      </c>
    </row>
    <row r="26" spans="2:13" x14ac:dyDescent="0.3">
      <c r="B26" s="213" t="s">
        <v>462</v>
      </c>
      <c r="C26" s="213" t="s">
        <v>74</v>
      </c>
      <c r="D26" s="270">
        <v>430</v>
      </c>
      <c r="E26" s="270">
        <v>430</v>
      </c>
      <c r="F26" s="270">
        <v>430</v>
      </c>
      <c r="G26" s="270">
        <v>430</v>
      </c>
      <c r="H26" s="270">
        <v>430</v>
      </c>
      <c r="I26" s="270">
        <v>430</v>
      </c>
      <c r="J26" s="270">
        <v>430</v>
      </c>
      <c r="K26" s="270">
        <v>430</v>
      </c>
      <c r="M26" s="119" t="s">
        <v>643</v>
      </c>
    </row>
    <row r="27" spans="2:13" x14ac:dyDescent="0.3">
      <c r="B27" s="213" t="s">
        <v>462</v>
      </c>
      <c r="C27" s="213" t="s">
        <v>76</v>
      </c>
      <c r="D27" s="270">
        <v>260</v>
      </c>
      <c r="E27" s="270">
        <v>260</v>
      </c>
      <c r="F27" s="270">
        <v>260</v>
      </c>
      <c r="G27" s="270">
        <v>260</v>
      </c>
      <c r="H27" s="270">
        <v>260</v>
      </c>
      <c r="I27" s="270">
        <v>260</v>
      </c>
      <c r="J27" s="270">
        <v>260</v>
      </c>
      <c r="K27" s="270">
        <v>260</v>
      </c>
      <c r="M27" s="119" t="s">
        <v>310</v>
      </c>
    </row>
    <row r="28" spans="2:13" x14ac:dyDescent="0.3">
      <c r="B28" s="213" t="s">
        <v>462</v>
      </c>
      <c r="C28" s="213" t="s">
        <v>78</v>
      </c>
      <c r="D28" s="270">
        <v>260</v>
      </c>
      <c r="E28" s="270">
        <v>260</v>
      </c>
      <c r="F28" s="270">
        <v>260</v>
      </c>
      <c r="G28" s="270">
        <v>260</v>
      </c>
      <c r="H28" s="270">
        <v>260</v>
      </c>
      <c r="I28" s="270">
        <v>260</v>
      </c>
      <c r="J28" s="270">
        <v>260</v>
      </c>
      <c r="K28" s="270">
        <v>260</v>
      </c>
      <c r="M28" s="119" t="s">
        <v>310</v>
      </c>
    </row>
    <row r="29" spans="2:13" x14ac:dyDescent="0.3">
      <c r="B29" s="213" t="s">
        <v>462</v>
      </c>
      <c r="C29" s="213" t="s">
        <v>80</v>
      </c>
      <c r="D29" s="270">
        <v>260</v>
      </c>
      <c r="E29" s="270">
        <v>260</v>
      </c>
      <c r="F29" s="270">
        <v>260</v>
      </c>
      <c r="G29" s="270">
        <v>260</v>
      </c>
      <c r="H29" s="270">
        <v>260</v>
      </c>
      <c r="I29" s="270">
        <v>260</v>
      </c>
      <c r="J29" s="270">
        <v>260</v>
      </c>
      <c r="K29" s="270">
        <v>260</v>
      </c>
      <c r="M29" s="119" t="s">
        <v>310</v>
      </c>
    </row>
    <row r="30" spans="2:13" x14ac:dyDescent="0.3">
      <c r="B30" s="213" t="s">
        <v>462</v>
      </c>
      <c r="C30" s="213" t="s">
        <v>82</v>
      </c>
      <c r="D30" s="270">
        <v>1000</v>
      </c>
      <c r="E30" s="270">
        <v>1000</v>
      </c>
      <c r="F30" s="270">
        <v>1000</v>
      </c>
      <c r="G30" s="270">
        <v>1000</v>
      </c>
      <c r="H30" s="270">
        <v>1000</v>
      </c>
      <c r="I30" s="270">
        <v>1000</v>
      </c>
      <c r="J30" s="270">
        <v>1000</v>
      </c>
      <c r="K30" s="270">
        <v>1000</v>
      </c>
      <c r="M30" s="119" t="s">
        <v>642</v>
      </c>
    </row>
    <row r="31" spans="2:13" x14ac:dyDescent="0.3">
      <c r="B31" s="213" t="s">
        <v>462</v>
      </c>
      <c r="C31" s="213" t="s">
        <v>352</v>
      </c>
      <c r="D31" s="270">
        <v>602</v>
      </c>
      <c r="E31" s="270">
        <v>602</v>
      </c>
      <c r="F31" s="270">
        <v>602</v>
      </c>
      <c r="G31" s="270">
        <v>602</v>
      </c>
      <c r="H31" s="270">
        <v>602</v>
      </c>
      <c r="I31" s="270">
        <v>602</v>
      </c>
      <c r="J31" s="270">
        <v>602</v>
      </c>
      <c r="K31" s="270">
        <v>602</v>
      </c>
      <c r="M31" s="119" t="s">
        <v>643</v>
      </c>
    </row>
    <row r="32" spans="2:13" x14ac:dyDescent="0.3">
      <c r="B32" s="213" t="s">
        <v>462</v>
      </c>
      <c r="C32" s="213" t="s">
        <v>389</v>
      </c>
      <c r="D32" s="270">
        <v>602</v>
      </c>
      <c r="E32" s="270">
        <v>602</v>
      </c>
      <c r="F32" s="270">
        <v>602</v>
      </c>
      <c r="G32" s="270">
        <v>602</v>
      </c>
      <c r="H32" s="270">
        <v>602</v>
      </c>
      <c r="I32" s="270">
        <v>602</v>
      </c>
      <c r="J32" s="270">
        <v>602</v>
      </c>
      <c r="K32" s="270">
        <v>602</v>
      </c>
      <c r="M32" s="119" t="s">
        <v>575</v>
      </c>
    </row>
    <row r="33" spans="2:37" x14ac:dyDescent="0.3">
      <c r="B33" s="213" t="s">
        <v>462</v>
      </c>
      <c r="C33" s="213" t="s">
        <v>84</v>
      </c>
      <c r="D33" s="270">
        <v>260</v>
      </c>
      <c r="E33" s="270">
        <v>260</v>
      </c>
      <c r="F33" s="270">
        <v>260</v>
      </c>
      <c r="G33" s="270">
        <v>260</v>
      </c>
      <c r="H33" s="270">
        <v>260</v>
      </c>
      <c r="I33" s="270">
        <v>260</v>
      </c>
      <c r="J33" s="270">
        <v>260</v>
      </c>
      <c r="K33" s="270">
        <v>260</v>
      </c>
      <c r="M33" s="119" t="s">
        <v>310</v>
      </c>
    </row>
    <row r="34" spans="2:37" x14ac:dyDescent="0.3">
      <c r="B34" s="213" t="s">
        <v>462</v>
      </c>
      <c r="C34" s="213" t="s">
        <v>605</v>
      </c>
      <c r="D34" s="270">
        <v>312</v>
      </c>
      <c r="E34" s="270">
        <v>312</v>
      </c>
      <c r="F34" s="270">
        <v>312</v>
      </c>
      <c r="G34" s="270">
        <v>312</v>
      </c>
      <c r="H34" s="270">
        <v>312</v>
      </c>
      <c r="I34" s="270">
        <v>312</v>
      </c>
      <c r="J34" s="270">
        <v>312</v>
      </c>
      <c r="K34" s="270">
        <v>312</v>
      </c>
      <c r="M34" s="119" t="s">
        <v>577</v>
      </c>
    </row>
    <row r="35" spans="2:37" x14ac:dyDescent="0.3">
      <c r="B35" s="213" t="s">
        <v>462</v>
      </c>
      <c r="C35" s="213" t="s">
        <v>354</v>
      </c>
      <c r="D35" s="270">
        <v>722.4</v>
      </c>
      <c r="E35" s="270">
        <v>722.4</v>
      </c>
      <c r="F35" s="270">
        <v>722.4</v>
      </c>
      <c r="G35" s="270">
        <v>722.4</v>
      </c>
      <c r="H35" s="270">
        <v>722.4</v>
      </c>
      <c r="I35" s="270">
        <v>722.4</v>
      </c>
      <c r="J35" s="270">
        <v>722.4</v>
      </c>
      <c r="K35" s="270">
        <v>722.4</v>
      </c>
      <c r="M35" s="119" t="s">
        <v>576</v>
      </c>
    </row>
    <row r="36" spans="2:37" x14ac:dyDescent="0.3">
      <c r="B36" s="217" t="s">
        <v>462</v>
      </c>
      <c r="C36" s="217" t="s">
        <v>392</v>
      </c>
      <c r="D36" s="161">
        <v>722.4</v>
      </c>
      <c r="E36" s="161">
        <v>722.4</v>
      </c>
      <c r="F36" s="161">
        <v>722.4</v>
      </c>
      <c r="G36" s="161">
        <v>722.4</v>
      </c>
      <c r="H36" s="161">
        <v>722.4</v>
      </c>
      <c r="I36" s="161">
        <v>722.4</v>
      </c>
      <c r="J36" s="161">
        <v>722.4</v>
      </c>
      <c r="K36" s="161">
        <v>722.4</v>
      </c>
      <c r="M36" s="147" t="s">
        <v>576</v>
      </c>
      <c r="R36">
        <v>-6.4147110707221895</v>
      </c>
      <c r="S36">
        <v>-6.4147110707221895</v>
      </c>
    </row>
    <row r="37" spans="2:37" x14ac:dyDescent="0.3">
      <c r="B37" s="213" t="s">
        <v>558</v>
      </c>
      <c r="C37" s="213" t="s">
        <v>47</v>
      </c>
      <c r="D37" s="272">
        <v>21.434999999999999</v>
      </c>
      <c r="E37" s="272">
        <v>21.155000000000001</v>
      </c>
      <c r="F37" s="272">
        <v>21.132000000000001</v>
      </c>
      <c r="G37" s="272">
        <v>21.117999999999999</v>
      </c>
      <c r="H37" s="272">
        <v>21.108000000000001</v>
      </c>
      <c r="I37" s="272">
        <v>21.1</v>
      </c>
      <c r="J37" s="272">
        <v>21.093</v>
      </c>
      <c r="K37" s="272">
        <v>21.088000000000001</v>
      </c>
      <c r="M37" s="119" t="s">
        <v>309</v>
      </c>
      <c r="T37" s="320"/>
    </row>
    <row r="38" spans="2:37" x14ac:dyDescent="0.3">
      <c r="B38" s="213" t="s">
        <v>558</v>
      </c>
      <c r="C38" s="213" t="s">
        <v>578</v>
      </c>
      <c r="D38" s="272">
        <v>21.434999999999999</v>
      </c>
      <c r="E38" s="272">
        <v>21.155000000000001</v>
      </c>
      <c r="F38" s="272">
        <v>21.132000000000001</v>
      </c>
      <c r="G38" s="272">
        <v>21.117999999999999</v>
      </c>
      <c r="H38" s="272">
        <v>21.108000000000001</v>
      </c>
      <c r="I38" s="272">
        <v>21.1</v>
      </c>
      <c r="J38" s="272">
        <v>21.093</v>
      </c>
      <c r="K38" s="272">
        <v>21.088000000000001</v>
      </c>
      <c r="M38" s="119" t="s">
        <v>309</v>
      </c>
      <c r="Q38">
        <v>2015</v>
      </c>
      <c r="R38">
        <v>2020</v>
      </c>
      <c r="S38">
        <v>2025</v>
      </c>
      <c r="T38">
        <v>2030</v>
      </c>
      <c r="U38">
        <v>2035</v>
      </c>
      <c r="V38">
        <v>2040</v>
      </c>
      <c r="W38">
        <v>2045</v>
      </c>
      <c r="X38">
        <v>2050</v>
      </c>
    </row>
    <row r="39" spans="2:37" x14ac:dyDescent="0.3">
      <c r="B39" s="213" t="s">
        <v>558</v>
      </c>
      <c r="C39" s="213" t="s">
        <v>228</v>
      </c>
      <c r="D39" s="272">
        <v>21.434999999999999</v>
      </c>
      <c r="E39" s="272">
        <v>21.155000000000001</v>
      </c>
      <c r="F39" s="272">
        <v>21.132000000000001</v>
      </c>
      <c r="G39" s="272">
        <v>21.117999999999999</v>
      </c>
      <c r="H39" s="272">
        <v>21.108000000000001</v>
      </c>
      <c r="I39" s="272">
        <v>21.1</v>
      </c>
      <c r="J39" s="272">
        <v>21.093</v>
      </c>
      <c r="K39" s="272">
        <v>21.088000000000001</v>
      </c>
      <c r="M39" s="119" t="s">
        <v>309</v>
      </c>
      <c r="P39" s="213" t="s">
        <v>682</v>
      </c>
      <c r="Q39" s="272">
        <v>21.434999999999999</v>
      </c>
      <c r="R39" s="272">
        <v>21.155000000000001</v>
      </c>
      <c r="S39" s="272">
        <v>21.132000000000001</v>
      </c>
      <c r="T39" s="272">
        <v>21.117999999999999</v>
      </c>
      <c r="U39" s="272">
        <v>21.108000000000001</v>
      </c>
      <c r="V39" s="272">
        <v>21.1</v>
      </c>
      <c r="W39" s="272">
        <v>21.093</v>
      </c>
      <c r="X39" s="272">
        <v>21.088000000000001</v>
      </c>
    </row>
    <row r="40" spans="2:37" x14ac:dyDescent="0.3">
      <c r="B40" s="213" t="s">
        <v>558</v>
      </c>
      <c r="C40" s="213" t="s">
        <v>49</v>
      </c>
      <c r="D40" s="272">
        <v>41.054000000000002</v>
      </c>
      <c r="E40" s="272">
        <v>35.389000000000003</v>
      </c>
      <c r="F40" s="272">
        <v>31.187999999999999</v>
      </c>
      <c r="G40" s="272">
        <v>29.695</v>
      </c>
      <c r="H40" s="272">
        <v>28.536999999999999</v>
      </c>
      <c r="I40" s="272">
        <v>27.753</v>
      </c>
      <c r="J40" s="272">
        <v>27.114000000000001</v>
      </c>
      <c r="K40" s="272">
        <v>26.594000000000001</v>
      </c>
      <c r="M40" s="119" t="s">
        <v>434</v>
      </c>
      <c r="P40" s="213" t="s">
        <v>683</v>
      </c>
      <c r="Q40" s="272">
        <v>41.054000000000002</v>
      </c>
      <c r="R40" s="272">
        <v>35.389000000000003</v>
      </c>
      <c r="S40" s="272">
        <v>31.187999999999999</v>
      </c>
      <c r="T40" s="272">
        <v>29.695</v>
      </c>
      <c r="U40" s="272">
        <v>28.536999999999999</v>
      </c>
      <c r="V40" s="272">
        <v>27.753</v>
      </c>
      <c r="W40" s="272">
        <v>27.114000000000001</v>
      </c>
      <c r="X40" s="272">
        <v>26.594000000000001</v>
      </c>
    </row>
    <row r="41" spans="2:37" x14ac:dyDescent="0.3">
      <c r="B41" s="213" t="s">
        <v>558</v>
      </c>
      <c r="C41" s="213" t="s">
        <v>579</v>
      </c>
      <c r="D41" s="272">
        <v>41.054000000000002</v>
      </c>
      <c r="E41" s="272">
        <v>35.389000000000003</v>
      </c>
      <c r="F41" s="272">
        <v>31.187999999999999</v>
      </c>
      <c r="G41" s="272">
        <v>29.695</v>
      </c>
      <c r="H41" s="272">
        <v>28.536999999999999</v>
      </c>
      <c r="I41" s="272">
        <v>27.753</v>
      </c>
      <c r="J41" s="272">
        <v>27.114000000000001</v>
      </c>
      <c r="K41" s="272">
        <v>26.594000000000001</v>
      </c>
      <c r="M41" s="119" t="s">
        <v>309</v>
      </c>
      <c r="P41" s="213" t="s">
        <v>686</v>
      </c>
      <c r="Q41" s="272">
        <f t="shared" ref="Q41:X41" si="2">Q40+Q36</f>
        <v>41.054000000000002</v>
      </c>
      <c r="R41" s="272">
        <f t="shared" si="2"/>
        <v>28.974288929277812</v>
      </c>
      <c r="S41" s="272">
        <f t="shared" si="2"/>
        <v>24.773288929277811</v>
      </c>
      <c r="T41" s="272">
        <f t="shared" si="2"/>
        <v>29.695</v>
      </c>
      <c r="U41" s="272">
        <f t="shared" si="2"/>
        <v>28.536999999999999</v>
      </c>
      <c r="V41" s="272">
        <f t="shared" si="2"/>
        <v>27.753</v>
      </c>
      <c r="W41" s="272">
        <f t="shared" si="2"/>
        <v>27.114000000000001</v>
      </c>
      <c r="X41" s="272">
        <f t="shared" si="2"/>
        <v>26.594000000000001</v>
      </c>
    </row>
    <row r="42" spans="2:37" x14ac:dyDescent="0.3">
      <c r="B42" s="213" t="s">
        <v>558</v>
      </c>
      <c r="C42" s="213" t="s">
        <v>230</v>
      </c>
      <c r="D42" s="272">
        <v>41.054000000000002</v>
      </c>
      <c r="E42" s="272">
        <v>35.389000000000003</v>
      </c>
      <c r="F42" s="272">
        <v>31.187999999999999</v>
      </c>
      <c r="G42" s="272">
        <v>29.695</v>
      </c>
      <c r="H42" s="272">
        <v>28.536999999999999</v>
      </c>
      <c r="I42" s="272">
        <v>27.753</v>
      </c>
      <c r="J42" s="272">
        <v>27.114000000000001</v>
      </c>
      <c r="K42" s="272">
        <v>26.594000000000001</v>
      </c>
      <c r="M42" s="119" t="s">
        <v>309</v>
      </c>
      <c r="P42" s="213" t="s">
        <v>716</v>
      </c>
      <c r="Q42" s="272">
        <f>Q40*V54</f>
        <v>41.054000000000002</v>
      </c>
      <c r="R42" s="272">
        <f>Q42*AA54</f>
        <v>29.76819840628567</v>
      </c>
      <c r="S42" s="272">
        <f>Q42*AF54</f>
        <v>29.429504322801861</v>
      </c>
      <c r="T42" s="272">
        <f>Q42*AK54</f>
        <v>21.117975736342508</v>
      </c>
      <c r="U42" s="272">
        <f>T42</f>
        <v>21.117975736342508</v>
      </c>
      <c r="V42" s="272">
        <f t="shared" ref="V42:X42" si="3">U42</f>
        <v>21.117975736342508</v>
      </c>
      <c r="W42" s="272">
        <f t="shared" si="3"/>
        <v>21.117975736342508</v>
      </c>
      <c r="X42" s="272">
        <f t="shared" si="3"/>
        <v>21.117975736342508</v>
      </c>
    </row>
    <row r="43" spans="2:37" x14ac:dyDescent="0.3">
      <c r="B43" s="213" t="s">
        <v>558</v>
      </c>
      <c r="C43" s="213" t="s">
        <v>50</v>
      </c>
      <c r="D43" s="272">
        <f>D49*1.05</f>
        <v>20.72175</v>
      </c>
      <c r="E43" s="272">
        <f t="shared" ref="E43:K43" si="4">E49*1.05</f>
        <v>20.424600000000002</v>
      </c>
      <c r="F43" s="272">
        <f t="shared" si="4"/>
        <v>20.401500000000002</v>
      </c>
      <c r="G43" s="272">
        <f t="shared" si="4"/>
        <v>20.385750000000002</v>
      </c>
      <c r="H43" s="272">
        <f t="shared" si="4"/>
        <v>20.373149999999999</v>
      </c>
      <c r="I43" s="272">
        <f t="shared" si="4"/>
        <v>20.362650000000002</v>
      </c>
      <c r="J43" s="272">
        <f t="shared" si="4"/>
        <v>20.354250000000004</v>
      </c>
      <c r="K43" s="272">
        <f t="shared" si="4"/>
        <v>20.346900000000002</v>
      </c>
      <c r="M43" s="119" t="s">
        <v>704</v>
      </c>
      <c r="P43" s="213" t="s">
        <v>721</v>
      </c>
      <c r="Q43" s="272">
        <f>Q42+Q36</f>
        <v>41.054000000000002</v>
      </c>
      <c r="R43" s="272">
        <f t="shared" ref="R43:X43" si="5">R42+R36</f>
        <v>23.353487335563479</v>
      </c>
      <c r="S43" s="272">
        <f t="shared" si="5"/>
        <v>23.01479325207967</v>
      </c>
      <c r="T43" s="272">
        <f t="shared" si="5"/>
        <v>21.117975736342508</v>
      </c>
      <c r="U43" s="272">
        <f t="shared" si="5"/>
        <v>21.117975736342508</v>
      </c>
      <c r="V43" s="272">
        <f t="shared" si="5"/>
        <v>21.117975736342508</v>
      </c>
      <c r="W43" s="272">
        <f t="shared" si="5"/>
        <v>21.117975736342508</v>
      </c>
      <c r="X43" s="272">
        <f t="shared" si="5"/>
        <v>21.117975736342508</v>
      </c>
    </row>
    <row r="44" spans="2:37" x14ac:dyDescent="0.3">
      <c r="B44" s="213" t="s">
        <v>558</v>
      </c>
      <c r="C44" s="213" t="s">
        <v>580</v>
      </c>
      <c r="D44" s="272">
        <f t="shared" ref="D44:K44" si="6">D50*1.05</f>
        <v>20.72175</v>
      </c>
      <c r="E44" s="272">
        <f t="shared" si="6"/>
        <v>20.424600000000002</v>
      </c>
      <c r="F44" s="272">
        <f t="shared" si="6"/>
        <v>20.401500000000002</v>
      </c>
      <c r="G44" s="272">
        <f t="shared" si="6"/>
        <v>20.385750000000002</v>
      </c>
      <c r="H44" s="272">
        <f t="shared" si="6"/>
        <v>20.373149999999999</v>
      </c>
      <c r="I44" s="272">
        <f t="shared" si="6"/>
        <v>20.362650000000002</v>
      </c>
      <c r="J44" s="272">
        <f t="shared" si="6"/>
        <v>20.354250000000004</v>
      </c>
      <c r="K44" s="272">
        <f t="shared" si="6"/>
        <v>20.346900000000002</v>
      </c>
      <c r="M44" s="119" t="s">
        <v>704</v>
      </c>
      <c r="P44" s="213" t="s">
        <v>684</v>
      </c>
      <c r="Q44" s="272">
        <v>35.097999999999999</v>
      </c>
      <c r="R44" s="272">
        <v>33.204999999999998</v>
      </c>
      <c r="S44" s="272">
        <v>30.501000000000001</v>
      </c>
      <c r="T44" s="272">
        <v>29.122</v>
      </c>
      <c r="U44" s="272">
        <v>28.056000000000001</v>
      </c>
      <c r="V44" s="272">
        <v>27.158999999999999</v>
      </c>
      <c r="W44" s="272">
        <v>26.395</v>
      </c>
      <c r="X44" s="272">
        <v>25.727</v>
      </c>
    </row>
    <row r="45" spans="2:37" x14ac:dyDescent="0.3">
      <c r="B45" s="213" t="s">
        <v>558</v>
      </c>
      <c r="C45" s="213" t="s">
        <v>232</v>
      </c>
      <c r="D45" s="272">
        <f t="shared" ref="D45:K45" si="7">D51*1.05</f>
        <v>20.72175</v>
      </c>
      <c r="E45" s="272">
        <f t="shared" si="7"/>
        <v>20.424600000000002</v>
      </c>
      <c r="F45" s="272">
        <f t="shared" si="7"/>
        <v>20.401500000000002</v>
      </c>
      <c r="G45" s="272">
        <f t="shared" si="7"/>
        <v>20.385750000000002</v>
      </c>
      <c r="H45" s="272">
        <f t="shared" si="7"/>
        <v>20.373149999999999</v>
      </c>
      <c r="I45" s="272">
        <f t="shared" si="7"/>
        <v>20.362650000000002</v>
      </c>
      <c r="J45" s="272">
        <f t="shared" si="7"/>
        <v>20.354250000000004</v>
      </c>
      <c r="K45" s="272">
        <f t="shared" si="7"/>
        <v>20.346900000000002</v>
      </c>
      <c r="M45" s="119" t="s">
        <v>704</v>
      </c>
      <c r="P45" s="213" t="s">
        <v>685</v>
      </c>
      <c r="Q45" s="272"/>
      <c r="R45" s="272"/>
      <c r="S45" s="272"/>
      <c r="T45" s="272"/>
      <c r="U45" s="272"/>
      <c r="V45" s="272"/>
      <c r="W45" s="272"/>
      <c r="X45" s="272"/>
    </row>
    <row r="46" spans="2:37" x14ac:dyDescent="0.3">
      <c r="B46" s="213" t="s">
        <v>558</v>
      </c>
      <c r="C46" s="213" t="s">
        <v>52</v>
      </c>
      <c r="D46" s="272">
        <f>D49*1.05</f>
        <v>20.72175</v>
      </c>
      <c r="E46" s="272">
        <f t="shared" ref="E46:K46" si="8">E49*1.05</f>
        <v>20.424600000000002</v>
      </c>
      <c r="F46" s="272">
        <f t="shared" si="8"/>
        <v>20.401500000000002</v>
      </c>
      <c r="G46" s="272">
        <f t="shared" si="8"/>
        <v>20.385750000000002</v>
      </c>
      <c r="H46" s="272">
        <f t="shared" si="8"/>
        <v>20.373149999999999</v>
      </c>
      <c r="I46" s="272">
        <f t="shared" si="8"/>
        <v>20.362650000000002</v>
      </c>
      <c r="J46" s="272">
        <f t="shared" si="8"/>
        <v>20.354250000000004</v>
      </c>
      <c r="K46" s="272">
        <f t="shared" si="8"/>
        <v>20.346900000000002</v>
      </c>
      <c r="M46" s="119" t="s">
        <v>704</v>
      </c>
      <c r="P46" s="213" t="s">
        <v>687</v>
      </c>
      <c r="Q46" s="272">
        <f t="shared" ref="Q46:X46" si="9">Q44+Q36</f>
        <v>35.097999999999999</v>
      </c>
      <c r="R46" s="272">
        <f t="shared" si="9"/>
        <v>26.790288929277807</v>
      </c>
      <c r="S46" s="272">
        <f t="shared" si="9"/>
        <v>24.086288929277814</v>
      </c>
      <c r="T46" s="272">
        <f t="shared" si="9"/>
        <v>29.122</v>
      </c>
      <c r="U46" s="272">
        <f t="shared" si="9"/>
        <v>28.056000000000001</v>
      </c>
      <c r="V46" s="272">
        <f t="shared" si="9"/>
        <v>27.158999999999999</v>
      </c>
      <c r="W46" s="272">
        <f t="shared" si="9"/>
        <v>26.395</v>
      </c>
      <c r="X46" s="272">
        <f t="shared" si="9"/>
        <v>25.727</v>
      </c>
    </row>
    <row r="47" spans="2:37" x14ac:dyDescent="0.3">
      <c r="B47" s="213" t="s">
        <v>558</v>
      </c>
      <c r="C47" s="213" t="s">
        <v>581</v>
      </c>
      <c r="D47" s="272">
        <f t="shared" ref="D47:K47" si="10">D50*1.05</f>
        <v>20.72175</v>
      </c>
      <c r="E47" s="272">
        <f t="shared" si="10"/>
        <v>20.424600000000002</v>
      </c>
      <c r="F47" s="272">
        <f t="shared" si="10"/>
        <v>20.401500000000002</v>
      </c>
      <c r="G47" s="272">
        <f t="shared" si="10"/>
        <v>20.385750000000002</v>
      </c>
      <c r="H47" s="272">
        <f t="shared" si="10"/>
        <v>20.373149999999999</v>
      </c>
      <c r="I47" s="272">
        <f t="shared" si="10"/>
        <v>20.362650000000002</v>
      </c>
      <c r="J47" s="272">
        <f t="shared" si="10"/>
        <v>20.354250000000004</v>
      </c>
      <c r="K47" s="272">
        <f t="shared" si="10"/>
        <v>20.346900000000002</v>
      </c>
      <c r="M47" s="119" t="s">
        <v>704</v>
      </c>
    </row>
    <row r="48" spans="2:37" x14ac:dyDescent="0.3">
      <c r="B48" s="213" t="s">
        <v>558</v>
      </c>
      <c r="C48" s="213" t="s">
        <v>234</v>
      </c>
      <c r="D48" s="272">
        <f t="shared" ref="D48:K48" si="11">D51*1.05</f>
        <v>20.72175</v>
      </c>
      <c r="E48" s="272">
        <f t="shared" si="11"/>
        <v>20.424600000000002</v>
      </c>
      <c r="F48" s="272">
        <f t="shared" si="11"/>
        <v>20.401500000000002</v>
      </c>
      <c r="G48" s="272">
        <f t="shared" si="11"/>
        <v>20.385750000000002</v>
      </c>
      <c r="H48" s="272">
        <f t="shared" si="11"/>
        <v>20.373149999999999</v>
      </c>
      <c r="I48" s="272">
        <f t="shared" si="11"/>
        <v>20.362650000000002</v>
      </c>
      <c r="J48" s="272">
        <f t="shared" si="11"/>
        <v>20.354250000000004</v>
      </c>
      <c r="K48" s="272">
        <f t="shared" si="11"/>
        <v>20.346900000000002</v>
      </c>
      <c r="M48" s="119" t="s">
        <v>704</v>
      </c>
      <c r="P48" s="316" t="s">
        <v>719</v>
      </c>
      <c r="Q48" s="5">
        <v>2010</v>
      </c>
      <c r="R48" s="5">
        <v>2011</v>
      </c>
      <c r="S48" s="5">
        <v>2012</v>
      </c>
      <c r="T48" s="5">
        <v>2013</v>
      </c>
      <c r="U48" s="5">
        <v>2014</v>
      </c>
      <c r="V48" s="5">
        <v>2015</v>
      </c>
      <c r="W48" s="5">
        <v>2016</v>
      </c>
      <c r="X48" s="5">
        <v>2017</v>
      </c>
      <c r="Y48" s="5">
        <v>2018</v>
      </c>
      <c r="Z48" s="5">
        <v>2019</v>
      </c>
      <c r="AA48" s="5">
        <v>2020</v>
      </c>
      <c r="AB48" s="5">
        <v>2021</v>
      </c>
      <c r="AC48" s="5">
        <v>2022</v>
      </c>
      <c r="AD48" s="5">
        <v>2023</v>
      </c>
      <c r="AE48" s="5">
        <v>2024</v>
      </c>
      <c r="AF48" s="5">
        <v>2025</v>
      </c>
      <c r="AG48" s="5">
        <v>2026</v>
      </c>
      <c r="AH48" s="5">
        <v>2027</v>
      </c>
      <c r="AI48" s="5">
        <v>2028</v>
      </c>
      <c r="AJ48" s="5">
        <v>2029</v>
      </c>
      <c r="AK48" s="5">
        <v>2030</v>
      </c>
    </row>
    <row r="49" spans="2:37" x14ac:dyDescent="0.3">
      <c r="B49" s="213" t="s">
        <v>558</v>
      </c>
      <c r="C49" s="213" t="s">
        <v>55</v>
      </c>
      <c r="D49" s="272">
        <v>19.734999999999999</v>
      </c>
      <c r="E49" s="272">
        <v>19.452000000000002</v>
      </c>
      <c r="F49" s="272">
        <v>19.43</v>
      </c>
      <c r="G49" s="272">
        <v>19.414999999999999</v>
      </c>
      <c r="H49" s="272">
        <v>19.402999999999999</v>
      </c>
      <c r="I49" s="272">
        <v>19.393000000000001</v>
      </c>
      <c r="J49" s="272">
        <v>19.385000000000002</v>
      </c>
      <c r="K49" s="272">
        <v>19.378</v>
      </c>
      <c r="M49" s="119" t="s">
        <v>309</v>
      </c>
      <c r="P49" s="213" t="s">
        <v>717</v>
      </c>
      <c r="Q49">
        <v>1160</v>
      </c>
      <c r="R49">
        <v>899</v>
      </c>
      <c r="S49">
        <v>707</v>
      </c>
      <c r="T49">
        <v>650</v>
      </c>
      <c r="U49">
        <v>577</v>
      </c>
      <c r="V49">
        <v>373</v>
      </c>
      <c r="W49">
        <v>288</v>
      </c>
      <c r="X49">
        <v>214</v>
      </c>
      <c r="Y49">
        <v>176</v>
      </c>
      <c r="Z49">
        <v>156</v>
      </c>
      <c r="AA49" s="317">
        <f>$Z$49*0.92^(AA48-$Z$48)</f>
        <v>143.52000000000001</v>
      </c>
      <c r="AB49" s="317">
        <f t="shared" ref="AB49:AD49" si="12">$Z$49*0.92^(AB48-$Z$48)</f>
        <v>132.0384</v>
      </c>
      <c r="AC49" s="317">
        <f t="shared" si="12"/>
        <v>121.475328</v>
      </c>
      <c r="AD49" s="317">
        <f t="shared" si="12"/>
        <v>111.75730176000002</v>
      </c>
      <c r="AE49" s="317">
        <f t="shared" ref="AE49" si="13">$Z$49*0.92^(AE48-$Z$48)</f>
        <v>102.81671761920002</v>
      </c>
      <c r="AF49" s="317">
        <f t="shared" ref="AF49" si="14">$Z$49*0.92^(AF48-$Z$48)</f>
        <v>94.591380209664024</v>
      </c>
      <c r="AG49" s="317">
        <f t="shared" ref="AG49" si="15">$Z$49*0.92^(AG48-$Z$48)</f>
        <v>87.024069792890899</v>
      </c>
      <c r="AH49" s="317">
        <f t="shared" ref="AH49" si="16">$Z$49*0.92^(AH48-$Z$48)</f>
        <v>80.062144209459632</v>
      </c>
      <c r="AI49" s="317">
        <f t="shared" ref="AI49" si="17">$Z$49*0.92^(AI48-$Z$48)</f>
        <v>73.65717267270287</v>
      </c>
      <c r="AJ49" s="317">
        <f t="shared" ref="AJ49" si="18">$Z$49*0.92^(AJ48-$Z$48)</f>
        <v>67.764598858886643</v>
      </c>
      <c r="AK49" s="317">
        <f t="shared" ref="AK49" si="19">$Z$49*0.92^(AK48-$Z$48)</f>
        <v>62.343430950175708</v>
      </c>
    </row>
    <row r="50" spans="2:37" x14ac:dyDescent="0.3">
      <c r="B50" s="213" t="s">
        <v>558</v>
      </c>
      <c r="C50" s="213" t="s">
        <v>582</v>
      </c>
      <c r="D50" s="272">
        <v>19.734999999999999</v>
      </c>
      <c r="E50" s="272">
        <v>19.452000000000002</v>
      </c>
      <c r="F50" s="272">
        <v>19.43</v>
      </c>
      <c r="G50" s="272">
        <v>19.414999999999999</v>
      </c>
      <c r="H50" s="272">
        <v>19.402999999999999</v>
      </c>
      <c r="I50" s="272">
        <v>19.393000000000001</v>
      </c>
      <c r="J50" s="272">
        <v>19.385000000000002</v>
      </c>
      <c r="K50" s="272">
        <v>19.378</v>
      </c>
      <c r="M50" s="119" t="s">
        <v>309</v>
      </c>
      <c r="P50" s="213" t="s">
        <v>718</v>
      </c>
      <c r="R50" s="315">
        <f>R49/Q49-1</f>
        <v>-0.22499999999999998</v>
      </c>
      <c r="S50" s="315">
        <f t="shared" ref="S50:Z50" si="20">S49/R49-1</f>
        <v>-0.21357063403781984</v>
      </c>
      <c r="T50" s="315">
        <f t="shared" si="20"/>
        <v>-8.0622347949080631E-2</v>
      </c>
      <c r="U50" s="315">
        <f t="shared" si="20"/>
        <v>-0.11230769230769233</v>
      </c>
      <c r="V50" s="315">
        <f t="shared" si="20"/>
        <v>-0.35355285961871752</v>
      </c>
      <c r="W50" s="315">
        <f t="shared" si="20"/>
        <v>-0.22788203753351211</v>
      </c>
      <c r="X50" s="315">
        <f t="shared" si="20"/>
        <v>-0.25694444444444442</v>
      </c>
      <c r="Y50" s="315">
        <f t="shared" si="20"/>
        <v>-0.17757009345794394</v>
      </c>
      <c r="Z50" s="315">
        <f t="shared" si="20"/>
        <v>-0.11363636363636365</v>
      </c>
      <c r="AA50" s="315">
        <f t="shared" ref="AA50" si="21">AA49/Z49-1</f>
        <v>-7.999999999999996E-2</v>
      </c>
      <c r="AB50" s="315">
        <f t="shared" ref="AB50" si="22">AB49/AA49-1</f>
        <v>-8.0000000000000071E-2</v>
      </c>
      <c r="AC50" s="315">
        <f t="shared" ref="AC50" si="23">AC49/AB49-1</f>
        <v>-7.999999999999996E-2</v>
      </c>
      <c r="AD50" s="315">
        <f t="shared" ref="AD50" si="24">AD49/AC49-1</f>
        <v>-7.9999999999999849E-2</v>
      </c>
      <c r="AE50" s="315">
        <f t="shared" ref="AE50" si="25">AE49/AD49-1</f>
        <v>-7.999999999999996E-2</v>
      </c>
      <c r="AF50" s="315">
        <f t="shared" ref="AF50" si="26">AF49/AE49-1</f>
        <v>-7.999999999999996E-2</v>
      </c>
      <c r="AG50" s="315">
        <f t="shared" ref="AG50" si="27">AG49/AF49-1</f>
        <v>-8.0000000000000071E-2</v>
      </c>
      <c r="AH50" s="315">
        <f t="shared" ref="AH50" si="28">AH49/AG49-1</f>
        <v>-7.999999999999996E-2</v>
      </c>
      <c r="AI50" s="315">
        <f t="shared" ref="AI50" si="29">AI49/AH49-1</f>
        <v>-7.9999999999999849E-2</v>
      </c>
      <c r="AJ50" s="315">
        <f t="shared" ref="AJ50" si="30">AJ49/AI49-1</f>
        <v>-7.999999999999996E-2</v>
      </c>
      <c r="AK50" s="315">
        <f t="shared" ref="AK50" si="31">AK49/AJ49-1</f>
        <v>-8.0000000000000071E-2</v>
      </c>
    </row>
    <row r="51" spans="2:37" x14ac:dyDescent="0.3">
      <c r="B51" s="213" t="s">
        <v>558</v>
      </c>
      <c r="C51" s="213" t="s">
        <v>236</v>
      </c>
      <c r="D51" s="272">
        <v>19.734999999999999</v>
      </c>
      <c r="E51" s="272">
        <v>19.452000000000002</v>
      </c>
      <c r="F51" s="272">
        <v>19.43</v>
      </c>
      <c r="G51" s="272">
        <v>19.414999999999999</v>
      </c>
      <c r="H51" s="272">
        <v>19.402999999999999</v>
      </c>
      <c r="I51" s="272">
        <v>19.393000000000001</v>
      </c>
      <c r="J51" s="272">
        <v>19.385000000000002</v>
      </c>
      <c r="K51" s="272">
        <v>19.378</v>
      </c>
      <c r="M51" s="119" t="s">
        <v>309</v>
      </c>
      <c r="P51" s="318" t="s">
        <v>720</v>
      </c>
      <c r="Q51" s="319">
        <v>0.75</v>
      </c>
      <c r="V51" s="314">
        <v>0.57099999999999995</v>
      </c>
      <c r="AA51" s="314">
        <v>0.30299999999999999</v>
      </c>
      <c r="AF51" s="314">
        <v>0.20200000000000001</v>
      </c>
      <c r="AK51" s="314">
        <v>0.185533</v>
      </c>
    </row>
    <row r="52" spans="2:37" x14ac:dyDescent="0.3">
      <c r="B52" s="213" t="s">
        <v>558</v>
      </c>
      <c r="C52" s="213" t="s">
        <v>56</v>
      </c>
      <c r="D52" s="272">
        <v>35.097999999999999</v>
      </c>
      <c r="E52" s="272">
        <v>33.204999999999998</v>
      </c>
      <c r="F52" s="272">
        <v>30.501000000000001</v>
      </c>
      <c r="G52" s="272">
        <v>29.122</v>
      </c>
      <c r="H52" s="272">
        <v>28.056000000000001</v>
      </c>
      <c r="I52" s="272">
        <v>27.158999999999999</v>
      </c>
      <c r="J52" s="272">
        <v>26.395</v>
      </c>
      <c r="K52" s="272">
        <v>25.727</v>
      </c>
      <c r="M52" s="119" t="s">
        <v>309</v>
      </c>
    </row>
    <row r="53" spans="2:37" x14ac:dyDescent="0.3">
      <c r="B53" s="213" t="s">
        <v>558</v>
      </c>
      <c r="C53" s="213" t="s">
        <v>583</v>
      </c>
      <c r="D53" s="272">
        <v>35.097999999999999</v>
      </c>
      <c r="E53" s="272">
        <v>33.204999999999998</v>
      </c>
      <c r="F53" s="272">
        <v>30.501000000000001</v>
      </c>
      <c r="G53" s="272">
        <v>29.122</v>
      </c>
      <c r="H53" s="272">
        <v>28.056000000000001</v>
      </c>
      <c r="I53" s="272">
        <v>27.158999999999999</v>
      </c>
      <c r="J53" s="272">
        <v>26.395</v>
      </c>
      <c r="K53" s="272">
        <v>25.727</v>
      </c>
      <c r="M53" s="119" t="s">
        <v>309</v>
      </c>
      <c r="Q53" s="317">
        <f>Q49/Q51</f>
        <v>1546.6666666666667</v>
      </c>
      <c r="R53" s="317"/>
      <c r="S53" s="317"/>
      <c r="T53" s="317"/>
      <c r="U53" s="317"/>
      <c r="V53" s="317">
        <f>V49/V51</f>
        <v>653.23992994746061</v>
      </c>
      <c r="W53" s="317"/>
      <c r="X53" s="317"/>
      <c r="Y53" s="317"/>
      <c r="Z53" s="317"/>
      <c r="AA53" s="317">
        <f>AA49/AA51</f>
        <v>473.66336633663371</v>
      </c>
      <c r="AB53" s="317"/>
      <c r="AC53" s="317"/>
      <c r="AD53" s="317"/>
      <c r="AE53" s="317"/>
      <c r="AF53" s="317">
        <f>AF49/AF51</f>
        <v>468.27415945378226</v>
      </c>
      <c r="AG53" s="317"/>
      <c r="AH53" s="317"/>
      <c r="AI53" s="317"/>
      <c r="AJ53" s="317"/>
      <c r="AK53" s="317">
        <f>AK49/AK51</f>
        <v>336.0234079661069</v>
      </c>
    </row>
    <row r="54" spans="2:37" x14ac:dyDescent="0.3">
      <c r="B54" s="213" t="s">
        <v>558</v>
      </c>
      <c r="C54" s="213" t="s">
        <v>238</v>
      </c>
      <c r="D54" s="272">
        <v>35.097999999999999</v>
      </c>
      <c r="E54" s="272">
        <v>33.204999999999998</v>
      </c>
      <c r="F54" s="272">
        <v>30.501000000000001</v>
      </c>
      <c r="G54" s="272">
        <v>29.122</v>
      </c>
      <c r="H54" s="272">
        <v>28.056000000000001</v>
      </c>
      <c r="I54" s="272">
        <v>27.158999999999999</v>
      </c>
      <c r="J54" s="272">
        <v>26.395</v>
      </c>
      <c r="K54" s="272">
        <v>25.727</v>
      </c>
      <c r="M54" s="119" t="s">
        <v>309</v>
      </c>
      <c r="V54" s="314">
        <f>V53/$V$53</f>
        <v>1</v>
      </c>
      <c r="W54" s="314"/>
      <c r="X54" s="314"/>
      <c r="Y54" s="314"/>
      <c r="Z54" s="314"/>
      <c r="AA54" s="314">
        <f>AA53/$V$53</f>
        <v>0.7250986117378494</v>
      </c>
      <c r="AB54" s="314"/>
      <c r="AC54" s="314"/>
      <c r="AD54" s="314"/>
      <c r="AE54" s="314"/>
      <c r="AF54" s="314">
        <f>AF53/$V$53</f>
        <v>0.71684864624158084</v>
      </c>
      <c r="AG54" s="314"/>
      <c r="AH54" s="314"/>
      <c r="AI54" s="314"/>
      <c r="AJ54" s="314"/>
      <c r="AK54" s="314">
        <f>AK53/$V$53</f>
        <v>0.51439508297224401</v>
      </c>
    </row>
    <row r="55" spans="2:37" x14ac:dyDescent="0.3">
      <c r="B55" s="213" t="s">
        <v>558</v>
      </c>
      <c r="C55" s="213" t="s">
        <v>58</v>
      </c>
      <c r="D55" s="272">
        <v>24.67</v>
      </c>
      <c r="E55" s="272">
        <v>23.181999999999999</v>
      </c>
      <c r="F55" s="272">
        <v>22.738</v>
      </c>
      <c r="G55" s="272">
        <v>22.478000000000002</v>
      </c>
      <c r="H55" s="272">
        <v>22.3</v>
      </c>
      <c r="I55" s="272">
        <v>22.170999999999999</v>
      </c>
      <c r="J55" s="272">
        <v>22.068999999999999</v>
      </c>
      <c r="K55" s="272">
        <v>21.995000000000001</v>
      </c>
      <c r="M55" s="119" t="s">
        <v>309</v>
      </c>
      <c r="V55" s="314"/>
      <c r="AA55" s="314"/>
      <c r="AF55" s="314"/>
      <c r="AK55" s="314"/>
    </row>
    <row r="56" spans="2:37" x14ac:dyDescent="0.3">
      <c r="B56" s="213" t="s">
        <v>558</v>
      </c>
      <c r="C56" s="213" t="s">
        <v>584</v>
      </c>
      <c r="D56" s="272">
        <v>24.67</v>
      </c>
      <c r="E56" s="272">
        <v>23.181999999999999</v>
      </c>
      <c r="F56" s="272">
        <v>22.738</v>
      </c>
      <c r="G56" s="272">
        <v>22.478000000000002</v>
      </c>
      <c r="H56" s="272">
        <v>22.3</v>
      </c>
      <c r="I56" s="272">
        <v>22.170999999999999</v>
      </c>
      <c r="J56" s="272">
        <v>22.068999999999999</v>
      </c>
      <c r="K56" s="272">
        <v>21.995000000000001</v>
      </c>
      <c r="M56" s="119" t="s">
        <v>309</v>
      </c>
    </row>
    <row r="57" spans="2:37" x14ac:dyDescent="0.3">
      <c r="B57" s="213" t="s">
        <v>558</v>
      </c>
      <c r="C57" s="213" t="s">
        <v>240</v>
      </c>
      <c r="D57" s="272">
        <v>24.67</v>
      </c>
      <c r="E57" s="272">
        <v>23.181999999999999</v>
      </c>
      <c r="F57" s="272">
        <v>22.738</v>
      </c>
      <c r="G57" s="272">
        <v>22.478000000000002</v>
      </c>
      <c r="H57" s="272">
        <v>22.3</v>
      </c>
      <c r="I57" s="272">
        <v>22.170999999999999</v>
      </c>
      <c r="J57" s="272">
        <v>22.068999999999999</v>
      </c>
      <c r="K57" s="272">
        <v>21.995000000000001</v>
      </c>
      <c r="M57" s="119" t="s">
        <v>309</v>
      </c>
    </row>
    <row r="58" spans="2:37" x14ac:dyDescent="0.3">
      <c r="B58" s="213" t="s">
        <v>558</v>
      </c>
      <c r="C58" s="213" t="s">
        <v>59</v>
      </c>
      <c r="D58" s="272">
        <v>22.67</v>
      </c>
      <c r="E58" s="272">
        <v>21.329000000000001</v>
      </c>
      <c r="F58" s="272">
        <v>20.885999999999999</v>
      </c>
      <c r="G58" s="272">
        <v>20.626000000000001</v>
      </c>
      <c r="H58" s="272">
        <v>20.446000000000002</v>
      </c>
      <c r="I58" s="272">
        <v>20.135999999999999</v>
      </c>
      <c r="J58" s="272">
        <v>20.212</v>
      </c>
      <c r="K58" s="272">
        <v>20.135999999999999</v>
      </c>
      <c r="M58" s="119" t="s">
        <v>309</v>
      </c>
    </row>
    <row r="59" spans="2:37" x14ac:dyDescent="0.3">
      <c r="B59" s="213" t="s">
        <v>558</v>
      </c>
      <c r="C59" s="213" t="s">
        <v>585</v>
      </c>
      <c r="D59" s="272">
        <v>22.67</v>
      </c>
      <c r="E59" s="272">
        <v>21.329000000000001</v>
      </c>
      <c r="F59" s="272">
        <v>20.885999999999999</v>
      </c>
      <c r="G59" s="272">
        <v>20.626000000000001</v>
      </c>
      <c r="H59" s="272">
        <v>20.446000000000002</v>
      </c>
      <c r="I59" s="272">
        <v>20.135999999999999</v>
      </c>
      <c r="J59" s="272">
        <v>20.212</v>
      </c>
      <c r="K59" s="272">
        <v>20.135999999999999</v>
      </c>
      <c r="M59" s="119" t="s">
        <v>309</v>
      </c>
    </row>
    <row r="60" spans="2:37" x14ac:dyDescent="0.3">
      <c r="B60" s="213" t="s">
        <v>558</v>
      </c>
      <c r="C60" s="213" t="s">
        <v>242</v>
      </c>
      <c r="D60" s="272">
        <v>22.67</v>
      </c>
      <c r="E60" s="272">
        <v>21.329000000000001</v>
      </c>
      <c r="F60" s="272">
        <v>20.885999999999999</v>
      </c>
      <c r="G60" s="272">
        <v>20.626000000000001</v>
      </c>
      <c r="H60" s="272">
        <v>20.446000000000002</v>
      </c>
      <c r="I60" s="272">
        <v>20.135999999999999</v>
      </c>
      <c r="J60" s="272">
        <v>20.212</v>
      </c>
      <c r="K60" s="272">
        <v>20.135999999999999</v>
      </c>
      <c r="M60" s="119" t="s">
        <v>309</v>
      </c>
    </row>
    <row r="61" spans="2:37" x14ac:dyDescent="0.3">
      <c r="B61" s="213" t="s">
        <v>558</v>
      </c>
      <c r="C61" s="213" t="s">
        <v>60</v>
      </c>
      <c r="D61" s="272">
        <f>D49*1.05</f>
        <v>20.72175</v>
      </c>
      <c r="E61" s="272">
        <f t="shared" ref="E61:K61" si="32">E49*1.05</f>
        <v>20.424600000000002</v>
      </c>
      <c r="F61" s="272">
        <f t="shared" si="32"/>
        <v>20.401500000000002</v>
      </c>
      <c r="G61" s="272">
        <f t="shared" si="32"/>
        <v>20.385750000000002</v>
      </c>
      <c r="H61" s="272">
        <f t="shared" si="32"/>
        <v>20.373149999999999</v>
      </c>
      <c r="I61" s="272">
        <f t="shared" si="32"/>
        <v>20.362650000000002</v>
      </c>
      <c r="J61" s="272">
        <f t="shared" si="32"/>
        <v>20.354250000000004</v>
      </c>
      <c r="K61" s="272">
        <f t="shared" si="32"/>
        <v>20.346900000000002</v>
      </c>
      <c r="M61" s="119" t="s">
        <v>704</v>
      </c>
    </row>
    <row r="62" spans="2:37" x14ac:dyDescent="0.3">
      <c r="B62" s="213" t="s">
        <v>558</v>
      </c>
      <c r="C62" s="213" t="s">
        <v>586</v>
      </c>
      <c r="D62" s="272">
        <f t="shared" ref="D62:K62" si="33">D50*1.05</f>
        <v>20.72175</v>
      </c>
      <c r="E62" s="272">
        <f t="shared" si="33"/>
        <v>20.424600000000002</v>
      </c>
      <c r="F62" s="272">
        <f t="shared" si="33"/>
        <v>20.401500000000002</v>
      </c>
      <c r="G62" s="272">
        <f t="shared" si="33"/>
        <v>20.385750000000002</v>
      </c>
      <c r="H62" s="272">
        <f t="shared" si="33"/>
        <v>20.373149999999999</v>
      </c>
      <c r="I62" s="272">
        <f t="shared" si="33"/>
        <v>20.362650000000002</v>
      </c>
      <c r="J62" s="272">
        <f t="shared" si="33"/>
        <v>20.354250000000004</v>
      </c>
      <c r="K62" s="272">
        <f t="shared" si="33"/>
        <v>20.346900000000002</v>
      </c>
      <c r="M62" s="119" t="s">
        <v>704</v>
      </c>
    </row>
    <row r="63" spans="2:37" x14ac:dyDescent="0.3">
      <c r="B63" s="213" t="s">
        <v>558</v>
      </c>
      <c r="C63" s="213" t="s">
        <v>244</v>
      </c>
      <c r="D63" s="272">
        <f t="shared" ref="D63:K63" si="34">D51*1.05</f>
        <v>20.72175</v>
      </c>
      <c r="E63" s="272">
        <f t="shared" si="34"/>
        <v>20.424600000000002</v>
      </c>
      <c r="F63" s="272">
        <f t="shared" si="34"/>
        <v>20.401500000000002</v>
      </c>
      <c r="G63" s="272">
        <f t="shared" si="34"/>
        <v>20.385750000000002</v>
      </c>
      <c r="H63" s="272">
        <f t="shared" si="34"/>
        <v>20.373149999999999</v>
      </c>
      <c r="I63" s="272">
        <f t="shared" si="34"/>
        <v>20.362650000000002</v>
      </c>
      <c r="J63" s="272">
        <f t="shared" si="34"/>
        <v>20.354250000000004</v>
      </c>
      <c r="K63" s="272">
        <f t="shared" si="34"/>
        <v>20.346900000000002</v>
      </c>
      <c r="M63" s="119" t="s">
        <v>704</v>
      </c>
    </row>
    <row r="64" spans="2:37" x14ac:dyDescent="0.3">
      <c r="B64" s="213" t="s">
        <v>558</v>
      </c>
      <c r="C64" s="213" t="s">
        <v>601</v>
      </c>
      <c r="D64" s="272">
        <f>D49*1.05</f>
        <v>20.72175</v>
      </c>
      <c r="E64" s="272">
        <f t="shared" ref="E64:K64" si="35">E49*1.05</f>
        <v>20.424600000000002</v>
      </c>
      <c r="F64" s="272">
        <f t="shared" si="35"/>
        <v>20.401500000000002</v>
      </c>
      <c r="G64" s="272">
        <f t="shared" si="35"/>
        <v>20.385750000000002</v>
      </c>
      <c r="H64" s="272">
        <f t="shared" si="35"/>
        <v>20.373149999999999</v>
      </c>
      <c r="I64" s="272">
        <f t="shared" si="35"/>
        <v>20.362650000000002</v>
      </c>
      <c r="J64" s="272">
        <f t="shared" si="35"/>
        <v>20.354250000000004</v>
      </c>
      <c r="K64" s="272">
        <f t="shared" si="35"/>
        <v>20.346900000000002</v>
      </c>
      <c r="M64" s="119" t="s">
        <v>704</v>
      </c>
    </row>
    <row r="65" spans="2:13" x14ac:dyDescent="0.3">
      <c r="B65" s="213" t="s">
        <v>558</v>
      </c>
      <c r="C65" s="213" t="s">
        <v>604</v>
      </c>
      <c r="D65" s="272">
        <f t="shared" ref="D65:K65" si="36">D50*1.05</f>
        <v>20.72175</v>
      </c>
      <c r="E65" s="272">
        <f t="shared" si="36"/>
        <v>20.424600000000002</v>
      </c>
      <c r="F65" s="272">
        <f t="shared" si="36"/>
        <v>20.401500000000002</v>
      </c>
      <c r="G65" s="272">
        <f t="shared" si="36"/>
        <v>20.385750000000002</v>
      </c>
      <c r="H65" s="272">
        <f t="shared" si="36"/>
        <v>20.373149999999999</v>
      </c>
      <c r="I65" s="272">
        <f t="shared" si="36"/>
        <v>20.362650000000002</v>
      </c>
      <c r="J65" s="272">
        <f t="shared" si="36"/>
        <v>20.354250000000004</v>
      </c>
      <c r="K65" s="272">
        <f t="shared" si="36"/>
        <v>20.346900000000002</v>
      </c>
      <c r="M65" s="119" t="s">
        <v>704</v>
      </c>
    </row>
    <row r="66" spans="2:13" x14ac:dyDescent="0.3">
      <c r="B66" s="213" t="s">
        <v>558</v>
      </c>
      <c r="C66" s="213" t="s">
        <v>602</v>
      </c>
      <c r="D66" s="272">
        <f t="shared" ref="D66:K66" si="37">D51*1.05</f>
        <v>20.72175</v>
      </c>
      <c r="E66" s="272">
        <f t="shared" si="37"/>
        <v>20.424600000000002</v>
      </c>
      <c r="F66" s="272">
        <f t="shared" si="37"/>
        <v>20.401500000000002</v>
      </c>
      <c r="G66" s="272">
        <f t="shared" si="37"/>
        <v>20.385750000000002</v>
      </c>
      <c r="H66" s="272">
        <f t="shared" si="37"/>
        <v>20.373149999999999</v>
      </c>
      <c r="I66" s="272">
        <f t="shared" si="37"/>
        <v>20.362650000000002</v>
      </c>
      <c r="J66" s="272">
        <f t="shared" si="37"/>
        <v>20.354250000000004</v>
      </c>
      <c r="K66" s="272">
        <f t="shared" si="37"/>
        <v>20.346900000000002</v>
      </c>
      <c r="M66" s="119" t="s">
        <v>704</v>
      </c>
    </row>
    <row r="67" spans="2:13" x14ac:dyDescent="0.3">
      <c r="B67" s="213" t="s">
        <v>558</v>
      </c>
      <c r="C67" s="213" t="s">
        <v>63</v>
      </c>
      <c r="D67" s="272">
        <v>32.155000000000001</v>
      </c>
      <c r="E67" s="272">
        <v>29.478999999999999</v>
      </c>
      <c r="F67" s="272">
        <v>27.831</v>
      </c>
      <c r="G67" s="272">
        <v>26.962</v>
      </c>
      <c r="H67" s="272">
        <v>26.277000000000001</v>
      </c>
      <c r="I67" s="272">
        <v>25.709</v>
      </c>
      <c r="J67" s="272">
        <v>25.244</v>
      </c>
      <c r="K67" s="272">
        <v>24.864000000000001</v>
      </c>
      <c r="M67" s="119" t="s">
        <v>309</v>
      </c>
    </row>
    <row r="68" spans="2:13" x14ac:dyDescent="0.3">
      <c r="B68" s="213" t="s">
        <v>558</v>
      </c>
      <c r="C68" s="213" t="s">
        <v>587</v>
      </c>
      <c r="D68" s="272">
        <v>32.155000000000001</v>
      </c>
      <c r="E68" s="272">
        <v>29.478999999999999</v>
      </c>
      <c r="F68" s="272">
        <v>27.831</v>
      </c>
      <c r="G68" s="272">
        <v>26.962</v>
      </c>
      <c r="H68" s="272">
        <v>26.277000000000001</v>
      </c>
      <c r="I68" s="272">
        <v>25.709</v>
      </c>
      <c r="J68" s="272">
        <v>25.244</v>
      </c>
      <c r="K68" s="272">
        <v>24.864000000000001</v>
      </c>
      <c r="M68" s="119" t="s">
        <v>309</v>
      </c>
    </row>
    <row r="69" spans="2:13" x14ac:dyDescent="0.3">
      <c r="B69" s="213" t="s">
        <v>558</v>
      </c>
      <c r="C69" s="213" t="s">
        <v>246</v>
      </c>
      <c r="D69" s="272">
        <v>32.155000000000001</v>
      </c>
      <c r="E69" s="272">
        <v>29.478999999999999</v>
      </c>
      <c r="F69" s="272">
        <v>27.831</v>
      </c>
      <c r="G69" s="272">
        <v>26.962</v>
      </c>
      <c r="H69" s="272">
        <v>26.277000000000001</v>
      </c>
      <c r="I69" s="272">
        <v>25.709</v>
      </c>
      <c r="J69" s="272">
        <v>25.244</v>
      </c>
      <c r="K69" s="272">
        <v>24.864000000000001</v>
      </c>
      <c r="M69" s="119" t="s">
        <v>309</v>
      </c>
    </row>
    <row r="70" spans="2:13" x14ac:dyDescent="0.3">
      <c r="B70" s="213" t="s">
        <v>558</v>
      </c>
      <c r="C70" s="213" t="s">
        <v>64</v>
      </c>
      <c r="D70" s="272">
        <v>30.745000000000001</v>
      </c>
      <c r="E70" s="272">
        <v>28.067</v>
      </c>
      <c r="F70" s="272">
        <v>26.41</v>
      </c>
      <c r="G70" s="272">
        <v>25.536000000000001</v>
      </c>
      <c r="H70" s="272">
        <v>24.844999999999999</v>
      </c>
      <c r="I70" s="272">
        <v>24.273</v>
      </c>
      <c r="J70" s="272">
        <v>23.803000000000001</v>
      </c>
      <c r="K70" s="272">
        <v>23.42</v>
      </c>
      <c r="M70" s="119" t="s">
        <v>309</v>
      </c>
    </row>
    <row r="71" spans="2:13" x14ac:dyDescent="0.3">
      <c r="B71" s="213" t="s">
        <v>558</v>
      </c>
      <c r="C71" s="213" t="s">
        <v>588</v>
      </c>
      <c r="D71" s="272">
        <v>30.745000000000001</v>
      </c>
      <c r="E71" s="272">
        <v>28.067</v>
      </c>
      <c r="F71" s="272">
        <v>26.41</v>
      </c>
      <c r="G71" s="272">
        <v>25.536000000000001</v>
      </c>
      <c r="H71" s="272">
        <v>24.844999999999999</v>
      </c>
      <c r="I71" s="272">
        <v>24.273</v>
      </c>
      <c r="J71" s="272">
        <v>23.803000000000001</v>
      </c>
      <c r="K71" s="272">
        <v>23.42</v>
      </c>
      <c r="M71" s="119" t="s">
        <v>309</v>
      </c>
    </row>
    <row r="72" spans="2:13" x14ac:dyDescent="0.3">
      <c r="B72" s="217" t="s">
        <v>558</v>
      </c>
      <c r="C72" s="217" t="s">
        <v>248</v>
      </c>
      <c r="D72" s="117">
        <v>30.745000000000001</v>
      </c>
      <c r="E72" s="117">
        <v>28.067</v>
      </c>
      <c r="F72" s="117">
        <v>26.41</v>
      </c>
      <c r="G72" s="117">
        <v>25.536000000000001</v>
      </c>
      <c r="H72" s="117">
        <v>24.844999999999999</v>
      </c>
      <c r="I72" s="117">
        <v>24.273</v>
      </c>
      <c r="J72" s="117">
        <v>23.803000000000001</v>
      </c>
      <c r="K72" s="117">
        <v>23.42</v>
      </c>
      <c r="M72" s="147" t="s">
        <v>309</v>
      </c>
    </row>
    <row r="73" spans="2:13" x14ac:dyDescent="0.3">
      <c r="B73" s="213" t="s">
        <v>469</v>
      </c>
      <c r="C73" s="213" t="s">
        <v>133</v>
      </c>
      <c r="D73" s="272">
        <v>21.434999999999999</v>
      </c>
      <c r="E73" s="272">
        <v>21.155000000000001</v>
      </c>
      <c r="F73" s="272">
        <v>21.132000000000001</v>
      </c>
      <c r="G73" s="272">
        <v>21.117999999999999</v>
      </c>
      <c r="H73" s="272">
        <v>21.108000000000001</v>
      </c>
      <c r="I73" s="272">
        <v>21.1</v>
      </c>
      <c r="J73" s="272">
        <v>21.093</v>
      </c>
      <c r="K73" s="272">
        <v>21.088000000000001</v>
      </c>
      <c r="M73" s="119" t="s">
        <v>432</v>
      </c>
    </row>
    <row r="74" spans="2:13" x14ac:dyDescent="0.3">
      <c r="B74" s="213" t="s">
        <v>469</v>
      </c>
      <c r="C74" s="213" t="s">
        <v>250</v>
      </c>
      <c r="D74" s="272">
        <v>21.434999999999999</v>
      </c>
      <c r="E74" s="272">
        <v>21.155000000000001</v>
      </c>
      <c r="F74" s="272">
        <v>21.132000000000001</v>
      </c>
      <c r="G74" s="272">
        <v>21.117999999999999</v>
      </c>
      <c r="H74" s="272">
        <v>21.108000000000001</v>
      </c>
      <c r="I74" s="272">
        <v>21.1</v>
      </c>
      <c r="J74" s="272">
        <v>21.093</v>
      </c>
      <c r="K74" s="272">
        <v>21.088000000000001</v>
      </c>
      <c r="M74" s="119"/>
    </row>
    <row r="75" spans="2:13" x14ac:dyDescent="0.3">
      <c r="B75" s="213" t="s">
        <v>469</v>
      </c>
      <c r="C75" s="213" t="s">
        <v>135</v>
      </c>
      <c r="D75" s="272">
        <v>23.578499999999998</v>
      </c>
      <c r="E75" s="272">
        <v>23.270500000000002</v>
      </c>
      <c r="F75" s="272">
        <v>23.245200000000004</v>
      </c>
      <c r="G75" s="272">
        <v>23.229800000000001</v>
      </c>
      <c r="H75" s="272">
        <v>23.218800000000002</v>
      </c>
      <c r="I75" s="272">
        <v>23.210000000000004</v>
      </c>
      <c r="J75" s="272">
        <v>23.202300000000001</v>
      </c>
      <c r="K75" s="272">
        <v>23.196800000000003</v>
      </c>
      <c r="M75" s="119" t="s">
        <v>596</v>
      </c>
    </row>
    <row r="76" spans="2:13" x14ac:dyDescent="0.3">
      <c r="B76" s="213" t="s">
        <v>469</v>
      </c>
      <c r="C76" s="213" t="s">
        <v>252</v>
      </c>
      <c r="D76" s="272">
        <v>23.578499999999998</v>
      </c>
      <c r="E76" s="272">
        <v>23.270500000000002</v>
      </c>
      <c r="F76" s="272">
        <v>23.245200000000004</v>
      </c>
      <c r="G76" s="272">
        <v>23.229800000000001</v>
      </c>
      <c r="H76" s="272">
        <v>23.218800000000002</v>
      </c>
      <c r="I76" s="272">
        <v>23.210000000000004</v>
      </c>
      <c r="J76" s="272">
        <v>23.202300000000001</v>
      </c>
      <c r="K76" s="272">
        <v>23.196800000000003</v>
      </c>
      <c r="M76" s="119" t="s">
        <v>596</v>
      </c>
    </row>
    <row r="77" spans="2:13" x14ac:dyDescent="0.3">
      <c r="B77" s="213" t="s">
        <v>469</v>
      </c>
      <c r="C77" s="213" t="s">
        <v>137</v>
      </c>
      <c r="D77" s="272">
        <v>21.434999999999999</v>
      </c>
      <c r="E77" s="272">
        <v>21.155000000000001</v>
      </c>
      <c r="F77" s="272">
        <v>21.132000000000001</v>
      </c>
      <c r="G77" s="272">
        <v>21.117999999999999</v>
      </c>
      <c r="H77" s="272">
        <v>21.108000000000001</v>
      </c>
      <c r="I77" s="272">
        <v>21.1</v>
      </c>
      <c r="J77" s="272">
        <v>21.093</v>
      </c>
      <c r="K77" s="272">
        <v>21.088000000000001</v>
      </c>
      <c r="M77" s="119" t="s">
        <v>309</v>
      </c>
    </row>
    <row r="78" spans="2:13" x14ac:dyDescent="0.3">
      <c r="B78" s="213" t="s">
        <v>469</v>
      </c>
      <c r="C78" s="213" t="s">
        <v>254</v>
      </c>
      <c r="D78" s="272">
        <v>21.434999999999999</v>
      </c>
      <c r="E78" s="272">
        <v>21.155000000000001</v>
      </c>
      <c r="F78" s="272">
        <v>21.132000000000001</v>
      </c>
      <c r="G78" s="272">
        <v>21.117999999999999</v>
      </c>
      <c r="H78" s="272">
        <v>21.108000000000001</v>
      </c>
      <c r="I78" s="272">
        <v>21.1</v>
      </c>
      <c r="J78" s="272">
        <v>21.093</v>
      </c>
      <c r="K78" s="272">
        <v>21.088000000000001</v>
      </c>
      <c r="M78" s="119"/>
    </row>
    <row r="79" spans="2:13" x14ac:dyDescent="0.3">
      <c r="B79" s="213" t="s">
        <v>469</v>
      </c>
      <c r="C79" s="213" t="s">
        <v>139</v>
      </c>
      <c r="D79" s="272">
        <v>41.054000000000002</v>
      </c>
      <c r="E79" s="272">
        <v>35.389000000000003</v>
      </c>
      <c r="F79" s="272">
        <v>31.187999999999999</v>
      </c>
      <c r="G79" s="272">
        <v>29.695</v>
      </c>
      <c r="H79" s="272">
        <v>28.536999999999999</v>
      </c>
      <c r="I79" s="272">
        <v>27.753</v>
      </c>
      <c r="J79" s="272">
        <v>27.114000000000001</v>
      </c>
      <c r="K79" s="272">
        <v>26.594000000000001</v>
      </c>
      <c r="M79" s="119" t="s">
        <v>309</v>
      </c>
    </row>
    <row r="80" spans="2:13" x14ac:dyDescent="0.3">
      <c r="B80" s="213" t="s">
        <v>469</v>
      </c>
      <c r="C80" s="213" t="s">
        <v>256</v>
      </c>
      <c r="D80" s="272">
        <v>41.054000000000002</v>
      </c>
      <c r="E80" s="272">
        <v>35.389000000000003</v>
      </c>
      <c r="F80" s="272">
        <v>31.187999999999999</v>
      </c>
      <c r="G80" s="272">
        <v>29.695</v>
      </c>
      <c r="H80" s="272">
        <v>28.536999999999999</v>
      </c>
      <c r="I80" s="272">
        <v>27.753</v>
      </c>
      <c r="J80" s="272">
        <v>27.114000000000001</v>
      </c>
      <c r="K80" s="272">
        <v>26.594000000000001</v>
      </c>
      <c r="M80" s="119"/>
    </row>
    <row r="81" spans="2:13" x14ac:dyDescent="0.3">
      <c r="B81" s="213" t="s">
        <v>469</v>
      </c>
      <c r="C81" s="213" t="s">
        <v>141</v>
      </c>
      <c r="D81" s="272">
        <v>19.734999999999999</v>
      </c>
      <c r="E81" s="272">
        <v>19.452000000000002</v>
      </c>
      <c r="F81" s="272">
        <v>19.43</v>
      </c>
      <c r="G81" s="272">
        <v>19.414999999999999</v>
      </c>
      <c r="H81" s="272">
        <v>19.402999999999999</v>
      </c>
      <c r="I81" s="272">
        <v>19.393000000000001</v>
      </c>
      <c r="J81" s="272">
        <v>19.385000000000002</v>
      </c>
      <c r="K81" s="272">
        <v>19.378</v>
      </c>
      <c r="M81" s="119" t="s">
        <v>310</v>
      </c>
    </row>
    <row r="82" spans="2:13" x14ac:dyDescent="0.3">
      <c r="B82" s="213" t="s">
        <v>469</v>
      </c>
      <c r="C82" s="213" t="s">
        <v>258</v>
      </c>
      <c r="D82" s="272">
        <v>19.734999999999999</v>
      </c>
      <c r="E82" s="272">
        <v>19.452000000000002</v>
      </c>
      <c r="F82" s="272">
        <v>19.43</v>
      </c>
      <c r="G82" s="272">
        <v>19.414999999999999</v>
      </c>
      <c r="H82" s="272">
        <v>19.402999999999999</v>
      </c>
      <c r="I82" s="272">
        <v>19.393000000000001</v>
      </c>
      <c r="J82" s="272">
        <v>19.385000000000002</v>
      </c>
      <c r="K82" s="272">
        <v>19.378</v>
      </c>
      <c r="M82" s="119"/>
    </row>
    <row r="83" spans="2:13" x14ac:dyDescent="0.3">
      <c r="B83" s="213" t="s">
        <v>469</v>
      </c>
      <c r="C83" s="213" t="s">
        <v>143</v>
      </c>
      <c r="D83" s="272">
        <v>19.734999999999999</v>
      </c>
      <c r="E83" s="272">
        <v>19.452000000000002</v>
      </c>
      <c r="F83" s="272">
        <v>19.43</v>
      </c>
      <c r="G83" s="272">
        <v>19.414999999999999</v>
      </c>
      <c r="H83" s="272">
        <v>19.402999999999999</v>
      </c>
      <c r="I83" s="272">
        <v>19.393000000000001</v>
      </c>
      <c r="J83" s="272">
        <v>19.385000000000002</v>
      </c>
      <c r="K83" s="272">
        <v>19.378</v>
      </c>
      <c r="M83" s="119" t="s">
        <v>310</v>
      </c>
    </row>
    <row r="84" spans="2:13" x14ac:dyDescent="0.3">
      <c r="B84" s="213" t="s">
        <v>469</v>
      </c>
      <c r="C84" s="213" t="s">
        <v>260</v>
      </c>
      <c r="D84" s="272">
        <v>19.734999999999999</v>
      </c>
      <c r="E84" s="272">
        <v>19.452000000000002</v>
      </c>
      <c r="F84" s="272">
        <v>19.43</v>
      </c>
      <c r="G84" s="272">
        <v>19.414999999999999</v>
      </c>
      <c r="H84" s="272">
        <v>19.402999999999999</v>
      </c>
      <c r="I84" s="272">
        <v>19.393000000000001</v>
      </c>
      <c r="J84" s="272">
        <v>19.385000000000002</v>
      </c>
      <c r="K84" s="272">
        <v>19.378</v>
      </c>
      <c r="M84" s="119"/>
    </row>
    <row r="85" spans="2:13" x14ac:dyDescent="0.3">
      <c r="B85" s="213" t="s">
        <v>469</v>
      </c>
      <c r="C85" s="213" t="s">
        <v>145</v>
      </c>
      <c r="D85" s="272">
        <v>19.734999999999999</v>
      </c>
      <c r="E85" s="272">
        <v>19.452000000000002</v>
      </c>
      <c r="F85" s="272">
        <v>19.43</v>
      </c>
      <c r="G85" s="272">
        <v>19.414999999999999</v>
      </c>
      <c r="H85" s="272">
        <v>19.402999999999999</v>
      </c>
      <c r="I85" s="272">
        <v>19.393000000000001</v>
      </c>
      <c r="J85" s="272">
        <v>19.385000000000002</v>
      </c>
      <c r="K85" s="272">
        <v>19.378</v>
      </c>
      <c r="M85" s="119" t="s">
        <v>309</v>
      </c>
    </row>
    <row r="86" spans="2:13" x14ac:dyDescent="0.3">
      <c r="B86" s="213" t="s">
        <v>469</v>
      </c>
      <c r="C86" s="213" t="s">
        <v>262</v>
      </c>
      <c r="D86" s="272">
        <v>19.734999999999999</v>
      </c>
      <c r="E86" s="272">
        <v>19.452000000000002</v>
      </c>
      <c r="F86" s="272">
        <v>19.43</v>
      </c>
      <c r="G86" s="272">
        <v>19.414999999999999</v>
      </c>
      <c r="H86" s="272">
        <v>19.402999999999999</v>
      </c>
      <c r="I86" s="272">
        <v>19.393000000000001</v>
      </c>
      <c r="J86" s="272">
        <v>19.385000000000002</v>
      </c>
      <c r="K86" s="272">
        <v>19.378</v>
      </c>
      <c r="M86" s="119"/>
    </row>
    <row r="87" spans="2:13" x14ac:dyDescent="0.3">
      <c r="B87" s="213" t="s">
        <v>469</v>
      </c>
      <c r="C87" s="213" t="s">
        <v>147</v>
      </c>
      <c r="D87" s="272">
        <v>35.097999999999999</v>
      </c>
      <c r="E87" s="272">
        <v>33.204999999999998</v>
      </c>
      <c r="F87" s="272">
        <v>30.501000000000001</v>
      </c>
      <c r="G87" s="272">
        <v>29.122</v>
      </c>
      <c r="H87" s="272">
        <v>28.056000000000001</v>
      </c>
      <c r="I87" s="272">
        <v>27.158999999999999</v>
      </c>
      <c r="J87" s="272">
        <v>26.395</v>
      </c>
      <c r="K87" s="272">
        <v>25.727</v>
      </c>
      <c r="M87" s="119" t="s">
        <v>309</v>
      </c>
    </row>
    <row r="88" spans="2:13" x14ac:dyDescent="0.3">
      <c r="B88" s="213" t="s">
        <v>469</v>
      </c>
      <c r="C88" s="213" t="s">
        <v>264</v>
      </c>
      <c r="D88" s="272">
        <v>35.097999999999999</v>
      </c>
      <c r="E88" s="272">
        <v>33.204999999999998</v>
      </c>
      <c r="F88" s="272">
        <v>30.501000000000001</v>
      </c>
      <c r="G88" s="272">
        <v>29.122</v>
      </c>
      <c r="H88" s="272">
        <v>28.056000000000001</v>
      </c>
      <c r="I88" s="272">
        <v>27.158999999999999</v>
      </c>
      <c r="J88" s="272">
        <v>26.395</v>
      </c>
      <c r="K88" s="272">
        <v>25.727</v>
      </c>
      <c r="M88" s="119"/>
    </row>
    <row r="89" spans="2:13" x14ac:dyDescent="0.3">
      <c r="B89" s="213" t="s">
        <v>469</v>
      </c>
      <c r="C89" s="213" t="s">
        <v>150</v>
      </c>
      <c r="D89" s="272">
        <v>24.67</v>
      </c>
      <c r="E89" s="272">
        <v>23.181999999999999</v>
      </c>
      <c r="F89" s="272">
        <v>22.738</v>
      </c>
      <c r="G89" s="272">
        <v>22.478000000000002</v>
      </c>
      <c r="H89" s="272">
        <v>22.3</v>
      </c>
      <c r="I89" s="272">
        <v>22.170999999999999</v>
      </c>
      <c r="J89" s="272">
        <v>22.068999999999999</v>
      </c>
      <c r="K89" s="272">
        <v>21.995000000000001</v>
      </c>
      <c r="M89" s="119" t="s">
        <v>309</v>
      </c>
    </row>
    <row r="90" spans="2:13" x14ac:dyDescent="0.3">
      <c r="B90" s="213" t="s">
        <v>469</v>
      </c>
      <c r="C90" s="213" t="s">
        <v>311</v>
      </c>
      <c r="D90" s="272">
        <v>24.67</v>
      </c>
      <c r="E90" s="272">
        <v>23.181999999999999</v>
      </c>
      <c r="F90" s="272">
        <v>22.738</v>
      </c>
      <c r="G90" s="272">
        <v>22.478000000000002</v>
      </c>
      <c r="H90" s="272">
        <v>22.3</v>
      </c>
      <c r="I90" s="272">
        <v>22.170999999999999</v>
      </c>
      <c r="J90" s="272">
        <v>22.068999999999999</v>
      </c>
      <c r="K90" s="272">
        <v>21.995000000000001</v>
      </c>
      <c r="M90" s="119"/>
    </row>
    <row r="91" spans="2:13" x14ac:dyDescent="0.3">
      <c r="B91" s="213" t="s">
        <v>469</v>
      </c>
      <c r="C91" s="213" t="s">
        <v>152</v>
      </c>
      <c r="D91" s="272">
        <v>22.67</v>
      </c>
      <c r="E91" s="272">
        <v>21.329000000000001</v>
      </c>
      <c r="F91" s="272">
        <v>20.885999999999999</v>
      </c>
      <c r="G91" s="272">
        <v>20.626000000000001</v>
      </c>
      <c r="H91" s="272">
        <v>20.446000000000002</v>
      </c>
      <c r="I91" s="272">
        <v>20.135999999999999</v>
      </c>
      <c r="J91" s="272">
        <v>20.212</v>
      </c>
      <c r="K91" s="272">
        <v>20.135999999999999</v>
      </c>
      <c r="M91" s="119" t="s">
        <v>309</v>
      </c>
    </row>
    <row r="92" spans="2:13" x14ac:dyDescent="0.3">
      <c r="B92" s="213" t="s">
        <v>469</v>
      </c>
      <c r="C92" s="213" t="s">
        <v>312</v>
      </c>
      <c r="D92" s="272">
        <v>22.67</v>
      </c>
      <c r="E92" s="272">
        <v>21.329000000000001</v>
      </c>
      <c r="F92" s="272">
        <v>20.885999999999999</v>
      </c>
      <c r="G92" s="272">
        <v>20.626000000000001</v>
      </c>
      <c r="H92" s="272">
        <v>20.446000000000002</v>
      </c>
      <c r="I92" s="272">
        <v>20.135999999999999</v>
      </c>
      <c r="J92" s="272">
        <v>20.212</v>
      </c>
      <c r="K92" s="272">
        <v>20.135999999999999</v>
      </c>
      <c r="M92" s="119"/>
    </row>
    <row r="93" spans="2:13" x14ac:dyDescent="0.3">
      <c r="B93" s="213" t="s">
        <v>469</v>
      </c>
      <c r="C93" s="213" t="s">
        <v>149</v>
      </c>
      <c r="D93" s="272">
        <v>19.734999999999999</v>
      </c>
      <c r="E93" s="272">
        <v>19.452000000000002</v>
      </c>
      <c r="F93" s="272">
        <v>19.43</v>
      </c>
      <c r="G93" s="272">
        <v>19.414999999999999</v>
      </c>
      <c r="H93" s="272">
        <v>19.402999999999999</v>
      </c>
      <c r="I93" s="272">
        <v>19.393000000000001</v>
      </c>
      <c r="J93" s="272">
        <v>19.385000000000002</v>
      </c>
      <c r="K93" s="272">
        <v>19.378</v>
      </c>
      <c r="M93" s="119" t="s">
        <v>310</v>
      </c>
    </row>
    <row r="94" spans="2:13" x14ac:dyDescent="0.3">
      <c r="B94" s="213" t="s">
        <v>469</v>
      </c>
      <c r="C94" s="213" t="s">
        <v>266</v>
      </c>
      <c r="D94" s="272">
        <v>19.734999999999999</v>
      </c>
      <c r="E94" s="272">
        <v>19.452000000000002</v>
      </c>
      <c r="F94" s="272">
        <v>19.43</v>
      </c>
      <c r="G94" s="272">
        <v>19.414999999999999</v>
      </c>
      <c r="H94" s="272">
        <v>19.402999999999999</v>
      </c>
      <c r="I94" s="272">
        <v>19.393000000000001</v>
      </c>
      <c r="J94" s="272">
        <v>19.385000000000002</v>
      </c>
      <c r="K94" s="272">
        <v>19.378</v>
      </c>
      <c r="M94" s="119"/>
    </row>
    <row r="95" spans="2:13" x14ac:dyDescent="0.3">
      <c r="B95" s="213" t="s">
        <v>469</v>
      </c>
      <c r="C95" s="213" t="s">
        <v>610</v>
      </c>
      <c r="D95" s="272">
        <v>19.734999999999999</v>
      </c>
      <c r="E95" s="272">
        <v>19.452000000000002</v>
      </c>
      <c r="F95" s="272">
        <v>19.43</v>
      </c>
      <c r="G95" s="272">
        <v>19.414999999999999</v>
      </c>
      <c r="H95" s="272">
        <v>19.402999999999999</v>
      </c>
      <c r="I95" s="272">
        <v>19.393000000000001</v>
      </c>
      <c r="J95" s="272">
        <v>19.385000000000002</v>
      </c>
      <c r="K95" s="272">
        <v>19.378</v>
      </c>
      <c r="M95" s="119" t="s">
        <v>310</v>
      </c>
    </row>
    <row r="96" spans="2:13" x14ac:dyDescent="0.3">
      <c r="B96" s="213" t="s">
        <v>469</v>
      </c>
      <c r="C96" s="213" t="s">
        <v>611</v>
      </c>
      <c r="D96" s="272">
        <v>19.734999999999999</v>
      </c>
      <c r="E96" s="272">
        <v>19.452000000000002</v>
      </c>
      <c r="F96" s="272">
        <v>19.43</v>
      </c>
      <c r="G96" s="272">
        <v>19.414999999999999</v>
      </c>
      <c r="H96" s="272">
        <v>19.402999999999999</v>
      </c>
      <c r="I96" s="272">
        <v>19.393000000000001</v>
      </c>
      <c r="J96" s="272">
        <v>19.385000000000002</v>
      </c>
      <c r="K96" s="272">
        <v>19.378</v>
      </c>
      <c r="M96" s="119"/>
    </row>
    <row r="97" spans="2:13" x14ac:dyDescent="0.3">
      <c r="B97" s="213" t="s">
        <v>469</v>
      </c>
      <c r="C97" s="213" t="s">
        <v>153</v>
      </c>
      <c r="D97" s="272">
        <v>32.155000000000001</v>
      </c>
      <c r="E97" s="272">
        <v>29.478999999999999</v>
      </c>
      <c r="F97" s="272">
        <v>27.831</v>
      </c>
      <c r="G97" s="272">
        <v>26.962</v>
      </c>
      <c r="H97" s="272">
        <v>26.277000000000001</v>
      </c>
      <c r="I97" s="272">
        <v>25.709</v>
      </c>
      <c r="J97" s="272">
        <v>25.244</v>
      </c>
      <c r="K97" s="272">
        <v>24.864000000000001</v>
      </c>
      <c r="M97" s="119" t="s">
        <v>309</v>
      </c>
    </row>
    <row r="98" spans="2:13" x14ac:dyDescent="0.3">
      <c r="B98" s="213" t="s">
        <v>469</v>
      </c>
      <c r="C98" s="213" t="s">
        <v>313</v>
      </c>
      <c r="D98" s="272">
        <v>32.155000000000001</v>
      </c>
      <c r="E98" s="272">
        <v>29.478999999999999</v>
      </c>
      <c r="F98" s="272">
        <v>27.831</v>
      </c>
      <c r="G98" s="272">
        <v>26.962</v>
      </c>
      <c r="H98" s="272">
        <v>26.277000000000001</v>
      </c>
      <c r="I98" s="272">
        <v>25.709</v>
      </c>
      <c r="J98" s="272">
        <v>25.244</v>
      </c>
      <c r="K98" s="272">
        <v>24.864000000000001</v>
      </c>
      <c r="M98" s="119"/>
    </row>
    <row r="99" spans="2:13" x14ac:dyDescent="0.3">
      <c r="B99" s="213" t="s">
        <v>469</v>
      </c>
      <c r="C99" s="213" t="s">
        <v>155</v>
      </c>
      <c r="D99" s="272">
        <v>30.745000000000001</v>
      </c>
      <c r="E99" s="272">
        <v>28.067</v>
      </c>
      <c r="F99" s="272">
        <v>26.41</v>
      </c>
      <c r="G99" s="272">
        <v>25.536000000000001</v>
      </c>
      <c r="H99" s="272">
        <v>24.844999999999999</v>
      </c>
      <c r="I99" s="272">
        <v>24.273</v>
      </c>
      <c r="J99" s="272">
        <v>23.803000000000001</v>
      </c>
      <c r="K99" s="272">
        <v>23.42</v>
      </c>
      <c r="M99" s="119" t="s">
        <v>309</v>
      </c>
    </row>
    <row r="100" spans="2:13" x14ac:dyDescent="0.3">
      <c r="B100" s="217" t="s">
        <v>469</v>
      </c>
      <c r="C100" s="217" t="s">
        <v>314</v>
      </c>
      <c r="D100" s="117">
        <v>30.745000000000001</v>
      </c>
      <c r="E100" s="117">
        <v>28.067</v>
      </c>
      <c r="F100" s="117">
        <v>26.41</v>
      </c>
      <c r="G100" s="117">
        <v>25.536000000000001</v>
      </c>
      <c r="H100" s="117">
        <v>24.844999999999999</v>
      </c>
      <c r="I100" s="117">
        <v>24.273</v>
      </c>
      <c r="J100" s="117">
        <v>23.803000000000001</v>
      </c>
      <c r="K100" s="117">
        <v>23.42</v>
      </c>
      <c r="M100" s="147"/>
    </row>
    <row r="101" spans="2:13" x14ac:dyDescent="0.3">
      <c r="B101" s="213" t="s">
        <v>469</v>
      </c>
      <c r="C101" s="213" t="s">
        <v>359</v>
      </c>
      <c r="D101" s="270">
        <v>141</v>
      </c>
      <c r="E101" s="270">
        <v>141</v>
      </c>
      <c r="F101" s="270">
        <v>141</v>
      </c>
      <c r="G101" s="270">
        <v>141</v>
      </c>
      <c r="H101" s="270">
        <v>141</v>
      </c>
      <c r="I101" s="270">
        <v>141</v>
      </c>
      <c r="J101" s="270">
        <v>141</v>
      </c>
      <c r="K101" s="270">
        <v>141</v>
      </c>
      <c r="M101" s="119" t="s">
        <v>437</v>
      </c>
    </row>
    <row r="102" spans="2:13" x14ac:dyDescent="0.3">
      <c r="B102" s="213" t="s">
        <v>469</v>
      </c>
      <c r="C102" s="213" t="s">
        <v>444</v>
      </c>
      <c r="D102" s="270">
        <v>141</v>
      </c>
      <c r="E102" s="270">
        <v>141</v>
      </c>
      <c r="F102" s="270">
        <v>141</v>
      </c>
      <c r="G102" s="270">
        <v>141</v>
      </c>
      <c r="H102" s="270">
        <v>141</v>
      </c>
      <c r="I102" s="270">
        <v>141</v>
      </c>
      <c r="J102" s="270">
        <v>141</v>
      </c>
      <c r="K102" s="270">
        <v>141</v>
      </c>
      <c r="M102" s="119" t="s">
        <v>437</v>
      </c>
    </row>
    <row r="103" spans="2:13" x14ac:dyDescent="0.3">
      <c r="B103" s="213" t="s">
        <v>469</v>
      </c>
      <c r="C103" s="213" t="s">
        <v>360</v>
      </c>
      <c r="D103" s="270">
        <v>169</v>
      </c>
      <c r="E103" s="270">
        <v>169</v>
      </c>
      <c r="F103" s="270">
        <v>169</v>
      </c>
      <c r="G103" s="270">
        <v>169</v>
      </c>
      <c r="H103" s="270">
        <v>169</v>
      </c>
      <c r="I103" s="270">
        <v>169</v>
      </c>
      <c r="J103" s="270">
        <v>169</v>
      </c>
      <c r="K103" s="270">
        <v>169</v>
      </c>
      <c r="M103" s="119" t="s">
        <v>437</v>
      </c>
    </row>
    <row r="104" spans="2:13" x14ac:dyDescent="0.3">
      <c r="B104" s="213" t="s">
        <v>469</v>
      </c>
      <c r="C104" s="213" t="s">
        <v>445</v>
      </c>
      <c r="D104" s="270">
        <v>169</v>
      </c>
      <c r="E104" s="270">
        <v>169</v>
      </c>
      <c r="F104" s="270">
        <v>169</v>
      </c>
      <c r="G104" s="270">
        <v>169</v>
      </c>
      <c r="H104" s="270">
        <v>169</v>
      </c>
      <c r="I104" s="270">
        <v>169</v>
      </c>
      <c r="J104" s="270">
        <v>169</v>
      </c>
      <c r="K104" s="270">
        <v>169</v>
      </c>
      <c r="M104" s="119" t="s">
        <v>437</v>
      </c>
    </row>
    <row r="105" spans="2:13" x14ac:dyDescent="0.3">
      <c r="B105" s="213" t="s">
        <v>469</v>
      </c>
      <c r="C105" s="213" t="s">
        <v>361</v>
      </c>
      <c r="D105" s="270">
        <v>141</v>
      </c>
      <c r="E105" s="270">
        <v>141</v>
      </c>
      <c r="F105" s="270">
        <v>141</v>
      </c>
      <c r="G105" s="270">
        <v>141</v>
      </c>
      <c r="H105" s="270">
        <v>141</v>
      </c>
      <c r="I105" s="270">
        <v>141</v>
      </c>
      <c r="J105" s="270">
        <v>141</v>
      </c>
      <c r="K105" s="270">
        <v>141</v>
      </c>
      <c r="M105" s="119" t="s">
        <v>437</v>
      </c>
    </row>
    <row r="106" spans="2:13" x14ac:dyDescent="0.3">
      <c r="B106" s="213" t="s">
        <v>469</v>
      </c>
      <c r="C106" s="213" t="s">
        <v>446</v>
      </c>
      <c r="D106" s="270">
        <v>141</v>
      </c>
      <c r="E106" s="270">
        <v>141</v>
      </c>
      <c r="F106" s="270">
        <v>141</v>
      </c>
      <c r="G106" s="270">
        <v>141</v>
      </c>
      <c r="H106" s="270">
        <v>141</v>
      </c>
      <c r="I106" s="270">
        <v>141</v>
      </c>
      <c r="J106" s="270">
        <v>141</v>
      </c>
      <c r="K106" s="270">
        <v>141</v>
      </c>
      <c r="M106" s="119" t="s">
        <v>437</v>
      </c>
    </row>
    <row r="107" spans="2:13" x14ac:dyDescent="0.3">
      <c r="B107" s="213" t="s">
        <v>469</v>
      </c>
      <c r="C107" s="213" t="s">
        <v>362</v>
      </c>
      <c r="D107" s="270">
        <v>219</v>
      </c>
      <c r="E107" s="270">
        <v>216</v>
      </c>
      <c r="F107" s="270">
        <v>213</v>
      </c>
      <c r="G107" s="270">
        <v>210</v>
      </c>
      <c r="H107" s="270">
        <v>206</v>
      </c>
      <c r="I107" s="270">
        <v>203</v>
      </c>
      <c r="J107" s="270">
        <v>200</v>
      </c>
      <c r="K107" s="270">
        <v>197</v>
      </c>
      <c r="M107" s="119" t="s">
        <v>437</v>
      </c>
    </row>
    <row r="108" spans="2:13" x14ac:dyDescent="0.3">
      <c r="B108" s="213" t="s">
        <v>469</v>
      </c>
      <c r="C108" s="213" t="s">
        <v>447</v>
      </c>
      <c r="D108" s="270">
        <v>219</v>
      </c>
      <c r="E108" s="270">
        <v>216</v>
      </c>
      <c r="F108" s="270">
        <v>213</v>
      </c>
      <c r="G108" s="270">
        <v>210</v>
      </c>
      <c r="H108" s="270">
        <v>206</v>
      </c>
      <c r="I108" s="270">
        <v>203</v>
      </c>
      <c r="J108" s="270">
        <v>200</v>
      </c>
      <c r="K108" s="270">
        <v>197</v>
      </c>
      <c r="M108" s="119" t="s">
        <v>437</v>
      </c>
    </row>
    <row r="109" spans="2:13" x14ac:dyDescent="0.3">
      <c r="B109" s="213" t="s">
        <v>469</v>
      </c>
      <c r="C109" s="213" t="s">
        <v>363</v>
      </c>
      <c r="D109" s="270">
        <v>169</v>
      </c>
      <c r="E109" s="270">
        <v>169</v>
      </c>
      <c r="F109" s="270">
        <v>169</v>
      </c>
      <c r="G109" s="270">
        <v>169</v>
      </c>
      <c r="H109" s="270">
        <v>169</v>
      </c>
      <c r="I109" s="270">
        <v>169</v>
      </c>
      <c r="J109" s="270">
        <v>169</v>
      </c>
      <c r="K109" s="270">
        <v>169</v>
      </c>
      <c r="M109" s="119" t="s">
        <v>437</v>
      </c>
    </row>
    <row r="110" spans="2:13" x14ac:dyDescent="0.3">
      <c r="B110" s="213" t="s">
        <v>469</v>
      </c>
      <c r="C110" s="213" t="s">
        <v>448</v>
      </c>
      <c r="D110" s="270">
        <v>169</v>
      </c>
      <c r="E110" s="270">
        <v>169</v>
      </c>
      <c r="F110" s="270">
        <v>169</v>
      </c>
      <c r="G110" s="270">
        <v>169</v>
      </c>
      <c r="H110" s="270">
        <v>169</v>
      </c>
      <c r="I110" s="270">
        <v>169</v>
      </c>
      <c r="J110" s="270">
        <v>169</v>
      </c>
      <c r="K110" s="270">
        <v>169</v>
      </c>
      <c r="M110" s="119" t="s">
        <v>437</v>
      </c>
    </row>
    <row r="111" spans="2:13" x14ac:dyDescent="0.3">
      <c r="B111" s="213" t="s">
        <v>469</v>
      </c>
      <c r="C111" s="213" t="s">
        <v>364</v>
      </c>
      <c r="D111" s="270">
        <v>169</v>
      </c>
      <c r="E111" s="270">
        <v>169</v>
      </c>
      <c r="F111" s="270">
        <v>169</v>
      </c>
      <c r="G111" s="270">
        <v>169</v>
      </c>
      <c r="H111" s="270">
        <v>169</v>
      </c>
      <c r="I111" s="270">
        <v>169</v>
      </c>
      <c r="J111" s="270">
        <v>169</v>
      </c>
      <c r="K111" s="270">
        <v>169</v>
      </c>
      <c r="M111" s="119" t="s">
        <v>437</v>
      </c>
    </row>
    <row r="112" spans="2:13" x14ac:dyDescent="0.3">
      <c r="B112" s="213" t="s">
        <v>469</v>
      </c>
      <c r="C112" s="213" t="s">
        <v>449</v>
      </c>
      <c r="D112" s="270">
        <v>169</v>
      </c>
      <c r="E112" s="270">
        <v>169</v>
      </c>
      <c r="F112" s="270">
        <v>169</v>
      </c>
      <c r="G112" s="270">
        <v>169</v>
      </c>
      <c r="H112" s="270">
        <v>169</v>
      </c>
      <c r="I112" s="270">
        <v>169</v>
      </c>
      <c r="J112" s="270">
        <v>169</v>
      </c>
      <c r="K112" s="270">
        <v>169</v>
      </c>
      <c r="M112" s="119" t="s">
        <v>437</v>
      </c>
    </row>
    <row r="113" spans="2:13" x14ac:dyDescent="0.3">
      <c r="B113" s="213" t="s">
        <v>469</v>
      </c>
      <c r="C113" s="213" t="s">
        <v>365</v>
      </c>
      <c r="D113" s="270">
        <v>141</v>
      </c>
      <c r="E113" s="270">
        <v>141</v>
      </c>
      <c r="F113" s="270">
        <v>141</v>
      </c>
      <c r="G113" s="270">
        <v>141</v>
      </c>
      <c r="H113" s="270">
        <v>141</v>
      </c>
      <c r="I113" s="270">
        <v>141</v>
      </c>
      <c r="J113" s="270">
        <v>141</v>
      </c>
      <c r="K113" s="270">
        <v>141</v>
      </c>
      <c r="M113" s="119" t="s">
        <v>437</v>
      </c>
    </row>
    <row r="114" spans="2:13" x14ac:dyDescent="0.3">
      <c r="B114" s="213" t="s">
        <v>469</v>
      </c>
      <c r="C114" s="213" t="s">
        <v>450</v>
      </c>
      <c r="D114" s="270">
        <v>141</v>
      </c>
      <c r="E114" s="270">
        <v>141</v>
      </c>
      <c r="F114" s="270">
        <v>141</v>
      </c>
      <c r="G114" s="270">
        <v>141</v>
      </c>
      <c r="H114" s="270">
        <v>141</v>
      </c>
      <c r="I114" s="270">
        <v>141</v>
      </c>
      <c r="J114" s="270">
        <v>141</v>
      </c>
      <c r="K114" s="270">
        <v>141</v>
      </c>
      <c r="M114" s="119" t="s">
        <v>437</v>
      </c>
    </row>
    <row r="115" spans="2:13" x14ac:dyDescent="0.3">
      <c r="B115" s="213" t="s">
        <v>469</v>
      </c>
      <c r="C115" s="213" t="s">
        <v>367</v>
      </c>
      <c r="D115" s="270">
        <v>219</v>
      </c>
      <c r="E115" s="270">
        <v>216</v>
      </c>
      <c r="F115" s="270">
        <v>213</v>
      </c>
      <c r="G115" s="270">
        <v>210</v>
      </c>
      <c r="H115" s="270">
        <v>206</v>
      </c>
      <c r="I115" s="270">
        <v>203</v>
      </c>
      <c r="J115" s="270">
        <v>200</v>
      </c>
      <c r="K115" s="270">
        <v>197</v>
      </c>
      <c r="M115" s="119" t="s">
        <v>437</v>
      </c>
    </row>
    <row r="116" spans="2:13" x14ac:dyDescent="0.3">
      <c r="B116" s="213" t="s">
        <v>469</v>
      </c>
      <c r="C116" s="213" t="s">
        <v>453</v>
      </c>
      <c r="D116" s="270">
        <v>219</v>
      </c>
      <c r="E116" s="270">
        <v>216</v>
      </c>
      <c r="F116" s="270">
        <v>213</v>
      </c>
      <c r="G116" s="270">
        <v>210</v>
      </c>
      <c r="H116" s="270">
        <v>206</v>
      </c>
      <c r="I116" s="270">
        <v>203</v>
      </c>
      <c r="J116" s="270">
        <v>200</v>
      </c>
      <c r="K116" s="270">
        <v>197</v>
      </c>
      <c r="M116" s="119" t="s">
        <v>437</v>
      </c>
    </row>
    <row r="117" spans="2:13" x14ac:dyDescent="0.3">
      <c r="B117" s="213" t="s">
        <v>469</v>
      </c>
      <c r="C117" s="213" t="s">
        <v>366</v>
      </c>
      <c r="D117" s="270">
        <v>169</v>
      </c>
      <c r="E117" s="270">
        <v>169</v>
      </c>
      <c r="F117" s="270">
        <v>169</v>
      </c>
      <c r="G117" s="270">
        <v>169</v>
      </c>
      <c r="H117" s="270">
        <v>169</v>
      </c>
      <c r="I117" s="270">
        <v>169</v>
      </c>
      <c r="J117" s="270">
        <v>169</v>
      </c>
      <c r="K117" s="270">
        <v>169</v>
      </c>
      <c r="M117" s="119" t="s">
        <v>437</v>
      </c>
    </row>
    <row r="118" spans="2:13" x14ac:dyDescent="0.3">
      <c r="B118" s="213" t="s">
        <v>469</v>
      </c>
      <c r="C118" s="213" t="s">
        <v>451</v>
      </c>
      <c r="D118" s="270">
        <v>169</v>
      </c>
      <c r="E118" s="270">
        <v>169</v>
      </c>
      <c r="F118" s="270">
        <v>169</v>
      </c>
      <c r="G118" s="270">
        <v>169</v>
      </c>
      <c r="H118" s="270">
        <v>169</v>
      </c>
      <c r="I118" s="270">
        <v>169</v>
      </c>
      <c r="J118" s="270">
        <v>169</v>
      </c>
      <c r="K118" s="270">
        <v>169</v>
      </c>
      <c r="M118" s="119" t="s">
        <v>437</v>
      </c>
    </row>
    <row r="119" spans="2:13" x14ac:dyDescent="0.3">
      <c r="B119" s="213" t="s">
        <v>469</v>
      </c>
      <c r="C119" s="213" t="s">
        <v>425</v>
      </c>
      <c r="D119" s="270">
        <v>169</v>
      </c>
      <c r="E119" s="270">
        <v>169</v>
      </c>
      <c r="F119" s="270">
        <v>169</v>
      </c>
      <c r="G119" s="270">
        <v>169</v>
      </c>
      <c r="H119" s="270">
        <v>169</v>
      </c>
      <c r="I119" s="270">
        <v>169</v>
      </c>
      <c r="J119" s="270">
        <v>169</v>
      </c>
      <c r="K119" s="270">
        <v>169</v>
      </c>
      <c r="M119" s="119" t="s">
        <v>437</v>
      </c>
    </row>
    <row r="120" spans="2:13" x14ac:dyDescent="0.3">
      <c r="B120" s="213" t="s">
        <v>469</v>
      </c>
      <c r="C120" s="213" t="s">
        <v>452</v>
      </c>
      <c r="D120" s="270">
        <v>169</v>
      </c>
      <c r="E120" s="270">
        <v>169</v>
      </c>
      <c r="F120" s="270">
        <v>169</v>
      </c>
      <c r="G120" s="270">
        <v>169</v>
      </c>
      <c r="H120" s="270">
        <v>169</v>
      </c>
      <c r="I120" s="270">
        <v>169</v>
      </c>
      <c r="J120" s="270">
        <v>169</v>
      </c>
      <c r="K120" s="270">
        <v>169</v>
      </c>
      <c r="M120" s="119" t="s">
        <v>437</v>
      </c>
    </row>
    <row r="121" spans="2:13" x14ac:dyDescent="0.3">
      <c r="B121" s="213" t="s">
        <v>469</v>
      </c>
      <c r="C121" s="213" t="s">
        <v>427</v>
      </c>
      <c r="D121" s="270">
        <v>169</v>
      </c>
      <c r="E121" s="270">
        <v>169</v>
      </c>
      <c r="F121" s="270">
        <v>169</v>
      </c>
      <c r="G121" s="270">
        <v>169</v>
      </c>
      <c r="H121" s="270">
        <v>169</v>
      </c>
      <c r="I121" s="270">
        <v>169</v>
      </c>
      <c r="J121" s="270">
        <v>169</v>
      </c>
      <c r="K121" s="270">
        <v>169</v>
      </c>
      <c r="M121" s="119" t="s">
        <v>437</v>
      </c>
    </row>
    <row r="122" spans="2:13" x14ac:dyDescent="0.3">
      <c r="B122" s="213" t="s">
        <v>469</v>
      </c>
      <c r="C122" s="213" t="s">
        <v>454</v>
      </c>
      <c r="D122" s="270">
        <v>169</v>
      </c>
      <c r="E122" s="270">
        <v>169</v>
      </c>
      <c r="F122" s="270">
        <v>169</v>
      </c>
      <c r="G122" s="270">
        <v>169</v>
      </c>
      <c r="H122" s="270">
        <v>169</v>
      </c>
      <c r="I122" s="270">
        <v>169</v>
      </c>
      <c r="J122" s="270">
        <v>169</v>
      </c>
      <c r="K122" s="270">
        <v>169</v>
      </c>
      <c r="M122" s="119" t="s">
        <v>437</v>
      </c>
    </row>
    <row r="123" spans="2:13" x14ac:dyDescent="0.3">
      <c r="B123" s="213" t="s">
        <v>469</v>
      </c>
      <c r="C123" s="213" t="s">
        <v>368</v>
      </c>
      <c r="D123" s="270">
        <v>0</v>
      </c>
      <c r="E123" s="270">
        <v>0</v>
      </c>
      <c r="F123" s="270">
        <v>0</v>
      </c>
      <c r="G123" s="270">
        <v>0</v>
      </c>
      <c r="H123" s="270">
        <v>0</v>
      </c>
      <c r="I123" s="270">
        <v>0</v>
      </c>
      <c r="J123" s="270">
        <v>0</v>
      </c>
      <c r="K123" s="270">
        <v>0</v>
      </c>
      <c r="M123" s="119" t="s">
        <v>437</v>
      </c>
    </row>
    <row r="124" spans="2:13" x14ac:dyDescent="0.3">
      <c r="B124" s="213" t="s">
        <v>469</v>
      </c>
      <c r="C124" s="213" t="s">
        <v>455</v>
      </c>
      <c r="D124" s="270">
        <v>0</v>
      </c>
      <c r="E124" s="270">
        <v>0</v>
      </c>
      <c r="F124" s="270">
        <v>0</v>
      </c>
      <c r="G124" s="270">
        <v>0</v>
      </c>
      <c r="H124" s="270">
        <v>0</v>
      </c>
      <c r="I124" s="270">
        <v>0</v>
      </c>
      <c r="J124" s="270">
        <v>0</v>
      </c>
      <c r="K124" s="270">
        <v>0</v>
      </c>
      <c r="M124" s="119" t="s">
        <v>437</v>
      </c>
    </row>
    <row r="125" spans="2:13" x14ac:dyDescent="0.3">
      <c r="B125" s="213" t="s">
        <v>469</v>
      </c>
      <c r="C125" s="213" t="s">
        <v>612</v>
      </c>
      <c r="D125" s="270">
        <v>169</v>
      </c>
      <c r="E125" s="270">
        <v>169</v>
      </c>
      <c r="F125" s="270">
        <v>169</v>
      </c>
      <c r="G125" s="270">
        <v>169</v>
      </c>
      <c r="H125" s="270">
        <v>169</v>
      </c>
      <c r="I125" s="270">
        <v>169</v>
      </c>
      <c r="J125" s="270">
        <v>169</v>
      </c>
      <c r="K125" s="270">
        <v>169</v>
      </c>
      <c r="M125" s="119" t="s">
        <v>437</v>
      </c>
    </row>
    <row r="126" spans="2:13" x14ac:dyDescent="0.3">
      <c r="B126" s="213" t="s">
        <v>469</v>
      </c>
      <c r="C126" s="213" t="s">
        <v>607</v>
      </c>
      <c r="D126" s="270">
        <v>169</v>
      </c>
      <c r="E126" s="270">
        <v>169</v>
      </c>
      <c r="F126" s="270">
        <v>169</v>
      </c>
      <c r="G126" s="270">
        <v>169</v>
      </c>
      <c r="H126" s="270">
        <v>169</v>
      </c>
      <c r="I126" s="270">
        <v>169</v>
      </c>
      <c r="J126" s="270">
        <v>169</v>
      </c>
      <c r="K126" s="270">
        <v>169</v>
      </c>
      <c r="M126" s="119" t="s">
        <v>437</v>
      </c>
    </row>
    <row r="127" spans="2:13" x14ac:dyDescent="0.3">
      <c r="B127" s="213" t="s">
        <v>469</v>
      </c>
      <c r="C127" s="213" t="s">
        <v>424</v>
      </c>
      <c r="D127" s="270">
        <v>202.79999999999998</v>
      </c>
      <c r="E127" s="270">
        <v>202.79999999999998</v>
      </c>
      <c r="F127" s="270">
        <v>202.79999999999998</v>
      </c>
      <c r="G127" s="270">
        <v>202.79999999999998</v>
      </c>
      <c r="H127" s="270">
        <v>202.79999999999998</v>
      </c>
      <c r="I127" s="270">
        <v>202.79999999999998</v>
      </c>
      <c r="J127" s="270">
        <v>202.79999999999998</v>
      </c>
      <c r="K127" s="270">
        <v>202.79999999999998</v>
      </c>
      <c r="M127" s="119" t="s">
        <v>437</v>
      </c>
    </row>
    <row r="128" spans="2:13" x14ac:dyDescent="0.3">
      <c r="B128" s="213" t="s">
        <v>469</v>
      </c>
      <c r="C128" s="213" t="s">
        <v>456</v>
      </c>
      <c r="D128" s="270">
        <v>202.79999999999998</v>
      </c>
      <c r="E128" s="270">
        <v>202.79999999999998</v>
      </c>
      <c r="F128" s="270">
        <v>202.79999999999998</v>
      </c>
      <c r="G128" s="270">
        <v>202.79999999999998</v>
      </c>
      <c r="H128" s="270">
        <v>202.79999999999998</v>
      </c>
      <c r="I128" s="270">
        <v>202.79999999999998</v>
      </c>
      <c r="J128" s="270">
        <v>202.79999999999998</v>
      </c>
      <c r="K128" s="270">
        <v>202.79999999999998</v>
      </c>
      <c r="M128" s="119" t="s">
        <v>437</v>
      </c>
    </row>
    <row r="129" spans="2:13" x14ac:dyDescent="0.3">
      <c r="B129" s="213" t="s">
        <v>469</v>
      </c>
      <c r="C129" s="213" t="s">
        <v>426</v>
      </c>
      <c r="D129" s="270">
        <v>202.79999999999998</v>
      </c>
      <c r="E129" s="270">
        <v>202.79999999999998</v>
      </c>
      <c r="F129" s="270">
        <v>202.79999999999998</v>
      </c>
      <c r="G129" s="270">
        <v>202.79999999999998</v>
      </c>
      <c r="H129" s="270">
        <v>202.79999999999998</v>
      </c>
      <c r="I129" s="270">
        <v>202.79999999999998</v>
      </c>
      <c r="J129" s="270">
        <v>202.79999999999998</v>
      </c>
      <c r="K129" s="270">
        <v>202.79999999999998</v>
      </c>
      <c r="M129" s="119" t="s">
        <v>437</v>
      </c>
    </row>
    <row r="130" spans="2:13" x14ac:dyDescent="0.3">
      <c r="B130" s="217" t="s">
        <v>469</v>
      </c>
      <c r="C130" s="217" t="s">
        <v>457</v>
      </c>
      <c r="D130" s="161">
        <v>202.79999999999998</v>
      </c>
      <c r="E130" s="161">
        <v>202.79999999999998</v>
      </c>
      <c r="F130" s="161">
        <v>202.79999999999998</v>
      </c>
      <c r="G130" s="161">
        <v>202.79999999999998</v>
      </c>
      <c r="H130" s="161">
        <v>202.79999999999998</v>
      </c>
      <c r="I130" s="161">
        <v>202.79999999999998</v>
      </c>
      <c r="J130" s="161">
        <v>202.79999999999998</v>
      </c>
      <c r="K130" s="161">
        <v>202.79999999999998</v>
      </c>
      <c r="M130" s="147" t="s">
        <v>437</v>
      </c>
    </row>
    <row r="131" spans="2:13" x14ac:dyDescent="0.3">
      <c r="B131" s="213" t="s">
        <v>469</v>
      </c>
      <c r="C131" s="213" t="s">
        <v>156</v>
      </c>
      <c r="D131" s="270">
        <v>141</v>
      </c>
      <c r="E131" s="270">
        <v>141</v>
      </c>
      <c r="F131" s="270">
        <v>141</v>
      </c>
      <c r="G131" s="270">
        <v>141</v>
      </c>
      <c r="H131" s="270">
        <v>141</v>
      </c>
      <c r="I131" s="270">
        <v>141</v>
      </c>
      <c r="J131" s="270">
        <v>141</v>
      </c>
      <c r="K131" s="270">
        <v>141</v>
      </c>
      <c r="M131" s="119" t="s">
        <v>309</v>
      </c>
    </row>
    <row r="132" spans="2:13" x14ac:dyDescent="0.3">
      <c r="B132" s="213" t="s">
        <v>469</v>
      </c>
      <c r="C132" s="213" t="s">
        <v>267</v>
      </c>
      <c r="D132" s="270">
        <v>141</v>
      </c>
      <c r="E132" s="270">
        <v>141</v>
      </c>
      <c r="F132" s="270">
        <v>141</v>
      </c>
      <c r="G132" s="270">
        <v>141</v>
      </c>
      <c r="H132" s="270">
        <v>141</v>
      </c>
      <c r="I132" s="270">
        <v>141</v>
      </c>
      <c r="J132" s="270">
        <v>141</v>
      </c>
      <c r="K132" s="270">
        <v>141</v>
      </c>
      <c r="M132" s="119" t="s">
        <v>309</v>
      </c>
    </row>
    <row r="133" spans="2:13" x14ac:dyDescent="0.3">
      <c r="B133" s="213" t="s">
        <v>469</v>
      </c>
      <c r="C133" s="213" t="s">
        <v>158</v>
      </c>
      <c r="D133" s="270">
        <v>169</v>
      </c>
      <c r="E133" s="270">
        <v>169</v>
      </c>
      <c r="F133" s="270">
        <v>169</v>
      </c>
      <c r="G133" s="270">
        <v>169</v>
      </c>
      <c r="H133" s="270">
        <v>169</v>
      </c>
      <c r="I133" s="270">
        <v>169</v>
      </c>
      <c r="J133" s="270">
        <v>169</v>
      </c>
      <c r="K133" s="270">
        <v>169</v>
      </c>
      <c r="M133" s="119" t="s">
        <v>657</v>
      </c>
    </row>
    <row r="134" spans="2:13" x14ac:dyDescent="0.3">
      <c r="B134" s="213" t="s">
        <v>469</v>
      </c>
      <c r="C134" s="213" t="s">
        <v>269</v>
      </c>
      <c r="D134" s="270">
        <v>169</v>
      </c>
      <c r="E134" s="270">
        <v>169</v>
      </c>
      <c r="F134" s="270">
        <v>169</v>
      </c>
      <c r="G134" s="270">
        <v>169</v>
      </c>
      <c r="H134" s="270">
        <v>169</v>
      </c>
      <c r="I134" s="270">
        <v>169</v>
      </c>
      <c r="J134" s="270">
        <v>169</v>
      </c>
      <c r="K134" s="270">
        <v>169</v>
      </c>
      <c r="M134" s="119" t="s">
        <v>657</v>
      </c>
    </row>
    <row r="135" spans="2:13" x14ac:dyDescent="0.3">
      <c r="B135" s="213" t="s">
        <v>469</v>
      </c>
      <c r="C135" s="213" t="s">
        <v>160</v>
      </c>
      <c r="D135" s="270">
        <v>141</v>
      </c>
      <c r="E135" s="270">
        <v>141</v>
      </c>
      <c r="F135" s="270">
        <v>141</v>
      </c>
      <c r="G135" s="270">
        <v>141</v>
      </c>
      <c r="H135" s="270">
        <v>141</v>
      </c>
      <c r="I135" s="270">
        <v>141</v>
      </c>
      <c r="J135" s="270">
        <v>141</v>
      </c>
      <c r="K135" s="270">
        <v>141</v>
      </c>
      <c r="M135" s="119" t="s">
        <v>309</v>
      </c>
    </row>
    <row r="136" spans="2:13" x14ac:dyDescent="0.3">
      <c r="B136" s="213" t="s">
        <v>469</v>
      </c>
      <c r="C136" s="213" t="s">
        <v>271</v>
      </c>
      <c r="D136" s="270">
        <v>141</v>
      </c>
      <c r="E136" s="270">
        <v>141</v>
      </c>
      <c r="F136" s="270">
        <v>141</v>
      </c>
      <c r="G136" s="270">
        <v>141</v>
      </c>
      <c r="H136" s="270">
        <v>141</v>
      </c>
      <c r="I136" s="270">
        <v>141</v>
      </c>
      <c r="J136" s="270">
        <v>141</v>
      </c>
      <c r="K136" s="270">
        <v>141</v>
      </c>
      <c r="M136" s="119" t="s">
        <v>309</v>
      </c>
    </row>
    <row r="137" spans="2:13" x14ac:dyDescent="0.3">
      <c r="B137" s="213" t="s">
        <v>469</v>
      </c>
      <c r="C137" s="213" t="s">
        <v>162</v>
      </c>
      <c r="D137" s="270">
        <f>D145</f>
        <v>328.5</v>
      </c>
      <c r="E137" s="270">
        <f t="shared" ref="E137:K137" si="38">E145</f>
        <v>324</v>
      </c>
      <c r="F137" s="270">
        <f t="shared" si="38"/>
        <v>319.5</v>
      </c>
      <c r="G137" s="270">
        <f t="shared" si="38"/>
        <v>315</v>
      </c>
      <c r="H137" s="270">
        <f t="shared" si="38"/>
        <v>309</v>
      </c>
      <c r="I137" s="270">
        <f t="shared" si="38"/>
        <v>304.5</v>
      </c>
      <c r="J137" s="270">
        <f t="shared" si="38"/>
        <v>300</v>
      </c>
      <c r="K137" s="270">
        <f t="shared" si="38"/>
        <v>295.5</v>
      </c>
      <c r="M137" s="119" t="s">
        <v>435</v>
      </c>
    </row>
    <row r="138" spans="2:13" x14ac:dyDescent="0.3">
      <c r="B138" s="213" t="s">
        <v>469</v>
      </c>
      <c r="C138" s="213" t="s">
        <v>273</v>
      </c>
      <c r="D138" s="270">
        <f t="shared" ref="D138:K138" si="39">D146</f>
        <v>328.5</v>
      </c>
      <c r="E138" s="270">
        <f t="shared" si="39"/>
        <v>324</v>
      </c>
      <c r="F138" s="270">
        <f t="shared" si="39"/>
        <v>319.5</v>
      </c>
      <c r="G138" s="270">
        <f t="shared" si="39"/>
        <v>315</v>
      </c>
      <c r="H138" s="270">
        <f t="shared" si="39"/>
        <v>309</v>
      </c>
      <c r="I138" s="270">
        <f t="shared" si="39"/>
        <v>304.5</v>
      </c>
      <c r="J138" s="270">
        <f t="shared" si="39"/>
        <v>300</v>
      </c>
      <c r="K138" s="270">
        <f t="shared" si="39"/>
        <v>295.5</v>
      </c>
      <c r="M138" s="119" t="s">
        <v>435</v>
      </c>
    </row>
    <row r="139" spans="2:13" x14ac:dyDescent="0.3">
      <c r="B139" s="213" t="s">
        <v>469</v>
      </c>
      <c r="C139" s="213" t="s">
        <v>163</v>
      </c>
      <c r="D139" s="270">
        <v>169</v>
      </c>
      <c r="E139" s="270">
        <v>169</v>
      </c>
      <c r="F139" s="270">
        <v>169</v>
      </c>
      <c r="G139" s="270">
        <v>169</v>
      </c>
      <c r="H139" s="270">
        <v>169</v>
      </c>
      <c r="I139" s="270">
        <v>169</v>
      </c>
      <c r="J139" s="270">
        <v>169</v>
      </c>
      <c r="K139" s="270">
        <v>169</v>
      </c>
      <c r="M139" s="119" t="s">
        <v>309</v>
      </c>
    </row>
    <row r="140" spans="2:13" x14ac:dyDescent="0.3">
      <c r="B140" s="213" t="s">
        <v>469</v>
      </c>
      <c r="C140" s="213" t="s">
        <v>274</v>
      </c>
      <c r="D140" s="270">
        <v>169</v>
      </c>
      <c r="E140" s="270">
        <v>169</v>
      </c>
      <c r="F140" s="270">
        <v>169</v>
      </c>
      <c r="G140" s="270">
        <v>169</v>
      </c>
      <c r="H140" s="270">
        <v>169</v>
      </c>
      <c r="I140" s="270">
        <v>169</v>
      </c>
      <c r="J140" s="270">
        <v>169</v>
      </c>
      <c r="K140" s="270">
        <v>169</v>
      </c>
      <c r="M140" s="119" t="s">
        <v>309</v>
      </c>
    </row>
    <row r="141" spans="2:13" x14ac:dyDescent="0.3">
      <c r="B141" s="213" t="s">
        <v>469</v>
      </c>
      <c r="C141" s="213" t="s">
        <v>165</v>
      </c>
      <c r="D141" s="270">
        <v>169</v>
      </c>
      <c r="E141" s="270">
        <v>169</v>
      </c>
      <c r="F141" s="270">
        <v>169</v>
      </c>
      <c r="G141" s="270">
        <v>169</v>
      </c>
      <c r="H141" s="270">
        <v>169</v>
      </c>
      <c r="I141" s="270">
        <v>169</v>
      </c>
      <c r="J141" s="270">
        <v>169</v>
      </c>
      <c r="K141" s="270">
        <v>169</v>
      </c>
      <c r="M141" s="119" t="s">
        <v>309</v>
      </c>
    </row>
    <row r="142" spans="2:13" x14ac:dyDescent="0.3">
      <c r="B142" s="213" t="s">
        <v>469</v>
      </c>
      <c r="C142" s="213" t="s">
        <v>276</v>
      </c>
      <c r="D142" s="270">
        <v>169</v>
      </c>
      <c r="E142" s="270">
        <v>169</v>
      </c>
      <c r="F142" s="270">
        <v>169</v>
      </c>
      <c r="G142" s="270">
        <v>169</v>
      </c>
      <c r="H142" s="270">
        <v>169</v>
      </c>
      <c r="I142" s="270">
        <v>169</v>
      </c>
      <c r="J142" s="270">
        <v>169</v>
      </c>
      <c r="K142" s="270">
        <v>169</v>
      </c>
      <c r="M142" s="119" t="s">
        <v>309</v>
      </c>
    </row>
    <row r="143" spans="2:13" x14ac:dyDescent="0.3">
      <c r="B143" s="213" t="s">
        <v>469</v>
      </c>
      <c r="C143" s="213" t="s">
        <v>167</v>
      </c>
      <c r="D143" s="270">
        <v>141</v>
      </c>
      <c r="E143" s="270">
        <v>141</v>
      </c>
      <c r="F143" s="270">
        <v>141</v>
      </c>
      <c r="G143" s="270">
        <v>141</v>
      </c>
      <c r="H143" s="270">
        <v>141</v>
      </c>
      <c r="I143" s="270">
        <v>141</v>
      </c>
      <c r="J143" s="270">
        <v>141</v>
      </c>
      <c r="K143" s="270">
        <v>141</v>
      </c>
      <c r="M143" s="119" t="s">
        <v>309</v>
      </c>
    </row>
    <row r="144" spans="2:13" x14ac:dyDescent="0.3">
      <c r="B144" s="213" t="s">
        <v>469</v>
      </c>
      <c r="C144" s="213" t="s">
        <v>278</v>
      </c>
      <c r="D144" s="270">
        <v>141</v>
      </c>
      <c r="E144" s="270">
        <v>141</v>
      </c>
      <c r="F144" s="270">
        <v>141</v>
      </c>
      <c r="G144" s="270">
        <v>141</v>
      </c>
      <c r="H144" s="270">
        <v>141</v>
      </c>
      <c r="I144" s="270">
        <v>141</v>
      </c>
      <c r="J144" s="270">
        <v>141</v>
      </c>
      <c r="K144" s="270">
        <v>141</v>
      </c>
      <c r="M144" s="119" t="s">
        <v>309</v>
      </c>
    </row>
    <row r="145" spans="2:14" x14ac:dyDescent="0.3">
      <c r="B145" s="213" t="s">
        <v>469</v>
      </c>
      <c r="C145" s="213" t="s">
        <v>169</v>
      </c>
      <c r="D145" s="299">
        <f>219*N145</f>
        <v>328.5</v>
      </c>
      <c r="E145" s="299">
        <f>216*N145</f>
        <v>324</v>
      </c>
      <c r="F145" s="299">
        <f>213*N145</f>
        <v>319.5</v>
      </c>
      <c r="G145" s="299">
        <f>210*N145</f>
        <v>315</v>
      </c>
      <c r="H145" s="299">
        <f>206*N145</f>
        <v>309</v>
      </c>
      <c r="I145" s="299">
        <f>203*N145</f>
        <v>304.5</v>
      </c>
      <c r="J145" s="299">
        <f>200*N145</f>
        <v>300</v>
      </c>
      <c r="K145" s="299">
        <f>197*N145</f>
        <v>295.5</v>
      </c>
      <c r="M145" s="119" t="s">
        <v>688</v>
      </c>
      <c r="N145" s="299">
        <v>1.5</v>
      </c>
    </row>
    <row r="146" spans="2:14" x14ac:dyDescent="0.3">
      <c r="B146" s="213" t="s">
        <v>469</v>
      </c>
      <c r="C146" s="213" t="s">
        <v>280</v>
      </c>
      <c r="D146" s="299">
        <f>219*N146</f>
        <v>328.5</v>
      </c>
      <c r="E146" s="299">
        <f>216*N146</f>
        <v>324</v>
      </c>
      <c r="F146" s="299">
        <f>213*N146</f>
        <v>319.5</v>
      </c>
      <c r="G146" s="299">
        <f>210*N146</f>
        <v>315</v>
      </c>
      <c r="H146" s="299">
        <f>206*N146</f>
        <v>309</v>
      </c>
      <c r="I146" s="299">
        <f>203*N146</f>
        <v>304.5</v>
      </c>
      <c r="J146" s="299">
        <f>200*N146</f>
        <v>300</v>
      </c>
      <c r="K146" s="299">
        <f>197*N146</f>
        <v>295.5</v>
      </c>
      <c r="M146" s="119" t="s">
        <v>688</v>
      </c>
      <c r="N146" s="299">
        <v>1.5</v>
      </c>
    </row>
    <row r="147" spans="2:14" x14ac:dyDescent="0.3">
      <c r="B147" s="213" t="s">
        <v>469</v>
      </c>
      <c r="C147" s="213" t="s">
        <v>358</v>
      </c>
      <c r="D147" s="270">
        <v>169</v>
      </c>
      <c r="E147" s="270">
        <v>169</v>
      </c>
      <c r="F147" s="270">
        <v>169</v>
      </c>
      <c r="G147" s="270">
        <v>169</v>
      </c>
      <c r="H147" s="270">
        <v>169</v>
      </c>
      <c r="I147" s="270">
        <v>169</v>
      </c>
      <c r="J147" s="270">
        <v>169</v>
      </c>
      <c r="K147" s="270">
        <v>169</v>
      </c>
      <c r="M147" s="119" t="s">
        <v>309</v>
      </c>
    </row>
    <row r="148" spans="2:14" x14ac:dyDescent="0.3">
      <c r="B148" s="213" t="s">
        <v>469</v>
      </c>
      <c r="C148" s="213" t="s">
        <v>438</v>
      </c>
      <c r="D148" s="270">
        <v>169</v>
      </c>
      <c r="E148" s="270">
        <v>169</v>
      </c>
      <c r="F148" s="270">
        <v>169</v>
      </c>
      <c r="G148" s="270">
        <v>169</v>
      </c>
      <c r="H148" s="270">
        <v>169</v>
      </c>
      <c r="I148" s="270">
        <v>169</v>
      </c>
      <c r="J148" s="270">
        <v>169</v>
      </c>
      <c r="K148" s="270">
        <v>169</v>
      </c>
      <c r="M148" s="119" t="s">
        <v>309</v>
      </c>
    </row>
    <row r="149" spans="2:14" x14ac:dyDescent="0.3">
      <c r="B149" s="213" t="s">
        <v>469</v>
      </c>
      <c r="C149" s="213" t="s">
        <v>428</v>
      </c>
      <c r="D149" s="270">
        <v>169</v>
      </c>
      <c r="E149" s="270">
        <v>169</v>
      </c>
      <c r="F149" s="270">
        <v>169</v>
      </c>
      <c r="G149" s="270">
        <v>169</v>
      </c>
      <c r="H149" s="270">
        <v>169</v>
      </c>
      <c r="I149" s="270">
        <v>169</v>
      </c>
      <c r="J149" s="270">
        <v>169</v>
      </c>
      <c r="K149" s="270">
        <v>169</v>
      </c>
      <c r="M149" s="119" t="s">
        <v>309</v>
      </c>
    </row>
    <row r="150" spans="2:14" x14ac:dyDescent="0.3">
      <c r="B150" s="213" t="s">
        <v>469</v>
      </c>
      <c r="C150" s="213" t="s">
        <v>439</v>
      </c>
      <c r="D150" s="270">
        <v>169</v>
      </c>
      <c r="E150" s="270">
        <v>169</v>
      </c>
      <c r="F150" s="270">
        <v>169</v>
      </c>
      <c r="G150" s="270">
        <v>169</v>
      </c>
      <c r="H150" s="270">
        <v>169</v>
      </c>
      <c r="I150" s="270">
        <v>169</v>
      </c>
      <c r="J150" s="270">
        <v>169</v>
      </c>
      <c r="K150" s="270">
        <v>169</v>
      </c>
      <c r="M150" s="119" t="s">
        <v>309</v>
      </c>
    </row>
    <row r="151" spans="2:14" x14ac:dyDescent="0.3">
      <c r="B151" s="213" t="s">
        <v>469</v>
      </c>
      <c r="C151" s="213" t="s">
        <v>429</v>
      </c>
      <c r="D151" s="270">
        <v>169</v>
      </c>
      <c r="E151" s="270">
        <v>169</v>
      </c>
      <c r="F151" s="270">
        <v>169</v>
      </c>
      <c r="G151" s="270">
        <v>169</v>
      </c>
      <c r="H151" s="270">
        <v>169</v>
      </c>
      <c r="I151" s="270">
        <v>169</v>
      </c>
      <c r="J151" s="270">
        <v>169</v>
      </c>
      <c r="K151" s="270">
        <v>169</v>
      </c>
      <c r="M151" s="119" t="s">
        <v>436</v>
      </c>
    </row>
    <row r="152" spans="2:14" x14ac:dyDescent="0.3">
      <c r="B152" s="213" t="s">
        <v>469</v>
      </c>
      <c r="C152" s="213" t="s">
        <v>440</v>
      </c>
      <c r="D152" s="270">
        <v>169</v>
      </c>
      <c r="E152" s="270">
        <v>169</v>
      </c>
      <c r="F152" s="270">
        <v>169</v>
      </c>
      <c r="G152" s="270">
        <v>169</v>
      </c>
      <c r="H152" s="270">
        <v>169</v>
      </c>
      <c r="I152" s="270">
        <v>169</v>
      </c>
      <c r="J152" s="270">
        <v>169</v>
      </c>
      <c r="K152" s="270">
        <v>169</v>
      </c>
      <c r="M152" s="119" t="s">
        <v>436</v>
      </c>
    </row>
    <row r="153" spans="2:14" x14ac:dyDescent="0.3">
      <c r="B153" s="213" t="s">
        <v>469</v>
      </c>
      <c r="C153" s="213" t="s">
        <v>171</v>
      </c>
      <c r="D153" s="270">
        <v>0</v>
      </c>
      <c r="E153" s="270">
        <v>0</v>
      </c>
      <c r="F153" s="270">
        <v>0</v>
      </c>
      <c r="G153" s="270">
        <v>0</v>
      </c>
      <c r="H153" s="270">
        <v>0</v>
      </c>
      <c r="I153" s="270">
        <v>0</v>
      </c>
      <c r="J153" s="270">
        <v>0</v>
      </c>
      <c r="K153" s="270">
        <v>0</v>
      </c>
      <c r="M153" s="119" t="s">
        <v>597</v>
      </c>
    </row>
    <row r="154" spans="2:14" x14ac:dyDescent="0.3">
      <c r="B154" s="213" t="s">
        <v>469</v>
      </c>
      <c r="C154" s="213" t="s">
        <v>441</v>
      </c>
      <c r="D154" s="270">
        <v>0</v>
      </c>
      <c r="E154" s="270">
        <v>0</v>
      </c>
      <c r="F154" s="270">
        <v>0</v>
      </c>
      <c r="G154" s="270">
        <v>0</v>
      </c>
      <c r="H154" s="270">
        <v>0</v>
      </c>
      <c r="I154" s="270">
        <v>0</v>
      </c>
      <c r="J154" s="270">
        <v>0</v>
      </c>
      <c r="K154" s="270">
        <v>0</v>
      </c>
      <c r="M154" s="119" t="s">
        <v>597</v>
      </c>
    </row>
    <row r="155" spans="2:14" x14ac:dyDescent="0.3">
      <c r="B155" s="213" t="s">
        <v>469</v>
      </c>
      <c r="C155" s="213" t="s">
        <v>608</v>
      </c>
      <c r="D155" s="270">
        <v>169</v>
      </c>
      <c r="E155" s="270">
        <v>169</v>
      </c>
      <c r="F155" s="270">
        <v>169</v>
      </c>
      <c r="G155" s="270">
        <v>169</v>
      </c>
      <c r="H155" s="270">
        <v>169</v>
      </c>
      <c r="I155" s="270">
        <v>169</v>
      </c>
      <c r="J155" s="270">
        <v>169</v>
      </c>
      <c r="K155" s="270">
        <v>169</v>
      </c>
      <c r="M155" s="119" t="s">
        <v>436</v>
      </c>
    </row>
    <row r="156" spans="2:14" x14ac:dyDescent="0.3">
      <c r="B156" s="213" t="s">
        <v>469</v>
      </c>
      <c r="C156" s="213" t="s">
        <v>609</v>
      </c>
      <c r="D156" s="270">
        <v>169</v>
      </c>
      <c r="E156" s="270">
        <v>169</v>
      </c>
      <c r="F156" s="270">
        <v>169</v>
      </c>
      <c r="G156" s="270">
        <v>169</v>
      </c>
      <c r="H156" s="270">
        <v>169</v>
      </c>
      <c r="I156" s="270">
        <v>169</v>
      </c>
      <c r="J156" s="270">
        <v>169</v>
      </c>
      <c r="K156" s="270">
        <v>169</v>
      </c>
      <c r="M156" s="119" t="s">
        <v>436</v>
      </c>
    </row>
    <row r="157" spans="2:14" x14ac:dyDescent="0.3">
      <c r="B157" s="213" t="s">
        <v>469</v>
      </c>
      <c r="C157" s="213" t="s">
        <v>430</v>
      </c>
      <c r="D157" s="270">
        <v>202.79999999999998</v>
      </c>
      <c r="E157" s="270">
        <v>202.79999999999998</v>
      </c>
      <c r="F157" s="270">
        <v>202.79999999999998</v>
      </c>
      <c r="G157" s="270">
        <v>202.79999999999998</v>
      </c>
      <c r="H157" s="270">
        <v>202.79999999999998</v>
      </c>
      <c r="I157" s="270">
        <v>202.79999999999998</v>
      </c>
      <c r="J157" s="270">
        <v>202.79999999999998</v>
      </c>
      <c r="K157" s="270">
        <v>202.79999999999998</v>
      </c>
      <c r="M157" s="119" t="s">
        <v>576</v>
      </c>
    </row>
    <row r="158" spans="2:14" x14ac:dyDescent="0.3">
      <c r="B158" s="213" t="s">
        <v>469</v>
      </c>
      <c r="C158" s="213" t="s">
        <v>442</v>
      </c>
      <c r="D158" s="270">
        <v>202.79999999999998</v>
      </c>
      <c r="E158" s="270">
        <v>202.79999999999998</v>
      </c>
      <c r="F158" s="270">
        <v>202.79999999999998</v>
      </c>
      <c r="G158" s="270">
        <v>202.79999999999998</v>
      </c>
      <c r="H158" s="270">
        <v>202.79999999999998</v>
      </c>
      <c r="I158" s="270">
        <v>202.79999999999998</v>
      </c>
      <c r="J158" s="270">
        <v>202.79999999999998</v>
      </c>
      <c r="K158" s="270">
        <v>202.79999999999998</v>
      </c>
      <c r="M158" s="119" t="s">
        <v>576</v>
      </c>
    </row>
    <row r="159" spans="2:14" x14ac:dyDescent="0.3">
      <c r="B159" s="213" t="s">
        <v>469</v>
      </c>
      <c r="C159" s="213" t="s">
        <v>431</v>
      </c>
      <c r="D159" s="270">
        <v>202.79999999999998</v>
      </c>
      <c r="E159" s="270">
        <v>202.79999999999998</v>
      </c>
      <c r="F159" s="270">
        <v>202.79999999999998</v>
      </c>
      <c r="G159" s="270">
        <v>202.79999999999998</v>
      </c>
      <c r="H159" s="270">
        <v>202.79999999999998</v>
      </c>
      <c r="I159" s="270">
        <v>202.79999999999998</v>
      </c>
      <c r="J159" s="270">
        <v>202.79999999999998</v>
      </c>
      <c r="K159" s="270">
        <v>202.79999999999998</v>
      </c>
      <c r="M159" s="119" t="s">
        <v>576</v>
      </c>
    </row>
    <row r="160" spans="2:14" x14ac:dyDescent="0.3">
      <c r="B160" s="217" t="s">
        <v>469</v>
      </c>
      <c r="C160" s="217" t="s">
        <v>443</v>
      </c>
      <c r="D160" s="161">
        <v>202.79999999999998</v>
      </c>
      <c r="E160" s="161">
        <v>202.79999999999998</v>
      </c>
      <c r="F160" s="161">
        <v>202.79999999999998</v>
      </c>
      <c r="G160" s="161">
        <v>202.79999999999998</v>
      </c>
      <c r="H160" s="161">
        <v>202.79999999999998</v>
      </c>
      <c r="I160" s="161">
        <v>202.79999999999998</v>
      </c>
      <c r="J160" s="161">
        <v>202.79999999999998</v>
      </c>
      <c r="K160" s="161">
        <v>202.79999999999998</v>
      </c>
      <c r="M160" s="147" t="s">
        <v>576</v>
      </c>
    </row>
    <row r="161" spans="1:13" x14ac:dyDescent="0.3">
      <c r="B161" s="213" t="s">
        <v>651</v>
      </c>
      <c r="C161" s="213" t="s">
        <v>591</v>
      </c>
      <c r="D161" s="272">
        <v>7</v>
      </c>
      <c r="E161" s="273">
        <f t="shared" ref="E161:F164" si="40">D161*0.99</f>
        <v>6.93</v>
      </c>
      <c r="F161" s="273">
        <f t="shared" si="40"/>
        <v>6.8606999999999996</v>
      </c>
      <c r="G161" s="273">
        <f t="shared" ref="G161:G162" si="41">F161*0.99</f>
        <v>6.7920929999999995</v>
      </c>
      <c r="H161" s="273">
        <f t="shared" ref="H161:H162" si="42">G161*0.99</f>
        <v>6.7241720699999998</v>
      </c>
      <c r="I161" s="273">
        <f t="shared" ref="I161:I162" si="43">H161*0.99</f>
        <v>6.6569303492999996</v>
      </c>
      <c r="J161" s="273">
        <f t="shared" ref="J161:J162" si="44">I161*0.99</f>
        <v>6.5903610458069997</v>
      </c>
      <c r="K161" s="273">
        <f t="shared" ref="K161:K162" si="45">J161*0.99</f>
        <v>6.5244574353489293</v>
      </c>
      <c r="M161" s="119"/>
    </row>
    <row r="162" spans="1:13" x14ac:dyDescent="0.3">
      <c r="B162" s="213" t="s">
        <v>651</v>
      </c>
      <c r="C162" s="213" t="s">
        <v>594</v>
      </c>
      <c r="D162" s="273">
        <v>7</v>
      </c>
      <c r="E162" s="273">
        <f t="shared" si="40"/>
        <v>6.93</v>
      </c>
      <c r="F162" s="273">
        <f t="shared" si="40"/>
        <v>6.8606999999999996</v>
      </c>
      <c r="G162" s="273">
        <f t="shared" si="41"/>
        <v>6.7920929999999995</v>
      </c>
      <c r="H162" s="273">
        <f t="shared" si="42"/>
        <v>6.7241720699999998</v>
      </c>
      <c r="I162" s="273">
        <f t="shared" si="43"/>
        <v>6.6569303492999996</v>
      </c>
      <c r="J162" s="273">
        <f t="shared" si="44"/>
        <v>6.5903610458069997</v>
      </c>
      <c r="K162" s="273">
        <f t="shared" si="45"/>
        <v>6.5244574353489293</v>
      </c>
      <c r="M162" s="119"/>
    </row>
    <row r="163" spans="1:13" x14ac:dyDescent="0.3">
      <c r="B163" s="213" t="s">
        <v>651</v>
      </c>
      <c r="C163" s="213" t="s">
        <v>590</v>
      </c>
      <c r="D163" s="272">
        <v>7</v>
      </c>
      <c r="E163" s="273">
        <f t="shared" si="40"/>
        <v>6.93</v>
      </c>
      <c r="F163" s="273">
        <f t="shared" si="40"/>
        <v>6.8606999999999996</v>
      </c>
      <c r="G163" s="273">
        <f t="shared" ref="G163:G164" si="46">F163*0.99</f>
        <v>6.7920929999999995</v>
      </c>
      <c r="H163" s="273">
        <f t="shared" ref="H163:H164" si="47">G163*0.99</f>
        <v>6.7241720699999998</v>
      </c>
      <c r="I163" s="273">
        <f t="shared" ref="I163:I164" si="48">H163*0.99</f>
        <v>6.6569303492999996</v>
      </c>
      <c r="J163" s="273">
        <f t="shared" ref="J163:J164" si="49">I163*0.99</f>
        <v>6.5903610458069997</v>
      </c>
      <c r="K163" s="273">
        <f t="shared" ref="K163:K164" si="50">J163*0.99</f>
        <v>6.5244574353489293</v>
      </c>
      <c r="M163" s="119" t="s">
        <v>555</v>
      </c>
    </row>
    <row r="164" spans="1:13" x14ac:dyDescent="0.3">
      <c r="B164" s="217" t="s">
        <v>651</v>
      </c>
      <c r="C164" s="217" t="s">
        <v>595</v>
      </c>
      <c r="D164" s="274">
        <v>7</v>
      </c>
      <c r="E164" s="274">
        <f t="shared" si="40"/>
        <v>6.93</v>
      </c>
      <c r="F164" s="274">
        <f t="shared" si="40"/>
        <v>6.8606999999999996</v>
      </c>
      <c r="G164" s="274">
        <f t="shared" si="46"/>
        <v>6.7920929999999995</v>
      </c>
      <c r="H164" s="274">
        <f t="shared" si="47"/>
        <v>6.7241720699999998</v>
      </c>
      <c r="I164" s="274">
        <f t="shared" si="48"/>
        <v>6.6569303492999996</v>
      </c>
      <c r="J164" s="274">
        <f t="shared" si="49"/>
        <v>6.5903610458069997</v>
      </c>
      <c r="K164" s="274">
        <f t="shared" si="50"/>
        <v>6.5244574353489293</v>
      </c>
      <c r="M164" s="147" t="s">
        <v>555</v>
      </c>
    </row>
    <row r="165" spans="1:13" x14ac:dyDescent="0.3">
      <c r="A165">
        <v>1000</v>
      </c>
      <c r="B165" s="213" t="s">
        <v>651</v>
      </c>
      <c r="C165" s="213" t="s">
        <v>41</v>
      </c>
      <c r="D165" s="272">
        <v>13.9</v>
      </c>
      <c r="E165" s="272">
        <v>13.784000000000001</v>
      </c>
      <c r="F165" s="272">
        <v>13.348000000000001</v>
      </c>
      <c r="G165" s="272">
        <v>12.821999999999999</v>
      </c>
      <c r="H165" s="272">
        <v>12.318</v>
      </c>
      <c r="I165" s="272">
        <v>11.833</v>
      </c>
      <c r="J165" s="272">
        <v>11.367000000000001</v>
      </c>
      <c r="K165" s="272">
        <v>10.919</v>
      </c>
      <c r="M165" s="119"/>
    </row>
    <row r="166" spans="1:13" x14ac:dyDescent="0.3">
      <c r="B166" s="217" t="s">
        <v>651</v>
      </c>
      <c r="C166" s="217" t="s">
        <v>38</v>
      </c>
      <c r="D166" s="274">
        <v>10</v>
      </c>
      <c r="E166" s="274">
        <v>9.9</v>
      </c>
      <c r="F166" s="274">
        <v>9.8010000000000002</v>
      </c>
      <c r="G166" s="274">
        <v>9.7029899999999998</v>
      </c>
      <c r="H166" s="274">
        <v>9.6059601000000008</v>
      </c>
      <c r="I166" s="274">
        <v>9.5099004989999987</v>
      </c>
      <c r="J166" s="274">
        <v>9.4148014940099998</v>
      </c>
      <c r="K166" s="274">
        <v>9.3206534790699003</v>
      </c>
      <c r="M166" s="147"/>
    </row>
    <row r="167" spans="1:13" x14ac:dyDescent="0.3">
      <c r="B167" s="213" t="s">
        <v>470</v>
      </c>
      <c r="C167" s="213" t="s">
        <v>284</v>
      </c>
      <c r="D167" s="138">
        <v>8888</v>
      </c>
      <c r="E167" s="138">
        <f>D167</f>
        <v>8888</v>
      </c>
      <c r="F167" s="138">
        <f t="shared" ref="F167:K171" si="51">E167</f>
        <v>8888</v>
      </c>
      <c r="G167" s="138">
        <f t="shared" si="51"/>
        <v>8888</v>
      </c>
      <c r="H167" s="138">
        <f t="shared" si="51"/>
        <v>8888</v>
      </c>
      <c r="I167" s="138">
        <f t="shared" si="51"/>
        <v>8888</v>
      </c>
      <c r="J167" s="138">
        <f t="shared" si="51"/>
        <v>8888</v>
      </c>
      <c r="K167" s="138">
        <f t="shared" si="51"/>
        <v>8888</v>
      </c>
      <c r="M167" s="137" t="s">
        <v>637</v>
      </c>
    </row>
    <row r="168" spans="1:13" x14ac:dyDescent="0.3">
      <c r="B168" s="213" t="s">
        <v>470</v>
      </c>
      <c r="C168" s="213" t="s">
        <v>188</v>
      </c>
      <c r="D168" s="138">
        <v>8888</v>
      </c>
      <c r="E168" s="138">
        <f>D168</f>
        <v>8888</v>
      </c>
      <c r="F168" s="138">
        <f t="shared" si="51"/>
        <v>8888</v>
      </c>
      <c r="G168" s="138">
        <f t="shared" si="51"/>
        <v>8888</v>
      </c>
      <c r="H168" s="138">
        <f t="shared" si="51"/>
        <v>8888</v>
      </c>
      <c r="I168" s="138">
        <f t="shared" si="51"/>
        <v>8888</v>
      </c>
      <c r="J168" s="138">
        <f t="shared" si="51"/>
        <v>8888</v>
      </c>
      <c r="K168" s="138">
        <f t="shared" si="51"/>
        <v>8888</v>
      </c>
      <c r="M168" s="137" t="s">
        <v>637</v>
      </c>
    </row>
    <row r="169" spans="1:13" x14ac:dyDescent="0.3">
      <c r="B169" s="213" t="s">
        <v>470</v>
      </c>
      <c r="C169" s="213" t="s">
        <v>694</v>
      </c>
      <c r="D169" s="138">
        <f>D$168*2</f>
        <v>17776</v>
      </c>
      <c r="E169" s="138">
        <f t="shared" ref="E169:K170" si="52">E$168*2</f>
        <v>17776</v>
      </c>
      <c r="F169" s="138">
        <f t="shared" si="52"/>
        <v>17776</v>
      </c>
      <c r="G169" s="138">
        <f t="shared" si="52"/>
        <v>17776</v>
      </c>
      <c r="H169" s="138">
        <f t="shared" si="52"/>
        <v>17776</v>
      </c>
      <c r="I169" s="138">
        <f t="shared" si="52"/>
        <v>17776</v>
      </c>
      <c r="J169" s="138">
        <f t="shared" si="52"/>
        <v>17776</v>
      </c>
      <c r="K169" s="138">
        <f t="shared" si="52"/>
        <v>17776</v>
      </c>
      <c r="M169" s="119" t="s">
        <v>701</v>
      </c>
    </row>
    <row r="170" spans="1:13" x14ac:dyDescent="0.3">
      <c r="B170" s="217" t="s">
        <v>470</v>
      </c>
      <c r="C170" s="217" t="s">
        <v>696</v>
      </c>
      <c r="D170" s="155">
        <f>D$168*2</f>
        <v>17776</v>
      </c>
      <c r="E170" s="155">
        <f t="shared" si="52"/>
        <v>17776</v>
      </c>
      <c r="F170" s="155">
        <f t="shared" si="52"/>
        <v>17776</v>
      </c>
      <c r="G170" s="155">
        <f t="shared" si="52"/>
        <v>17776</v>
      </c>
      <c r="H170" s="155">
        <f t="shared" si="52"/>
        <v>17776</v>
      </c>
      <c r="I170" s="155">
        <f t="shared" si="52"/>
        <v>17776</v>
      </c>
      <c r="J170" s="155">
        <f t="shared" si="52"/>
        <v>17776</v>
      </c>
      <c r="K170" s="155">
        <f t="shared" si="52"/>
        <v>17776</v>
      </c>
      <c r="M170" s="147" t="s">
        <v>701</v>
      </c>
    </row>
    <row r="171" spans="1:13" x14ac:dyDescent="0.3">
      <c r="B171" s="213" t="s">
        <v>470</v>
      </c>
      <c r="C171" s="213" t="s">
        <v>286</v>
      </c>
      <c r="D171" s="108">
        <v>5000</v>
      </c>
      <c r="E171" s="108">
        <f>D171</f>
        <v>5000</v>
      </c>
      <c r="F171" s="108">
        <f t="shared" si="51"/>
        <v>5000</v>
      </c>
      <c r="G171" s="108">
        <f t="shared" si="51"/>
        <v>5000</v>
      </c>
      <c r="H171" s="108">
        <f t="shared" si="51"/>
        <v>5000</v>
      </c>
      <c r="I171" s="108">
        <f t="shared" si="51"/>
        <v>5000</v>
      </c>
      <c r="J171" s="108">
        <f t="shared" si="51"/>
        <v>5000</v>
      </c>
      <c r="K171" s="108">
        <f t="shared" si="51"/>
        <v>5000</v>
      </c>
      <c r="M171" s="119" t="s">
        <v>555</v>
      </c>
    </row>
    <row r="172" spans="1:13" x14ac:dyDescent="0.3">
      <c r="B172" s="213" t="s">
        <v>470</v>
      </c>
      <c r="C172" s="213" t="s">
        <v>288</v>
      </c>
      <c r="D172" s="138">
        <f>D171*1.5</f>
        <v>7500</v>
      </c>
      <c r="E172" s="138">
        <f t="shared" ref="E172:K172" si="53">E171*1.5</f>
        <v>7500</v>
      </c>
      <c r="F172" s="138">
        <f t="shared" si="53"/>
        <v>7500</v>
      </c>
      <c r="G172" s="138">
        <f t="shared" si="53"/>
        <v>7500</v>
      </c>
      <c r="H172" s="138">
        <f t="shared" si="53"/>
        <v>7500</v>
      </c>
      <c r="I172" s="138">
        <f t="shared" si="53"/>
        <v>7500</v>
      </c>
      <c r="J172" s="138">
        <f t="shared" si="53"/>
        <v>7500</v>
      </c>
      <c r="K172" s="138">
        <f t="shared" si="53"/>
        <v>7500</v>
      </c>
      <c r="L172" s="95"/>
      <c r="M172" s="137" t="s">
        <v>644</v>
      </c>
    </row>
    <row r="173" spans="1:13" x14ac:dyDescent="0.3">
      <c r="B173" s="213" t="s">
        <v>470</v>
      </c>
      <c r="C173" s="213" t="s">
        <v>290</v>
      </c>
      <c r="D173" s="138">
        <f>D171*1.3</f>
        <v>6500</v>
      </c>
      <c r="E173" s="138">
        <f t="shared" ref="E173:K173" si="54">E171*1.3</f>
        <v>6500</v>
      </c>
      <c r="F173" s="138">
        <f t="shared" si="54"/>
        <v>6500</v>
      </c>
      <c r="G173" s="138">
        <f t="shared" si="54"/>
        <v>6500</v>
      </c>
      <c r="H173" s="138">
        <f t="shared" si="54"/>
        <v>6500</v>
      </c>
      <c r="I173" s="138">
        <f t="shared" si="54"/>
        <v>6500</v>
      </c>
      <c r="J173" s="138">
        <f t="shared" si="54"/>
        <v>6500</v>
      </c>
      <c r="K173" s="138">
        <f t="shared" si="54"/>
        <v>6500</v>
      </c>
      <c r="L173" s="95"/>
      <c r="M173" s="137" t="s">
        <v>645</v>
      </c>
    </row>
    <row r="174" spans="1:13" x14ac:dyDescent="0.3">
      <c r="B174" s="217" t="s">
        <v>470</v>
      </c>
      <c r="C174" s="217" t="s">
        <v>613</v>
      </c>
      <c r="D174" s="155">
        <f>D171*1.3</f>
        <v>6500</v>
      </c>
      <c r="E174" s="155">
        <f t="shared" ref="E174:K174" si="55">E171*1.3</f>
        <v>6500</v>
      </c>
      <c r="F174" s="155">
        <f t="shared" si="55"/>
        <v>6500</v>
      </c>
      <c r="G174" s="155">
        <f t="shared" si="55"/>
        <v>6500</v>
      </c>
      <c r="H174" s="155">
        <f t="shared" si="55"/>
        <v>6500</v>
      </c>
      <c r="I174" s="155">
        <f t="shared" si="55"/>
        <v>6500</v>
      </c>
      <c r="J174" s="155">
        <f t="shared" si="55"/>
        <v>6500</v>
      </c>
      <c r="K174" s="155">
        <f t="shared" si="55"/>
        <v>6500</v>
      </c>
      <c r="L174" s="95"/>
      <c r="M174" s="243" t="s">
        <v>645</v>
      </c>
    </row>
    <row r="175" spans="1:13" x14ac:dyDescent="0.3">
      <c r="B175" s="213" t="s">
        <v>651</v>
      </c>
      <c r="C175" s="213" t="s">
        <v>34</v>
      </c>
      <c r="D175" s="275">
        <v>0.999</v>
      </c>
      <c r="E175" s="275">
        <v>0.999</v>
      </c>
      <c r="F175" s="275">
        <v>0.999</v>
      </c>
      <c r="G175" s="275">
        <v>0.999</v>
      </c>
      <c r="H175" s="275">
        <v>0.999</v>
      </c>
      <c r="I175" s="275">
        <v>0.999</v>
      </c>
      <c r="J175" s="275">
        <v>0.999</v>
      </c>
      <c r="K175" s="275">
        <v>0.999</v>
      </c>
      <c r="M175" s="119" t="s">
        <v>637</v>
      </c>
    </row>
    <row r="176" spans="1:13" x14ac:dyDescent="0.3">
      <c r="B176" s="217" t="s">
        <v>651</v>
      </c>
      <c r="C176" s="217" t="s">
        <v>292</v>
      </c>
      <c r="D176" s="276">
        <v>0.999</v>
      </c>
      <c r="E176" s="276">
        <v>0.999</v>
      </c>
      <c r="F176" s="276">
        <v>0.999</v>
      </c>
      <c r="G176" s="276">
        <v>0.999</v>
      </c>
      <c r="H176" s="276">
        <v>0.999</v>
      </c>
      <c r="I176" s="276">
        <v>0.999</v>
      </c>
      <c r="J176" s="276">
        <v>0.999</v>
      </c>
      <c r="K176" s="276">
        <v>0.999</v>
      </c>
      <c r="M176" s="147" t="s">
        <v>637</v>
      </c>
    </row>
    <row r="177" spans="2:13" x14ac:dyDescent="0.3">
      <c r="B177" s="213" t="s">
        <v>651</v>
      </c>
      <c r="C177" s="213" t="s">
        <v>647</v>
      </c>
      <c r="D177" s="138">
        <v>55</v>
      </c>
      <c r="E177" s="138">
        <v>55</v>
      </c>
      <c r="F177" s="138">
        <v>55</v>
      </c>
      <c r="G177" s="138">
        <v>55</v>
      </c>
      <c r="H177" s="138">
        <v>55</v>
      </c>
      <c r="I177" s="138">
        <v>55</v>
      </c>
      <c r="J177" s="138">
        <v>55</v>
      </c>
      <c r="K177" s="138">
        <v>55</v>
      </c>
      <c r="M177" s="119" t="s">
        <v>637</v>
      </c>
    </row>
    <row r="178" spans="2:13" x14ac:dyDescent="0.3">
      <c r="B178" s="217" t="s">
        <v>651</v>
      </c>
      <c r="C178" s="217" t="s">
        <v>648</v>
      </c>
      <c r="D178" s="155">
        <v>55</v>
      </c>
      <c r="E178" s="155">
        <v>55</v>
      </c>
      <c r="F178" s="155">
        <v>55</v>
      </c>
      <c r="G178" s="155">
        <v>55</v>
      </c>
      <c r="H178" s="155">
        <v>55</v>
      </c>
      <c r="I178" s="155">
        <v>55</v>
      </c>
      <c r="J178" s="155">
        <v>55</v>
      </c>
      <c r="K178" s="155">
        <v>55</v>
      </c>
      <c r="M178" s="147" t="s">
        <v>637</v>
      </c>
    </row>
    <row r="179" spans="2:13" x14ac:dyDescent="0.3">
      <c r="B179" s="213" t="s">
        <v>466</v>
      </c>
      <c r="C179" s="213" t="s">
        <v>174</v>
      </c>
      <c r="D179" s="138">
        <v>777</v>
      </c>
      <c r="E179" s="138">
        <v>777</v>
      </c>
      <c r="F179" s="138">
        <v>777</v>
      </c>
      <c r="G179" s="138">
        <v>777</v>
      </c>
      <c r="H179" s="138">
        <v>777</v>
      </c>
      <c r="I179" s="138">
        <v>777</v>
      </c>
      <c r="J179" s="138">
        <v>777</v>
      </c>
      <c r="K179" s="138">
        <v>777</v>
      </c>
      <c r="M179" s="119" t="s">
        <v>637</v>
      </c>
    </row>
    <row r="180" spans="2:13" x14ac:dyDescent="0.3">
      <c r="B180" s="213" t="s">
        <v>466</v>
      </c>
      <c r="C180" s="213" t="s">
        <v>177</v>
      </c>
      <c r="D180" s="138">
        <v>777</v>
      </c>
      <c r="E180" s="138">
        <v>777</v>
      </c>
      <c r="F180" s="138">
        <v>777</v>
      </c>
      <c r="G180" s="138">
        <v>777</v>
      </c>
      <c r="H180" s="138">
        <v>777</v>
      </c>
      <c r="I180" s="138">
        <v>777</v>
      </c>
      <c r="J180" s="138">
        <v>777</v>
      </c>
      <c r="K180" s="138">
        <v>777</v>
      </c>
      <c r="M180" s="119" t="s">
        <v>637</v>
      </c>
    </row>
    <row r="181" spans="2:13" x14ac:dyDescent="0.3">
      <c r="B181" s="213" t="s">
        <v>466</v>
      </c>
      <c r="C181" s="213" t="s">
        <v>107</v>
      </c>
      <c r="D181" s="138">
        <v>777</v>
      </c>
      <c r="E181" s="138">
        <v>777</v>
      </c>
      <c r="F181" s="138">
        <v>777</v>
      </c>
      <c r="G181" s="138">
        <v>777</v>
      </c>
      <c r="H181" s="138">
        <v>777</v>
      </c>
      <c r="I181" s="138">
        <v>777</v>
      </c>
      <c r="J181" s="138">
        <v>777</v>
      </c>
      <c r="K181" s="138">
        <v>777</v>
      </c>
      <c r="M181" s="119" t="s">
        <v>637</v>
      </c>
    </row>
    <row r="182" spans="2:13" x14ac:dyDescent="0.3">
      <c r="B182" s="213" t="s">
        <v>466</v>
      </c>
      <c r="C182" s="213" t="s">
        <v>110</v>
      </c>
      <c r="D182" s="138">
        <v>777</v>
      </c>
      <c r="E182" s="138">
        <v>777</v>
      </c>
      <c r="F182" s="138">
        <v>777</v>
      </c>
      <c r="G182" s="138">
        <v>777</v>
      </c>
      <c r="H182" s="138">
        <v>777</v>
      </c>
      <c r="I182" s="138">
        <v>777</v>
      </c>
      <c r="J182" s="138">
        <v>777</v>
      </c>
      <c r="K182" s="138">
        <v>777</v>
      </c>
      <c r="M182" s="119" t="s">
        <v>637</v>
      </c>
    </row>
    <row r="183" spans="2:13" x14ac:dyDescent="0.3">
      <c r="B183" s="213" t="s">
        <v>466</v>
      </c>
      <c r="C183" s="213" t="s">
        <v>113</v>
      </c>
      <c r="D183" s="138">
        <v>777</v>
      </c>
      <c r="E183" s="138">
        <v>777</v>
      </c>
      <c r="F183" s="138">
        <v>777</v>
      </c>
      <c r="G183" s="138">
        <v>777</v>
      </c>
      <c r="H183" s="138">
        <v>777</v>
      </c>
      <c r="I183" s="138">
        <v>777</v>
      </c>
      <c r="J183" s="138">
        <v>777</v>
      </c>
      <c r="K183" s="138">
        <v>777</v>
      </c>
      <c r="M183" s="119" t="s">
        <v>637</v>
      </c>
    </row>
    <row r="184" spans="2:13" x14ac:dyDescent="0.3">
      <c r="B184" s="213" t="s">
        <v>466</v>
      </c>
      <c r="C184" s="213" t="s">
        <v>121</v>
      </c>
      <c r="D184" s="138">
        <v>777</v>
      </c>
      <c r="E184" s="138">
        <v>777</v>
      </c>
      <c r="F184" s="138">
        <v>777</v>
      </c>
      <c r="G184" s="138">
        <v>777</v>
      </c>
      <c r="H184" s="138">
        <v>777</v>
      </c>
      <c r="I184" s="138">
        <v>777</v>
      </c>
      <c r="J184" s="138">
        <v>777</v>
      </c>
      <c r="K184" s="138">
        <v>777</v>
      </c>
      <c r="M184" s="119" t="s">
        <v>637</v>
      </c>
    </row>
    <row r="185" spans="2:13" x14ac:dyDescent="0.3">
      <c r="B185" s="213" t="s">
        <v>466</v>
      </c>
      <c r="C185" s="213" t="s">
        <v>116</v>
      </c>
      <c r="D185" s="138">
        <v>777</v>
      </c>
      <c r="E185" s="138">
        <v>777</v>
      </c>
      <c r="F185" s="138">
        <v>777</v>
      </c>
      <c r="G185" s="138">
        <v>777</v>
      </c>
      <c r="H185" s="138">
        <v>777</v>
      </c>
      <c r="I185" s="138">
        <v>777</v>
      </c>
      <c r="J185" s="138">
        <v>777</v>
      </c>
      <c r="K185" s="138">
        <v>777</v>
      </c>
      <c r="M185" s="119" t="s">
        <v>637</v>
      </c>
    </row>
    <row r="186" spans="2:13" x14ac:dyDescent="0.3">
      <c r="B186" s="213" t="s">
        <v>466</v>
      </c>
      <c r="C186" s="213" t="s">
        <v>123</v>
      </c>
      <c r="D186" s="138">
        <v>777</v>
      </c>
      <c r="E186" s="138">
        <v>777</v>
      </c>
      <c r="F186" s="138">
        <v>777</v>
      </c>
      <c r="G186" s="138">
        <v>777</v>
      </c>
      <c r="H186" s="138">
        <v>777</v>
      </c>
      <c r="I186" s="138">
        <v>777</v>
      </c>
      <c r="J186" s="138">
        <v>777</v>
      </c>
      <c r="K186" s="138">
        <v>777</v>
      </c>
      <c r="M186" s="119" t="s">
        <v>637</v>
      </c>
    </row>
    <row r="187" spans="2:13" x14ac:dyDescent="0.3">
      <c r="B187" s="217" t="s">
        <v>466</v>
      </c>
      <c r="C187" s="217" t="s">
        <v>119</v>
      </c>
      <c r="D187" s="155">
        <v>777</v>
      </c>
      <c r="E187" s="155">
        <v>777</v>
      </c>
      <c r="F187" s="155">
        <v>777</v>
      </c>
      <c r="G187" s="155">
        <v>777</v>
      </c>
      <c r="H187" s="155">
        <v>777</v>
      </c>
      <c r="I187" s="155">
        <v>777</v>
      </c>
      <c r="J187" s="155">
        <v>777</v>
      </c>
      <c r="K187" s="155">
        <v>777</v>
      </c>
      <c r="M187" s="147" t="s">
        <v>637</v>
      </c>
    </row>
    <row r="188" spans="2:13" x14ac:dyDescent="0.3">
      <c r="B188" s="213" t="s">
        <v>471</v>
      </c>
      <c r="C188" s="213" t="s">
        <v>35</v>
      </c>
      <c r="D188" s="160">
        <v>1E-3</v>
      </c>
      <c r="E188" s="160">
        <v>1E-3</v>
      </c>
      <c r="F188" s="160">
        <v>1E-3</v>
      </c>
      <c r="G188" s="160">
        <v>1E-3</v>
      </c>
      <c r="H188" s="160">
        <v>1E-3</v>
      </c>
      <c r="I188" s="160">
        <v>1E-3</v>
      </c>
      <c r="J188" s="160">
        <v>1E-3</v>
      </c>
      <c r="K188" s="160">
        <v>1E-3</v>
      </c>
      <c r="M188" s="119" t="s">
        <v>672</v>
      </c>
    </row>
    <row r="189" spans="2:13" x14ac:dyDescent="0.3">
      <c r="B189" s="213" t="s">
        <v>471</v>
      </c>
      <c r="C189" s="213" t="s">
        <v>293</v>
      </c>
      <c r="D189" s="160">
        <v>1E-3</v>
      </c>
      <c r="E189" s="160">
        <v>1E-3</v>
      </c>
      <c r="F189" s="160">
        <v>1E-3</v>
      </c>
      <c r="G189" s="160">
        <v>1E-3</v>
      </c>
      <c r="H189" s="160">
        <v>1E-3</v>
      </c>
      <c r="I189" s="160">
        <v>1E-3</v>
      </c>
      <c r="J189" s="160">
        <v>1E-3</v>
      </c>
      <c r="K189" s="160">
        <v>1E-3</v>
      </c>
      <c r="M189" s="119" t="s">
        <v>672</v>
      </c>
    </row>
    <row r="190" spans="2:13" x14ac:dyDescent="0.3">
      <c r="B190" s="213" t="s">
        <v>471</v>
      </c>
      <c r="C190" s="213" t="s">
        <v>130</v>
      </c>
      <c r="D190" s="272">
        <f>(D191*2)</f>
        <v>3</v>
      </c>
      <c r="E190" s="272">
        <f t="shared" ref="E190:K190" si="56">(E191*2)</f>
        <v>2.9699999999999998</v>
      </c>
      <c r="F190" s="272">
        <f t="shared" si="56"/>
        <v>2.9402999999999997</v>
      </c>
      <c r="G190" s="272">
        <f t="shared" si="56"/>
        <v>2.9108969999999998</v>
      </c>
      <c r="H190" s="272">
        <f t="shared" si="56"/>
        <v>2.8817880299999996</v>
      </c>
      <c r="I190" s="272">
        <f t="shared" si="56"/>
        <v>2.8529701496999995</v>
      </c>
      <c r="J190" s="272">
        <f t="shared" si="56"/>
        <v>2.8244404482029997</v>
      </c>
      <c r="K190" s="272">
        <f t="shared" si="56"/>
        <v>2.7961960437209696</v>
      </c>
      <c r="M190" s="119" t="s">
        <v>556</v>
      </c>
    </row>
    <row r="191" spans="2:13" x14ac:dyDescent="0.3">
      <c r="B191" s="213" t="s">
        <v>471</v>
      </c>
      <c r="C191" s="213" t="s">
        <v>29</v>
      </c>
      <c r="D191" s="272">
        <v>1.5</v>
      </c>
      <c r="E191" s="272">
        <f>(D191*0.99)</f>
        <v>1.4849999999999999</v>
      </c>
      <c r="F191" s="272">
        <f t="shared" ref="F191:K191" si="57">(E191*0.99)</f>
        <v>1.4701499999999998</v>
      </c>
      <c r="G191" s="272">
        <f t="shared" si="57"/>
        <v>1.4554484999999999</v>
      </c>
      <c r="H191" s="272">
        <f t="shared" si="57"/>
        <v>1.4408940149999998</v>
      </c>
      <c r="I191" s="272">
        <f t="shared" si="57"/>
        <v>1.4264850748499998</v>
      </c>
      <c r="J191" s="272">
        <f t="shared" si="57"/>
        <v>1.4122202241014998</v>
      </c>
      <c r="K191" s="272">
        <f t="shared" si="57"/>
        <v>1.3980980218604848</v>
      </c>
      <c r="M191" s="119" t="s">
        <v>555</v>
      </c>
    </row>
    <row r="192" spans="2:13" x14ac:dyDescent="0.3">
      <c r="B192" s="213" t="s">
        <v>471</v>
      </c>
      <c r="C192" s="213" t="s">
        <v>128</v>
      </c>
      <c r="D192" s="272">
        <v>1.5</v>
      </c>
      <c r="E192" s="272">
        <f t="shared" ref="E192:K192" si="58">(D192*0.99)</f>
        <v>1.4849999999999999</v>
      </c>
      <c r="F192" s="272">
        <f t="shared" si="58"/>
        <v>1.4701499999999998</v>
      </c>
      <c r="G192" s="272">
        <f t="shared" si="58"/>
        <v>1.4554484999999999</v>
      </c>
      <c r="H192" s="272">
        <f t="shared" si="58"/>
        <v>1.4408940149999998</v>
      </c>
      <c r="I192" s="272">
        <f t="shared" si="58"/>
        <v>1.4264850748499998</v>
      </c>
      <c r="J192" s="272">
        <f t="shared" si="58"/>
        <v>1.4122202241014998</v>
      </c>
      <c r="K192" s="272">
        <f t="shared" si="58"/>
        <v>1.3980980218604848</v>
      </c>
      <c r="M192" s="119" t="s">
        <v>555</v>
      </c>
    </row>
    <row r="193" spans="2:13" x14ac:dyDescent="0.3">
      <c r="B193" s="213" t="s">
        <v>471</v>
      </c>
      <c r="C193" s="213" t="s">
        <v>32</v>
      </c>
      <c r="D193" s="272">
        <v>0.3</v>
      </c>
      <c r="E193" s="272">
        <v>0.3</v>
      </c>
      <c r="F193" s="272">
        <v>0.3</v>
      </c>
      <c r="G193" s="272">
        <v>0.3</v>
      </c>
      <c r="H193" s="272">
        <v>0.3</v>
      </c>
      <c r="I193" s="272">
        <v>0.3</v>
      </c>
      <c r="J193" s="272">
        <v>0.3</v>
      </c>
      <c r="K193" s="272">
        <v>0.3</v>
      </c>
      <c r="M193" s="119" t="s">
        <v>555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J190"/>
  <sheetViews>
    <sheetView zoomScale="75" zoomScaleNormal="75" workbookViewId="0">
      <selection activeCell="D52" sqref="D52:D54"/>
    </sheetView>
  </sheetViews>
  <sheetFormatPr defaultColWidth="9.109375" defaultRowHeight="14.4" x14ac:dyDescent="0.3"/>
  <cols>
    <col min="2" max="3" width="14.44140625" bestFit="1" customWidth="1"/>
    <col min="4" max="4" width="13.5546875" customWidth="1"/>
    <col min="6" max="7" width="14.44140625" bestFit="1" customWidth="1"/>
    <col min="8" max="8" width="13.5546875" customWidth="1"/>
    <col min="10" max="10" width="88.109375" bestFit="1" customWidth="1"/>
  </cols>
  <sheetData>
    <row r="2" spans="2:10" x14ac:dyDescent="0.3">
      <c r="C2" s="151"/>
      <c r="D2" s="152"/>
      <c r="G2" s="151"/>
      <c r="H2" s="152"/>
    </row>
    <row r="3" spans="2:10" x14ac:dyDescent="0.3">
      <c r="B3" s="89" t="s">
        <v>14</v>
      </c>
      <c r="C3" s="90"/>
      <c r="D3" s="90"/>
      <c r="F3" s="89" t="s">
        <v>42</v>
      </c>
      <c r="G3" s="90"/>
      <c r="H3" s="90"/>
    </row>
    <row r="4" spans="2:10" x14ac:dyDescent="0.3">
      <c r="B4" s="216" t="s">
        <v>702</v>
      </c>
      <c r="C4" s="92"/>
      <c r="D4" s="92"/>
      <c r="F4" s="216" t="s">
        <v>681</v>
      </c>
      <c r="G4" s="216"/>
      <c r="H4" s="92"/>
    </row>
    <row r="5" spans="2:10" x14ac:dyDescent="0.3">
      <c r="B5" s="95"/>
      <c r="F5" s="95"/>
    </row>
    <row r="6" spans="2:10" x14ac:dyDescent="0.3">
      <c r="B6" s="106" t="s">
        <v>460</v>
      </c>
      <c r="C6" s="106" t="s">
        <v>2</v>
      </c>
      <c r="D6" s="107" t="s">
        <v>14</v>
      </c>
      <c r="F6" s="106" t="s">
        <v>460</v>
      </c>
      <c r="G6" s="106" t="s">
        <v>2</v>
      </c>
      <c r="H6" s="107" t="s">
        <v>42</v>
      </c>
      <c r="J6" s="106" t="s">
        <v>511</v>
      </c>
    </row>
    <row r="7" spans="2:10" x14ac:dyDescent="0.3">
      <c r="B7" s="96"/>
      <c r="C7" s="96"/>
      <c r="D7" s="96"/>
      <c r="F7" s="96"/>
      <c r="G7" s="96"/>
      <c r="H7" s="96"/>
      <c r="J7" s="106"/>
    </row>
    <row r="8" spans="2:10" x14ac:dyDescent="0.3">
      <c r="B8" s="213" t="s">
        <v>461</v>
      </c>
      <c r="C8" s="213" t="s">
        <v>184</v>
      </c>
      <c r="D8" s="294"/>
      <c r="F8" s="213" t="s">
        <v>461</v>
      </c>
      <c r="G8" s="213" t="s">
        <v>184</v>
      </c>
      <c r="H8" s="114"/>
      <c r="J8" s="119"/>
    </row>
    <row r="9" spans="2:10" x14ac:dyDescent="0.3">
      <c r="B9" s="217" t="s">
        <v>461</v>
      </c>
      <c r="C9" s="217" t="s">
        <v>180</v>
      </c>
      <c r="D9" s="295"/>
      <c r="F9" s="217" t="s">
        <v>461</v>
      </c>
      <c r="G9" s="217" t="s">
        <v>180</v>
      </c>
      <c r="H9" s="117"/>
      <c r="J9" s="147"/>
    </row>
    <row r="10" spans="2:10" x14ac:dyDescent="0.3">
      <c r="B10" s="213" t="s">
        <v>462</v>
      </c>
      <c r="C10" s="213" t="s">
        <v>88</v>
      </c>
      <c r="D10" s="297">
        <v>0.1</v>
      </c>
      <c r="F10" s="213" t="s">
        <v>462</v>
      </c>
      <c r="G10" s="213" t="s">
        <v>88</v>
      </c>
      <c r="H10" s="108"/>
      <c r="J10" s="119"/>
    </row>
    <row r="11" spans="2:10" x14ac:dyDescent="0.3">
      <c r="B11" s="213" t="s">
        <v>462</v>
      </c>
      <c r="C11" s="213" t="s">
        <v>91</v>
      </c>
      <c r="D11" s="297">
        <v>0.1</v>
      </c>
      <c r="F11" s="213" t="s">
        <v>462</v>
      </c>
      <c r="G11" s="213" t="s">
        <v>91</v>
      </c>
      <c r="H11" s="108"/>
      <c r="J11" s="119"/>
    </row>
    <row r="12" spans="2:10" x14ac:dyDescent="0.3">
      <c r="B12" s="213" t="s">
        <v>462</v>
      </c>
      <c r="C12" s="213" t="s">
        <v>93</v>
      </c>
      <c r="D12" s="297">
        <v>0.1</v>
      </c>
      <c r="F12" s="213" t="s">
        <v>462</v>
      </c>
      <c r="G12" s="213" t="s">
        <v>93</v>
      </c>
      <c r="H12" s="108"/>
      <c r="J12" s="119"/>
    </row>
    <row r="13" spans="2:10" x14ac:dyDescent="0.3">
      <c r="B13" s="213" t="s">
        <v>462</v>
      </c>
      <c r="C13" s="213" t="s">
        <v>95</v>
      </c>
      <c r="D13" s="297">
        <v>0.1</v>
      </c>
      <c r="F13" s="213" t="s">
        <v>462</v>
      </c>
      <c r="G13" s="213" t="s">
        <v>95</v>
      </c>
      <c r="H13" s="108"/>
      <c r="J13" s="119"/>
    </row>
    <row r="14" spans="2:10" x14ac:dyDescent="0.3">
      <c r="B14" s="213" t="s">
        <v>462</v>
      </c>
      <c r="C14" s="213" t="s">
        <v>97</v>
      </c>
      <c r="D14" s="297">
        <v>0.1</v>
      </c>
      <c r="F14" s="213" t="s">
        <v>462</v>
      </c>
      <c r="G14" s="213" t="s">
        <v>97</v>
      </c>
      <c r="H14" s="108"/>
      <c r="J14" s="119"/>
    </row>
    <row r="15" spans="2:10" x14ac:dyDescent="0.3">
      <c r="B15" s="213" t="s">
        <v>462</v>
      </c>
      <c r="C15" s="213" t="s">
        <v>99</v>
      </c>
      <c r="D15" s="297">
        <v>0.1</v>
      </c>
      <c r="F15" s="213" t="s">
        <v>462</v>
      </c>
      <c r="G15" s="213" t="s">
        <v>99</v>
      </c>
      <c r="H15" s="108"/>
      <c r="J15" s="119"/>
    </row>
    <row r="16" spans="2:10" x14ac:dyDescent="0.3">
      <c r="B16" s="213" t="s">
        <v>462</v>
      </c>
      <c r="C16" s="213" t="s">
        <v>101</v>
      </c>
      <c r="D16" s="297">
        <v>8.0000000000000016E-2</v>
      </c>
      <c r="F16" s="213" t="s">
        <v>462</v>
      </c>
      <c r="G16" s="213" t="s">
        <v>101</v>
      </c>
      <c r="H16" s="108"/>
      <c r="J16" s="119"/>
    </row>
    <row r="17" spans="2:10" x14ac:dyDescent="0.3">
      <c r="B17" s="213" t="s">
        <v>462</v>
      </c>
      <c r="C17" s="213" t="s">
        <v>356</v>
      </c>
      <c r="D17" s="297">
        <v>0.1</v>
      </c>
      <c r="F17" s="213" t="s">
        <v>462</v>
      </c>
      <c r="G17" s="213" t="s">
        <v>356</v>
      </c>
      <c r="H17" s="108"/>
      <c r="J17" s="119"/>
    </row>
    <row r="18" spans="2:10" x14ac:dyDescent="0.3">
      <c r="B18" s="213" t="s">
        <v>462</v>
      </c>
      <c r="C18" s="213" t="s">
        <v>421</v>
      </c>
      <c r="D18" s="297">
        <v>0.1</v>
      </c>
      <c r="F18" s="213" t="s">
        <v>462</v>
      </c>
      <c r="G18" s="213" t="s">
        <v>421</v>
      </c>
      <c r="H18" s="108"/>
      <c r="J18" s="119"/>
    </row>
    <row r="19" spans="2:10" x14ac:dyDescent="0.3">
      <c r="B19" s="213" t="s">
        <v>462</v>
      </c>
      <c r="C19" s="213" t="s">
        <v>103</v>
      </c>
      <c r="D19" s="297">
        <v>0.1</v>
      </c>
      <c r="F19" s="213" t="s">
        <v>462</v>
      </c>
      <c r="G19" s="213" t="s">
        <v>103</v>
      </c>
      <c r="H19" s="108"/>
      <c r="J19" s="119"/>
    </row>
    <row r="20" spans="2:10" x14ac:dyDescent="0.3">
      <c r="B20" s="213" t="s">
        <v>462</v>
      </c>
      <c r="C20" s="213" t="s">
        <v>606</v>
      </c>
      <c r="D20" s="297">
        <v>0.1</v>
      </c>
      <c r="F20" s="213" t="s">
        <v>462</v>
      </c>
      <c r="G20" s="213" t="s">
        <v>606</v>
      </c>
      <c r="H20" s="108"/>
      <c r="J20" s="119"/>
    </row>
    <row r="21" spans="2:10" x14ac:dyDescent="0.3">
      <c r="B21" s="213" t="s">
        <v>462</v>
      </c>
      <c r="C21" s="213" t="s">
        <v>422</v>
      </c>
      <c r="D21" s="297">
        <v>0.1</v>
      </c>
      <c r="F21" s="213" t="s">
        <v>462</v>
      </c>
      <c r="G21" s="213" t="s">
        <v>422</v>
      </c>
      <c r="H21" s="108"/>
      <c r="J21" s="119"/>
    </row>
    <row r="22" spans="2:10" x14ac:dyDescent="0.3">
      <c r="B22" s="217" t="s">
        <v>462</v>
      </c>
      <c r="C22" s="217" t="s">
        <v>423</v>
      </c>
      <c r="D22" s="256">
        <v>0.1</v>
      </c>
      <c r="F22" s="217" t="s">
        <v>462</v>
      </c>
      <c r="G22" s="217" t="s">
        <v>423</v>
      </c>
      <c r="H22" s="153"/>
      <c r="J22" s="147"/>
    </row>
    <row r="23" spans="2:10" x14ac:dyDescent="0.3">
      <c r="B23" s="213" t="s">
        <v>462</v>
      </c>
      <c r="C23" s="213" t="s">
        <v>66</v>
      </c>
      <c r="D23" s="297">
        <v>0.1</v>
      </c>
      <c r="F23" s="213" t="s">
        <v>462</v>
      </c>
      <c r="G23" s="213" t="s">
        <v>66</v>
      </c>
      <c r="H23" s="108"/>
      <c r="J23" s="119"/>
    </row>
    <row r="24" spans="2:10" x14ac:dyDescent="0.3">
      <c r="B24" s="213" t="s">
        <v>462</v>
      </c>
      <c r="C24" s="213" t="s">
        <v>69</v>
      </c>
      <c r="D24" s="297">
        <v>0.1</v>
      </c>
      <c r="F24" s="213" t="s">
        <v>462</v>
      </c>
      <c r="G24" s="213" t="s">
        <v>69</v>
      </c>
      <c r="H24" s="108"/>
      <c r="J24" s="119"/>
    </row>
    <row r="25" spans="2:10" x14ac:dyDescent="0.3">
      <c r="B25" s="213" t="s">
        <v>462</v>
      </c>
      <c r="C25" s="213" t="s">
        <v>72</v>
      </c>
      <c r="D25" s="297">
        <v>0.1</v>
      </c>
      <c r="F25" s="213" t="s">
        <v>462</v>
      </c>
      <c r="G25" s="213" t="s">
        <v>72</v>
      </c>
      <c r="H25" s="108"/>
      <c r="J25" s="119"/>
    </row>
    <row r="26" spans="2:10" x14ac:dyDescent="0.3">
      <c r="B26" s="213" t="s">
        <v>462</v>
      </c>
      <c r="C26" s="213" t="s">
        <v>74</v>
      </c>
      <c r="D26" s="297">
        <v>8.0000000000000016E-2</v>
      </c>
      <c r="F26" s="213" t="s">
        <v>462</v>
      </c>
      <c r="G26" s="213" t="s">
        <v>74</v>
      </c>
      <c r="H26" s="138"/>
      <c r="J26" s="119"/>
    </row>
    <row r="27" spans="2:10" x14ac:dyDescent="0.3">
      <c r="B27" s="213" t="s">
        <v>462</v>
      </c>
      <c r="C27" s="213" t="s">
        <v>76</v>
      </c>
      <c r="D27" s="297">
        <v>0.1</v>
      </c>
      <c r="F27" s="213" t="s">
        <v>462</v>
      </c>
      <c r="G27" s="213" t="s">
        <v>76</v>
      </c>
      <c r="H27" s="108"/>
      <c r="J27" s="119"/>
    </row>
    <row r="28" spans="2:10" x14ac:dyDescent="0.3">
      <c r="B28" s="213" t="s">
        <v>462</v>
      </c>
      <c r="C28" s="213" t="s">
        <v>78</v>
      </c>
      <c r="D28" s="297">
        <v>0.1</v>
      </c>
      <c r="F28" s="213" t="s">
        <v>462</v>
      </c>
      <c r="G28" s="213" t="s">
        <v>78</v>
      </c>
      <c r="H28" s="108"/>
      <c r="J28" s="119"/>
    </row>
    <row r="29" spans="2:10" x14ac:dyDescent="0.3">
      <c r="B29" s="213" t="s">
        <v>462</v>
      </c>
      <c r="C29" s="213" t="s">
        <v>80</v>
      </c>
      <c r="D29" s="297">
        <v>0.1</v>
      </c>
      <c r="F29" s="213" t="s">
        <v>462</v>
      </c>
      <c r="G29" s="213" t="s">
        <v>80</v>
      </c>
      <c r="H29" s="108"/>
      <c r="J29" s="119"/>
    </row>
    <row r="30" spans="2:10" x14ac:dyDescent="0.3">
      <c r="B30" s="213" t="s">
        <v>462</v>
      </c>
      <c r="C30" s="213" t="s">
        <v>82</v>
      </c>
      <c r="D30" s="297">
        <v>8.0000000000000016E-2</v>
      </c>
      <c r="F30" s="213" t="s">
        <v>462</v>
      </c>
      <c r="G30" s="213" t="s">
        <v>82</v>
      </c>
      <c r="H30" s="108"/>
      <c r="J30" s="119"/>
    </row>
    <row r="31" spans="2:10" x14ac:dyDescent="0.3">
      <c r="B31" s="213" t="s">
        <v>462</v>
      </c>
      <c r="C31" s="213" t="s">
        <v>352</v>
      </c>
      <c r="D31" s="297">
        <v>0.1</v>
      </c>
      <c r="F31" s="213" t="s">
        <v>462</v>
      </c>
      <c r="G31" s="213" t="s">
        <v>352</v>
      </c>
      <c r="H31" s="108"/>
      <c r="J31" s="119"/>
    </row>
    <row r="32" spans="2:10" x14ac:dyDescent="0.3">
      <c r="B32" s="213" t="s">
        <v>462</v>
      </c>
      <c r="C32" s="213" t="s">
        <v>389</v>
      </c>
      <c r="D32" s="297">
        <v>0.1</v>
      </c>
      <c r="F32" s="213" t="s">
        <v>462</v>
      </c>
      <c r="G32" s="213" t="s">
        <v>389</v>
      </c>
      <c r="H32" s="108"/>
      <c r="J32" s="119"/>
    </row>
    <row r="33" spans="2:10" x14ac:dyDescent="0.3">
      <c r="B33" s="213" t="s">
        <v>462</v>
      </c>
      <c r="C33" s="213" t="s">
        <v>84</v>
      </c>
      <c r="D33" s="297">
        <v>8.0000000000000016E-2</v>
      </c>
      <c r="F33" s="213" t="s">
        <v>462</v>
      </c>
      <c r="G33" s="213" t="s">
        <v>84</v>
      </c>
      <c r="H33" s="108"/>
      <c r="J33" s="119"/>
    </row>
    <row r="34" spans="2:10" x14ac:dyDescent="0.3">
      <c r="B34" s="213" t="s">
        <v>462</v>
      </c>
      <c r="C34" s="213" t="s">
        <v>605</v>
      </c>
      <c r="D34" s="297">
        <v>0.1</v>
      </c>
      <c r="F34" s="213" t="s">
        <v>462</v>
      </c>
      <c r="G34" s="213" t="s">
        <v>605</v>
      </c>
      <c r="H34" s="108"/>
      <c r="J34" s="119"/>
    </row>
    <row r="35" spans="2:10" x14ac:dyDescent="0.3">
      <c r="B35" s="213" t="s">
        <v>462</v>
      </c>
      <c r="C35" s="213" t="s">
        <v>354</v>
      </c>
      <c r="D35" s="297">
        <v>0.1</v>
      </c>
      <c r="F35" s="213" t="s">
        <v>462</v>
      </c>
      <c r="G35" s="213" t="s">
        <v>354</v>
      </c>
      <c r="H35" s="108"/>
      <c r="J35" s="119"/>
    </row>
    <row r="36" spans="2:10" x14ac:dyDescent="0.3">
      <c r="B36" s="217" t="s">
        <v>462</v>
      </c>
      <c r="C36" s="217" t="s">
        <v>392</v>
      </c>
      <c r="D36" s="256">
        <v>0.1</v>
      </c>
      <c r="F36" s="217" t="s">
        <v>462</v>
      </c>
      <c r="G36" s="217" t="s">
        <v>392</v>
      </c>
      <c r="H36" s="153"/>
      <c r="J36" s="147"/>
    </row>
    <row r="37" spans="2:10" x14ac:dyDescent="0.3">
      <c r="B37" s="213" t="s">
        <v>558</v>
      </c>
      <c r="C37" s="213" t="s">
        <v>47</v>
      </c>
      <c r="D37" s="297">
        <v>0.05</v>
      </c>
      <c r="F37" s="213" t="s">
        <v>558</v>
      </c>
      <c r="G37" s="213" t="s">
        <v>47</v>
      </c>
      <c r="H37" s="108"/>
      <c r="J37" s="119"/>
    </row>
    <row r="38" spans="2:10" x14ac:dyDescent="0.3">
      <c r="B38" s="213" t="s">
        <v>558</v>
      </c>
      <c r="C38" s="213" t="s">
        <v>578</v>
      </c>
      <c r="D38" s="297">
        <v>0.05</v>
      </c>
      <c r="F38" s="213" t="s">
        <v>558</v>
      </c>
      <c r="G38" s="213" t="s">
        <v>578</v>
      </c>
      <c r="H38" s="108"/>
      <c r="J38" s="119"/>
    </row>
    <row r="39" spans="2:10" x14ac:dyDescent="0.3">
      <c r="B39" s="213" t="s">
        <v>558</v>
      </c>
      <c r="C39" s="213" t="s">
        <v>228</v>
      </c>
      <c r="D39" s="297">
        <v>0.05</v>
      </c>
      <c r="F39" s="213" t="s">
        <v>558</v>
      </c>
      <c r="G39" s="213" t="s">
        <v>228</v>
      </c>
      <c r="H39" s="108"/>
      <c r="J39" s="119"/>
    </row>
    <row r="40" spans="2:10" x14ac:dyDescent="0.3">
      <c r="B40" s="213" t="s">
        <v>558</v>
      </c>
      <c r="C40" s="213" t="s">
        <v>49</v>
      </c>
      <c r="D40" s="297">
        <v>0.03</v>
      </c>
      <c r="F40" s="213" t="s">
        <v>558</v>
      </c>
      <c r="G40" s="213" t="s">
        <v>49</v>
      </c>
      <c r="H40" s="108"/>
      <c r="J40" s="119"/>
    </row>
    <row r="41" spans="2:10" x14ac:dyDescent="0.3">
      <c r="B41" s="213" t="s">
        <v>558</v>
      </c>
      <c r="C41" s="213" t="s">
        <v>579</v>
      </c>
      <c r="D41" s="297">
        <v>0.03</v>
      </c>
      <c r="F41" s="213" t="s">
        <v>558</v>
      </c>
      <c r="G41" s="213" t="s">
        <v>579</v>
      </c>
      <c r="H41" s="108"/>
      <c r="J41" s="119"/>
    </row>
    <row r="42" spans="2:10" x14ac:dyDescent="0.3">
      <c r="B42" s="213" t="s">
        <v>558</v>
      </c>
      <c r="C42" s="213" t="s">
        <v>230</v>
      </c>
      <c r="D42" s="297">
        <v>0.03</v>
      </c>
      <c r="F42" s="213" t="s">
        <v>558</v>
      </c>
      <c r="G42" s="213" t="s">
        <v>230</v>
      </c>
      <c r="H42" s="108"/>
      <c r="J42" s="119"/>
    </row>
    <row r="43" spans="2:10" x14ac:dyDescent="0.3">
      <c r="B43" s="213" t="s">
        <v>558</v>
      </c>
      <c r="C43" s="213" t="s">
        <v>50</v>
      </c>
      <c r="D43" s="297">
        <v>0.05</v>
      </c>
      <c r="F43" s="213" t="s">
        <v>558</v>
      </c>
      <c r="G43" s="213" t="s">
        <v>50</v>
      </c>
      <c r="H43" s="108"/>
      <c r="J43" s="119"/>
    </row>
    <row r="44" spans="2:10" x14ac:dyDescent="0.3">
      <c r="B44" s="213" t="s">
        <v>558</v>
      </c>
      <c r="C44" s="213" t="s">
        <v>580</v>
      </c>
      <c r="D44" s="297">
        <v>0.05</v>
      </c>
      <c r="F44" s="213" t="s">
        <v>558</v>
      </c>
      <c r="G44" s="213" t="s">
        <v>580</v>
      </c>
      <c r="H44" s="108"/>
      <c r="J44" s="119"/>
    </row>
    <row r="45" spans="2:10" x14ac:dyDescent="0.3">
      <c r="B45" s="213" t="s">
        <v>558</v>
      </c>
      <c r="C45" s="213" t="s">
        <v>232</v>
      </c>
      <c r="D45" s="297">
        <v>0.05</v>
      </c>
      <c r="F45" s="213" t="s">
        <v>558</v>
      </c>
      <c r="G45" s="213" t="s">
        <v>232</v>
      </c>
      <c r="H45" s="108"/>
      <c r="J45" s="119"/>
    </row>
    <row r="46" spans="2:10" x14ac:dyDescent="0.3">
      <c r="B46" s="213" t="s">
        <v>558</v>
      </c>
      <c r="C46" s="213" t="s">
        <v>52</v>
      </c>
      <c r="D46" s="297">
        <v>0.05</v>
      </c>
      <c r="F46" s="213" t="s">
        <v>558</v>
      </c>
      <c r="G46" s="213" t="s">
        <v>52</v>
      </c>
      <c r="H46" s="108"/>
      <c r="J46" s="119"/>
    </row>
    <row r="47" spans="2:10" x14ac:dyDescent="0.3">
      <c r="B47" s="213" t="s">
        <v>558</v>
      </c>
      <c r="C47" s="213" t="s">
        <v>581</v>
      </c>
      <c r="D47" s="297">
        <v>0.05</v>
      </c>
      <c r="F47" s="213" t="s">
        <v>558</v>
      </c>
      <c r="G47" s="213" t="s">
        <v>581</v>
      </c>
      <c r="H47" s="108"/>
      <c r="J47" s="119"/>
    </row>
    <row r="48" spans="2:10" x14ac:dyDescent="0.3">
      <c r="B48" s="213" t="s">
        <v>558</v>
      </c>
      <c r="C48" s="213" t="s">
        <v>234</v>
      </c>
      <c r="D48" s="297">
        <v>0.05</v>
      </c>
      <c r="F48" s="213" t="s">
        <v>558</v>
      </c>
      <c r="G48" s="213" t="s">
        <v>234</v>
      </c>
      <c r="H48" s="108"/>
      <c r="J48" s="119"/>
    </row>
    <row r="49" spans="2:10" x14ac:dyDescent="0.3">
      <c r="B49" s="213" t="s">
        <v>558</v>
      </c>
      <c r="C49" s="213" t="s">
        <v>55</v>
      </c>
      <c r="D49" s="297">
        <v>0.05</v>
      </c>
      <c r="F49" s="213" t="s">
        <v>558</v>
      </c>
      <c r="G49" s="213" t="s">
        <v>55</v>
      </c>
      <c r="H49" s="108"/>
      <c r="J49" s="119"/>
    </row>
    <row r="50" spans="2:10" x14ac:dyDescent="0.3">
      <c r="B50" s="213" t="s">
        <v>558</v>
      </c>
      <c r="C50" s="213" t="s">
        <v>582</v>
      </c>
      <c r="D50" s="297">
        <v>0.05</v>
      </c>
      <c r="F50" s="213" t="s">
        <v>558</v>
      </c>
      <c r="G50" s="213" t="s">
        <v>582</v>
      </c>
      <c r="H50" s="108"/>
      <c r="J50" s="119"/>
    </row>
    <row r="51" spans="2:10" x14ac:dyDescent="0.3">
      <c r="B51" s="213" t="s">
        <v>558</v>
      </c>
      <c r="C51" s="213" t="s">
        <v>236</v>
      </c>
      <c r="D51" s="297">
        <v>0.05</v>
      </c>
      <c r="F51" s="213" t="s">
        <v>558</v>
      </c>
      <c r="G51" s="213" t="s">
        <v>236</v>
      </c>
      <c r="H51" s="108"/>
      <c r="J51" s="119"/>
    </row>
    <row r="52" spans="2:10" x14ac:dyDescent="0.3">
      <c r="B52" s="213" t="s">
        <v>558</v>
      </c>
      <c r="C52" s="213" t="s">
        <v>56</v>
      </c>
      <c r="D52" s="297">
        <v>0.03</v>
      </c>
      <c r="F52" s="213" t="s">
        <v>558</v>
      </c>
      <c r="G52" s="213" t="s">
        <v>56</v>
      </c>
      <c r="H52" s="108"/>
      <c r="J52" s="119"/>
    </row>
    <row r="53" spans="2:10" x14ac:dyDescent="0.3">
      <c r="B53" s="213" t="s">
        <v>558</v>
      </c>
      <c r="C53" s="213" t="s">
        <v>583</v>
      </c>
      <c r="D53" s="297">
        <v>0.03</v>
      </c>
      <c r="F53" s="213" t="s">
        <v>558</v>
      </c>
      <c r="G53" s="213" t="s">
        <v>583</v>
      </c>
      <c r="H53" s="108"/>
      <c r="J53" s="119"/>
    </row>
    <row r="54" spans="2:10" x14ac:dyDescent="0.3">
      <c r="B54" s="213" t="s">
        <v>558</v>
      </c>
      <c r="C54" s="213" t="s">
        <v>238</v>
      </c>
      <c r="D54" s="297">
        <v>0.03</v>
      </c>
      <c r="F54" s="213" t="s">
        <v>558</v>
      </c>
      <c r="G54" s="213" t="s">
        <v>238</v>
      </c>
      <c r="H54" s="108"/>
      <c r="J54" s="119"/>
    </row>
    <row r="55" spans="2:10" x14ac:dyDescent="0.3">
      <c r="B55" s="213" t="s">
        <v>558</v>
      </c>
      <c r="C55" s="213" t="s">
        <v>58</v>
      </c>
      <c r="D55" s="297">
        <v>0.05</v>
      </c>
      <c r="F55" s="213" t="s">
        <v>558</v>
      </c>
      <c r="G55" s="213" t="s">
        <v>58</v>
      </c>
      <c r="H55" s="108"/>
      <c r="J55" s="119"/>
    </row>
    <row r="56" spans="2:10" x14ac:dyDescent="0.3">
      <c r="B56" s="213" t="s">
        <v>558</v>
      </c>
      <c r="C56" s="213" t="s">
        <v>584</v>
      </c>
      <c r="D56" s="297">
        <v>0.05</v>
      </c>
      <c r="F56" s="213" t="s">
        <v>558</v>
      </c>
      <c r="G56" s="213" t="s">
        <v>584</v>
      </c>
      <c r="H56" s="108"/>
      <c r="J56" s="119"/>
    </row>
    <row r="57" spans="2:10" x14ac:dyDescent="0.3">
      <c r="B57" s="213" t="s">
        <v>558</v>
      </c>
      <c r="C57" s="213" t="s">
        <v>240</v>
      </c>
      <c r="D57" s="297">
        <v>0.05</v>
      </c>
      <c r="F57" s="213" t="s">
        <v>558</v>
      </c>
      <c r="G57" s="213" t="s">
        <v>240</v>
      </c>
      <c r="H57" s="108"/>
      <c r="J57" s="119"/>
    </row>
    <row r="58" spans="2:10" x14ac:dyDescent="0.3">
      <c r="B58" s="213" t="s">
        <v>558</v>
      </c>
      <c r="C58" s="213" t="s">
        <v>59</v>
      </c>
      <c r="D58" s="297">
        <v>0.05</v>
      </c>
      <c r="F58" s="213" t="s">
        <v>558</v>
      </c>
      <c r="G58" s="213" t="s">
        <v>59</v>
      </c>
      <c r="H58" s="108"/>
      <c r="J58" s="119"/>
    </row>
    <row r="59" spans="2:10" x14ac:dyDescent="0.3">
      <c r="B59" s="213" t="s">
        <v>558</v>
      </c>
      <c r="C59" s="213" t="s">
        <v>585</v>
      </c>
      <c r="D59" s="297">
        <v>0.05</v>
      </c>
      <c r="F59" s="213" t="s">
        <v>558</v>
      </c>
      <c r="G59" s="213" t="s">
        <v>585</v>
      </c>
      <c r="H59" s="108"/>
      <c r="J59" s="119"/>
    </row>
    <row r="60" spans="2:10" x14ac:dyDescent="0.3">
      <c r="B60" s="213" t="s">
        <v>558</v>
      </c>
      <c r="C60" s="213" t="s">
        <v>242</v>
      </c>
      <c r="D60" s="297">
        <v>0.05</v>
      </c>
      <c r="F60" s="213" t="s">
        <v>558</v>
      </c>
      <c r="G60" s="213" t="s">
        <v>242</v>
      </c>
      <c r="H60" s="108"/>
      <c r="J60" s="119"/>
    </row>
    <row r="61" spans="2:10" x14ac:dyDescent="0.3">
      <c r="B61" s="213" t="s">
        <v>558</v>
      </c>
      <c r="C61" s="213" t="s">
        <v>60</v>
      </c>
      <c r="D61" s="297">
        <v>0.05</v>
      </c>
      <c r="F61" s="213" t="s">
        <v>558</v>
      </c>
      <c r="G61" s="213" t="s">
        <v>60</v>
      </c>
      <c r="H61" s="108"/>
      <c r="J61" s="119"/>
    </row>
    <row r="62" spans="2:10" x14ac:dyDescent="0.3">
      <c r="B62" s="213" t="s">
        <v>558</v>
      </c>
      <c r="C62" s="213" t="s">
        <v>586</v>
      </c>
      <c r="D62" s="297">
        <v>0.05</v>
      </c>
      <c r="F62" s="213" t="s">
        <v>558</v>
      </c>
      <c r="G62" s="213" t="s">
        <v>586</v>
      </c>
      <c r="H62" s="108"/>
      <c r="J62" s="119"/>
    </row>
    <row r="63" spans="2:10" x14ac:dyDescent="0.3">
      <c r="B63" s="213" t="s">
        <v>558</v>
      </c>
      <c r="C63" s="213" t="s">
        <v>244</v>
      </c>
      <c r="D63" s="297">
        <v>0.05</v>
      </c>
      <c r="F63" s="213" t="s">
        <v>558</v>
      </c>
      <c r="G63" s="213" t="s">
        <v>244</v>
      </c>
      <c r="H63" s="108"/>
      <c r="J63" s="119"/>
    </row>
    <row r="64" spans="2:10" x14ac:dyDescent="0.3">
      <c r="B64" s="213" t="s">
        <v>558</v>
      </c>
      <c r="C64" s="213" t="s">
        <v>601</v>
      </c>
      <c r="D64" s="297">
        <v>0.05</v>
      </c>
      <c r="F64" s="213" t="s">
        <v>558</v>
      </c>
      <c r="G64" s="213" t="s">
        <v>601</v>
      </c>
      <c r="H64" s="108"/>
      <c r="J64" s="119"/>
    </row>
    <row r="65" spans="2:10" x14ac:dyDescent="0.3">
      <c r="B65" s="213" t="s">
        <v>558</v>
      </c>
      <c r="C65" s="213" t="s">
        <v>604</v>
      </c>
      <c r="D65" s="297">
        <v>0.05</v>
      </c>
      <c r="F65" s="213" t="s">
        <v>558</v>
      </c>
      <c r="G65" s="213" t="s">
        <v>604</v>
      </c>
      <c r="H65" s="108"/>
      <c r="J65" s="119"/>
    </row>
    <row r="66" spans="2:10" x14ac:dyDescent="0.3">
      <c r="B66" s="213" t="s">
        <v>558</v>
      </c>
      <c r="C66" s="213" t="s">
        <v>602</v>
      </c>
      <c r="D66" s="297">
        <v>0.05</v>
      </c>
      <c r="F66" s="213" t="s">
        <v>558</v>
      </c>
      <c r="G66" s="213" t="s">
        <v>602</v>
      </c>
      <c r="H66" s="108"/>
      <c r="J66" s="119"/>
    </row>
    <row r="67" spans="2:10" x14ac:dyDescent="0.3">
      <c r="B67" s="213" t="s">
        <v>558</v>
      </c>
      <c r="C67" s="213" t="s">
        <v>63</v>
      </c>
      <c r="D67" s="297">
        <v>0.05</v>
      </c>
      <c r="F67" s="213" t="s">
        <v>558</v>
      </c>
      <c r="G67" s="213" t="s">
        <v>63</v>
      </c>
      <c r="H67" s="108"/>
      <c r="J67" s="119"/>
    </row>
    <row r="68" spans="2:10" x14ac:dyDescent="0.3">
      <c r="B68" s="213" t="s">
        <v>558</v>
      </c>
      <c r="C68" s="213" t="s">
        <v>587</v>
      </c>
      <c r="D68" s="297">
        <v>0.05</v>
      </c>
      <c r="F68" s="213" t="s">
        <v>558</v>
      </c>
      <c r="G68" s="213" t="s">
        <v>587</v>
      </c>
      <c r="H68" s="108"/>
      <c r="J68" s="119"/>
    </row>
    <row r="69" spans="2:10" x14ac:dyDescent="0.3">
      <c r="B69" s="213" t="s">
        <v>558</v>
      </c>
      <c r="C69" s="213" t="s">
        <v>246</v>
      </c>
      <c r="D69" s="297">
        <v>0.05</v>
      </c>
      <c r="F69" s="213" t="s">
        <v>558</v>
      </c>
      <c r="G69" s="213" t="s">
        <v>246</v>
      </c>
      <c r="H69" s="108"/>
      <c r="J69" s="119"/>
    </row>
    <row r="70" spans="2:10" x14ac:dyDescent="0.3">
      <c r="B70" s="213" t="s">
        <v>558</v>
      </c>
      <c r="C70" s="213" t="s">
        <v>64</v>
      </c>
      <c r="D70" s="297">
        <v>0.05</v>
      </c>
      <c r="F70" s="213" t="s">
        <v>558</v>
      </c>
      <c r="G70" s="213" t="s">
        <v>64</v>
      </c>
      <c r="H70" s="108"/>
      <c r="J70" s="119"/>
    </row>
    <row r="71" spans="2:10" x14ac:dyDescent="0.3">
      <c r="B71" s="213" t="s">
        <v>558</v>
      </c>
      <c r="C71" s="213" t="s">
        <v>588</v>
      </c>
      <c r="D71" s="297">
        <v>0.05</v>
      </c>
      <c r="F71" s="213" t="s">
        <v>558</v>
      </c>
      <c r="G71" s="213" t="s">
        <v>588</v>
      </c>
      <c r="H71" s="108"/>
      <c r="J71" s="119"/>
    </row>
    <row r="72" spans="2:10" x14ac:dyDescent="0.3">
      <c r="B72" s="217" t="s">
        <v>558</v>
      </c>
      <c r="C72" s="217" t="s">
        <v>248</v>
      </c>
      <c r="D72" s="256">
        <v>0.05</v>
      </c>
      <c r="F72" s="217" t="s">
        <v>558</v>
      </c>
      <c r="G72" s="217" t="s">
        <v>248</v>
      </c>
      <c r="H72" s="153"/>
      <c r="J72" s="147"/>
    </row>
    <row r="73" spans="2:10" x14ac:dyDescent="0.3">
      <c r="B73" s="213" t="s">
        <v>469</v>
      </c>
      <c r="C73" s="213" t="s">
        <v>133</v>
      </c>
      <c r="D73" s="297">
        <v>0.05</v>
      </c>
      <c r="F73" s="213" t="s">
        <v>469</v>
      </c>
      <c r="G73" s="213" t="s">
        <v>133</v>
      </c>
      <c r="H73" s="108"/>
      <c r="J73" s="119"/>
    </row>
    <row r="74" spans="2:10" x14ac:dyDescent="0.3">
      <c r="B74" s="213" t="s">
        <v>469</v>
      </c>
      <c r="C74" s="213" t="s">
        <v>250</v>
      </c>
      <c r="D74" s="297">
        <v>0.05</v>
      </c>
      <c r="F74" s="213" t="s">
        <v>469</v>
      </c>
      <c r="G74" s="213" t="s">
        <v>250</v>
      </c>
      <c r="H74" s="108"/>
      <c r="J74" s="119"/>
    </row>
    <row r="75" spans="2:10" x14ac:dyDescent="0.3">
      <c r="B75" s="213" t="s">
        <v>469</v>
      </c>
      <c r="C75" s="213" t="s">
        <v>135</v>
      </c>
      <c r="D75" s="297">
        <v>0.05</v>
      </c>
      <c r="F75" s="213" t="s">
        <v>469</v>
      </c>
      <c r="G75" s="213" t="s">
        <v>135</v>
      </c>
      <c r="H75" s="116"/>
      <c r="J75" s="119"/>
    </row>
    <row r="76" spans="2:10" x14ac:dyDescent="0.3">
      <c r="B76" s="213" t="s">
        <v>469</v>
      </c>
      <c r="C76" s="213" t="s">
        <v>252</v>
      </c>
      <c r="D76" s="297">
        <v>0.05</v>
      </c>
      <c r="F76" s="213" t="s">
        <v>469</v>
      </c>
      <c r="G76" s="213" t="s">
        <v>252</v>
      </c>
      <c r="H76" s="116"/>
      <c r="J76" s="119"/>
    </row>
    <row r="77" spans="2:10" x14ac:dyDescent="0.3">
      <c r="B77" s="213" t="s">
        <v>469</v>
      </c>
      <c r="C77" s="213" t="s">
        <v>137</v>
      </c>
      <c r="D77" s="297">
        <v>0.05</v>
      </c>
      <c r="F77" s="213" t="s">
        <v>469</v>
      </c>
      <c r="G77" s="213" t="s">
        <v>137</v>
      </c>
      <c r="H77" s="108"/>
      <c r="J77" s="119"/>
    </row>
    <row r="78" spans="2:10" x14ac:dyDescent="0.3">
      <c r="B78" s="213" t="s">
        <v>469</v>
      </c>
      <c r="C78" s="213" t="s">
        <v>254</v>
      </c>
      <c r="D78" s="297">
        <v>0.05</v>
      </c>
      <c r="F78" s="213" t="s">
        <v>469</v>
      </c>
      <c r="G78" s="213" t="s">
        <v>254</v>
      </c>
      <c r="H78" s="108"/>
      <c r="J78" s="119"/>
    </row>
    <row r="79" spans="2:10" x14ac:dyDescent="0.3">
      <c r="B79" s="213" t="s">
        <v>469</v>
      </c>
      <c r="C79" s="213" t="s">
        <v>139</v>
      </c>
      <c r="D79" s="297">
        <v>4.0000000000000008E-2</v>
      </c>
      <c r="F79" s="213" t="s">
        <v>469</v>
      </c>
      <c r="G79" s="213" t="s">
        <v>139</v>
      </c>
      <c r="H79" s="108"/>
      <c r="J79" s="119"/>
    </row>
    <row r="80" spans="2:10" x14ac:dyDescent="0.3">
      <c r="B80" s="213" t="s">
        <v>469</v>
      </c>
      <c r="C80" s="213" t="s">
        <v>256</v>
      </c>
      <c r="D80" s="297">
        <v>4.0000000000000008E-2</v>
      </c>
      <c r="F80" s="213" t="s">
        <v>469</v>
      </c>
      <c r="G80" s="213" t="s">
        <v>256</v>
      </c>
      <c r="H80" s="108"/>
      <c r="J80" s="119"/>
    </row>
    <row r="81" spans="2:10" x14ac:dyDescent="0.3">
      <c r="B81" s="213" t="s">
        <v>469</v>
      </c>
      <c r="C81" s="213" t="s">
        <v>141</v>
      </c>
      <c r="D81" s="297">
        <v>0.05</v>
      </c>
      <c r="F81" s="213" t="s">
        <v>469</v>
      </c>
      <c r="G81" s="213" t="s">
        <v>141</v>
      </c>
      <c r="H81" s="108"/>
      <c r="J81" s="119"/>
    </row>
    <row r="82" spans="2:10" x14ac:dyDescent="0.3">
      <c r="B82" s="213" t="s">
        <v>469</v>
      </c>
      <c r="C82" s="213" t="s">
        <v>258</v>
      </c>
      <c r="D82" s="297">
        <v>0.05</v>
      </c>
      <c r="F82" s="213" t="s">
        <v>469</v>
      </c>
      <c r="G82" s="213" t="s">
        <v>258</v>
      </c>
      <c r="H82" s="108"/>
      <c r="J82" s="119"/>
    </row>
    <row r="83" spans="2:10" x14ac:dyDescent="0.3">
      <c r="B83" s="213" t="s">
        <v>469</v>
      </c>
      <c r="C83" s="213" t="s">
        <v>143</v>
      </c>
      <c r="D83" s="297">
        <v>0.05</v>
      </c>
      <c r="F83" s="213" t="s">
        <v>469</v>
      </c>
      <c r="G83" s="213" t="s">
        <v>143</v>
      </c>
      <c r="H83" s="108"/>
      <c r="J83" s="119"/>
    </row>
    <row r="84" spans="2:10" x14ac:dyDescent="0.3">
      <c r="B84" s="213" t="s">
        <v>469</v>
      </c>
      <c r="C84" s="213" t="s">
        <v>260</v>
      </c>
      <c r="D84" s="297">
        <v>0.05</v>
      </c>
      <c r="F84" s="213" t="s">
        <v>469</v>
      </c>
      <c r="G84" s="213" t="s">
        <v>260</v>
      </c>
      <c r="H84" s="108"/>
      <c r="J84" s="119"/>
    </row>
    <row r="85" spans="2:10" x14ac:dyDescent="0.3">
      <c r="B85" s="213" t="s">
        <v>469</v>
      </c>
      <c r="C85" s="213" t="s">
        <v>145</v>
      </c>
      <c r="D85" s="297">
        <v>0.05</v>
      </c>
      <c r="F85" s="213" t="s">
        <v>469</v>
      </c>
      <c r="G85" s="213" t="s">
        <v>145</v>
      </c>
      <c r="H85" s="108"/>
      <c r="J85" s="119"/>
    </row>
    <row r="86" spans="2:10" x14ac:dyDescent="0.3">
      <c r="B86" s="213" t="s">
        <v>469</v>
      </c>
      <c r="C86" s="213" t="s">
        <v>262</v>
      </c>
      <c r="D86" s="297">
        <v>0.05</v>
      </c>
      <c r="F86" s="213" t="s">
        <v>469</v>
      </c>
      <c r="G86" s="213" t="s">
        <v>262</v>
      </c>
      <c r="H86" s="108"/>
      <c r="J86" s="119"/>
    </row>
    <row r="87" spans="2:10" x14ac:dyDescent="0.3">
      <c r="B87" s="213" t="s">
        <v>469</v>
      </c>
      <c r="C87" s="213" t="s">
        <v>147</v>
      </c>
      <c r="D87" s="297">
        <v>4.0000000000000008E-2</v>
      </c>
      <c r="F87" s="213" t="s">
        <v>469</v>
      </c>
      <c r="G87" s="213" t="s">
        <v>147</v>
      </c>
      <c r="H87" s="108"/>
      <c r="J87" s="119"/>
    </row>
    <row r="88" spans="2:10" x14ac:dyDescent="0.3">
      <c r="B88" s="213" t="s">
        <v>469</v>
      </c>
      <c r="C88" s="213" t="s">
        <v>264</v>
      </c>
      <c r="D88" s="297">
        <v>4.0000000000000008E-2</v>
      </c>
      <c r="F88" s="213" t="s">
        <v>469</v>
      </c>
      <c r="G88" s="213" t="s">
        <v>264</v>
      </c>
      <c r="H88" s="108"/>
      <c r="J88" s="119"/>
    </row>
    <row r="89" spans="2:10" x14ac:dyDescent="0.3">
      <c r="B89" s="213" t="s">
        <v>469</v>
      </c>
      <c r="C89" s="213" t="s">
        <v>150</v>
      </c>
      <c r="D89" s="297">
        <v>0.05</v>
      </c>
      <c r="F89" s="213" t="s">
        <v>469</v>
      </c>
      <c r="G89" s="213" t="s">
        <v>150</v>
      </c>
      <c r="H89" s="108"/>
      <c r="J89" s="119"/>
    </row>
    <row r="90" spans="2:10" x14ac:dyDescent="0.3">
      <c r="B90" s="213" t="s">
        <v>469</v>
      </c>
      <c r="C90" s="213" t="s">
        <v>311</v>
      </c>
      <c r="D90" s="297">
        <v>0.05</v>
      </c>
      <c r="F90" s="213" t="s">
        <v>469</v>
      </c>
      <c r="G90" s="213" t="s">
        <v>311</v>
      </c>
      <c r="H90" s="108"/>
      <c r="J90" s="119"/>
    </row>
    <row r="91" spans="2:10" x14ac:dyDescent="0.3">
      <c r="B91" s="213" t="s">
        <v>469</v>
      </c>
      <c r="C91" s="213" t="s">
        <v>152</v>
      </c>
      <c r="D91" s="297">
        <v>0.05</v>
      </c>
      <c r="F91" s="213" t="s">
        <v>469</v>
      </c>
      <c r="G91" s="213" t="s">
        <v>152</v>
      </c>
      <c r="H91" s="108"/>
      <c r="J91" s="119"/>
    </row>
    <row r="92" spans="2:10" x14ac:dyDescent="0.3">
      <c r="B92" s="213" t="s">
        <v>469</v>
      </c>
      <c r="C92" s="213" t="s">
        <v>312</v>
      </c>
      <c r="D92" s="297">
        <v>0.05</v>
      </c>
      <c r="F92" s="213" t="s">
        <v>469</v>
      </c>
      <c r="G92" s="213" t="s">
        <v>312</v>
      </c>
      <c r="H92" s="108"/>
      <c r="J92" s="119"/>
    </row>
    <row r="93" spans="2:10" x14ac:dyDescent="0.3">
      <c r="B93" s="213" t="s">
        <v>469</v>
      </c>
      <c r="C93" s="213" t="s">
        <v>149</v>
      </c>
      <c r="D93" s="297">
        <v>0.05</v>
      </c>
      <c r="F93" s="213" t="s">
        <v>469</v>
      </c>
      <c r="G93" s="213" t="s">
        <v>149</v>
      </c>
      <c r="H93" s="108"/>
      <c r="J93" s="119"/>
    </row>
    <row r="94" spans="2:10" x14ac:dyDescent="0.3">
      <c r="B94" s="213" t="s">
        <v>469</v>
      </c>
      <c r="C94" s="213" t="s">
        <v>266</v>
      </c>
      <c r="D94" s="297">
        <v>0.05</v>
      </c>
      <c r="F94" s="213" t="s">
        <v>469</v>
      </c>
      <c r="G94" s="213" t="s">
        <v>266</v>
      </c>
      <c r="H94" s="108"/>
      <c r="J94" s="119"/>
    </row>
    <row r="95" spans="2:10" x14ac:dyDescent="0.3">
      <c r="B95" s="213" t="s">
        <v>469</v>
      </c>
      <c r="C95" s="213" t="s">
        <v>610</v>
      </c>
      <c r="D95" s="297">
        <v>0.05</v>
      </c>
      <c r="F95" s="213" t="s">
        <v>469</v>
      </c>
      <c r="G95" s="213" t="s">
        <v>610</v>
      </c>
      <c r="H95" s="108"/>
      <c r="J95" s="119"/>
    </row>
    <row r="96" spans="2:10" x14ac:dyDescent="0.3">
      <c r="B96" s="213" t="s">
        <v>469</v>
      </c>
      <c r="C96" s="213" t="s">
        <v>611</v>
      </c>
      <c r="D96" s="297">
        <v>0.05</v>
      </c>
      <c r="F96" s="213" t="s">
        <v>469</v>
      </c>
      <c r="G96" s="213" t="s">
        <v>611</v>
      </c>
      <c r="H96" s="108"/>
      <c r="J96" s="119"/>
    </row>
    <row r="97" spans="2:10" x14ac:dyDescent="0.3">
      <c r="B97" s="213" t="s">
        <v>469</v>
      </c>
      <c r="C97" s="213" t="s">
        <v>153</v>
      </c>
      <c r="D97" s="297">
        <v>0.05</v>
      </c>
      <c r="F97" s="213" t="s">
        <v>469</v>
      </c>
      <c r="G97" s="213" t="s">
        <v>153</v>
      </c>
      <c r="H97" s="108"/>
      <c r="J97" s="119"/>
    </row>
    <row r="98" spans="2:10" x14ac:dyDescent="0.3">
      <c r="B98" s="213" t="s">
        <v>469</v>
      </c>
      <c r="C98" s="213" t="s">
        <v>313</v>
      </c>
      <c r="D98" s="297">
        <v>0.05</v>
      </c>
      <c r="F98" s="213" t="s">
        <v>469</v>
      </c>
      <c r="G98" s="213" t="s">
        <v>313</v>
      </c>
      <c r="H98" s="108"/>
      <c r="J98" s="119"/>
    </row>
    <row r="99" spans="2:10" x14ac:dyDescent="0.3">
      <c r="B99" s="213" t="s">
        <v>469</v>
      </c>
      <c r="C99" s="213" t="s">
        <v>155</v>
      </c>
      <c r="D99" s="297">
        <v>0.05</v>
      </c>
      <c r="F99" s="213" t="s">
        <v>469</v>
      </c>
      <c r="G99" s="213" t="s">
        <v>155</v>
      </c>
      <c r="H99" s="108"/>
      <c r="J99" s="119"/>
    </row>
    <row r="100" spans="2:10" x14ac:dyDescent="0.3">
      <c r="B100" s="217" t="s">
        <v>469</v>
      </c>
      <c r="C100" s="217" t="s">
        <v>314</v>
      </c>
      <c r="D100" s="256">
        <v>0.05</v>
      </c>
      <c r="F100" s="217" t="s">
        <v>469</v>
      </c>
      <c r="G100" s="217" t="s">
        <v>314</v>
      </c>
      <c r="H100" s="153"/>
      <c r="J100" s="147"/>
    </row>
    <row r="101" spans="2:10" x14ac:dyDescent="0.3">
      <c r="B101" s="213" t="s">
        <v>469</v>
      </c>
      <c r="C101" s="213" t="s">
        <v>359</v>
      </c>
      <c r="D101" s="297">
        <v>0.1</v>
      </c>
      <c r="F101" s="213" t="s">
        <v>469</v>
      </c>
      <c r="G101" s="213" t="s">
        <v>359</v>
      </c>
      <c r="H101" s="108"/>
      <c r="J101" s="119"/>
    </row>
    <row r="102" spans="2:10" x14ac:dyDescent="0.3">
      <c r="B102" s="213" t="s">
        <v>469</v>
      </c>
      <c r="C102" s="213" t="s">
        <v>444</v>
      </c>
      <c r="D102" s="297">
        <v>0.1</v>
      </c>
      <c r="F102" s="213" t="s">
        <v>469</v>
      </c>
      <c r="G102" s="213" t="s">
        <v>444</v>
      </c>
      <c r="H102" s="108"/>
      <c r="J102" s="119"/>
    </row>
    <row r="103" spans="2:10" x14ac:dyDescent="0.3">
      <c r="B103" s="213" t="s">
        <v>469</v>
      </c>
      <c r="C103" s="213" t="s">
        <v>360</v>
      </c>
      <c r="D103" s="297">
        <v>0.1</v>
      </c>
      <c r="F103" s="213" t="s">
        <v>469</v>
      </c>
      <c r="G103" s="213" t="s">
        <v>360</v>
      </c>
      <c r="H103" s="116"/>
      <c r="J103" s="119"/>
    </row>
    <row r="104" spans="2:10" x14ac:dyDescent="0.3">
      <c r="B104" s="213" t="s">
        <v>469</v>
      </c>
      <c r="C104" s="213" t="s">
        <v>445</v>
      </c>
      <c r="D104" s="297">
        <v>0.1</v>
      </c>
      <c r="F104" s="213" t="s">
        <v>469</v>
      </c>
      <c r="G104" s="213" t="s">
        <v>445</v>
      </c>
      <c r="H104" s="116"/>
      <c r="J104" s="119"/>
    </row>
    <row r="105" spans="2:10" x14ac:dyDescent="0.3">
      <c r="B105" s="213" t="s">
        <v>469</v>
      </c>
      <c r="C105" s="213" t="s">
        <v>361</v>
      </c>
      <c r="D105" s="297">
        <v>0.1</v>
      </c>
      <c r="F105" s="213" t="s">
        <v>469</v>
      </c>
      <c r="G105" s="213" t="s">
        <v>361</v>
      </c>
      <c r="H105" s="108"/>
      <c r="J105" s="119"/>
    </row>
    <row r="106" spans="2:10" x14ac:dyDescent="0.3">
      <c r="B106" s="213" t="s">
        <v>469</v>
      </c>
      <c r="C106" s="213" t="s">
        <v>446</v>
      </c>
      <c r="D106" s="297">
        <v>0.1</v>
      </c>
      <c r="F106" s="213" t="s">
        <v>469</v>
      </c>
      <c r="G106" s="213" t="s">
        <v>446</v>
      </c>
      <c r="H106" s="108"/>
      <c r="J106" s="119"/>
    </row>
    <row r="107" spans="2:10" x14ac:dyDescent="0.3">
      <c r="B107" s="213" t="s">
        <v>469</v>
      </c>
      <c r="C107" s="213" t="s">
        <v>362</v>
      </c>
      <c r="D107" s="297">
        <v>8.0000000000000016E-2</v>
      </c>
      <c r="F107" s="213" t="s">
        <v>469</v>
      </c>
      <c r="G107" s="213" t="s">
        <v>362</v>
      </c>
      <c r="H107" s="108"/>
      <c r="J107" s="119"/>
    </row>
    <row r="108" spans="2:10" x14ac:dyDescent="0.3">
      <c r="B108" s="213" t="s">
        <v>469</v>
      </c>
      <c r="C108" s="213" t="s">
        <v>447</v>
      </c>
      <c r="D108" s="297">
        <v>8.0000000000000016E-2</v>
      </c>
      <c r="F108" s="213" t="s">
        <v>469</v>
      </c>
      <c r="G108" s="213" t="s">
        <v>447</v>
      </c>
      <c r="H108" s="108"/>
      <c r="J108" s="119"/>
    </row>
    <row r="109" spans="2:10" x14ac:dyDescent="0.3">
      <c r="B109" s="213" t="s">
        <v>469</v>
      </c>
      <c r="C109" s="213" t="s">
        <v>363</v>
      </c>
      <c r="D109" s="297">
        <v>0.1</v>
      </c>
      <c r="F109" s="213" t="s">
        <v>469</v>
      </c>
      <c r="G109" s="213" t="s">
        <v>363</v>
      </c>
      <c r="H109" s="108"/>
      <c r="J109" s="119"/>
    </row>
    <row r="110" spans="2:10" x14ac:dyDescent="0.3">
      <c r="B110" s="213" t="s">
        <v>469</v>
      </c>
      <c r="C110" s="213" t="s">
        <v>448</v>
      </c>
      <c r="D110" s="297">
        <v>0.1</v>
      </c>
      <c r="F110" s="213" t="s">
        <v>469</v>
      </c>
      <c r="G110" s="213" t="s">
        <v>448</v>
      </c>
      <c r="H110" s="108"/>
      <c r="J110" s="119"/>
    </row>
    <row r="111" spans="2:10" x14ac:dyDescent="0.3">
      <c r="B111" s="213" t="s">
        <v>469</v>
      </c>
      <c r="C111" s="213" t="s">
        <v>364</v>
      </c>
      <c r="D111" s="297">
        <v>0.1</v>
      </c>
      <c r="F111" s="213" t="s">
        <v>469</v>
      </c>
      <c r="G111" s="213" t="s">
        <v>364</v>
      </c>
      <c r="H111" s="108"/>
      <c r="J111" s="119"/>
    </row>
    <row r="112" spans="2:10" x14ac:dyDescent="0.3">
      <c r="B112" s="213" t="s">
        <v>469</v>
      </c>
      <c r="C112" s="213" t="s">
        <v>449</v>
      </c>
      <c r="D112" s="297">
        <v>0.1</v>
      </c>
      <c r="F112" s="213" t="s">
        <v>469</v>
      </c>
      <c r="G112" s="213" t="s">
        <v>449</v>
      </c>
      <c r="H112" s="108"/>
      <c r="J112" s="119"/>
    </row>
    <row r="113" spans="2:10" x14ac:dyDescent="0.3">
      <c r="B113" s="213" t="s">
        <v>469</v>
      </c>
      <c r="C113" s="213" t="s">
        <v>365</v>
      </c>
      <c r="D113" s="297">
        <v>0.1</v>
      </c>
      <c r="F113" s="213" t="s">
        <v>469</v>
      </c>
      <c r="G113" s="213" t="s">
        <v>365</v>
      </c>
      <c r="H113" s="108"/>
      <c r="J113" s="119"/>
    </row>
    <row r="114" spans="2:10" x14ac:dyDescent="0.3">
      <c r="B114" s="213" t="s">
        <v>469</v>
      </c>
      <c r="C114" s="213" t="s">
        <v>450</v>
      </c>
      <c r="D114" s="297">
        <v>0.1</v>
      </c>
      <c r="F114" s="213" t="s">
        <v>469</v>
      </c>
      <c r="G114" s="213" t="s">
        <v>450</v>
      </c>
      <c r="H114" s="108"/>
      <c r="J114" s="119"/>
    </row>
    <row r="115" spans="2:10" x14ac:dyDescent="0.3">
      <c r="B115" s="213" t="s">
        <v>469</v>
      </c>
      <c r="C115" s="213" t="s">
        <v>367</v>
      </c>
      <c r="D115" s="297">
        <v>8.0000000000000016E-2</v>
      </c>
      <c r="F115" s="213" t="s">
        <v>469</v>
      </c>
      <c r="G115" s="213" t="s">
        <v>367</v>
      </c>
      <c r="H115" s="108"/>
      <c r="J115" s="119"/>
    </row>
    <row r="116" spans="2:10" x14ac:dyDescent="0.3">
      <c r="B116" s="213" t="s">
        <v>469</v>
      </c>
      <c r="C116" s="213" t="s">
        <v>453</v>
      </c>
      <c r="D116" s="297">
        <v>8.0000000000000016E-2</v>
      </c>
      <c r="F116" s="213" t="s">
        <v>469</v>
      </c>
      <c r="G116" s="213" t="s">
        <v>453</v>
      </c>
      <c r="H116" s="108"/>
      <c r="J116" s="119"/>
    </row>
    <row r="117" spans="2:10" x14ac:dyDescent="0.3">
      <c r="B117" s="213" t="s">
        <v>469</v>
      </c>
      <c r="C117" s="213" t="s">
        <v>366</v>
      </c>
      <c r="D117" s="297">
        <v>0.1</v>
      </c>
      <c r="F117" s="213" t="s">
        <v>469</v>
      </c>
      <c r="G117" s="213" t="s">
        <v>366</v>
      </c>
      <c r="H117" s="108"/>
      <c r="J117" s="119"/>
    </row>
    <row r="118" spans="2:10" x14ac:dyDescent="0.3">
      <c r="B118" s="213" t="s">
        <v>469</v>
      </c>
      <c r="C118" s="213" t="s">
        <v>451</v>
      </c>
      <c r="D118" s="297">
        <v>0.1</v>
      </c>
      <c r="F118" s="213" t="s">
        <v>469</v>
      </c>
      <c r="G118" s="213" t="s">
        <v>451</v>
      </c>
      <c r="H118" s="108"/>
      <c r="J118" s="119"/>
    </row>
    <row r="119" spans="2:10" x14ac:dyDescent="0.3">
      <c r="B119" s="213" t="s">
        <v>469</v>
      </c>
      <c r="C119" s="213" t="s">
        <v>425</v>
      </c>
      <c r="D119" s="297">
        <v>0.1</v>
      </c>
      <c r="F119" s="213" t="s">
        <v>469</v>
      </c>
      <c r="G119" s="213" t="s">
        <v>425</v>
      </c>
      <c r="H119" s="108"/>
      <c r="J119" s="119"/>
    </row>
    <row r="120" spans="2:10" x14ac:dyDescent="0.3">
      <c r="B120" s="213" t="s">
        <v>469</v>
      </c>
      <c r="C120" s="213" t="s">
        <v>452</v>
      </c>
      <c r="D120" s="297">
        <v>0.1</v>
      </c>
      <c r="F120" s="213" t="s">
        <v>469</v>
      </c>
      <c r="G120" s="213" t="s">
        <v>452</v>
      </c>
      <c r="H120" s="108"/>
      <c r="J120" s="119"/>
    </row>
    <row r="121" spans="2:10" x14ac:dyDescent="0.3">
      <c r="B121" s="213" t="s">
        <v>469</v>
      </c>
      <c r="C121" s="213" t="s">
        <v>427</v>
      </c>
      <c r="D121" s="297">
        <v>0.1</v>
      </c>
      <c r="F121" s="213" t="s">
        <v>469</v>
      </c>
      <c r="G121" s="213" t="s">
        <v>427</v>
      </c>
      <c r="H121" s="108"/>
      <c r="J121" s="119"/>
    </row>
    <row r="122" spans="2:10" x14ac:dyDescent="0.3">
      <c r="B122" s="213" t="s">
        <v>469</v>
      </c>
      <c r="C122" s="213" t="s">
        <v>454</v>
      </c>
      <c r="D122" s="297">
        <v>0.1</v>
      </c>
      <c r="F122" s="213" t="s">
        <v>469</v>
      </c>
      <c r="G122" s="213" t="s">
        <v>454</v>
      </c>
      <c r="H122" s="108"/>
      <c r="J122" s="119"/>
    </row>
    <row r="123" spans="2:10" x14ac:dyDescent="0.3">
      <c r="B123" s="213" t="s">
        <v>469</v>
      </c>
      <c r="C123" s="213" t="s">
        <v>368</v>
      </c>
      <c r="D123" s="297">
        <v>0.1</v>
      </c>
      <c r="F123" s="213" t="s">
        <v>469</v>
      </c>
      <c r="G123" s="213" t="s">
        <v>368</v>
      </c>
      <c r="H123" s="108"/>
      <c r="J123" s="119"/>
    </row>
    <row r="124" spans="2:10" x14ac:dyDescent="0.3">
      <c r="B124" s="213" t="s">
        <v>469</v>
      </c>
      <c r="C124" s="213" t="s">
        <v>455</v>
      </c>
      <c r="D124" s="297">
        <v>0.1</v>
      </c>
      <c r="F124" s="213" t="s">
        <v>469</v>
      </c>
      <c r="G124" s="213" t="s">
        <v>455</v>
      </c>
      <c r="H124" s="108"/>
      <c r="J124" s="119"/>
    </row>
    <row r="125" spans="2:10" x14ac:dyDescent="0.3">
      <c r="B125" s="213" t="s">
        <v>469</v>
      </c>
      <c r="C125" s="213" t="s">
        <v>612</v>
      </c>
      <c r="D125" s="297">
        <v>0.1</v>
      </c>
      <c r="F125" s="213" t="s">
        <v>469</v>
      </c>
      <c r="G125" s="213" t="s">
        <v>612</v>
      </c>
      <c r="H125" s="108"/>
      <c r="J125" s="119"/>
    </row>
    <row r="126" spans="2:10" x14ac:dyDescent="0.3">
      <c r="B126" s="213" t="s">
        <v>469</v>
      </c>
      <c r="C126" s="213" t="s">
        <v>607</v>
      </c>
      <c r="D126" s="297">
        <v>0.1</v>
      </c>
      <c r="F126" s="213" t="s">
        <v>469</v>
      </c>
      <c r="G126" s="213" t="s">
        <v>607</v>
      </c>
      <c r="H126" s="108"/>
      <c r="J126" s="119"/>
    </row>
    <row r="127" spans="2:10" x14ac:dyDescent="0.3">
      <c r="B127" s="213" t="s">
        <v>469</v>
      </c>
      <c r="C127" s="213" t="s">
        <v>424</v>
      </c>
      <c r="D127" s="297">
        <v>0.1</v>
      </c>
      <c r="F127" s="213" t="s">
        <v>469</v>
      </c>
      <c r="G127" s="213" t="s">
        <v>424</v>
      </c>
      <c r="H127" s="108"/>
      <c r="J127" s="119"/>
    </row>
    <row r="128" spans="2:10" x14ac:dyDescent="0.3">
      <c r="B128" s="213" t="s">
        <v>469</v>
      </c>
      <c r="C128" s="213" t="s">
        <v>456</v>
      </c>
      <c r="D128" s="297">
        <v>0.1</v>
      </c>
      <c r="F128" s="213" t="s">
        <v>469</v>
      </c>
      <c r="G128" s="213" t="s">
        <v>456</v>
      </c>
      <c r="H128" s="108"/>
      <c r="J128" s="119"/>
    </row>
    <row r="129" spans="2:10" x14ac:dyDescent="0.3">
      <c r="B129" s="213" t="s">
        <v>469</v>
      </c>
      <c r="C129" s="213" t="s">
        <v>426</v>
      </c>
      <c r="D129" s="297">
        <v>0.1</v>
      </c>
      <c r="F129" s="213" t="s">
        <v>469</v>
      </c>
      <c r="G129" s="213" t="s">
        <v>426</v>
      </c>
      <c r="H129" s="108"/>
      <c r="J129" s="119"/>
    </row>
    <row r="130" spans="2:10" x14ac:dyDescent="0.3">
      <c r="B130" s="217" t="s">
        <v>469</v>
      </c>
      <c r="C130" s="217" t="s">
        <v>457</v>
      </c>
      <c r="D130" s="256">
        <v>0.1</v>
      </c>
      <c r="F130" s="217" t="s">
        <v>469</v>
      </c>
      <c r="G130" s="217" t="s">
        <v>457</v>
      </c>
      <c r="H130" s="153"/>
      <c r="J130" s="147"/>
    </row>
    <row r="131" spans="2:10" x14ac:dyDescent="0.3">
      <c r="B131" s="213" t="s">
        <v>469</v>
      </c>
      <c r="C131" s="213" t="s">
        <v>156</v>
      </c>
      <c r="D131" s="297">
        <v>0.1</v>
      </c>
      <c r="F131" s="213" t="s">
        <v>469</v>
      </c>
      <c r="G131" s="213" t="s">
        <v>156</v>
      </c>
      <c r="H131" s="108"/>
      <c r="J131" s="119"/>
    </row>
    <row r="132" spans="2:10" x14ac:dyDescent="0.3">
      <c r="B132" s="213" t="s">
        <v>469</v>
      </c>
      <c r="C132" s="213" t="s">
        <v>267</v>
      </c>
      <c r="D132" s="297">
        <v>0.1</v>
      </c>
      <c r="F132" s="213" t="s">
        <v>469</v>
      </c>
      <c r="G132" s="213" t="s">
        <v>267</v>
      </c>
      <c r="H132" s="108"/>
      <c r="J132" s="119"/>
    </row>
    <row r="133" spans="2:10" x14ac:dyDescent="0.3">
      <c r="B133" s="213" t="s">
        <v>469</v>
      </c>
      <c r="C133" s="213" t="s">
        <v>158</v>
      </c>
      <c r="D133" s="297">
        <v>0.1</v>
      </c>
      <c r="F133" s="213" t="s">
        <v>469</v>
      </c>
      <c r="G133" s="213" t="s">
        <v>158</v>
      </c>
      <c r="H133" s="108"/>
      <c r="J133" s="119"/>
    </row>
    <row r="134" spans="2:10" x14ac:dyDescent="0.3">
      <c r="B134" s="213" t="s">
        <v>469</v>
      </c>
      <c r="C134" s="213" t="s">
        <v>269</v>
      </c>
      <c r="D134" s="297">
        <v>0.1</v>
      </c>
      <c r="F134" s="213" t="s">
        <v>469</v>
      </c>
      <c r="G134" s="213" t="s">
        <v>269</v>
      </c>
      <c r="H134" s="108"/>
      <c r="J134" s="119"/>
    </row>
    <row r="135" spans="2:10" x14ac:dyDescent="0.3">
      <c r="B135" s="213" t="s">
        <v>469</v>
      </c>
      <c r="C135" s="213" t="s">
        <v>160</v>
      </c>
      <c r="D135" s="297">
        <v>0.1</v>
      </c>
      <c r="F135" s="213" t="s">
        <v>469</v>
      </c>
      <c r="G135" s="213" t="s">
        <v>160</v>
      </c>
      <c r="H135" s="108"/>
      <c r="J135" s="119"/>
    </row>
    <row r="136" spans="2:10" x14ac:dyDescent="0.3">
      <c r="B136" s="213" t="s">
        <v>469</v>
      </c>
      <c r="C136" s="213" t="s">
        <v>271</v>
      </c>
      <c r="D136" s="297">
        <v>0.1</v>
      </c>
      <c r="F136" s="213" t="s">
        <v>469</v>
      </c>
      <c r="G136" s="213" t="s">
        <v>271</v>
      </c>
      <c r="H136" s="108"/>
      <c r="J136" s="119"/>
    </row>
    <row r="137" spans="2:10" x14ac:dyDescent="0.3">
      <c r="B137" s="213" t="s">
        <v>469</v>
      </c>
      <c r="C137" s="213" t="s">
        <v>162</v>
      </c>
      <c r="D137" s="297">
        <v>8.0000000000000016E-2</v>
      </c>
      <c r="F137" s="213" t="s">
        <v>469</v>
      </c>
      <c r="G137" s="213" t="s">
        <v>162</v>
      </c>
      <c r="H137" s="108"/>
      <c r="J137" s="119"/>
    </row>
    <row r="138" spans="2:10" x14ac:dyDescent="0.3">
      <c r="B138" s="213" t="s">
        <v>469</v>
      </c>
      <c r="C138" s="213" t="s">
        <v>273</v>
      </c>
      <c r="D138" s="297">
        <v>8.0000000000000016E-2</v>
      </c>
      <c r="F138" s="213" t="s">
        <v>469</v>
      </c>
      <c r="G138" s="213" t="s">
        <v>273</v>
      </c>
      <c r="H138" s="108"/>
      <c r="J138" s="119"/>
    </row>
    <row r="139" spans="2:10" x14ac:dyDescent="0.3">
      <c r="B139" s="213" t="s">
        <v>469</v>
      </c>
      <c r="C139" s="213" t="s">
        <v>163</v>
      </c>
      <c r="D139" s="297">
        <v>0.1</v>
      </c>
      <c r="F139" s="213" t="s">
        <v>469</v>
      </c>
      <c r="G139" s="213" t="s">
        <v>163</v>
      </c>
      <c r="H139" s="108"/>
      <c r="J139" s="119"/>
    </row>
    <row r="140" spans="2:10" x14ac:dyDescent="0.3">
      <c r="B140" s="213" t="s">
        <v>469</v>
      </c>
      <c r="C140" s="213" t="s">
        <v>274</v>
      </c>
      <c r="D140" s="297">
        <v>0.1</v>
      </c>
      <c r="F140" s="213" t="s">
        <v>469</v>
      </c>
      <c r="G140" s="213" t="s">
        <v>274</v>
      </c>
      <c r="H140" s="108"/>
      <c r="J140" s="119"/>
    </row>
    <row r="141" spans="2:10" x14ac:dyDescent="0.3">
      <c r="B141" s="213" t="s">
        <v>469</v>
      </c>
      <c r="C141" s="213" t="s">
        <v>165</v>
      </c>
      <c r="D141" s="297">
        <v>0.1</v>
      </c>
      <c r="F141" s="213" t="s">
        <v>469</v>
      </c>
      <c r="G141" s="213" t="s">
        <v>165</v>
      </c>
      <c r="H141" s="108"/>
      <c r="J141" s="119"/>
    </row>
    <row r="142" spans="2:10" x14ac:dyDescent="0.3">
      <c r="B142" s="213" t="s">
        <v>469</v>
      </c>
      <c r="C142" s="213" t="s">
        <v>276</v>
      </c>
      <c r="D142" s="297">
        <v>0.1</v>
      </c>
      <c r="F142" s="213" t="s">
        <v>469</v>
      </c>
      <c r="G142" s="213" t="s">
        <v>276</v>
      </c>
      <c r="H142" s="108"/>
      <c r="J142" s="119"/>
    </row>
    <row r="143" spans="2:10" x14ac:dyDescent="0.3">
      <c r="B143" s="213" t="s">
        <v>469</v>
      </c>
      <c r="C143" s="213" t="s">
        <v>167</v>
      </c>
      <c r="D143" s="297">
        <v>0.1</v>
      </c>
      <c r="F143" s="213" t="s">
        <v>469</v>
      </c>
      <c r="G143" s="213" t="s">
        <v>167</v>
      </c>
      <c r="H143" s="108"/>
      <c r="J143" s="119"/>
    </row>
    <row r="144" spans="2:10" x14ac:dyDescent="0.3">
      <c r="B144" s="213" t="s">
        <v>469</v>
      </c>
      <c r="C144" s="213" t="s">
        <v>278</v>
      </c>
      <c r="D144" s="297">
        <v>0.1</v>
      </c>
      <c r="F144" s="213" t="s">
        <v>469</v>
      </c>
      <c r="G144" s="213" t="s">
        <v>278</v>
      </c>
      <c r="H144" s="108"/>
      <c r="J144" s="119"/>
    </row>
    <row r="145" spans="2:10" x14ac:dyDescent="0.3">
      <c r="B145" s="213" t="s">
        <v>469</v>
      </c>
      <c r="C145" s="213" t="s">
        <v>169</v>
      </c>
      <c r="D145" s="297">
        <v>8.0000000000000016E-2</v>
      </c>
      <c r="F145" s="213" t="s">
        <v>469</v>
      </c>
      <c r="G145" s="213" t="s">
        <v>169</v>
      </c>
      <c r="H145" s="108"/>
      <c r="J145" s="119"/>
    </row>
    <row r="146" spans="2:10" x14ac:dyDescent="0.3">
      <c r="B146" s="213" t="s">
        <v>469</v>
      </c>
      <c r="C146" s="213" t="s">
        <v>280</v>
      </c>
      <c r="D146" s="297">
        <v>8.0000000000000016E-2</v>
      </c>
      <c r="F146" s="213" t="s">
        <v>469</v>
      </c>
      <c r="G146" s="213" t="s">
        <v>280</v>
      </c>
      <c r="H146" s="108"/>
      <c r="J146" s="119"/>
    </row>
    <row r="147" spans="2:10" x14ac:dyDescent="0.3">
      <c r="B147" s="213" t="s">
        <v>469</v>
      </c>
      <c r="C147" s="213" t="s">
        <v>358</v>
      </c>
      <c r="D147" s="297">
        <v>0.1</v>
      </c>
      <c r="F147" s="213" t="s">
        <v>469</v>
      </c>
      <c r="G147" s="213" t="s">
        <v>358</v>
      </c>
      <c r="H147" s="108"/>
      <c r="J147" s="119"/>
    </row>
    <row r="148" spans="2:10" x14ac:dyDescent="0.3">
      <c r="B148" s="213" t="s">
        <v>469</v>
      </c>
      <c r="C148" s="213" t="s">
        <v>438</v>
      </c>
      <c r="D148" s="297">
        <v>0.1</v>
      </c>
      <c r="F148" s="213" t="s">
        <v>469</v>
      </c>
      <c r="G148" s="213" t="s">
        <v>438</v>
      </c>
      <c r="H148" s="108"/>
      <c r="J148" s="119"/>
    </row>
    <row r="149" spans="2:10" x14ac:dyDescent="0.3">
      <c r="B149" s="213" t="s">
        <v>469</v>
      </c>
      <c r="C149" s="213" t="s">
        <v>428</v>
      </c>
      <c r="D149" s="297">
        <v>0.1</v>
      </c>
      <c r="F149" s="213" t="s">
        <v>469</v>
      </c>
      <c r="G149" s="213" t="s">
        <v>428</v>
      </c>
      <c r="H149" s="108"/>
      <c r="J149" s="119"/>
    </row>
    <row r="150" spans="2:10" x14ac:dyDescent="0.3">
      <c r="B150" s="213" t="s">
        <v>469</v>
      </c>
      <c r="C150" s="213" t="s">
        <v>439</v>
      </c>
      <c r="D150" s="297">
        <v>0.1</v>
      </c>
      <c r="F150" s="213" t="s">
        <v>469</v>
      </c>
      <c r="G150" s="213" t="s">
        <v>439</v>
      </c>
      <c r="H150" s="108"/>
      <c r="J150" s="119"/>
    </row>
    <row r="151" spans="2:10" x14ac:dyDescent="0.3">
      <c r="B151" s="213" t="s">
        <v>469</v>
      </c>
      <c r="C151" s="213" t="s">
        <v>429</v>
      </c>
      <c r="D151" s="297">
        <v>0.1</v>
      </c>
      <c r="F151" s="213" t="s">
        <v>469</v>
      </c>
      <c r="G151" s="213" t="s">
        <v>429</v>
      </c>
      <c r="H151" s="108"/>
      <c r="J151" s="119"/>
    </row>
    <row r="152" spans="2:10" x14ac:dyDescent="0.3">
      <c r="B152" s="213" t="s">
        <v>469</v>
      </c>
      <c r="C152" s="213" t="s">
        <v>440</v>
      </c>
      <c r="D152" s="297">
        <v>0.1</v>
      </c>
      <c r="F152" s="213" t="s">
        <v>469</v>
      </c>
      <c r="G152" s="213" t="s">
        <v>440</v>
      </c>
      <c r="H152" s="108"/>
      <c r="J152" s="119"/>
    </row>
    <row r="153" spans="2:10" x14ac:dyDescent="0.3">
      <c r="B153" s="213" t="s">
        <v>469</v>
      </c>
      <c r="C153" s="213" t="s">
        <v>171</v>
      </c>
      <c r="D153" s="297">
        <v>0.1</v>
      </c>
      <c r="F153" s="213" t="s">
        <v>469</v>
      </c>
      <c r="G153" s="213" t="s">
        <v>171</v>
      </c>
      <c r="H153" s="108"/>
      <c r="J153" s="119"/>
    </row>
    <row r="154" spans="2:10" x14ac:dyDescent="0.3">
      <c r="B154" s="213" t="s">
        <v>469</v>
      </c>
      <c r="C154" s="213" t="s">
        <v>441</v>
      </c>
      <c r="D154" s="297">
        <v>0.1</v>
      </c>
      <c r="F154" s="213" t="s">
        <v>469</v>
      </c>
      <c r="G154" s="213" t="s">
        <v>441</v>
      </c>
      <c r="H154" s="108"/>
      <c r="J154" s="119"/>
    </row>
    <row r="155" spans="2:10" x14ac:dyDescent="0.3">
      <c r="B155" s="213" t="s">
        <v>469</v>
      </c>
      <c r="C155" s="213" t="s">
        <v>608</v>
      </c>
      <c r="D155" s="297">
        <v>0.1</v>
      </c>
      <c r="F155" s="213" t="s">
        <v>469</v>
      </c>
      <c r="G155" s="213" t="s">
        <v>608</v>
      </c>
      <c r="H155" s="108"/>
      <c r="J155" s="119"/>
    </row>
    <row r="156" spans="2:10" x14ac:dyDescent="0.3">
      <c r="B156" s="213" t="s">
        <v>469</v>
      </c>
      <c r="C156" s="213" t="s">
        <v>609</v>
      </c>
      <c r="D156" s="297">
        <v>0.1</v>
      </c>
      <c r="F156" s="213" t="s">
        <v>469</v>
      </c>
      <c r="G156" s="213" t="s">
        <v>609</v>
      </c>
      <c r="H156" s="108"/>
      <c r="J156" s="119"/>
    </row>
    <row r="157" spans="2:10" x14ac:dyDescent="0.3">
      <c r="B157" s="213" t="s">
        <v>469</v>
      </c>
      <c r="C157" s="213" t="s">
        <v>430</v>
      </c>
      <c r="D157" s="297">
        <v>0.1</v>
      </c>
      <c r="F157" s="213" t="s">
        <v>469</v>
      </c>
      <c r="G157" s="213" t="s">
        <v>430</v>
      </c>
      <c r="H157" s="108"/>
      <c r="J157" s="119"/>
    </row>
    <row r="158" spans="2:10" x14ac:dyDescent="0.3">
      <c r="B158" s="213" t="s">
        <v>469</v>
      </c>
      <c r="C158" s="213" t="s">
        <v>442</v>
      </c>
      <c r="D158" s="297">
        <v>0.1</v>
      </c>
      <c r="F158" s="213" t="s">
        <v>469</v>
      </c>
      <c r="G158" s="213" t="s">
        <v>442</v>
      </c>
      <c r="H158" s="108"/>
      <c r="J158" s="119"/>
    </row>
    <row r="159" spans="2:10" x14ac:dyDescent="0.3">
      <c r="B159" s="213" t="s">
        <v>469</v>
      </c>
      <c r="C159" s="213" t="s">
        <v>431</v>
      </c>
      <c r="D159" s="297">
        <v>0.1</v>
      </c>
      <c r="F159" s="213" t="s">
        <v>469</v>
      </c>
      <c r="G159" s="213" t="s">
        <v>431</v>
      </c>
      <c r="H159" s="108"/>
      <c r="J159" s="119"/>
    </row>
    <row r="160" spans="2:10" x14ac:dyDescent="0.3">
      <c r="B160" s="217" t="s">
        <v>469</v>
      </c>
      <c r="C160" s="217" t="s">
        <v>443</v>
      </c>
      <c r="D160" s="256">
        <v>0.1</v>
      </c>
      <c r="F160" s="217" t="s">
        <v>469</v>
      </c>
      <c r="G160" s="217" t="s">
        <v>443</v>
      </c>
      <c r="H160" s="153"/>
      <c r="J160" s="147"/>
    </row>
    <row r="161" spans="2:10" x14ac:dyDescent="0.3">
      <c r="B161" s="213" t="s">
        <v>471</v>
      </c>
      <c r="C161" s="213" t="s">
        <v>591</v>
      </c>
      <c r="D161" s="297">
        <v>4.0000000000000001E-3</v>
      </c>
      <c r="F161" s="213" t="s">
        <v>471</v>
      </c>
      <c r="G161" s="213" t="s">
        <v>591</v>
      </c>
      <c r="H161" s="108"/>
      <c r="J161" s="119" t="s">
        <v>700</v>
      </c>
    </row>
    <row r="162" spans="2:10" x14ac:dyDescent="0.3">
      <c r="B162" s="213" t="s">
        <v>471</v>
      </c>
      <c r="C162" s="213" t="s">
        <v>594</v>
      </c>
      <c r="D162" s="297">
        <v>4.0000000000000001E-3</v>
      </c>
      <c r="F162" s="213" t="s">
        <v>471</v>
      </c>
      <c r="G162" s="213" t="s">
        <v>594</v>
      </c>
      <c r="H162" s="108"/>
      <c r="J162" s="119" t="s">
        <v>700</v>
      </c>
    </row>
    <row r="163" spans="2:10" x14ac:dyDescent="0.3">
      <c r="B163" s="213" t="s">
        <v>471</v>
      </c>
      <c r="C163" s="213" t="s">
        <v>590</v>
      </c>
      <c r="D163" s="297">
        <v>4.0000000000000001E-3</v>
      </c>
      <c r="F163" s="213" t="s">
        <v>471</v>
      </c>
      <c r="G163" s="213" t="s">
        <v>590</v>
      </c>
      <c r="H163" s="108"/>
      <c r="J163" s="119" t="s">
        <v>700</v>
      </c>
    </row>
    <row r="164" spans="2:10" x14ac:dyDescent="0.3">
      <c r="B164" s="217" t="s">
        <v>471</v>
      </c>
      <c r="C164" s="217" t="s">
        <v>595</v>
      </c>
      <c r="D164" s="298">
        <v>4.0000000000000001E-3</v>
      </c>
      <c r="F164" s="217" t="s">
        <v>471</v>
      </c>
      <c r="G164" s="217" t="s">
        <v>595</v>
      </c>
      <c r="H164" s="153"/>
      <c r="J164" s="147" t="s">
        <v>700</v>
      </c>
    </row>
    <row r="165" spans="2:10" x14ac:dyDescent="0.3">
      <c r="B165" s="213" t="s">
        <v>471</v>
      </c>
      <c r="C165" s="213" t="s">
        <v>41</v>
      </c>
      <c r="D165" s="297">
        <v>0.02</v>
      </c>
      <c r="F165" s="213" t="s">
        <v>471</v>
      </c>
      <c r="G165" s="213" t="s">
        <v>41</v>
      </c>
      <c r="H165" s="108"/>
      <c r="J165" s="119" t="s">
        <v>698</v>
      </c>
    </row>
    <row r="166" spans="2:10" x14ac:dyDescent="0.3">
      <c r="B166" s="217" t="s">
        <v>471</v>
      </c>
      <c r="C166" s="217" t="s">
        <v>38</v>
      </c>
      <c r="D166" s="298">
        <v>2.5000000000000001E-2</v>
      </c>
      <c r="F166" s="217" t="s">
        <v>471</v>
      </c>
      <c r="G166" s="217" t="s">
        <v>38</v>
      </c>
      <c r="H166" s="153"/>
      <c r="J166" s="147" t="s">
        <v>699</v>
      </c>
    </row>
    <row r="167" spans="2:10" x14ac:dyDescent="0.3">
      <c r="B167" s="213" t="s">
        <v>470</v>
      </c>
      <c r="C167" s="213" t="s">
        <v>284</v>
      </c>
      <c r="D167" s="108"/>
      <c r="F167" s="213" t="s">
        <v>470</v>
      </c>
      <c r="G167" s="213" t="s">
        <v>284</v>
      </c>
      <c r="H167" s="108"/>
      <c r="J167" s="119"/>
    </row>
    <row r="168" spans="2:10" x14ac:dyDescent="0.3">
      <c r="B168" s="213" t="s">
        <v>470</v>
      </c>
      <c r="C168" s="213" t="s">
        <v>188</v>
      </c>
      <c r="D168" s="108"/>
      <c r="F168" s="213" t="s">
        <v>470</v>
      </c>
      <c r="G168" s="213" t="s">
        <v>188</v>
      </c>
      <c r="H168" s="108"/>
      <c r="J168" s="119"/>
    </row>
    <row r="169" spans="2:10" x14ac:dyDescent="0.3">
      <c r="B169" s="213" t="s">
        <v>470</v>
      </c>
      <c r="C169" s="213" t="s">
        <v>694</v>
      </c>
      <c r="D169" s="108"/>
      <c r="F169" s="213" t="s">
        <v>470</v>
      </c>
      <c r="G169" s="213" t="s">
        <v>694</v>
      </c>
      <c r="H169" s="108"/>
      <c r="J169" s="119"/>
    </row>
    <row r="170" spans="2:10" x14ac:dyDescent="0.3">
      <c r="B170" s="213" t="s">
        <v>470</v>
      </c>
      <c r="C170" s="213" t="s">
        <v>696</v>
      </c>
      <c r="D170" s="108"/>
      <c r="F170" s="213" t="s">
        <v>470</v>
      </c>
      <c r="G170" s="213" t="s">
        <v>696</v>
      </c>
      <c r="H170" s="108"/>
      <c r="J170" s="119"/>
    </row>
    <row r="171" spans="2:10" x14ac:dyDescent="0.3">
      <c r="B171" s="213" t="s">
        <v>470</v>
      </c>
      <c r="C171" s="213" t="s">
        <v>286</v>
      </c>
      <c r="D171" s="108"/>
      <c r="F171" s="213" t="s">
        <v>470</v>
      </c>
      <c r="G171" s="213" t="s">
        <v>286</v>
      </c>
      <c r="H171" s="108"/>
      <c r="J171" s="119"/>
    </row>
    <row r="172" spans="2:10" x14ac:dyDescent="0.3">
      <c r="B172" s="213" t="s">
        <v>470</v>
      </c>
      <c r="C172" s="213" t="s">
        <v>288</v>
      </c>
      <c r="D172" s="108"/>
      <c r="F172" s="213" t="s">
        <v>470</v>
      </c>
      <c r="G172" s="213" t="s">
        <v>288</v>
      </c>
      <c r="H172" s="108"/>
      <c r="J172" s="119"/>
    </row>
    <row r="173" spans="2:10" x14ac:dyDescent="0.3">
      <c r="B173" s="217" t="s">
        <v>470</v>
      </c>
      <c r="C173" s="217" t="s">
        <v>290</v>
      </c>
      <c r="D173" s="153"/>
      <c r="F173" s="217" t="s">
        <v>470</v>
      </c>
      <c r="G173" s="217" t="s">
        <v>290</v>
      </c>
      <c r="H173" s="153"/>
      <c r="J173" s="147"/>
    </row>
    <row r="174" spans="2:10" x14ac:dyDescent="0.3">
      <c r="B174" s="213" t="s">
        <v>471</v>
      </c>
      <c r="C174" s="213" t="s">
        <v>34</v>
      </c>
      <c r="D174" s="138">
        <v>0</v>
      </c>
      <c r="F174" s="213" t="s">
        <v>471</v>
      </c>
      <c r="G174" s="213" t="s">
        <v>34</v>
      </c>
      <c r="H174" s="138"/>
      <c r="J174" s="119"/>
    </row>
    <row r="175" spans="2:10" x14ac:dyDescent="0.3">
      <c r="B175" s="217" t="s">
        <v>471</v>
      </c>
      <c r="C175" s="217" t="s">
        <v>292</v>
      </c>
      <c r="D175" s="155">
        <v>0</v>
      </c>
      <c r="F175" s="217" t="s">
        <v>471</v>
      </c>
      <c r="G175" s="217" t="s">
        <v>292</v>
      </c>
      <c r="H175" s="155"/>
      <c r="J175" s="147"/>
    </row>
    <row r="176" spans="2:10" x14ac:dyDescent="0.3">
      <c r="B176" s="213" t="s">
        <v>466</v>
      </c>
      <c r="C176" s="213" t="s">
        <v>174</v>
      </c>
      <c r="D176" s="138"/>
      <c r="F176" s="213" t="s">
        <v>466</v>
      </c>
      <c r="G176" s="213" t="s">
        <v>174</v>
      </c>
      <c r="H176" s="138"/>
      <c r="J176" s="119"/>
    </row>
    <row r="177" spans="2:10" x14ac:dyDescent="0.3">
      <c r="B177" s="213" t="s">
        <v>466</v>
      </c>
      <c r="C177" s="213" t="s">
        <v>177</v>
      </c>
      <c r="D177" s="138"/>
      <c r="F177" s="213" t="s">
        <v>466</v>
      </c>
      <c r="G177" s="213" t="s">
        <v>177</v>
      </c>
      <c r="H177" s="138"/>
      <c r="J177" s="119"/>
    </row>
    <row r="178" spans="2:10" x14ac:dyDescent="0.3">
      <c r="B178" s="213" t="s">
        <v>466</v>
      </c>
      <c r="C178" s="213" t="s">
        <v>107</v>
      </c>
      <c r="D178" s="138"/>
      <c r="F178" s="213" t="s">
        <v>466</v>
      </c>
      <c r="G178" s="213" t="s">
        <v>107</v>
      </c>
      <c r="H178" s="138"/>
      <c r="J178" s="119"/>
    </row>
    <row r="179" spans="2:10" x14ac:dyDescent="0.3">
      <c r="B179" s="213" t="s">
        <v>466</v>
      </c>
      <c r="C179" s="213" t="s">
        <v>110</v>
      </c>
      <c r="D179" s="138"/>
      <c r="F179" s="213" t="s">
        <v>466</v>
      </c>
      <c r="G179" s="213" t="s">
        <v>110</v>
      </c>
      <c r="H179" s="138"/>
      <c r="J179" s="119"/>
    </row>
    <row r="180" spans="2:10" x14ac:dyDescent="0.3">
      <c r="B180" s="213" t="s">
        <v>466</v>
      </c>
      <c r="C180" s="213" t="s">
        <v>113</v>
      </c>
      <c r="D180" s="138"/>
      <c r="F180" s="213" t="s">
        <v>466</v>
      </c>
      <c r="G180" s="213" t="s">
        <v>113</v>
      </c>
      <c r="H180" s="138"/>
      <c r="J180" s="119"/>
    </row>
    <row r="181" spans="2:10" x14ac:dyDescent="0.3">
      <c r="B181" s="213" t="s">
        <v>466</v>
      </c>
      <c r="C181" s="213" t="s">
        <v>121</v>
      </c>
      <c r="D181" s="138"/>
      <c r="F181" s="213" t="s">
        <v>466</v>
      </c>
      <c r="G181" s="213" t="s">
        <v>121</v>
      </c>
      <c r="H181" s="138"/>
      <c r="J181" s="119"/>
    </row>
    <row r="182" spans="2:10" x14ac:dyDescent="0.3">
      <c r="B182" s="213" t="s">
        <v>466</v>
      </c>
      <c r="C182" s="213" t="s">
        <v>116</v>
      </c>
      <c r="D182" s="138"/>
      <c r="F182" s="213" t="s">
        <v>466</v>
      </c>
      <c r="G182" s="213" t="s">
        <v>116</v>
      </c>
      <c r="H182" s="138"/>
      <c r="J182" s="119"/>
    </row>
    <row r="183" spans="2:10" x14ac:dyDescent="0.3">
      <c r="B183" s="213" t="s">
        <v>466</v>
      </c>
      <c r="C183" s="213" t="s">
        <v>123</v>
      </c>
      <c r="D183" s="138"/>
      <c r="F183" s="213" t="s">
        <v>466</v>
      </c>
      <c r="G183" s="213" t="s">
        <v>123</v>
      </c>
      <c r="H183" s="138"/>
      <c r="J183" s="119"/>
    </row>
    <row r="184" spans="2:10" x14ac:dyDescent="0.3">
      <c r="B184" s="217" t="s">
        <v>466</v>
      </c>
      <c r="C184" s="217" t="s">
        <v>119</v>
      </c>
      <c r="D184" s="155"/>
      <c r="F184" s="217" t="s">
        <v>466</v>
      </c>
      <c r="G184" s="217" t="s">
        <v>119</v>
      </c>
      <c r="H184" s="155"/>
      <c r="J184" s="147"/>
    </row>
    <row r="185" spans="2:10" x14ac:dyDescent="0.3">
      <c r="B185" s="213" t="s">
        <v>471</v>
      </c>
      <c r="C185" s="213" t="s">
        <v>35</v>
      </c>
      <c r="D185" s="154"/>
      <c r="F185" s="213" t="s">
        <v>471</v>
      </c>
      <c r="G185" s="213" t="s">
        <v>35</v>
      </c>
      <c r="H185" s="154"/>
      <c r="J185" s="119"/>
    </row>
    <row r="186" spans="2:10" x14ac:dyDescent="0.3">
      <c r="B186" s="213" t="s">
        <v>471</v>
      </c>
      <c r="C186" s="213" t="s">
        <v>293</v>
      </c>
      <c r="D186" s="154"/>
      <c r="F186" s="213" t="s">
        <v>471</v>
      </c>
      <c r="G186" s="213" t="s">
        <v>293</v>
      </c>
      <c r="H186" s="154"/>
      <c r="J186" s="119"/>
    </row>
    <row r="187" spans="2:10" x14ac:dyDescent="0.3">
      <c r="B187" s="213" t="s">
        <v>471</v>
      </c>
      <c r="C187" s="213" t="s">
        <v>130</v>
      </c>
      <c r="D187" s="108"/>
      <c r="F187" s="213" t="s">
        <v>471</v>
      </c>
      <c r="G187" s="213" t="s">
        <v>130</v>
      </c>
      <c r="H187" s="108"/>
      <c r="J187" s="119"/>
    </row>
    <row r="188" spans="2:10" x14ac:dyDescent="0.3">
      <c r="B188" s="213" t="s">
        <v>471</v>
      </c>
      <c r="C188" s="213" t="s">
        <v>29</v>
      </c>
      <c r="D188" s="108"/>
      <c r="F188" s="213" t="s">
        <v>471</v>
      </c>
      <c r="G188" s="213" t="s">
        <v>29</v>
      </c>
      <c r="H188" s="108"/>
      <c r="J188" s="119"/>
    </row>
    <row r="189" spans="2:10" x14ac:dyDescent="0.3">
      <c r="B189" s="213" t="s">
        <v>471</v>
      </c>
      <c r="C189" s="213" t="s">
        <v>128</v>
      </c>
      <c r="D189" s="108"/>
      <c r="F189" s="213" t="s">
        <v>471</v>
      </c>
      <c r="G189" s="213" t="s">
        <v>128</v>
      </c>
      <c r="H189" s="108"/>
      <c r="J189" s="119"/>
    </row>
    <row r="190" spans="2:10" x14ac:dyDescent="0.3">
      <c r="B190" s="213" t="s">
        <v>471</v>
      </c>
      <c r="C190" s="213" t="s">
        <v>32</v>
      </c>
      <c r="D190" s="108"/>
      <c r="F190" s="213" t="s">
        <v>471</v>
      </c>
      <c r="G190" s="213" t="s">
        <v>32</v>
      </c>
      <c r="H190" s="108"/>
      <c r="J190" s="1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E12"/>
  <sheetViews>
    <sheetView workbookViewId="0">
      <selection activeCell="C29" sqref="C29"/>
    </sheetView>
  </sheetViews>
  <sheetFormatPr defaultRowHeight="14.4" x14ac:dyDescent="0.3"/>
  <cols>
    <col min="2" max="2" width="69.88671875" bestFit="1" customWidth="1"/>
  </cols>
  <sheetData>
    <row r="3" spans="2:5" x14ac:dyDescent="0.3">
      <c r="B3" s="2" t="s">
        <v>328</v>
      </c>
      <c r="C3" s="3"/>
      <c r="D3" s="3"/>
      <c r="E3" s="3"/>
    </row>
    <row r="4" spans="2:5" x14ac:dyDescent="0.3">
      <c r="B4" t="s">
        <v>329</v>
      </c>
    </row>
    <row r="5" spans="2:5" x14ac:dyDescent="0.3">
      <c r="B5" s="1" t="s">
        <v>331</v>
      </c>
    </row>
    <row r="6" spans="2:5" x14ac:dyDescent="0.3">
      <c r="B6" s="1" t="s">
        <v>330</v>
      </c>
    </row>
    <row r="7" spans="2:5" x14ac:dyDescent="0.3">
      <c r="B7" s="1" t="s">
        <v>334</v>
      </c>
    </row>
    <row r="10" spans="2:5" x14ac:dyDescent="0.3">
      <c r="B10" s="2" t="s">
        <v>332</v>
      </c>
      <c r="C10" s="3"/>
      <c r="D10" s="3"/>
      <c r="E10" s="3"/>
    </row>
    <row r="11" spans="2:5" x14ac:dyDescent="0.3">
      <c r="B11" t="s">
        <v>333</v>
      </c>
    </row>
    <row r="12" spans="2:5" x14ac:dyDescent="0.3">
      <c r="B12" t="s">
        <v>598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E72"/>
  <sheetViews>
    <sheetView zoomScale="75" zoomScaleNormal="75" workbookViewId="0">
      <selection activeCell="G44" sqref="G44"/>
    </sheetView>
  </sheetViews>
  <sheetFormatPr defaultRowHeight="14.4" x14ac:dyDescent="0.3"/>
  <cols>
    <col min="2" max="2" width="18" customWidth="1"/>
    <col min="3" max="3" width="43.6640625" bestFit="1" customWidth="1"/>
    <col min="4" max="4" width="11.109375" bestFit="1" customWidth="1"/>
    <col min="5" max="5" width="11.44140625" bestFit="1" customWidth="1"/>
    <col min="6" max="6" width="11.109375" bestFit="1" customWidth="1"/>
    <col min="7" max="7" width="10.33203125" customWidth="1"/>
    <col min="8" max="8" width="6.5546875" bestFit="1" customWidth="1"/>
    <col min="9" max="9" width="11.5546875" bestFit="1" customWidth="1"/>
    <col min="10" max="10" width="14.33203125" bestFit="1" customWidth="1"/>
    <col min="11" max="13" width="11.5546875" bestFit="1" customWidth="1"/>
    <col min="14" max="17" width="10.88671875" bestFit="1" customWidth="1"/>
    <col min="18" max="18" width="11.5546875" bestFit="1" customWidth="1"/>
    <col min="19" max="19" width="11.5546875" customWidth="1"/>
    <col min="20" max="21" width="11.5546875" bestFit="1" customWidth="1"/>
    <col min="22" max="22" width="10.88671875" bestFit="1" customWidth="1"/>
    <col min="23" max="23" width="11.44140625" bestFit="1" customWidth="1"/>
    <col min="24" max="31" width="9.88671875" customWidth="1"/>
  </cols>
  <sheetData>
    <row r="3" spans="2:31" x14ac:dyDescent="0.3">
      <c r="B3" s="6" t="s">
        <v>37</v>
      </c>
      <c r="C3" s="7"/>
      <c r="D3" s="8"/>
      <c r="E3" s="8"/>
      <c r="F3" s="9" t="s">
        <v>1</v>
      </c>
      <c r="G3" s="9"/>
    </row>
    <row r="4" spans="2:31" ht="27.9" customHeight="1" x14ac:dyDescent="0.3">
      <c r="B4" s="201" t="s">
        <v>2</v>
      </c>
      <c r="C4" s="201" t="s">
        <v>3</v>
      </c>
      <c r="D4" s="201" t="s">
        <v>4</v>
      </c>
      <c r="E4" s="201" t="s">
        <v>5</v>
      </c>
      <c r="F4" s="202" t="s">
        <v>6</v>
      </c>
      <c r="G4" s="202" t="s">
        <v>187</v>
      </c>
      <c r="H4" s="203" t="s">
        <v>186</v>
      </c>
      <c r="I4" s="203" t="s">
        <v>11</v>
      </c>
      <c r="J4" s="202" t="s">
        <v>12</v>
      </c>
      <c r="K4" s="202" t="s">
        <v>7</v>
      </c>
      <c r="L4" s="202" t="s">
        <v>8</v>
      </c>
      <c r="M4" s="203" t="s">
        <v>396</v>
      </c>
      <c r="N4" s="203" t="s">
        <v>335</v>
      </c>
      <c r="O4" s="203" t="s">
        <v>336</v>
      </c>
      <c r="P4" s="203" t="s">
        <v>9</v>
      </c>
      <c r="Q4" s="203" t="s">
        <v>10</v>
      </c>
      <c r="R4" s="203" t="s">
        <v>397</v>
      </c>
      <c r="S4" s="203" t="s">
        <v>465</v>
      </c>
      <c r="T4" s="203" t="s">
        <v>13</v>
      </c>
      <c r="U4" s="203" t="s">
        <v>398</v>
      </c>
      <c r="V4" s="203" t="s">
        <v>42</v>
      </c>
      <c r="W4" s="203" t="s">
        <v>14</v>
      </c>
      <c r="X4" s="203" t="s">
        <v>399</v>
      </c>
      <c r="Y4" s="203" t="s">
        <v>15</v>
      </c>
      <c r="Z4" s="203" t="s">
        <v>16</v>
      </c>
      <c r="AA4" s="203" t="s">
        <v>17</v>
      </c>
      <c r="AB4" s="203" t="s">
        <v>18</v>
      </c>
      <c r="AC4" s="203" t="s">
        <v>19</v>
      </c>
      <c r="AD4" s="203" t="s">
        <v>20</v>
      </c>
      <c r="AE4" s="203" t="s">
        <v>21</v>
      </c>
    </row>
    <row r="5" spans="2:31" ht="33.75" customHeight="1" thickBot="1" x14ac:dyDescent="0.35">
      <c r="B5" s="204" t="s">
        <v>22</v>
      </c>
      <c r="C5" s="204"/>
      <c r="D5" s="204"/>
      <c r="E5" s="204"/>
      <c r="F5" s="205" t="s">
        <v>23</v>
      </c>
      <c r="G5" s="205">
        <v>2020</v>
      </c>
      <c r="H5" s="206" t="s">
        <v>26</v>
      </c>
      <c r="I5" s="206" t="s">
        <v>560</v>
      </c>
      <c r="J5" s="206" t="s">
        <v>25</v>
      </c>
      <c r="K5" s="205"/>
      <c r="L5" s="205"/>
      <c r="M5" s="207" t="s">
        <v>671</v>
      </c>
      <c r="N5" s="207" t="s">
        <v>671</v>
      </c>
      <c r="O5" s="207" t="s">
        <v>671</v>
      </c>
      <c r="P5" s="207" t="s">
        <v>671</v>
      </c>
      <c r="Q5" s="207" t="s">
        <v>671</v>
      </c>
      <c r="R5" s="206" t="s">
        <v>676</v>
      </c>
      <c r="S5" s="206" t="s">
        <v>676</v>
      </c>
      <c r="T5" s="206" t="s">
        <v>676</v>
      </c>
      <c r="U5" s="206" t="s">
        <v>676</v>
      </c>
      <c r="V5" s="208" t="s">
        <v>679</v>
      </c>
      <c r="W5" s="208" t="s">
        <v>678</v>
      </c>
      <c r="X5" s="208" t="s">
        <v>675</v>
      </c>
      <c r="Y5" s="208" t="s">
        <v>675</v>
      </c>
      <c r="Z5" s="208" t="s">
        <v>675</v>
      </c>
      <c r="AA5" s="208" t="s">
        <v>675</v>
      </c>
      <c r="AB5" s="208" t="s">
        <v>675</v>
      </c>
      <c r="AC5" s="208" t="s">
        <v>675</v>
      </c>
      <c r="AD5" s="208" t="s">
        <v>675</v>
      </c>
      <c r="AE5" s="208" t="s">
        <v>675</v>
      </c>
    </row>
    <row r="6" spans="2:31" s="39" customFormat="1" x14ac:dyDescent="0.3">
      <c r="B6" s="211" t="s">
        <v>41</v>
      </c>
      <c r="C6" s="210" t="str">
        <f>LOOKUP(B6, TRA_COMM_PRO!$C$16:$C$199, TRA_COMM_PRO!$D$16:$D$199)</f>
        <v>Moto.ELC.01.</v>
      </c>
      <c r="D6" s="211" t="s">
        <v>27</v>
      </c>
      <c r="E6" s="211"/>
      <c r="F6" s="211"/>
      <c r="G6" s="10">
        <f>$G$5</f>
        <v>2020</v>
      </c>
      <c r="H6" s="40">
        <v>10</v>
      </c>
      <c r="I6" s="65">
        <v>1E-3</v>
      </c>
      <c r="J6" s="60">
        <v>1</v>
      </c>
      <c r="K6" s="42"/>
      <c r="L6" s="42"/>
      <c r="M6" s="165"/>
      <c r="N6" s="165"/>
      <c r="O6" s="165"/>
      <c r="P6" s="165"/>
      <c r="Q6" s="165"/>
      <c r="R6" s="40">
        <v>2</v>
      </c>
      <c r="S6" s="40"/>
      <c r="T6" s="40"/>
      <c r="U6" s="40"/>
      <c r="V6" s="42"/>
      <c r="W6" s="41"/>
      <c r="X6" s="40">
        <f>LOOKUP($B6, INVCOST!$C$8:$C$193, INVCOST!D$8:D$193)</f>
        <v>13.9</v>
      </c>
      <c r="Y6" s="40">
        <f>LOOKUP($B6, INVCOST!$C$8:$C$193, INVCOST!E$8:E$193)</f>
        <v>13.784000000000001</v>
      </c>
      <c r="Z6" s="40">
        <f>LOOKUP($B6, INVCOST!$C$8:$C$193, INVCOST!F$8:F$193)</f>
        <v>13.348000000000001</v>
      </c>
      <c r="AA6" s="40">
        <f>LOOKUP($B6, INVCOST!$C$8:$C$193, INVCOST!G$8:G$193)</f>
        <v>12.821999999999999</v>
      </c>
      <c r="AB6" s="40">
        <f>LOOKUP($B6, INVCOST!$C$8:$C$193, INVCOST!H$8:H$193)</f>
        <v>12.318</v>
      </c>
      <c r="AC6" s="40">
        <f>LOOKUP($B6, INVCOST!$C$8:$C$193, INVCOST!I$8:I$193)</f>
        <v>11.833</v>
      </c>
      <c r="AD6" s="40">
        <f>LOOKUP($B6, INVCOST!$C$8:$C$193, INVCOST!J$8:J$193)</f>
        <v>11.367000000000001</v>
      </c>
      <c r="AE6" s="40">
        <f>LOOKUP($B6, INVCOST!$C$8:$C$193, INVCOST!K$8:K$193)</f>
        <v>10.919</v>
      </c>
    </row>
    <row r="7" spans="2:31" s="39" customFormat="1" x14ac:dyDescent="0.3">
      <c r="B7" s="212"/>
      <c r="C7" s="212"/>
      <c r="D7" s="212"/>
      <c r="E7" s="212"/>
      <c r="F7" s="212" t="s">
        <v>388</v>
      </c>
      <c r="G7" s="44"/>
      <c r="H7" s="45"/>
      <c r="I7" s="46"/>
      <c r="J7" s="64"/>
      <c r="K7" s="44"/>
      <c r="L7" s="44"/>
      <c r="M7" s="46">
        <f>LOOKUP($B$6, CEFF!$C$163:$C$330, CEFF!F$163:F$330)</f>
        <v>2.0408200000000001</v>
      </c>
      <c r="N7" s="46">
        <f>LOOKUP($B$6, CEFF!$C$163:$C$330, CEFF!G$163:G$330)</f>
        <v>2.0833300000000001</v>
      </c>
      <c r="O7" s="46">
        <f>LOOKUP($B$6, CEFF!$C$163:$C$330, CEFF!H$163:H$330)</f>
        <v>2.1276600000000001</v>
      </c>
      <c r="P7" s="46">
        <f>LOOKUP($B$6, CEFF!$C$163:$C$330, CEFF!I$163:I$330)</f>
        <v>2.1739099999999998</v>
      </c>
      <c r="Q7" s="46">
        <f>LOOKUP($B$6, CEFF!$C$163:$C$330, CEFF!J$163:J$330)</f>
        <v>2.2222200000000001</v>
      </c>
      <c r="R7" s="45"/>
      <c r="S7" s="45"/>
      <c r="T7" s="45"/>
      <c r="U7" s="45"/>
      <c r="V7" s="44"/>
      <c r="W7" s="46"/>
      <c r="X7" s="45"/>
      <c r="Y7" s="45"/>
      <c r="Z7" s="45"/>
      <c r="AA7" s="45"/>
      <c r="AB7" s="45"/>
      <c r="AC7" s="45"/>
      <c r="AD7" s="45"/>
      <c r="AE7" s="45"/>
    </row>
    <row r="8" spans="2:31" s="39" customFormat="1" x14ac:dyDescent="0.3">
      <c r="B8" s="211" t="s">
        <v>552</v>
      </c>
      <c r="C8" s="210" t="str">
        <f>LOOKUP(B8, TRA_COMM_PRO!$C$16:$C$199, TRA_COMM_PRO!$D$16:$D$199)</f>
        <v>Moto.ELC.City.01.</v>
      </c>
      <c r="D8" s="211" t="s">
        <v>27</v>
      </c>
      <c r="E8" s="211"/>
      <c r="F8" s="211"/>
      <c r="G8" s="10">
        <f>$G$5</f>
        <v>2020</v>
      </c>
      <c r="H8" s="40">
        <v>10</v>
      </c>
      <c r="I8" s="65">
        <v>1E-3</v>
      </c>
      <c r="J8" s="60">
        <v>1</v>
      </c>
      <c r="K8" s="42"/>
      <c r="L8" s="42"/>
      <c r="M8" s="41"/>
      <c r="N8" s="41"/>
      <c r="O8" s="41"/>
      <c r="P8" s="41"/>
      <c r="Q8" s="41"/>
      <c r="R8" s="40">
        <v>2</v>
      </c>
      <c r="S8" s="40"/>
      <c r="T8" s="40"/>
      <c r="U8" s="40"/>
      <c r="V8" s="42"/>
      <c r="W8" s="41"/>
      <c r="X8" s="40">
        <f>LOOKUP($B8, INVCOST!$C$8:$C$193, INVCOST!D$8:D$193)</f>
        <v>13.9</v>
      </c>
      <c r="Y8" s="40">
        <f>LOOKUP($B8, INVCOST!$C$8:$C$193, INVCOST!E$8:E$193)</f>
        <v>13.784000000000001</v>
      </c>
      <c r="Z8" s="40">
        <f>LOOKUP($B8, INVCOST!$C$8:$C$193, INVCOST!F$8:F$193)</f>
        <v>13.348000000000001</v>
      </c>
      <c r="AA8" s="40">
        <f>LOOKUP($B8, INVCOST!$C$8:$C$193, INVCOST!G$8:G$193)</f>
        <v>12.821999999999999</v>
      </c>
      <c r="AB8" s="40">
        <f>LOOKUP($B8, INVCOST!$C$8:$C$193, INVCOST!H$8:H$193)</f>
        <v>12.318</v>
      </c>
      <c r="AC8" s="40">
        <f>LOOKUP($B8, INVCOST!$C$8:$C$193, INVCOST!I$8:I$193)</f>
        <v>11.833</v>
      </c>
      <c r="AD8" s="40">
        <f>LOOKUP($B8, INVCOST!$C$8:$C$193, INVCOST!J$8:J$193)</f>
        <v>11.367000000000001</v>
      </c>
      <c r="AE8" s="40">
        <f>LOOKUP($B8, INVCOST!$C$8:$C$193, INVCOST!K$8:K$193)</f>
        <v>10.919</v>
      </c>
    </row>
    <row r="9" spans="2:31" s="39" customFormat="1" x14ac:dyDescent="0.3">
      <c r="B9" s="212"/>
      <c r="C9" s="212"/>
      <c r="D9" s="212"/>
      <c r="E9" s="212"/>
      <c r="F9" s="212" t="s">
        <v>553</v>
      </c>
      <c r="G9" s="44"/>
      <c r="H9" s="45"/>
      <c r="I9" s="46"/>
      <c r="J9" s="64"/>
      <c r="K9" s="44"/>
      <c r="L9" s="44"/>
      <c r="M9" s="46">
        <f>LOOKUP($B$8, CEFF!$C$163:$C$330, CEFF!F$163:F$330)</f>
        <v>2.0408200000000001</v>
      </c>
      <c r="N9" s="46">
        <f>LOOKUP($B$8, CEFF!$C$163:$C$330, CEFF!G$163:G$330)</f>
        <v>2.0833300000000001</v>
      </c>
      <c r="O9" s="46">
        <f>LOOKUP($B$8, CEFF!$C$163:$C$330, CEFF!H$163:H$330)</f>
        <v>2.1276600000000001</v>
      </c>
      <c r="P9" s="46">
        <f>LOOKUP($B$8, CEFF!$C$163:$C$330, CEFF!I$163:I$330)</f>
        <v>2.1739099999999998</v>
      </c>
      <c r="Q9" s="46">
        <f>LOOKUP($B$8, CEFF!$C$163:$C$330, CEFF!J$163:J$330)</f>
        <v>2.2222200000000001</v>
      </c>
      <c r="R9" s="45"/>
      <c r="S9" s="45"/>
      <c r="T9" s="45"/>
      <c r="U9" s="45"/>
      <c r="V9" s="44"/>
      <c r="W9" s="46"/>
      <c r="X9" s="45"/>
      <c r="Y9" s="45"/>
      <c r="Z9" s="45"/>
      <c r="AA9" s="45"/>
      <c r="AB9" s="45"/>
      <c r="AC9" s="45"/>
      <c r="AD9" s="45"/>
      <c r="AE9" s="45"/>
    </row>
    <row r="10" spans="2:31" s="39" customFormat="1" x14ac:dyDescent="0.3">
      <c r="B10" s="211" t="s">
        <v>38</v>
      </c>
      <c r="C10" s="210" t="str">
        <f>LOOKUP(B10, TRA_COMM_PRO!$C$16:$C$199, TRA_COMM_PRO!$D$16:$D$199)</f>
        <v>Moto.GSL.01</v>
      </c>
      <c r="D10" s="211" t="s">
        <v>39</v>
      </c>
      <c r="E10" s="211"/>
      <c r="F10" s="211"/>
      <c r="G10" s="10">
        <f>$G$5</f>
        <v>2020</v>
      </c>
      <c r="H10" s="40">
        <v>15</v>
      </c>
      <c r="I10" s="65">
        <v>1E-3</v>
      </c>
      <c r="J10" s="60">
        <v>1</v>
      </c>
      <c r="K10" s="42"/>
      <c r="L10" s="42"/>
      <c r="M10" s="41"/>
      <c r="N10" s="41"/>
      <c r="O10" s="41"/>
      <c r="P10" s="41"/>
      <c r="Q10" s="41"/>
      <c r="R10" s="40">
        <v>2</v>
      </c>
      <c r="S10" s="40"/>
      <c r="T10" s="40"/>
      <c r="U10" s="40"/>
      <c r="V10" s="42"/>
      <c r="W10" s="41"/>
      <c r="X10" s="40">
        <f>LOOKUP($B10, INVCOST!$C$8:$C$193, INVCOST!D$8:D$193)</f>
        <v>10</v>
      </c>
      <c r="Y10" s="40">
        <f>LOOKUP($B10, INVCOST!$C$8:$C$193, INVCOST!E$8:E$193)</f>
        <v>9.9</v>
      </c>
      <c r="Z10" s="40">
        <f>LOOKUP($B10, INVCOST!$C$8:$C$193, INVCOST!F$8:F$193)</f>
        <v>9.8010000000000002</v>
      </c>
      <c r="AA10" s="40">
        <f>LOOKUP($B10, INVCOST!$C$8:$C$193, INVCOST!G$8:G$193)</f>
        <v>9.7029899999999998</v>
      </c>
      <c r="AB10" s="40">
        <f>LOOKUP($B10, INVCOST!$C$8:$C$193, INVCOST!H$8:H$193)</f>
        <v>9.6059601000000008</v>
      </c>
      <c r="AC10" s="40">
        <f>LOOKUP($B10, INVCOST!$C$8:$C$193, INVCOST!I$8:I$193)</f>
        <v>9.5099004989999987</v>
      </c>
      <c r="AD10" s="40">
        <f>LOOKUP($B10, INVCOST!$C$8:$C$193, INVCOST!J$8:J$193)</f>
        <v>9.4148014940099998</v>
      </c>
      <c r="AE10" s="40">
        <f>LOOKUP($B10, INVCOST!$C$8:$C$193, INVCOST!K$8:K$193)</f>
        <v>9.3206534790699003</v>
      </c>
    </row>
    <row r="11" spans="2:31" s="39" customFormat="1" x14ac:dyDescent="0.3">
      <c r="B11" s="211"/>
      <c r="C11" s="211"/>
      <c r="D11" s="211" t="s">
        <v>40</v>
      </c>
      <c r="E11" s="211"/>
      <c r="F11" s="211"/>
      <c r="G11" s="42"/>
      <c r="H11" s="40"/>
      <c r="I11" s="41"/>
      <c r="J11" s="60"/>
      <c r="K11" s="42">
        <v>0.05</v>
      </c>
      <c r="L11" s="42">
        <v>0.1</v>
      </c>
      <c r="M11" s="165"/>
      <c r="N11" s="165"/>
      <c r="O11" s="165"/>
      <c r="P11" s="165"/>
      <c r="Q11" s="165"/>
      <c r="R11" s="40"/>
      <c r="S11" s="40"/>
      <c r="T11" s="40"/>
      <c r="U11" s="40"/>
      <c r="V11" s="42"/>
      <c r="W11" s="41"/>
      <c r="X11" s="40"/>
      <c r="Y11" s="40"/>
      <c r="Z11" s="40"/>
      <c r="AA11" s="40"/>
      <c r="AB11" s="40"/>
      <c r="AC11" s="40"/>
      <c r="AD11" s="40"/>
      <c r="AE11" s="40"/>
    </row>
    <row r="12" spans="2:31" s="39" customFormat="1" x14ac:dyDescent="0.3">
      <c r="B12" s="212"/>
      <c r="C12" s="212"/>
      <c r="D12" s="212"/>
      <c r="E12" s="212"/>
      <c r="F12" s="212" t="s">
        <v>388</v>
      </c>
      <c r="G12" s="44"/>
      <c r="H12" s="45"/>
      <c r="I12" s="46"/>
      <c r="J12" s="64"/>
      <c r="K12" s="44"/>
      <c r="L12" s="44"/>
      <c r="M12" s="46">
        <f>LOOKUP($B$10, CEFF!$C$163:$C$330, CEFF!F$163:F$330)</f>
        <v>0.68027000000000004</v>
      </c>
      <c r="N12" s="46">
        <f>LOOKUP($B$10, CEFF!$C$163:$C$330, CEFF!G$163:G$330)</f>
        <v>0.69416</v>
      </c>
      <c r="O12" s="46">
        <f>LOOKUP($B$10, CEFF!$C$163:$C$330, CEFF!H$163:H$330)</f>
        <v>0.70831999999999995</v>
      </c>
      <c r="P12" s="46">
        <f>LOOKUP($B$10, CEFF!$C$163:$C$330, CEFF!I$163:I$330)</f>
        <v>0.72277999999999998</v>
      </c>
      <c r="Q12" s="46">
        <f>LOOKUP($B$10, CEFF!$C$163:$C$330, CEFF!J$163:J$330)</f>
        <v>0.73753000000000002</v>
      </c>
      <c r="R12" s="45"/>
      <c r="S12" s="45"/>
      <c r="T12" s="45"/>
      <c r="U12" s="45"/>
      <c r="V12" s="44"/>
      <c r="W12" s="46"/>
      <c r="X12" s="45"/>
      <c r="Y12" s="45"/>
      <c r="Z12" s="45"/>
      <c r="AA12" s="45"/>
      <c r="AB12" s="45"/>
      <c r="AC12" s="45"/>
      <c r="AD12" s="45"/>
      <c r="AE12" s="45"/>
    </row>
    <row r="13" spans="2:31" s="39" customFormat="1" x14ac:dyDescent="0.3">
      <c r="B13" s="211" t="s">
        <v>554</v>
      </c>
      <c r="C13" s="210" t="str">
        <f>LOOKUP(B13, TRA_COMM_PRO!$C$16:$C$199, TRA_COMM_PRO!$D$16:$D$199)</f>
        <v>Moto.GSL.City.01</v>
      </c>
      <c r="D13" s="211" t="s">
        <v>39</v>
      </c>
      <c r="E13" s="211"/>
      <c r="F13" s="211"/>
      <c r="G13" s="10">
        <f>$G$5</f>
        <v>2020</v>
      </c>
      <c r="H13" s="40">
        <v>15</v>
      </c>
      <c r="I13" s="65">
        <v>1E-3</v>
      </c>
      <c r="J13" s="60">
        <v>1</v>
      </c>
      <c r="K13" s="42"/>
      <c r="L13" s="42"/>
      <c r="M13" s="41"/>
      <c r="N13" s="41"/>
      <c r="O13" s="41"/>
      <c r="P13" s="41"/>
      <c r="Q13" s="41"/>
      <c r="R13" s="40">
        <v>2</v>
      </c>
      <c r="S13" s="40"/>
      <c r="T13" s="40"/>
      <c r="U13" s="40"/>
      <c r="V13" s="42"/>
      <c r="W13" s="41"/>
      <c r="X13" s="40">
        <f>LOOKUP($B13, INVCOST!$C$8:$C$193, INVCOST!D$8:D$193)</f>
        <v>10</v>
      </c>
      <c r="Y13" s="40">
        <f>LOOKUP($B13, INVCOST!$C$8:$C$193, INVCOST!E$8:E$193)</f>
        <v>9.9</v>
      </c>
      <c r="Z13" s="40">
        <f>LOOKUP($B13, INVCOST!$C$8:$C$193, INVCOST!F$8:F$193)</f>
        <v>9.8010000000000002</v>
      </c>
      <c r="AA13" s="40">
        <f>LOOKUP($B13, INVCOST!$C$8:$C$193, INVCOST!G$8:G$193)</f>
        <v>9.7029899999999998</v>
      </c>
      <c r="AB13" s="40">
        <f>LOOKUP($B13, INVCOST!$C$8:$C$193, INVCOST!H$8:H$193)</f>
        <v>9.6059601000000008</v>
      </c>
      <c r="AC13" s="40">
        <f>LOOKUP($B13, INVCOST!$C$8:$C$193, INVCOST!I$8:I$193)</f>
        <v>9.5099004989999987</v>
      </c>
      <c r="AD13" s="40">
        <f>LOOKUP($B13, INVCOST!$C$8:$C$193, INVCOST!J$8:J$193)</f>
        <v>9.4148014940099998</v>
      </c>
      <c r="AE13" s="40">
        <f>LOOKUP($B13, INVCOST!$C$8:$C$193, INVCOST!K$8:K$193)</f>
        <v>9.3206534790699003</v>
      </c>
    </row>
    <row r="14" spans="2:31" s="39" customFormat="1" x14ac:dyDescent="0.3">
      <c r="B14" s="211"/>
      <c r="C14" s="211"/>
      <c r="D14" s="211" t="s">
        <v>40</v>
      </c>
      <c r="E14" s="211"/>
      <c r="F14" s="211"/>
      <c r="G14" s="42"/>
      <c r="H14" s="40"/>
      <c r="I14" s="41"/>
      <c r="J14" s="60"/>
      <c r="K14" s="42">
        <v>0.05</v>
      </c>
      <c r="L14" s="42">
        <v>0.1</v>
      </c>
      <c r="M14" s="166"/>
      <c r="N14" s="166"/>
      <c r="O14" s="166"/>
      <c r="P14" s="166"/>
      <c r="Q14" s="166"/>
      <c r="R14" s="40"/>
      <c r="S14" s="40"/>
      <c r="T14" s="40"/>
      <c r="U14" s="40"/>
      <c r="V14" s="42"/>
      <c r="W14" s="41"/>
      <c r="X14" s="40"/>
      <c r="Y14" s="40"/>
      <c r="Z14" s="40"/>
      <c r="AA14" s="40"/>
      <c r="AB14" s="40"/>
      <c r="AC14" s="40"/>
      <c r="AD14" s="40"/>
      <c r="AE14" s="40"/>
    </row>
    <row r="15" spans="2:31" s="39" customFormat="1" x14ac:dyDescent="0.3">
      <c r="B15" s="215"/>
      <c r="C15" s="215"/>
      <c r="D15" s="215"/>
      <c r="E15" s="215"/>
      <c r="F15" s="215" t="s">
        <v>553</v>
      </c>
      <c r="G15" s="179"/>
      <c r="H15" s="183"/>
      <c r="I15" s="181"/>
      <c r="J15" s="184"/>
      <c r="K15" s="179"/>
      <c r="L15" s="179"/>
      <c r="M15" s="264">
        <f>LOOKUP($B$13, CEFF!$C$163:$C$330, CEFF!F$163:F$330)</f>
        <v>0.68027000000000004</v>
      </c>
      <c r="N15" s="264">
        <f>LOOKUP($B$13, CEFF!$C$163:$C$330, CEFF!G$163:G$330)</f>
        <v>0.69416</v>
      </c>
      <c r="O15" s="264">
        <f>LOOKUP($B$13, CEFF!$C$163:$C$330, CEFF!H$163:H$330)</f>
        <v>0.70831999999999995</v>
      </c>
      <c r="P15" s="264">
        <f>LOOKUP($B$13, CEFF!$C$163:$C$330, CEFF!I$163:I$330)</f>
        <v>0.72277999999999998</v>
      </c>
      <c r="Q15" s="264">
        <f>LOOKUP($B$13, CEFF!$C$163:$C$330, CEFF!J$163:J$330)</f>
        <v>0.73753000000000002</v>
      </c>
      <c r="R15" s="183"/>
      <c r="S15" s="183"/>
      <c r="T15" s="183"/>
      <c r="U15" s="183"/>
      <c r="V15" s="179"/>
      <c r="W15" s="181"/>
      <c r="X15" s="183"/>
      <c r="Y15" s="183"/>
      <c r="Z15" s="183"/>
      <c r="AA15" s="183"/>
      <c r="AB15" s="183"/>
      <c r="AC15" s="183"/>
      <c r="AD15" s="183"/>
      <c r="AE15" s="183"/>
    </row>
    <row r="16" spans="2:31" x14ac:dyDescent="0.3">
      <c r="K16" s="5"/>
    </row>
    <row r="17" spans="2:31" x14ac:dyDescent="0.3">
      <c r="K17" s="5"/>
    </row>
    <row r="18" spans="2:31" x14ac:dyDescent="0.3">
      <c r="B18" s="6" t="s">
        <v>0</v>
      </c>
      <c r="C18" s="7"/>
      <c r="D18" s="8"/>
      <c r="E18" s="8"/>
      <c r="F18" s="9" t="s">
        <v>722</v>
      </c>
      <c r="G18" s="9"/>
    </row>
    <row r="19" spans="2:31" ht="27.9" customHeight="1" x14ac:dyDescent="0.3">
      <c r="B19" s="201" t="s">
        <v>2</v>
      </c>
      <c r="C19" s="201" t="s">
        <v>3</v>
      </c>
      <c r="D19" s="201" t="s">
        <v>4</v>
      </c>
      <c r="E19" s="201" t="s">
        <v>5</v>
      </c>
      <c r="F19" s="202" t="s">
        <v>6</v>
      </c>
      <c r="G19" s="202" t="s">
        <v>187</v>
      </c>
      <c r="H19" s="203" t="s">
        <v>186</v>
      </c>
      <c r="I19" s="203" t="s">
        <v>11</v>
      </c>
      <c r="J19" s="202" t="s">
        <v>12</v>
      </c>
      <c r="K19" s="202" t="s">
        <v>7</v>
      </c>
      <c r="L19" s="202" t="s">
        <v>8</v>
      </c>
      <c r="M19" s="203" t="s">
        <v>396</v>
      </c>
      <c r="N19" s="203" t="s">
        <v>335</v>
      </c>
      <c r="O19" s="203" t="s">
        <v>336</v>
      </c>
      <c r="P19" s="203" t="s">
        <v>9</v>
      </c>
      <c r="Q19" s="203" t="s">
        <v>10</v>
      </c>
      <c r="R19" s="203" t="s">
        <v>397</v>
      </c>
      <c r="S19" s="203" t="s">
        <v>465</v>
      </c>
      <c r="T19" s="203" t="s">
        <v>13</v>
      </c>
      <c r="U19" s="203" t="s">
        <v>398</v>
      </c>
      <c r="V19" s="203" t="s">
        <v>42</v>
      </c>
      <c r="W19" s="203" t="s">
        <v>14</v>
      </c>
      <c r="X19" s="203" t="s">
        <v>399</v>
      </c>
      <c r="Y19" s="203" t="s">
        <v>15</v>
      </c>
      <c r="Z19" s="203" t="s">
        <v>16</v>
      </c>
      <c r="AA19" s="203" t="s">
        <v>17</v>
      </c>
      <c r="AB19" s="203" t="s">
        <v>18</v>
      </c>
      <c r="AC19" s="203" t="s">
        <v>19</v>
      </c>
      <c r="AD19" s="203" t="s">
        <v>20</v>
      </c>
      <c r="AE19" s="203" t="s">
        <v>21</v>
      </c>
    </row>
    <row r="20" spans="2:31" ht="33.75" customHeight="1" thickBot="1" x14ac:dyDescent="0.35">
      <c r="B20" s="204" t="s">
        <v>22</v>
      </c>
      <c r="C20" s="204"/>
      <c r="D20" s="204"/>
      <c r="E20" s="204"/>
      <c r="F20" s="205" t="s">
        <v>23</v>
      </c>
      <c r="G20" s="205">
        <v>2020</v>
      </c>
      <c r="H20" s="206" t="s">
        <v>26</v>
      </c>
      <c r="I20" s="206" t="s">
        <v>560</v>
      </c>
      <c r="J20" s="206" t="s">
        <v>25</v>
      </c>
      <c r="K20" s="205"/>
      <c r="L20" s="205"/>
      <c r="M20" s="207" t="s">
        <v>671</v>
      </c>
      <c r="N20" s="207" t="s">
        <v>671</v>
      </c>
      <c r="O20" s="207" t="s">
        <v>671</v>
      </c>
      <c r="P20" s="207" t="s">
        <v>671</v>
      </c>
      <c r="Q20" s="207" t="s">
        <v>671</v>
      </c>
      <c r="R20" s="206" t="s">
        <v>676</v>
      </c>
      <c r="S20" s="206" t="s">
        <v>676</v>
      </c>
      <c r="T20" s="206" t="s">
        <v>676</v>
      </c>
      <c r="U20" s="206" t="s">
        <v>676</v>
      </c>
      <c r="V20" s="208" t="s">
        <v>679</v>
      </c>
      <c r="W20" s="208" t="s">
        <v>678</v>
      </c>
      <c r="X20" s="208" t="s">
        <v>675</v>
      </c>
      <c r="Y20" s="208" t="s">
        <v>675</v>
      </c>
      <c r="Z20" s="208" t="s">
        <v>675</v>
      </c>
      <c r="AA20" s="208" t="s">
        <v>675</v>
      </c>
      <c r="AB20" s="208" t="s">
        <v>675</v>
      </c>
      <c r="AC20" s="208" t="s">
        <v>675</v>
      </c>
      <c r="AD20" s="208" t="s">
        <v>675</v>
      </c>
      <c r="AE20" s="208" t="s">
        <v>675</v>
      </c>
    </row>
    <row r="21" spans="2:31" ht="13.5" customHeight="1" x14ac:dyDescent="0.3">
      <c r="B21" s="234" t="s">
        <v>590</v>
      </c>
      <c r="C21" s="210" t="str">
        <f>LOOKUP(B21, TRA_COMM_PRO!$C$16:$C$199, TRA_COMM_PRO!$D$16:$D$199)</f>
        <v>LightElectricVehicle(LEV).Passenger.01.</v>
      </c>
      <c r="D21" s="234" t="s">
        <v>27</v>
      </c>
      <c r="E21" s="234"/>
      <c r="F21" s="234"/>
      <c r="G21" s="10">
        <f>$G$20</f>
        <v>2020</v>
      </c>
      <c r="H21" s="11">
        <v>8</v>
      </c>
      <c r="I21" s="65">
        <v>1E-3</v>
      </c>
      <c r="J21" s="164">
        <v>1</v>
      </c>
      <c r="K21" s="10"/>
      <c r="L21" s="10"/>
      <c r="M21" s="165">
        <f>LOOKUP($B21, CEFF!$C$163:$C$330, CEFF!F$163:F$330)</f>
        <v>3</v>
      </c>
      <c r="N21" s="165">
        <f>LOOKUP($B21, CEFF!$C$163:$C$330, CEFF!G$163:G$330)</f>
        <v>3</v>
      </c>
      <c r="O21" s="165">
        <f>LOOKUP($B21, CEFF!$C$163:$C$330, CEFF!H$163:H$330)</f>
        <v>3</v>
      </c>
      <c r="P21" s="165">
        <f>LOOKUP($B21, CEFF!$C$163:$C$330, CEFF!I$163:I$330)</f>
        <v>3</v>
      </c>
      <c r="Q21" s="165">
        <f>LOOKUP($B21, CEFF!$C$163:$C$330, CEFF!J$163:J$330)</f>
        <v>3</v>
      </c>
      <c r="R21" s="11">
        <v>8</v>
      </c>
      <c r="S21" s="11"/>
      <c r="T21" s="11"/>
      <c r="U21" s="11"/>
      <c r="V21" s="13"/>
      <c r="W21" s="14"/>
      <c r="X21" s="165">
        <f>LOOKUP($B21, INVCOST!$C$8:$C$193, INVCOST!D$8:D$193)</f>
        <v>7</v>
      </c>
      <c r="Y21" s="165">
        <f>LOOKUP($B21, INVCOST!$C$8:$C$193, INVCOST!E$8:E$193)</f>
        <v>6.93</v>
      </c>
      <c r="Z21" s="165">
        <f>LOOKUP($B21, INVCOST!$C$8:$C$193, INVCOST!F$8:F$193)</f>
        <v>6.8606999999999996</v>
      </c>
      <c r="AA21" s="165">
        <f>LOOKUP($B21, INVCOST!$C$8:$C$193, INVCOST!G$8:G$193)</f>
        <v>6.7920929999999995</v>
      </c>
      <c r="AB21" s="165">
        <f>LOOKUP($B21, INVCOST!$C$8:$C$193, INVCOST!H$8:H$193)</f>
        <v>6.7241720699999998</v>
      </c>
      <c r="AC21" s="165">
        <f>LOOKUP($B21, INVCOST!$C$8:$C$193, INVCOST!I$8:I$193)</f>
        <v>6.6569303492999996</v>
      </c>
      <c r="AD21" s="165">
        <f>LOOKUP($B21, INVCOST!$C$8:$C$193, INVCOST!J$8:J$193)</f>
        <v>6.5903610458069997</v>
      </c>
      <c r="AE21" s="165">
        <f>LOOKUP($B21, INVCOST!$C$8:$C$193, INVCOST!K$8:K$193)</f>
        <v>6.5244574353489293</v>
      </c>
    </row>
    <row r="22" spans="2:31" ht="13.5" customHeight="1" x14ac:dyDescent="0.3">
      <c r="B22" s="235"/>
      <c r="C22" s="217"/>
      <c r="D22" s="235"/>
      <c r="E22" s="235"/>
      <c r="F22" s="235" t="s">
        <v>592</v>
      </c>
      <c r="G22" s="16"/>
      <c r="H22" s="17"/>
      <c r="I22" s="18"/>
      <c r="J22" s="167"/>
      <c r="K22" s="16"/>
      <c r="L22" s="16"/>
      <c r="M22" s="260"/>
      <c r="N22" s="260"/>
      <c r="O22" s="260"/>
      <c r="P22" s="260"/>
      <c r="Q22" s="260"/>
      <c r="R22" s="17"/>
      <c r="S22" s="17"/>
      <c r="T22" s="17"/>
      <c r="U22" s="17"/>
      <c r="V22" s="19"/>
      <c r="W22" s="20"/>
      <c r="X22" s="21"/>
      <c r="Y22" s="21"/>
      <c r="Z22" s="21"/>
      <c r="AA22" s="21"/>
      <c r="AB22" s="21"/>
      <c r="AC22" s="21"/>
      <c r="AD22" s="21"/>
      <c r="AE22" s="21"/>
    </row>
    <row r="23" spans="2:31" ht="13.5" customHeight="1" x14ac:dyDescent="0.3">
      <c r="B23" s="234" t="s">
        <v>595</v>
      </c>
      <c r="C23" s="210" t="str">
        <f>LOOKUP(B23, TRA_COMM_PRO!$C$16:$C$199, TRA_COMM_PRO!$D$16:$D$199)</f>
        <v>LightElectricVehicle(LEV).Passenger.City.01.</v>
      </c>
      <c r="D23" s="234" t="s">
        <v>27</v>
      </c>
      <c r="E23" s="234"/>
      <c r="F23" s="234"/>
      <c r="G23" s="10">
        <f>$G$20</f>
        <v>2020</v>
      </c>
      <c r="H23" s="11">
        <v>8</v>
      </c>
      <c r="I23" s="65">
        <v>1E-3</v>
      </c>
      <c r="J23" s="164">
        <v>1</v>
      </c>
      <c r="K23" s="10"/>
      <c r="L23" s="10"/>
      <c r="M23" s="165">
        <f>LOOKUP($B23, CEFF!$C$163:$C$330, CEFF!F$163:F$330)</f>
        <v>3</v>
      </c>
      <c r="N23" s="165">
        <f>LOOKUP($B23, CEFF!$C$163:$C$330, CEFF!G$163:G$330)</f>
        <v>3</v>
      </c>
      <c r="O23" s="165">
        <f>LOOKUP($B23, CEFF!$C$163:$C$330, CEFF!H$163:H$330)</f>
        <v>3</v>
      </c>
      <c r="P23" s="165">
        <f>LOOKUP($B23, CEFF!$C$163:$C$330, CEFF!I$163:I$330)</f>
        <v>3</v>
      </c>
      <c r="Q23" s="165">
        <f>LOOKUP($B23, CEFF!$C$163:$C$330, CEFF!J$163:J$330)</f>
        <v>3</v>
      </c>
      <c r="R23" s="11">
        <v>8</v>
      </c>
      <c r="S23" s="11"/>
      <c r="T23" s="11"/>
      <c r="U23" s="11"/>
      <c r="V23" s="13"/>
      <c r="W23" s="14"/>
      <c r="X23" s="165">
        <f>LOOKUP($B23, INVCOST!$C$8:$C$193, INVCOST!D$8:D$193)</f>
        <v>7</v>
      </c>
      <c r="Y23" s="165">
        <f>LOOKUP($B23, INVCOST!$C$8:$C$193, INVCOST!E$8:E$193)</f>
        <v>6.93</v>
      </c>
      <c r="Z23" s="165">
        <f>LOOKUP($B23, INVCOST!$C$8:$C$193, INVCOST!F$8:F$193)</f>
        <v>6.8606999999999996</v>
      </c>
      <c r="AA23" s="165">
        <f>LOOKUP($B23, INVCOST!$C$8:$C$193, INVCOST!G$8:G$193)</f>
        <v>6.7920929999999995</v>
      </c>
      <c r="AB23" s="165">
        <f>LOOKUP($B23, INVCOST!$C$8:$C$193, INVCOST!H$8:H$193)</f>
        <v>6.7241720699999998</v>
      </c>
      <c r="AC23" s="165">
        <f>LOOKUP($B23, INVCOST!$C$8:$C$193, INVCOST!I$8:I$193)</f>
        <v>6.6569303492999996</v>
      </c>
      <c r="AD23" s="165">
        <f>LOOKUP($B23, INVCOST!$C$8:$C$193, INVCOST!J$8:J$193)</f>
        <v>6.5903610458069997</v>
      </c>
      <c r="AE23" s="165">
        <f>LOOKUP($B23, INVCOST!$C$8:$C$193, INVCOST!K$8:K$193)</f>
        <v>6.5244574353489293</v>
      </c>
    </row>
    <row r="24" spans="2:31" ht="13.5" customHeight="1" x14ac:dyDescent="0.3">
      <c r="B24" s="235"/>
      <c r="C24" s="217"/>
      <c r="D24" s="235"/>
      <c r="E24" s="235"/>
      <c r="F24" s="235" t="s">
        <v>638</v>
      </c>
      <c r="G24" s="16"/>
      <c r="H24" s="17"/>
      <c r="I24" s="18"/>
      <c r="J24" s="167"/>
      <c r="K24" s="16"/>
      <c r="L24" s="16"/>
      <c r="M24" s="260"/>
      <c r="N24" s="260"/>
      <c r="O24" s="260"/>
      <c r="P24" s="260"/>
      <c r="Q24" s="260"/>
      <c r="R24" s="17"/>
      <c r="S24" s="17"/>
      <c r="T24" s="17"/>
      <c r="U24" s="17"/>
      <c r="V24" s="19"/>
      <c r="W24" s="20"/>
      <c r="X24" s="21"/>
      <c r="Y24" s="21"/>
      <c r="Z24" s="21"/>
      <c r="AA24" s="21"/>
      <c r="AB24" s="21"/>
      <c r="AC24" s="21"/>
      <c r="AD24" s="21"/>
      <c r="AE24" s="21"/>
    </row>
    <row r="25" spans="2:31" ht="13.5" customHeight="1" x14ac:dyDescent="0.3">
      <c r="B25" s="234" t="s">
        <v>29</v>
      </c>
      <c r="C25" s="210" t="str">
        <f>LOOKUP(B25, TRA_COMM_PRO!$C$16:$C$199, TRA_COMM_PRO!$D$16:$D$199)</f>
        <v>BicYcle.Electric.Passenger.01.</v>
      </c>
      <c r="D25" s="234" t="s">
        <v>27</v>
      </c>
      <c r="E25" s="234"/>
      <c r="F25" s="234"/>
      <c r="G25" s="10">
        <f>$G$20</f>
        <v>2020</v>
      </c>
      <c r="H25" s="11">
        <v>8</v>
      </c>
      <c r="I25" s="65">
        <v>1E-3</v>
      </c>
      <c r="J25" s="164">
        <v>1</v>
      </c>
      <c r="K25" s="10">
        <v>0.3</v>
      </c>
      <c r="L25" s="10">
        <v>0.5</v>
      </c>
      <c r="M25" s="166">
        <f>CEFF!F325</f>
        <v>4.53</v>
      </c>
      <c r="N25" s="166">
        <f>CEFF!G325</f>
        <v>4.53</v>
      </c>
      <c r="O25" s="166">
        <f>CEFF!H325</f>
        <v>4.53</v>
      </c>
      <c r="P25" s="166">
        <f>CEFF!I325</f>
        <v>4.53</v>
      </c>
      <c r="Q25" s="166">
        <f>CEFF!J325</f>
        <v>4.53</v>
      </c>
      <c r="R25" s="11">
        <v>8</v>
      </c>
      <c r="S25" s="11"/>
      <c r="T25" s="11"/>
      <c r="U25" s="11"/>
      <c r="V25" s="13"/>
      <c r="W25" s="14"/>
      <c r="X25" s="165">
        <f>LOOKUP($B25, INVCOST!$C$8:$C$193, INVCOST!D$8:D$193)</f>
        <v>1.5</v>
      </c>
      <c r="Y25" s="165">
        <f>LOOKUP($B25, INVCOST!$C$8:$C$193, INVCOST!E$8:E$193)</f>
        <v>1.4849999999999999</v>
      </c>
      <c r="Z25" s="165">
        <f>LOOKUP($B25, INVCOST!$C$8:$C$193, INVCOST!F$8:F$193)</f>
        <v>1.4701499999999998</v>
      </c>
      <c r="AA25" s="165">
        <f>LOOKUP($B25, INVCOST!$C$8:$C$193, INVCOST!G$8:G$193)</f>
        <v>1.4554484999999999</v>
      </c>
      <c r="AB25" s="165">
        <f>LOOKUP($B25, INVCOST!$C$8:$C$193, INVCOST!H$8:H$193)</f>
        <v>1.4408940149999998</v>
      </c>
      <c r="AC25" s="165">
        <f>LOOKUP($B25, INVCOST!$C$8:$C$193, INVCOST!I$8:I$193)</f>
        <v>1.4264850748499998</v>
      </c>
      <c r="AD25" s="165">
        <f>LOOKUP($B25, INVCOST!$C$8:$C$193, INVCOST!J$8:J$193)</f>
        <v>1.4122202241014998</v>
      </c>
      <c r="AE25" s="165">
        <f>LOOKUP($B25, INVCOST!$C$8:$C$193, INVCOST!K$8:K$193)</f>
        <v>1.3980980218604848</v>
      </c>
    </row>
    <row r="26" spans="2:31" ht="13.5" customHeight="1" x14ac:dyDescent="0.3">
      <c r="B26" s="234"/>
      <c r="C26" s="213"/>
      <c r="D26" s="234" t="s">
        <v>30</v>
      </c>
      <c r="E26" s="234"/>
      <c r="F26" s="234"/>
      <c r="G26" s="10"/>
      <c r="H26" s="11"/>
      <c r="I26" s="12"/>
      <c r="J26" s="164"/>
      <c r="K26" s="10"/>
      <c r="L26" s="10"/>
      <c r="M26" s="43">
        <f>CEFF!F326</f>
        <v>1000</v>
      </c>
      <c r="N26" s="43">
        <f>CEFF!G326</f>
        <v>1000</v>
      </c>
      <c r="O26" s="43">
        <f>CEFF!H326</f>
        <v>1000</v>
      </c>
      <c r="P26" s="43">
        <f>CEFF!I326</f>
        <v>1000</v>
      </c>
      <c r="Q26" s="43">
        <f>CEFF!J326</f>
        <v>1000</v>
      </c>
      <c r="R26" s="11"/>
      <c r="S26" s="11"/>
      <c r="T26" s="11"/>
      <c r="U26" s="11"/>
      <c r="V26" s="13"/>
      <c r="W26" s="14"/>
      <c r="X26" s="15"/>
      <c r="Y26" s="15"/>
      <c r="Z26" s="15"/>
      <c r="AA26" s="15"/>
      <c r="AB26" s="15"/>
      <c r="AC26" s="15"/>
      <c r="AD26" s="15"/>
      <c r="AE26" s="15"/>
    </row>
    <row r="27" spans="2:31" ht="13.5" customHeight="1" x14ac:dyDescent="0.3">
      <c r="B27" s="235"/>
      <c r="C27" s="217"/>
      <c r="D27" s="235"/>
      <c r="E27" s="235"/>
      <c r="F27" s="235" t="s">
        <v>31</v>
      </c>
      <c r="G27" s="16"/>
      <c r="H27" s="17"/>
      <c r="I27" s="18"/>
      <c r="J27" s="167"/>
      <c r="K27" s="16"/>
      <c r="L27" s="16"/>
      <c r="M27" s="260"/>
      <c r="N27" s="260"/>
      <c r="O27" s="260"/>
      <c r="P27" s="260"/>
      <c r="Q27" s="260"/>
      <c r="R27" s="17"/>
      <c r="S27" s="17"/>
      <c r="T27" s="17"/>
      <c r="U27" s="17"/>
      <c r="V27" s="19"/>
      <c r="W27" s="20"/>
      <c r="X27" s="21"/>
      <c r="Y27" s="21"/>
      <c r="Z27" s="21"/>
      <c r="AA27" s="21"/>
      <c r="AB27" s="21"/>
      <c r="AC27" s="21"/>
      <c r="AD27" s="21"/>
      <c r="AE27" s="21"/>
    </row>
    <row r="28" spans="2:31" ht="13.5" customHeight="1" x14ac:dyDescent="0.3">
      <c r="B28" s="234" t="s">
        <v>297</v>
      </c>
      <c r="C28" s="210" t="str">
        <f>LOOKUP(B28, TRA_COMM_PRO!$C$16:$C$199, TRA_COMM_PRO!$D$16:$D$199)</f>
        <v>BicYcle.Electric.Passenger.City.01.</v>
      </c>
      <c r="D28" s="234" t="s">
        <v>27</v>
      </c>
      <c r="E28" s="234"/>
      <c r="F28" s="234"/>
      <c r="G28" s="10">
        <f>$G$20</f>
        <v>2020</v>
      </c>
      <c r="H28" s="11">
        <v>8</v>
      </c>
      <c r="I28" s="65">
        <v>1E-3</v>
      </c>
      <c r="J28" s="164">
        <v>1</v>
      </c>
      <c r="K28" s="10">
        <v>0.3</v>
      </c>
      <c r="L28" s="10">
        <v>0.5</v>
      </c>
      <c r="M28" s="166">
        <f>CEFF!F328</f>
        <v>4.53</v>
      </c>
      <c r="N28" s="166">
        <f>CEFF!G328</f>
        <v>4.53</v>
      </c>
      <c r="O28" s="166">
        <f>CEFF!H328</f>
        <v>4.53</v>
      </c>
      <c r="P28" s="166">
        <f>CEFF!I328</f>
        <v>4.53</v>
      </c>
      <c r="Q28" s="166">
        <f>CEFF!J328</f>
        <v>4.53</v>
      </c>
      <c r="R28" s="11">
        <v>8</v>
      </c>
      <c r="S28" s="11"/>
      <c r="T28" s="11"/>
      <c r="U28" s="11"/>
      <c r="V28" s="13"/>
      <c r="W28" s="14"/>
      <c r="X28" s="165">
        <f>LOOKUP($B28, INVCOST!$C$8:$C$193, INVCOST!D$8:D$193)</f>
        <v>1.5</v>
      </c>
      <c r="Y28" s="165">
        <f>LOOKUP($B28, INVCOST!$C$8:$C$193, INVCOST!E$8:E$193)</f>
        <v>1.4849999999999999</v>
      </c>
      <c r="Z28" s="165">
        <f>LOOKUP($B28, INVCOST!$C$8:$C$193, INVCOST!F$8:F$193)</f>
        <v>1.4701499999999998</v>
      </c>
      <c r="AA28" s="165">
        <f>LOOKUP($B28, INVCOST!$C$8:$C$193, INVCOST!G$8:G$193)</f>
        <v>1.4554484999999999</v>
      </c>
      <c r="AB28" s="165">
        <f>LOOKUP($B28, INVCOST!$C$8:$C$193, INVCOST!H$8:H$193)</f>
        <v>1.4408940149999998</v>
      </c>
      <c r="AC28" s="165">
        <f>LOOKUP($B28, INVCOST!$C$8:$C$193, INVCOST!I$8:I$193)</f>
        <v>1.4264850748499998</v>
      </c>
      <c r="AD28" s="165">
        <f>LOOKUP($B28, INVCOST!$C$8:$C$193, INVCOST!J$8:J$193)</f>
        <v>1.4122202241014998</v>
      </c>
      <c r="AE28" s="165">
        <f>LOOKUP($B28, INVCOST!$C$8:$C$193, INVCOST!K$8:K$193)</f>
        <v>1.3980980218604848</v>
      </c>
    </row>
    <row r="29" spans="2:31" ht="13.5" customHeight="1" x14ac:dyDescent="0.3">
      <c r="B29" s="234"/>
      <c r="C29" s="213"/>
      <c r="D29" s="234" t="s">
        <v>30</v>
      </c>
      <c r="E29" s="234"/>
      <c r="F29" s="234"/>
      <c r="G29" s="10"/>
      <c r="H29" s="11"/>
      <c r="I29" s="12"/>
      <c r="J29" s="164"/>
      <c r="K29" s="10"/>
      <c r="L29" s="10"/>
      <c r="M29" s="283">
        <f>CEFF!F327</f>
        <v>1000</v>
      </c>
      <c r="N29" s="283">
        <f>CEFF!G327</f>
        <v>1000</v>
      </c>
      <c r="O29" s="283">
        <f>CEFF!H327</f>
        <v>1000</v>
      </c>
      <c r="P29" s="283">
        <f>CEFF!I327</f>
        <v>1000</v>
      </c>
      <c r="Q29" s="283">
        <f>CEFF!J327</f>
        <v>1000</v>
      </c>
      <c r="R29" s="11"/>
      <c r="S29" s="11"/>
      <c r="T29" s="11"/>
      <c r="U29" s="11"/>
      <c r="V29" s="13"/>
      <c r="W29" s="14"/>
      <c r="X29" s="15"/>
      <c r="Y29" s="15"/>
      <c r="Z29" s="15"/>
      <c r="AA29" s="15"/>
      <c r="AB29" s="15"/>
      <c r="AC29" s="15"/>
      <c r="AD29" s="15"/>
      <c r="AE29" s="15"/>
    </row>
    <row r="30" spans="2:31" ht="13.5" customHeight="1" x14ac:dyDescent="0.3">
      <c r="B30" s="236"/>
      <c r="C30" s="235"/>
      <c r="D30" s="234"/>
      <c r="E30" s="234"/>
      <c r="F30" s="234" t="s">
        <v>406</v>
      </c>
      <c r="G30" s="16"/>
      <c r="H30" s="11"/>
      <c r="I30" s="18"/>
      <c r="J30" s="164"/>
      <c r="K30" s="10"/>
      <c r="L30" s="10"/>
      <c r="M30" s="284"/>
      <c r="N30" s="284"/>
      <c r="O30" s="284"/>
      <c r="P30" s="284"/>
      <c r="Q30" s="284"/>
      <c r="R30" s="11"/>
      <c r="S30" s="11"/>
      <c r="T30" s="11"/>
      <c r="U30" s="11"/>
      <c r="V30" s="14"/>
      <c r="W30" s="14"/>
      <c r="X30" s="21"/>
      <c r="Y30" s="21"/>
      <c r="Z30" s="21"/>
      <c r="AA30" s="21"/>
      <c r="AB30" s="21"/>
      <c r="AC30" s="21"/>
      <c r="AD30" s="21"/>
      <c r="AE30" s="21"/>
    </row>
    <row r="31" spans="2:31" x14ac:dyDescent="0.3">
      <c r="B31" s="237" t="s">
        <v>32</v>
      </c>
      <c r="C31" s="210" t="str">
        <f>LOOKUP(B31, TRA_COMM_PRO!$C$16:$C$199, TRA_COMM_PRO!$D$16:$D$199)</f>
        <v>BicYcle.Passenger.01.</v>
      </c>
      <c r="D31" s="237" t="s">
        <v>30</v>
      </c>
      <c r="E31" s="237"/>
      <c r="F31" s="237"/>
      <c r="G31" s="10">
        <f>$G$20</f>
        <v>2020</v>
      </c>
      <c r="H31" s="23">
        <v>15</v>
      </c>
      <c r="I31" s="65">
        <v>1E-3</v>
      </c>
      <c r="J31" s="168">
        <v>1</v>
      </c>
      <c r="K31" s="25"/>
      <c r="L31" s="25"/>
      <c r="M31" s="43">
        <f>LOOKUP($B31, CEFF!$C$163:$C$330, CEFF!F$163:F$330)</f>
        <v>1000</v>
      </c>
      <c r="N31" s="43">
        <f>LOOKUP($B31, CEFF!$C$163:$C$330, CEFF!G$163:G$330)</f>
        <v>1000</v>
      </c>
      <c r="O31" s="43">
        <f>LOOKUP($B31, CEFF!$C$163:$C$330, CEFF!H$163:H$330)</f>
        <v>1000</v>
      </c>
      <c r="P31" s="43">
        <f>LOOKUP($B31, CEFF!$C$163:$C$330, CEFF!I$163:I$330)</f>
        <v>1000</v>
      </c>
      <c r="Q31" s="43">
        <f>LOOKUP($B31, CEFF!$C$163:$C$330, CEFF!J$163:J$330)</f>
        <v>1000</v>
      </c>
      <c r="R31" s="23">
        <v>6</v>
      </c>
      <c r="S31" s="23"/>
      <c r="T31" s="23"/>
      <c r="U31" s="23"/>
      <c r="V31" s="26"/>
      <c r="W31" s="27"/>
      <c r="X31" s="165">
        <f>LOOKUP($B31, INVCOST!$C$8:$C$193, INVCOST!D$8:D$193)</f>
        <v>0.3</v>
      </c>
      <c r="Y31" s="165">
        <f>LOOKUP($B31, INVCOST!$C$8:$C$193, INVCOST!E$8:E$193)</f>
        <v>0.3</v>
      </c>
      <c r="Z31" s="165">
        <f>LOOKUP($B31, INVCOST!$C$8:$C$193, INVCOST!F$8:F$193)</f>
        <v>0.3</v>
      </c>
      <c r="AA31" s="165">
        <f>LOOKUP($B31, INVCOST!$C$8:$C$193, INVCOST!G$8:G$193)</f>
        <v>0.3</v>
      </c>
      <c r="AB31" s="165">
        <f>LOOKUP($B31, INVCOST!$C$8:$C$193, INVCOST!H$8:H$193)</f>
        <v>0.3</v>
      </c>
      <c r="AC31" s="165">
        <f>LOOKUP($B31, INVCOST!$C$8:$C$193, INVCOST!I$8:I$193)</f>
        <v>0.3</v>
      </c>
      <c r="AD31" s="165">
        <f>LOOKUP($B31, INVCOST!$C$8:$C$193, INVCOST!J$8:J$193)</f>
        <v>0.3</v>
      </c>
      <c r="AE31" s="165">
        <f>LOOKUP($B31, INVCOST!$C$8:$C$193, INVCOST!K$8:K$193)</f>
        <v>0.3</v>
      </c>
    </row>
    <row r="32" spans="2:31" x14ac:dyDescent="0.3">
      <c r="B32" s="238"/>
      <c r="C32" s="217"/>
      <c r="D32" s="235"/>
      <c r="E32" s="235"/>
      <c r="F32" s="235" t="s">
        <v>33</v>
      </c>
      <c r="G32" s="16"/>
      <c r="H32" s="17"/>
      <c r="I32" s="18"/>
      <c r="J32" s="167"/>
      <c r="K32" s="16"/>
      <c r="L32" s="16"/>
      <c r="M32" s="284"/>
      <c r="N32" s="284"/>
      <c r="O32" s="284"/>
      <c r="P32" s="284"/>
      <c r="Q32" s="284"/>
      <c r="R32" s="17"/>
      <c r="S32" s="17"/>
      <c r="T32" s="17"/>
      <c r="U32" s="17"/>
      <c r="V32" s="19"/>
      <c r="W32" s="20"/>
      <c r="X32" s="21"/>
      <c r="Y32" s="21"/>
      <c r="Z32" s="21"/>
      <c r="AA32" s="21"/>
      <c r="AB32" s="21"/>
      <c r="AC32" s="21"/>
      <c r="AD32" s="21"/>
      <c r="AE32" s="21"/>
    </row>
    <row r="33" spans="2:31" x14ac:dyDescent="0.3">
      <c r="B33" s="237" t="s">
        <v>301</v>
      </c>
      <c r="C33" s="210" t="str">
        <f>LOOKUP(B33, TRA_COMM_PRO!$C$16:$C$199, TRA_COMM_PRO!$D$16:$D$199)</f>
        <v>BicYcle.Passenger.City.01.</v>
      </c>
      <c r="D33" s="237" t="s">
        <v>30</v>
      </c>
      <c r="E33" s="237"/>
      <c r="F33" s="237"/>
      <c r="G33" s="10">
        <f>$G$20</f>
        <v>2020</v>
      </c>
      <c r="H33" s="23">
        <v>15</v>
      </c>
      <c r="I33" s="65">
        <v>1E-3</v>
      </c>
      <c r="J33" s="168">
        <v>1</v>
      </c>
      <c r="K33" s="25"/>
      <c r="L33" s="25"/>
      <c r="M33" s="43">
        <f>LOOKUP($B33, CEFF!$C$163:$C$330, CEFF!F$163:F$330)</f>
        <v>1000</v>
      </c>
      <c r="N33" s="43">
        <f>LOOKUP($B33, CEFF!$C$163:$C$330, CEFF!G$163:G$330)</f>
        <v>1000</v>
      </c>
      <c r="O33" s="43">
        <f>LOOKUP($B33, CEFF!$C$163:$C$330, CEFF!H$163:H$330)</f>
        <v>1000</v>
      </c>
      <c r="P33" s="43">
        <f>LOOKUP($B33, CEFF!$C$163:$C$330, CEFF!I$163:I$330)</f>
        <v>1000</v>
      </c>
      <c r="Q33" s="43">
        <f>LOOKUP($B33, CEFF!$C$163:$C$330, CEFF!J$163:J$330)</f>
        <v>1000</v>
      </c>
      <c r="R33" s="23">
        <v>6</v>
      </c>
      <c r="S33" s="23"/>
      <c r="T33" s="23"/>
      <c r="U33" s="23"/>
      <c r="V33" s="26"/>
      <c r="W33" s="27"/>
      <c r="X33" s="165">
        <f>LOOKUP($B33, INVCOST!$C$8:$C$193, INVCOST!D$8:D$193)</f>
        <v>0.3</v>
      </c>
      <c r="Y33" s="165">
        <f>LOOKUP($B33, INVCOST!$C$8:$C$193, INVCOST!E$8:E$193)</f>
        <v>0.3</v>
      </c>
      <c r="Z33" s="165">
        <f>LOOKUP($B33, INVCOST!$C$8:$C$193, INVCOST!F$8:F$193)</f>
        <v>0.3</v>
      </c>
      <c r="AA33" s="165">
        <f>LOOKUP($B33, INVCOST!$C$8:$C$193, INVCOST!G$8:G$193)</f>
        <v>0.3</v>
      </c>
      <c r="AB33" s="165">
        <f>LOOKUP($B33, INVCOST!$C$8:$C$193, INVCOST!H$8:H$193)</f>
        <v>0.3</v>
      </c>
      <c r="AC33" s="165">
        <f>LOOKUP($B33, INVCOST!$C$8:$C$193, INVCOST!I$8:I$193)</f>
        <v>0.3</v>
      </c>
      <c r="AD33" s="165">
        <f>LOOKUP($B33, INVCOST!$C$8:$C$193, INVCOST!J$8:J$193)</f>
        <v>0.3</v>
      </c>
      <c r="AE33" s="165">
        <f>LOOKUP($B33, INVCOST!$C$8:$C$193, INVCOST!K$8:K$193)</f>
        <v>0.3</v>
      </c>
    </row>
    <row r="34" spans="2:31" x14ac:dyDescent="0.3">
      <c r="B34" s="238"/>
      <c r="C34" s="217"/>
      <c r="D34" s="235"/>
      <c r="E34" s="235"/>
      <c r="F34" s="235" t="s">
        <v>407</v>
      </c>
      <c r="G34" s="16"/>
      <c r="H34" s="17"/>
      <c r="I34" s="18"/>
      <c r="J34" s="167"/>
      <c r="K34" s="16"/>
      <c r="L34" s="16"/>
      <c r="M34" s="284"/>
      <c r="N34" s="284"/>
      <c r="O34" s="284"/>
      <c r="P34" s="284"/>
      <c r="Q34" s="284"/>
      <c r="R34" s="17"/>
      <c r="S34" s="17"/>
      <c r="T34" s="17"/>
      <c r="U34" s="17"/>
      <c r="V34" s="19"/>
      <c r="W34" s="20"/>
      <c r="X34" s="21"/>
      <c r="Y34" s="21"/>
      <c r="Z34" s="21"/>
      <c r="AA34" s="21"/>
      <c r="AB34" s="21"/>
      <c r="AC34" s="21"/>
      <c r="AD34" s="21"/>
      <c r="AE34" s="21"/>
    </row>
    <row r="35" spans="2:31" x14ac:dyDescent="0.3">
      <c r="B35" s="237" t="s">
        <v>35</v>
      </c>
      <c r="C35" s="210" t="str">
        <f>LOOKUP(B35, TRA_COMM_PRO!$C$16:$C$199, TRA_COMM_PRO!$D$16:$D$199)</f>
        <v>Walking.Nonenergy.01.</v>
      </c>
      <c r="D35" s="237" t="s">
        <v>30</v>
      </c>
      <c r="E35" s="237"/>
      <c r="F35" s="237"/>
      <c r="G35" s="10">
        <f>$G$20</f>
        <v>2020</v>
      </c>
      <c r="H35" s="23"/>
      <c r="I35" s="65">
        <v>1E-3</v>
      </c>
      <c r="J35" s="168">
        <v>1</v>
      </c>
      <c r="K35" s="25"/>
      <c r="L35" s="25"/>
      <c r="M35" s="43">
        <f>LOOKUP($B35, CEFF!$C$163:$C$330, CEFF!F$163:F$330)</f>
        <v>1000</v>
      </c>
      <c r="N35" s="43">
        <f>LOOKUP($B35, CEFF!$C$163:$C$330, CEFF!G$163:G$330)</f>
        <v>1000</v>
      </c>
      <c r="O35" s="43">
        <f>LOOKUP($B35, CEFF!$C$163:$C$330, CEFF!H$163:H$330)</f>
        <v>1000</v>
      </c>
      <c r="P35" s="43">
        <f>LOOKUP($B35, CEFF!$C$163:$C$330, CEFF!I$163:I$330)</f>
        <v>1000</v>
      </c>
      <c r="Q35" s="43">
        <f>LOOKUP($B35, CEFF!$C$163:$C$330, CEFF!J$163:J$330)</f>
        <v>1000</v>
      </c>
      <c r="R35" s="29">
        <v>0.5</v>
      </c>
      <c r="S35" s="29"/>
      <c r="T35" s="29"/>
      <c r="U35" s="29"/>
      <c r="V35" s="27"/>
      <c r="W35" s="27"/>
      <c r="X35" s="165">
        <f>LOOKUP($B35, INVCOST!$C$8:$C$193, INVCOST!D$8:D$193)</f>
        <v>1E-3</v>
      </c>
      <c r="Y35" s="165">
        <f>LOOKUP($B35, INVCOST!$C$8:$C$193, INVCOST!E$8:E$193)</f>
        <v>1E-3</v>
      </c>
      <c r="Z35" s="165">
        <f>LOOKUP($B35, INVCOST!$C$8:$C$193, INVCOST!F$8:F$193)</f>
        <v>1E-3</v>
      </c>
      <c r="AA35" s="165">
        <f>LOOKUP($B35, INVCOST!$C$8:$C$193, INVCOST!G$8:G$193)</f>
        <v>1E-3</v>
      </c>
      <c r="AB35" s="165">
        <f>LOOKUP($B35, INVCOST!$C$8:$C$193, INVCOST!H$8:H$193)</f>
        <v>1E-3</v>
      </c>
      <c r="AC35" s="165">
        <f>LOOKUP($B35, INVCOST!$C$8:$C$193, INVCOST!I$8:I$193)</f>
        <v>1E-3</v>
      </c>
      <c r="AD35" s="165">
        <f>LOOKUP($B35, INVCOST!$C$8:$C$193, INVCOST!J$8:J$193)</f>
        <v>1E-3</v>
      </c>
      <c r="AE35" s="165">
        <f>LOOKUP($B35, INVCOST!$C$8:$C$193, INVCOST!K$8:K$193)</f>
        <v>1E-3</v>
      </c>
    </row>
    <row r="36" spans="2:31" x14ac:dyDescent="0.3">
      <c r="B36" s="238"/>
      <c r="C36" s="217"/>
      <c r="D36" s="235"/>
      <c r="E36" s="235"/>
      <c r="F36" s="235" t="s">
        <v>36</v>
      </c>
      <c r="G36" s="16"/>
      <c r="H36" s="17"/>
      <c r="I36" s="18"/>
      <c r="J36" s="167"/>
      <c r="K36" s="16"/>
      <c r="L36" s="16"/>
      <c r="M36" s="284"/>
      <c r="N36" s="284"/>
      <c r="O36" s="284"/>
      <c r="P36" s="284"/>
      <c r="Q36" s="284"/>
      <c r="R36" s="17"/>
      <c r="S36" s="17"/>
      <c r="T36" s="17"/>
      <c r="U36" s="17"/>
      <c r="V36" s="19"/>
      <c r="W36" s="20"/>
      <c r="X36" s="21"/>
      <c r="Y36" s="21"/>
      <c r="Z36" s="21"/>
      <c r="AA36" s="21"/>
      <c r="AB36" s="21"/>
      <c r="AC36" s="21"/>
      <c r="AD36" s="21"/>
      <c r="AE36" s="21"/>
    </row>
    <row r="37" spans="2:31" x14ac:dyDescent="0.3">
      <c r="B37" s="237" t="s">
        <v>293</v>
      </c>
      <c r="C37" s="210" t="str">
        <f>LOOKUP(B37, TRA_COMM_PRO!$C$16:$C$199, TRA_COMM_PRO!$D$16:$D$199)</f>
        <v>Walking.Nonenergy.City.01.</v>
      </c>
      <c r="D37" s="237" t="s">
        <v>30</v>
      </c>
      <c r="E37" s="237"/>
      <c r="F37" s="237"/>
      <c r="G37" s="10">
        <f>$G$20</f>
        <v>2020</v>
      </c>
      <c r="H37" s="23"/>
      <c r="I37" s="65">
        <v>1E-3</v>
      </c>
      <c r="J37" s="168">
        <v>1</v>
      </c>
      <c r="K37" s="25"/>
      <c r="L37" s="25"/>
      <c r="M37" s="43">
        <f>LOOKUP($B37, CEFF!$C$163:$C$330, CEFF!F$163:F$330)</f>
        <v>1000</v>
      </c>
      <c r="N37" s="43">
        <f>LOOKUP($B37, CEFF!$C$163:$C$330, CEFF!G$163:G$330)</f>
        <v>1000</v>
      </c>
      <c r="O37" s="43">
        <f>LOOKUP($B37, CEFF!$C$163:$C$330, CEFF!H$163:H$330)</f>
        <v>1000</v>
      </c>
      <c r="P37" s="43">
        <f>LOOKUP($B37, CEFF!$C$163:$C$330, CEFF!I$163:I$330)</f>
        <v>1000</v>
      </c>
      <c r="Q37" s="43">
        <f>LOOKUP($B37, CEFF!$C$163:$C$330, CEFF!J$163:J$330)</f>
        <v>1000</v>
      </c>
      <c r="R37" s="29">
        <v>0.5</v>
      </c>
      <c r="S37" s="29"/>
      <c r="T37" s="29"/>
      <c r="U37" s="29"/>
      <c r="V37" s="27"/>
      <c r="W37" s="27"/>
      <c r="X37" s="165">
        <f>LOOKUP($B37, INVCOST!$C$8:$C$193, INVCOST!D$8:D$193)</f>
        <v>1E-3</v>
      </c>
      <c r="Y37" s="165">
        <f>LOOKUP($B37, INVCOST!$C$8:$C$193, INVCOST!E$8:E$193)</f>
        <v>1E-3</v>
      </c>
      <c r="Z37" s="165">
        <f>LOOKUP($B37, INVCOST!$C$8:$C$193, INVCOST!F$8:F$193)</f>
        <v>1E-3</v>
      </c>
      <c r="AA37" s="165">
        <f>LOOKUP($B37, INVCOST!$C$8:$C$193, INVCOST!G$8:G$193)</f>
        <v>1E-3</v>
      </c>
      <c r="AB37" s="165">
        <f>LOOKUP($B37, INVCOST!$C$8:$C$193, INVCOST!H$8:H$193)</f>
        <v>1E-3</v>
      </c>
      <c r="AC37" s="165">
        <f>LOOKUP($B37, INVCOST!$C$8:$C$193, INVCOST!I$8:I$193)</f>
        <v>1E-3</v>
      </c>
      <c r="AD37" s="165">
        <f>LOOKUP($B37, INVCOST!$C$8:$C$193, INVCOST!J$8:J$193)</f>
        <v>1E-3</v>
      </c>
      <c r="AE37" s="165">
        <f>LOOKUP($B37, INVCOST!$C$8:$C$193, INVCOST!K$8:K$193)</f>
        <v>1E-3</v>
      </c>
    </row>
    <row r="38" spans="2:31" x14ac:dyDescent="0.3">
      <c r="B38" s="239"/>
      <c r="C38" s="240"/>
      <c r="D38" s="239"/>
      <c r="E38" s="239"/>
      <c r="F38" s="239" t="s">
        <v>405</v>
      </c>
      <c r="G38" s="185"/>
      <c r="H38" s="186"/>
      <c r="I38" s="187"/>
      <c r="J38" s="188"/>
      <c r="K38" s="185"/>
      <c r="L38" s="185"/>
      <c r="M38" s="189"/>
      <c r="N38" s="189"/>
      <c r="O38" s="189"/>
      <c r="P38" s="189"/>
      <c r="Q38" s="189"/>
      <c r="R38" s="190"/>
      <c r="S38" s="190"/>
      <c r="T38" s="190"/>
      <c r="U38" s="190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</row>
    <row r="39" spans="2:31" x14ac:dyDescent="0.3">
      <c r="B39" s="30"/>
      <c r="C39" s="30"/>
      <c r="D39" s="30"/>
      <c r="E39" s="30"/>
      <c r="F39" s="30"/>
      <c r="G39" s="30"/>
      <c r="H39" s="31"/>
      <c r="I39" s="32"/>
      <c r="J39" s="32"/>
      <c r="K39" s="30"/>
      <c r="L39" s="30"/>
      <c r="M39" s="33"/>
      <c r="N39" s="33"/>
      <c r="O39" s="33"/>
      <c r="P39" s="33"/>
      <c r="Q39" s="33"/>
      <c r="R39" s="34"/>
      <c r="S39" s="34"/>
      <c r="T39" s="34"/>
      <c r="U39" s="34"/>
      <c r="V39" s="35"/>
      <c r="W39" s="35"/>
      <c r="X39" s="35"/>
      <c r="Y39" s="35"/>
      <c r="Z39" s="35"/>
      <c r="AA39" s="35"/>
      <c r="AB39" s="35"/>
      <c r="AC39" s="35"/>
      <c r="AD39" s="35"/>
      <c r="AE39" s="35"/>
    </row>
    <row r="41" spans="2:31" x14ac:dyDescent="0.3">
      <c r="B41" s="6" t="s">
        <v>125</v>
      </c>
      <c r="C41" s="7"/>
      <c r="D41" s="8"/>
      <c r="E41" s="8"/>
      <c r="F41" s="9" t="s">
        <v>722</v>
      </c>
      <c r="G41" s="9"/>
    </row>
    <row r="42" spans="2:31" ht="28.8" x14ac:dyDescent="0.3">
      <c r="B42" s="201" t="s">
        <v>2</v>
      </c>
      <c r="C42" s="201" t="s">
        <v>3</v>
      </c>
      <c r="D42" s="201" t="s">
        <v>4</v>
      </c>
      <c r="E42" s="201" t="s">
        <v>5</v>
      </c>
      <c r="F42" s="202" t="s">
        <v>6</v>
      </c>
      <c r="G42" s="202" t="s">
        <v>187</v>
      </c>
      <c r="H42" s="203" t="s">
        <v>186</v>
      </c>
      <c r="I42" s="203" t="s">
        <v>11</v>
      </c>
      <c r="J42" s="202" t="s">
        <v>12</v>
      </c>
      <c r="K42" s="202" t="s">
        <v>7</v>
      </c>
      <c r="L42" s="202" t="s">
        <v>8</v>
      </c>
      <c r="M42" s="203" t="s">
        <v>396</v>
      </c>
      <c r="N42" s="203" t="s">
        <v>335</v>
      </c>
      <c r="O42" s="203" t="s">
        <v>336</v>
      </c>
      <c r="P42" s="203" t="s">
        <v>9</v>
      </c>
      <c r="Q42" s="203" t="s">
        <v>10</v>
      </c>
      <c r="R42" s="203" t="s">
        <v>397</v>
      </c>
      <c r="S42" s="203" t="s">
        <v>465</v>
      </c>
      <c r="T42" s="203" t="s">
        <v>13</v>
      </c>
      <c r="U42" s="203" t="s">
        <v>398</v>
      </c>
      <c r="V42" s="203" t="s">
        <v>42</v>
      </c>
      <c r="W42" s="203" t="s">
        <v>14</v>
      </c>
      <c r="X42" s="203" t="s">
        <v>399</v>
      </c>
      <c r="Y42" s="203" t="s">
        <v>15</v>
      </c>
      <c r="Z42" s="203" t="s">
        <v>16</v>
      </c>
      <c r="AA42" s="203" t="s">
        <v>17</v>
      </c>
      <c r="AB42" s="203" t="s">
        <v>18</v>
      </c>
      <c r="AC42" s="203" t="s">
        <v>19</v>
      </c>
      <c r="AD42" s="203" t="s">
        <v>20</v>
      </c>
      <c r="AE42" s="203" t="s">
        <v>21</v>
      </c>
    </row>
    <row r="43" spans="2:31" ht="33.75" customHeight="1" thickBot="1" x14ac:dyDescent="0.35">
      <c r="B43" s="204" t="s">
        <v>22</v>
      </c>
      <c r="C43" s="204"/>
      <c r="D43" s="204"/>
      <c r="E43" s="204"/>
      <c r="F43" s="205" t="s">
        <v>23</v>
      </c>
      <c r="G43" s="205">
        <v>2020</v>
      </c>
      <c r="H43" s="206" t="s">
        <v>26</v>
      </c>
      <c r="I43" s="206" t="s">
        <v>560</v>
      </c>
      <c r="J43" s="206" t="s">
        <v>127</v>
      </c>
      <c r="K43" s="205"/>
      <c r="L43" s="205"/>
      <c r="M43" s="207" t="s">
        <v>671</v>
      </c>
      <c r="N43" s="207" t="s">
        <v>671</v>
      </c>
      <c r="O43" s="207" t="s">
        <v>671</v>
      </c>
      <c r="P43" s="207" t="s">
        <v>671</v>
      </c>
      <c r="Q43" s="207" t="s">
        <v>671</v>
      </c>
      <c r="R43" s="206" t="s">
        <v>676</v>
      </c>
      <c r="S43" s="206" t="s">
        <v>676</v>
      </c>
      <c r="T43" s="206" t="s">
        <v>676</v>
      </c>
      <c r="U43" s="206" t="s">
        <v>676</v>
      </c>
      <c r="V43" s="208" t="s">
        <v>679</v>
      </c>
      <c r="W43" s="208" t="s">
        <v>678</v>
      </c>
      <c r="X43" s="208" t="s">
        <v>675</v>
      </c>
      <c r="Y43" s="208" t="s">
        <v>675</v>
      </c>
      <c r="Z43" s="208" t="s">
        <v>675</v>
      </c>
      <c r="AA43" s="208" t="s">
        <v>675</v>
      </c>
      <c r="AB43" s="208" t="s">
        <v>675</v>
      </c>
      <c r="AC43" s="208" t="s">
        <v>675</v>
      </c>
      <c r="AD43" s="208" t="s">
        <v>675</v>
      </c>
      <c r="AE43" s="208" t="s">
        <v>675</v>
      </c>
    </row>
    <row r="44" spans="2:31" s="39" customFormat="1" ht="13.5" customHeight="1" x14ac:dyDescent="0.3">
      <c r="B44" s="237" t="s">
        <v>591</v>
      </c>
      <c r="C44" s="237" t="str">
        <f>LOOKUP(B44, TRA_COMM_PRO!$C$16:$C$199, TRA_COMM_PRO!$D$16:$D$199)</f>
        <v>LightElectricVehicle(LEV).Freight.01.</v>
      </c>
      <c r="D44" s="237" t="s">
        <v>27</v>
      </c>
      <c r="E44" s="237"/>
      <c r="F44" s="237"/>
      <c r="G44" s="10">
        <f>$G$43</f>
        <v>2020</v>
      </c>
      <c r="H44" s="23">
        <v>8</v>
      </c>
      <c r="I44" s="65">
        <v>1E-3</v>
      </c>
      <c r="J44" s="24">
        <v>0.3</v>
      </c>
      <c r="K44" s="25"/>
      <c r="L44" s="25"/>
      <c r="M44" s="165">
        <f>LOOKUP($B44, CEFF!$C$163:$C$330, CEFF!F$163:F$330)</f>
        <v>1.51</v>
      </c>
      <c r="N44" s="165">
        <f>LOOKUP($B44, CEFF!$C$163:$C$330, CEFF!G$163:G$330)</f>
        <v>1.51</v>
      </c>
      <c r="O44" s="165">
        <f>LOOKUP($B44, CEFF!$C$163:$C$330, CEFF!H$163:H$330)</f>
        <v>1.51</v>
      </c>
      <c r="P44" s="165">
        <f>LOOKUP($B44, CEFF!$C$163:$C$330, CEFF!I$163:I$330)</f>
        <v>1.51</v>
      </c>
      <c r="Q44" s="165">
        <f>LOOKUP($B44, CEFF!$C$163:$C$330, CEFF!J$163:J$330)</f>
        <v>1.51</v>
      </c>
      <c r="R44" s="23">
        <v>5</v>
      </c>
      <c r="S44" s="23"/>
      <c r="T44" s="23"/>
      <c r="U44" s="23"/>
      <c r="V44" s="69"/>
      <c r="W44" s="69"/>
      <c r="X44" s="165">
        <f>LOOKUP($B44, INVCOST!$C$8:$C$193, INVCOST!D$8:D$193)</f>
        <v>7</v>
      </c>
      <c r="Y44" s="165">
        <f>LOOKUP($B44, INVCOST!$C$8:$C$193, INVCOST!E$8:E$193)</f>
        <v>6.93</v>
      </c>
      <c r="Z44" s="165">
        <f>LOOKUP($B44, INVCOST!$C$8:$C$193, INVCOST!F$8:F$193)</f>
        <v>6.8606999999999996</v>
      </c>
      <c r="AA44" s="165">
        <f>LOOKUP($B44, INVCOST!$C$8:$C$193, INVCOST!G$8:G$193)</f>
        <v>6.7920929999999995</v>
      </c>
      <c r="AB44" s="165">
        <f>LOOKUP($B44, INVCOST!$C$8:$C$193, INVCOST!H$8:H$193)</f>
        <v>6.7241720699999998</v>
      </c>
      <c r="AC44" s="165">
        <f>LOOKUP($B44, INVCOST!$C$8:$C$193, INVCOST!I$8:I$193)</f>
        <v>6.6569303492999996</v>
      </c>
      <c r="AD44" s="165">
        <f>LOOKUP($B44, INVCOST!$C$8:$C$193, INVCOST!J$8:J$193)</f>
        <v>6.5903610458069997</v>
      </c>
      <c r="AE44" s="165">
        <f>LOOKUP($B44, INVCOST!$C$8:$C$193, INVCOST!K$8:K$193)</f>
        <v>6.5244574353489293</v>
      </c>
    </row>
    <row r="45" spans="2:31" ht="13.5" customHeight="1" x14ac:dyDescent="0.3">
      <c r="B45" s="234"/>
      <c r="C45" s="234"/>
      <c r="D45" s="234"/>
      <c r="E45" s="234"/>
      <c r="F45" s="234" t="s">
        <v>593</v>
      </c>
      <c r="G45" s="146"/>
      <c r="H45" s="11"/>
      <c r="I45" s="18"/>
      <c r="J45" s="12"/>
      <c r="K45" s="10"/>
      <c r="L45" s="10"/>
      <c r="M45" s="258"/>
      <c r="N45" s="258"/>
      <c r="O45" s="258"/>
      <c r="P45" s="258"/>
      <c r="Q45" s="258"/>
      <c r="R45" s="11"/>
      <c r="S45" s="11"/>
      <c r="T45" s="11"/>
      <c r="U45" s="11"/>
      <c r="V45" s="68"/>
      <c r="W45" s="68"/>
      <c r="X45" s="169"/>
      <c r="Y45" s="169"/>
      <c r="Z45" s="169"/>
      <c r="AA45" s="169"/>
      <c r="AB45" s="169"/>
      <c r="AC45" s="169"/>
      <c r="AD45" s="169"/>
      <c r="AE45" s="169"/>
    </row>
    <row r="46" spans="2:31" s="39" customFormat="1" ht="13.5" customHeight="1" x14ac:dyDescent="0.3">
      <c r="B46" s="237" t="s">
        <v>594</v>
      </c>
      <c r="C46" s="237" t="str">
        <f>LOOKUP(B46, TRA_COMM_PRO!$C$16:$C$199, TRA_COMM_PRO!$D$16:$D$199)</f>
        <v>LightElectricVehicle(LEV).Freight.City.01.</v>
      </c>
      <c r="D46" s="237" t="s">
        <v>27</v>
      </c>
      <c r="E46" s="237"/>
      <c r="F46" s="237"/>
      <c r="G46" s="10">
        <f>$G$43</f>
        <v>2020</v>
      </c>
      <c r="H46" s="23">
        <v>8</v>
      </c>
      <c r="I46" s="65">
        <v>1E-3</v>
      </c>
      <c r="J46" s="24">
        <v>0.3</v>
      </c>
      <c r="K46" s="25"/>
      <c r="L46" s="25"/>
      <c r="M46" s="259">
        <f>LOOKUP($B46, CEFF!$C$163:$C$330, CEFF!F$163:F$330)</f>
        <v>1.51</v>
      </c>
      <c r="N46" s="259">
        <f>LOOKUP($B46, CEFF!$C$163:$C$330, CEFF!G$163:G$330)</f>
        <v>1.51</v>
      </c>
      <c r="O46" s="259">
        <f>LOOKUP($B46, CEFF!$C$163:$C$330, CEFF!H$163:H$330)</f>
        <v>1.51</v>
      </c>
      <c r="P46" s="259">
        <f>LOOKUP($B46, CEFF!$C$163:$C$330, CEFF!I$163:I$330)</f>
        <v>1.51</v>
      </c>
      <c r="Q46" s="259">
        <f>LOOKUP($B46, CEFF!$C$163:$C$330, CEFF!J$163:J$330)</f>
        <v>1.51</v>
      </c>
      <c r="R46" s="23">
        <v>5</v>
      </c>
      <c r="S46" s="23"/>
      <c r="T46" s="23"/>
      <c r="U46" s="23"/>
      <c r="V46" s="69"/>
      <c r="W46" s="69"/>
      <c r="X46" s="165">
        <f>LOOKUP($B46, INVCOST!$C$8:$C$193, INVCOST!D$8:D$193)</f>
        <v>7</v>
      </c>
      <c r="Y46" s="165">
        <f>LOOKUP($B46, INVCOST!$C$8:$C$193, INVCOST!E$8:E$193)</f>
        <v>6.93</v>
      </c>
      <c r="Z46" s="165">
        <f>LOOKUP($B46, INVCOST!$C$8:$C$193, INVCOST!F$8:F$193)</f>
        <v>6.8606999999999996</v>
      </c>
      <c r="AA46" s="165">
        <f>LOOKUP($B46, INVCOST!$C$8:$C$193, INVCOST!G$8:G$193)</f>
        <v>6.7920929999999995</v>
      </c>
      <c r="AB46" s="165">
        <f>LOOKUP($B46, INVCOST!$C$8:$C$193, INVCOST!H$8:H$193)</f>
        <v>6.7241720699999998</v>
      </c>
      <c r="AC46" s="165">
        <f>LOOKUP($B46, INVCOST!$C$8:$C$193, INVCOST!I$8:I$193)</f>
        <v>6.6569303492999996</v>
      </c>
      <c r="AD46" s="165">
        <f>LOOKUP($B46, INVCOST!$C$8:$C$193, INVCOST!J$8:J$193)</f>
        <v>6.5903610458069997</v>
      </c>
      <c r="AE46" s="165">
        <f>LOOKUP($B46, INVCOST!$C$8:$C$193, INVCOST!K$8:K$193)</f>
        <v>6.5244574353489293</v>
      </c>
    </row>
    <row r="47" spans="2:31" ht="13.5" customHeight="1" x14ac:dyDescent="0.3">
      <c r="B47" s="234"/>
      <c r="C47" s="234"/>
      <c r="D47" s="234"/>
      <c r="E47" s="234"/>
      <c r="F47" s="234" t="s">
        <v>641</v>
      </c>
      <c r="G47" s="146"/>
      <c r="H47" s="11"/>
      <c r="I47" s="18"/>
      <c r="J47" s="12"/>
      <c r="K47" s="10"/>
      <c r="L47" s="10"/>
      <c r="M47" s="258"/>
      <c r="N47" s="258"/>
      <c r="O47" s="258"/>
      <c r="P47" s="258"/>
      <c r="Q47" s="258"/>
      <c r="R47" s="11"/>
      <c r="S47" s="11"/>
      <c r="T47" s="11"/>
      <c r="U47" s="11"/>
      <c r="V47" s="68"/>
      <c r="W47" s="68"/>
      <c r="X47" s="169"/>
      <c r="Y47" s="169"/>
      <c r="Z47" s="169"/>
      <c r="AA47" s="169"/>
      <c r="AB47" s="169"/>
      <c r="AC47" s="169"/>
      <c r="AD47" s="169"/>
      <c r="AE47" s="169"/>
    </row>
    <row r="48" spans="2:31" s="39" customFormat="1" ht="13.5" customHeight="1" x14ac:dyDescent="0.3">
      <c r="B48" s="237" t="s">
        <v>130</v>
      </c>
      <c r="C48" s="237" t="str">
        <f>LOOKUP(B48, TRA_COMM_PRO!$C$16:$C$199, TRA_COMM_PRO!$D$16:$D$199)</f>
        <v>BicYcle.Electric.Freight.01.</v>
      </c>
      <c r="D48" s="237" t="s">
        <v>27</v>
      </c>
      <c r="E48" s="237"/>
      <c r="F48" s="237"/>
      <c r="G48" s="10">
        <f>$G$43</f>
        <v>2020</v>
      </c>
      <c r="H48" s="23">
        <v>8</v>
      </c>
      <c r="I48" s="65">
        <v>1E-3</v>
      </c>
      <c r="J48" s="24">
        <v>0.1</v>
      </c>
      <c r="K48" s="25">
        <v>0.3</v>
      </c>
      <c r="L48" s="25">
        <v>0.5</v>
      </c>
      <c r="M48" s="259">
        <f>CEFF!F319</f>
        <v>3.02</v>
      </c>
      <c r="N48" s="259">
        <f>CEFF!G319</f>
        <v>3.02</v>
      </c>
      <c r="O48" s="259">
        <f>CEFF!H319</f>
        <v>3.02</v>
      </c>
      <c r="P48" s="259">
        <f>CEFF!I319</f>
        <v>3.02</v>
      </c>
      <c r="Q48" s="259">
        <f>CEFF!J319</f>
        <v>3.02</v>
      </c>
      <c r="R48" s="23">
        <v>5</v>
      </c>
      <c r="S48" s="23"/>
      <c r="T48" s="23"/>
      <c r="U48" s="23"/>
      <c r="V48" s="69"/>
      <c r="W48" s="69"/>
      <c r="X48" s="165">
        <f>LOOKUP($B48, INVCOST!$C$8:$C$193, INVCOST!D$8:D$193)</f>
        <v>3</v>
      </c>
      <c r="Y48" s="165">
        <f>LOOKUP($B48, INVCOST!$C$8:$C$193, INVCOST!E$8:E$193)</f>
        <v>2.9699999999999998</v>
      </c>
      <c r="Z48" s="165">
        <f>LOOKUP($B48, INVCOST!$C$8:$C$193, INVCOST!F$8:F$193)</f>
        <v>2.9402999999999997</v>
      </c>
      <c r="AA48" s="165">
        <f>LOOKUP($B48, INVCOST!$C$8:$C$193, INVCOST!G$8:G$193)</f>
        <v>2.9108969999999998</v>
      </c>
      <c r="AB48" s="165">
        <f>LOOKUP($B48, INVCOST!$C$8:$C$193, INVCOST!H$8:H$193)</f>
        <v>2.8817880299999996</v>
      </c>
      <c r="AC48" s="165">
        <f>LOOKUP($B48, INVCOST!$C$8:$C$193, INVCOST!I$8:I$193)</f>
        <v>2.8529701496999995</v>
      </c>
      <c r="AD48" s="165">
        <f>LOOKUP($B48, INVCOST!$C$8:$C$193, INVCOST!J$8:J$193)</f>
        <v>2.8244404482029997</v>
      </c>
      <c r="AE48" s="165">
        <f>LOOKUP($B48, INVCOST!$C$8:$C$193, INVCOST!K$8:K$193)</f>
        <v>2.7961960437209696</v>
      </c>
    </row>
    <row r="49" spans="2:31" s="39" customFormat="1" ht="13.5" customHeight="1" x14ac:dyDescent="0.3">
      <c r="B49" s="234"/>
      <c r="C49" s="234"/>
      <c r="D49" s="234" t="s">
        <v>30</v>
      </c>
      <c r="E49" s="234"/>
      <c r="F49" s="234"/>
      <c r="G49" s="10"/>
      <c r="H49" s="11"/>
      <c r="I49" s="28"/>
      <c r="J49" s="12"/>
      <c r="K49" s="10"/>
      <c r="L49" s="10"/>
      <c r="M49" s="285">
        <f>CEFF!F320</f>
        <v>1000</v>
      </c>
      <c r="N49" s="285">
        <f>CEFF!G320</f>
        <v>1000</v>
      </c>
      <c r="O49" s="285">
        <f>CEFF!H320</f>
        <v>1000</v>
      </c>
      <c r="P49" s="285">
        <f>CEFF!I320</f>
        <v>1000</v>
      </c>
      <c r="Q49" s="285">
        <f>CEFF!J320</f>
        <v>1000</v>
      </c>
      <c r="R49" s="11"/>
      <c r="S49" s="11"/>
      <c r="T49" s="11"/>
      <c r="U49" s="11"/>
      <c r="V49" s="70"/>
      <c r="W49" s="70"/>
      <c r="X49" s="170"/>
      <c r="Y49" s="170"/>
      <c r="Z49" s="170"/>
      <c r="AA49" s="170"/>
      <c r="AB49" s="170"/>
      <c r="AC49" s="170"/>
      <c r="AD49" s="170"/>
      <c r="AE49" s="170"/>
    </row>
    <row r="50" spans="2:31" ht="13.5" customHeight="1" x14ac:dyDescent="0.3">
      <c r="B50" s="234"/>
      <c r="C50" s="234"/>
      <c r="D50" s="234"/>
      <c r="E50" s="234"/>
      <c r="F50" s="234" t="s">
        <v>131</v>
      </c>
      <c r="G50" s="146"/>
      <c r="H50" s="11"/>
      <c r="I50" s="18"/>
      <c r="J50" s="12"/>
      <c r="K50" s="10"/>
      <c r="L50" s="10"/>
      <c r="M50" s="258"/>
      <c r="N50" s="258"/>
      <c r="O50" s="258"/>
      <c r="P50" s="258"/>
      <c r="Q50" s="258"/>
      <c r="R50" s="11"/>
      <c r="S50" s="11"/>
      <c r="T50" s="11"/>
      <c r="U50" s="11"/>
      <c r="V50" s="68"/>
      <c r="W50" s="68"/>
      <c r="X50" s="169"/>
      <c r="Y50" s="169"/>
      <c r="Z50" s="169"/>
      <c r="AA50" s="169"/>
      <c r="AB50" s="169"/>
      <c r="AC50" s="169"/>
      <c r="AD50" s="169"/>
      <c r="AE50" s="169"/>
    </row>
    <row r="51" spans="2:31" s="39" customFormat="1" ht="13.5" customHeight="1" x14ac:dyDescent="0.3">
      <c r="B51" s="237" t="s">
        <v>295</v>
      </c>
      <c r="C51" s="237" t="str">
        <f>LOOKUP(B51, TRA_COMM_PRO!$C$16:$C$199, TRA_COMM_PRO!$D$16:$D$199)</f>
        <v>BicYcle.Electric.Freight.City.01.</v>
      </c>
      <c r="D51" s="237" t="s">
        <v>27</v>
      </c>
      <c r="E51" s="237"/>
      <c r="F51" s="237"/>
      <c r="G51" s="10">
        <f>$G$43</f>
        <v>2020</v>
      </c>
      <c r="H51" s="23">
        <v>8</v>
      </c>
      <c r="I51" s="65">
        <v>1E-3</v>
      </c>
      <c r="J51" s="24">
        <v>0.1</v>
      </c>
      <c r="K51" s="25">
        <v>0.3</v>
      </c>
      <c r="L51" s="25">
        <v>0.5</v>
      </c>
      <c r="M51" s="259">
        <f>CEFF!F321</f>
        <v>3.02</v>
      </c>
      <c r="N51" s="259">
        <f>CEFF!G321</f>
        <v>3.02</v>
      </c>
      <c r="O51" s="259">
        <f>CEFF!H321</f>
        <v>3.02</v>
      </c>
      <c r="P51" s="259">
        <f>CEFF!I321</f>
        <v>3.02</v>
      </c>
      <c r="Q51" s="259">
        <f>CEFF!J321</f>
        <v>3.02</v>
      </c>
      <c r="R51" s="23">
        <v>5</v>
      </c>
      <c r="S51" s="23"/>
      <c r="T51" s="23"/>
      <c r="U51" s="23"/>
      <c r="V51" s="69"/>
      <c r="W51" s="69"/>
      <c r="X51" s="165">
        <f>LOOKUP($B51, INVCOST!$C$8:$C$193, INVCOST!D$8:D$193)</f>
        <v>3</v>
      </c>
      <c r="Y51" s="165">
        <f>LOOKUP($B51, INVCOST!$C$8:$C$193, INVCOST!E$8:E$193)</f>
        <v>2.9699999999999998</v>
      </c>
      <c r="Z51" s="165">
        <f>LOOKUP($B51, INVCOST!$C$8:$C$193, INVCOST!F$8:F$193)</f>
        <v>2.9402999999999997</v>
      </c>
      <c r="AA51" s="165">
        <f>LOOKUP($B51, INVCOST!$C$8:$C$193, INVCOST!G$8:G$193)</f>
        <v>2.9108969999999998</v>
      </c>
      <c r="AB51" s="165">
        <f>LOOKUP($B51, INVCOST!$C$8:$C$193, INVCOST!H$8:H$193)</f>
        <v>2.8817880299999996</v>
      </c>
      <c r="AC51" s="165">
        <f>LOOKUP($B51, INVCOST!$C$8:$C$193, INVCOST!I$8:I$193)</f>
        <v>2.8529701496999995</v>
      </c>
      <c r="AD51" s="165">
        <f>LOOKUP($B51, INVCOST!$C$8:$C$193, INVCOST!J$8:J$193)</f>
        <v>2.8244404482029997</v>
      </c>
      <c r="AE51" s="165">
        <f>LOOKUP($B51, INVCOST!$C$8:$C$193, INVCOST!K$8:K$193)</f>
        <v>2.7961960437209696</v>
      </c>
    </row>
    <row r="52" spans="2:31" s="39" customFormat="1" ht="13.5" customHeight="1" x14ac:dyDescent="0.3">
      <c r="B52" s="234"/>
      <c r="C52" s="234"/>
      <c r="D52" s="234" t="s">
        <v>30</v>
      </c>
      <c r="E52" s="234"/>
      <c r="F52" s="234"/>
      <c r="G52" s="10"/>
      <c r="H52" s="11"/>
      <c r="I52" s="28"/>
      <c r="J52" s="12"/>
      <c r="K52" s="10"/>
      <c r="L52" s="10"/>
      <c r="M52" s="285">
        <f>CEFF!F322</f>
        <v>1000</v>
      </c>
      <c r="N52" s="285">
        <f>CEFF!G322</f>
        <v>1000</v>
      </c>
      <c r="O52" s="285">
        <f>CEFF!H322</f>
        <v>1000</v>
      </c>
      <c r="P52" s="285">
        <f>CEFF!I322</f>
        <v>1000</v>
      </c>
      <c r="Q52" s="285">
        <f>CEFF!J322</f>
        <v>1000</v>
      </c>
      <c r="R52" s="11"/>
      <c r="S52" s="11"/>
      <c r="T52" s="11"/>
      <c r="U52" s="11"/>
      <c r="V52" s="70"/>
      <c r="W52" s="70"/>
      <c r="X52" s="170"/>
      <c r="Y52" s="170"/>
      <c r="Z52" s="170"/>
      <c r="AA52" s="170"/>
      <c r="AB52" s="170"/>
      <c r="AC52" s="170"/>
      <c r="AD52" s="170"/>
      <c r="AE52" s="170"/>
    </row>
    <row r="53" spans="2:31" ht="13.5" customHeight="1" x14ac:dyDescent="0.3">
      <c r="B53" s="234"/>
      <c r="C53" s="234"/>
      <c r="D53" s="234"/>
      <c r="E53" s="234"/>
      <c r="F53" s="234" t="s">
        <v>403</v>
      </c>
      <c r="G53" s="146"/>
      <c r="H53" s="11"/>
      <c r="I53" s="18"/>
      <c r="J53" s="12"/>
      <c r="K53" s="10"/>
      <c r="L53" s="10"/>
      <c r="M53" s="283"/>
      <c r="N53" s="283"/>
      <c r="O53" s="283"/>
      <c r="P53" s="283"/>
      <c r="Q53" s="283"/>
      <c r="R53" s="11"/>
      <c r="S53" s="11"/>
      <c r="T53" s="11"/>
      <c r="U53" s="11"/>
      <c r="V53" s="68"/>
      <c r="W53" s="68"/>
      <c r="X53" s="169"/>
      <c r="Y53" s="169"/>
      <c r="Z53" s="169"/>
      <c r="AA53" s="169"/>
      <c r="AB53" s="169"/>
      <c r="AC53" s="169"/>
      <c r="AD53" s="169"/>
      <c r="AE53" s="169"/>
    </row>
    <row r="54" spans="2:31" s="39" customFormat="1" ht="13.5" customHeight="1" x14ac:dyDescent="0.3">
      <c r="B54" s="237" t="s">
        <v>128</v>
      </c>
      <c r="C54" s="237" t="str">
        <f>LOOKUP(B54, TRA_COMM_PRO!$C$16:$C$199, TRA_COMM_PRO!$D$16:$D$199)</f>
        <v>BicYcle.Freight.01.</v>
      </c>
      <c r="D54" s="237" t="s">
        <v>30</v>
      </c>
      <c r="E54" s="237"/>
      <c r="F54" s="237"/>
      <c r="G54" s="10">
        <f>$G$43</f>
        <v>2020</v>
      </c>
      <c r="H54" s="23">
        <v>8</v>
      </c>
      <c r="I54" s="65">
        <v>1E-3</v>
      </c>
      <c r="J54" s="24">
        <v>0.1</v>
      </c>
      <c r="K54" s="25"/>
      <c r="L54" s="25"/>
      <c r="M54" s="286">
        <f>CEFF!F323</f>
        <v>1000</v>
      </c>
      <c r="N54" s="286">
        <f>CEFF!G323</f>
        <v>1000</v>
      </c>
      <c r="O54" s="286">
        <f>CEFF!H323</f>
        <v>1000</v>
      </c>
      <c r="P54" s="286">
        <f>CEFF!I323</f>
        <v>1000</v>
      </c>
      <c r="Q54" s="286">
        <f>CEFF!J323</f>
        <v>1000</v>
      </c>
      <c r="R54" s="23">
        <v>10</v>
      </c>
      <c r="S54" s="23"/>
      <c r="T54" s="23"/>
      <c r="U54" s="23"/>
      <c r="V54" s="69"/>
      <c r="W54" s="69"/>
      <c r="X54" s="165">
        <f>LOOKUP($B54, INVCOST!$C$8:$C$193, INVCOST!D$8:D$193)</f>
        <v>1.5</v>
      </c>
      <c r="Y54" s="165">
        <f>LOOKUP($B54, INVCOST!$C$8:$C$193, INVCOST!E$8:E$193)</f>
        <v>1.4849999999999999</v>
      </c>
      <c r="Z54" s="165">
        <f>LOOKUP($B54, INVCOST!$C$8:$C$193, INVCOST!F$8:F$193)</f>
        <v>1.4701499999999998</v>
      </c>
      <c r="AA54" s="165">
        <f>LOOKUP($B54, INVCOST!$C$8:$C$193, INVCOST!G$8:G$193)</f>
        <v>1.4554484999999999</v>
      </c>
      <c r="AB54" s="165">
        <f>LOOKUP($B54, INVCOST!$C$8:$C$193, INVCOST!H$8:H$193)</f>
        <v>1.4408940149999998</v>
      </c>
      <c r="AC54" s="165">
        <f>LOOKUP($B54, INVCOST!$C$8:$C$193, INVCOST!I$8:I$193)</f>
        <v>1.4264850748499998</v>
      </c>
      <c r="AD54" s="165">
        <f>LOOKUP($B54, INVCOST!$C$8:$C$193, INVCOST!J$8:J$193)</f>
        <v>1.4122202241014998</v>
      </c>
      <c r="AE54" s="165">
        <f>LOOKUP($B54, INVCOST!$C$8:$C$193, INVCOST!K$8:K$193)</f>
        <v>1.3980980218604848</v>
      </c>
    </row>
    <row r="55" spans="2:31" ht="13.5" customHeight="1" x14ac:dyDescent="0.3">
      <c r="B55" s="234"/>
      <c r="C55" s="234"/>
      <c r="D55" s="234"/>
      <c r="E55" s="234"/>
      <c r="F55" s="234" t="s">
        <v>129</v>
      </c>
      <c r="G55" s="146"/>
      <c r="H55" s="11"/>
      <c r="I55" s="18"/>
      <c r="J55" s="12"/>
      <c r="K55" s="10"/>
      <c r="L55" s="10"/>
      <c r="M55" s="283"/>
      <c r="N55" s="283"/>
      <c r="O55" s="283"/>
      <c r="P55" s="283"/>
      <c r="Q55" s="283"/>
      <c r="R55" s="11"/>
      <c r="S55" s="11"/>
      <c r="T55" s="11"/>
      <c r="U55" s="11"/>
      <c r="V55" s="68"/>
      <c r="W55" s="68"/>
      <c r="X55" s="169"/>
      <c r="Y55" s="169"/>
      <c r="Z55" s="169"/>
      <c r="AA55" s="169"/>
      <c r="AB55" s="169"/>
      <c r="AC55" s="169"/>
      <c r="AD55" s="169"/>
      <c r="AE55" s="169"/>
    </row>
    <row r="56" spans="2:31" s="39" customFormat="1" ht="13.5" customHeight="1" x14ac:dyDescent="0.3">
      <c r="B56" s="237" t="s">
        <v>299</v>
      </c>
      <c r="C56" s="237" t="str">
        <f>LOOKUP(B56, TRA_COMM_PRO!$C$16:$C$199, TRA_COMM_PRO!$D$16:$D$199)</f>
        <v>BicYcle.Freight.City.01.</v>
      </c>
      <c r="D56" s="237" t="s">
        <v>30</v>
      </c>
      <c r="E56" s="237"/>
      <c r="F56" s="237"/>
      <c r="G56" s="10">
        <f>$G$43</f>
        <v>2020</v>
      </c>
      <c r="H56" s="23">
        <v>8</v>
      </c>
      <c r="I56" s="65">
        <v>1E-3</v>
      </c>
      <c r="J56" s="24">
        <v>0.1</v>
      </c>
      <c r="K56" s="25"/>
      <c r="L56" s="25"/>
      <c r="M56" s="286">
        <f>CEFF!F324</f>
        <v>1000</v>
      </c>
      <c r="N56" s="286">
        <f>CEFF!G324</f>
        <v>1000</v>
      </c>
      <c r="O56" s="286">
        <f>CEFF!H324</f>
        <v>1000</v>
      </c>
      <c r="P56" s="286">
        <f>CEFF!I324</f>
        <v>1000</v>
      </c>
      <c r="Q56" s="286">
        <f>CEFF!J324</f>
        <v>1000</v>
      </c>
      <c r="R56" s="23">
        <v>10</v>
      </c>
      <c r="S56" s="23"/>
      <c r="T56" s="23"/>
      <c r="U56" s="23"/>
      <c r="V56" s="69"/>
      <c r="W56" s="69"/>
      <c r="X56" s="165">
        <f>LOOKUP($B56, INVCOST!$C$8:$C$193, INVCOST!D$8:D$193)</f>
        <v>1.5</v>
      </c>
      <c r="Y56" s="165">
        <f>LOOKUP($B56, INVCOST!$C$8:$C$193, INVCOST!E$8:E$193)</f>
        <v>1.4849999999999999</v>
      </c>
      <c r="Z56" s="165">
        <f>LOOKUP($B56, INVCOST!$C$8:$C$193, INVCOST!F$8:F$193)</f>
        <v>1.4701499999999998</v>
      </c>
      <c r="AA56" s="165">
        <f>LOOKUP($B56, INVCOST!$C$8:$C$193, INVCOST!G$8:G$193)</f>
        <v>1.4554484999999999</v>
      </c>
      <c r="AB56" s="165">
        <f>LOOKUP($B56, INVCOST!$C$8:$C$193, INVCOST!H$8:H$193)</f>
        <v>1.4408940149999998</v>
      </c>
      <c r="AC56" s="165">
        <f>LOOKUP($B56, INVCOST!$C$8:$C$193, INVCOST!I$8:I$193)</f>
        <v>1.4264850748499998</v>
      </c>
      <c r="AD56" s="165">
        <f>LOOKUP($B56, INVCOST!$C$8:$C$193, INVCOST!J$8:J$193)</f>
        <v>1.4122202241014998</v>
      </c>
      <c r="AE56" s="165">
        <f>LOOKUP($B56, INVCOST!$C$8:$C$193, INVCOST!K$8:K$193)</f>
        <v>1.3980980218604848</v>
      </c>
    </row>
    <row r="57" spans="2:31" ht="13.5" customHeight="1" x14ac:dyDescent="0.3">
      <c r="B57" s="239"/>
      <c r="C57" s="239"/>
      <c r="D57" s="239"/>
      <c r="E57" s="239"/>
      <c r="F57" s="239" t="s">
        <v>402</v>
      </c>
      <c r="G57" s="190"/>
      <c r="H57" s="186"/>
      <c r="I57" s="192"/>
      <c r="J57" s="192"/>
      <c r="K57" s="185"/>
      <c r="L57" s="185"/>
      <c r="M57" s="189"/>
      <c r="N57" s="189"/>
      <c r="O57" s="189"/>
      <c r="P57" s="189"/>
      <c r="Q57" s="189"/>
      <c r="R57" s="186"/>
      <c r="S57" s="186"/>
      <c r="T57" s="186"/>
      <c r="U57" s="186"/>
      <c r="V57" s="193"/>
      <c r="W57" s="193"/>
      <c r="X57" s="193"/>
      <c r="Y57" s="193"/>
      <c r="Z57" s="193"/>
      <c r="AA57" s="193"/>
      <c r="AB57" s="193"/>
      <c r="AC57" s="193"/>
      <c r="AD57" s="193"/>
      <c r="AE57" s="193"/>
    </row>
    <row r="61" spans="2:31" s="39" customFormat="1" x14ac:dyDescent="0.3">
      <c r="B61" s="6" t="s">
        <v>669</v>
      </c>
      <c r="C61" s="163"/>
      <c r="F61" s="9" t="s">
        <v>722</v>
      </c>
      <c r="G61" s="4"/>
    </row>
    <row r="62" spans="2:31" s="39" customFormat="1" x14ac:dyDescent="0.3">
      <c r="B62" s="201" t="s">
        <v>2</v>
      </c>
      <c r="C62" s="201" t="s">
        <v>3</v>
      </c>
      <c r="D62" s="201" t="s">
        <v>4</v>
      </c>
      <c r="E62" s="201" t="s">
        <v>5</v>
      </c>
      <c r="F62" s="202" t="s">
        <v>6</v>
      </c>
      <c r="G62" s="202" t="s">
        <v>187</v>
      </c>
      <c r="H62" s="203" t="s">
        <v>186</v>
      </c>
      <c r="I62" s="202" t="s">
        <v>628</v>
      </c>
      <c r="J62" s="202" t="s">
        <v>629</v>
      </c>
      <c r="K62" s="202" t="s">
        <v>630</v>
      </c>
      <c r="L62" s="202" t="s">
        <v>631</v>
      </c>
      <c r="M62" s="202" t="s">
        <v>632</v>
      </c>
      <c r="N62" s="203" t="s">
        <v>179</v>
      </c>
      <c r="O62" s="203" t="s">
        <v>14</v>
      </c>
      <c r="P62" s="203" t="s">
        <v>42</v>
      </c>
      <c r="Q62" s="203" t="s">
        <v>395</v>
      </c>
      <c r="R62" s="32"/>
      <c r="S62" s="32"/>
      <c r="T62" s="32"/>
      <c r="U62" s="32"/>
      <c r="V62" s="32"/>
      <c r="W62" s="32"/>
      <c r="X62" s="32"/>
      <c r="Y62" s="32"/>
    </row>
    <row r="63" spans="2:31" s="39" customFormat="1" ht="33.75" customHeight="1" thickBot="1" x14ac:dyDescent="0.35">
      <c r="B63" s="204" t="s">
        <v>22</v>
      </c>
      <c r="C63" s="204"/>
      <c r="D63" s="204"/>
      <c r="E63" s="204"/>
      <c r="F63" s="205" t="s">
        <v>23</v>
      </c>
      <c r="G63" s="205"/>
      <c r="H63" s="206" t="s">
        <v>26</v>
      </c>
      <c r="I63" s="206"/>
      <c r="J63" s="205"/>
      <c r="K63" s="205"/>
      <c r="L63" s="241"/>
      <c r="M63" s="241"/>
      <c r="N63" s="241"/>
      <c r="O63" s="241" t="s">
        <v>633</v>
      </c>
      <c r="P63" s="241" t="s">
        <v>636</v>
      </c>
      <c r="Q63" s="206" t="s">
        <v>636</v>
      </c>
      <c r="R63" s="32"/>
      <c r="S63" s="32"/>
      <c r="T63" s="32"/>
      <c r="U63" s="32"/>
      <c r="V63" s="32"/>
      <c r="W63" s="32"/>
      <c r="X63" s="32"/>
      <c r="Y63" s="32"/>
    </row>
    <row r="64" spans="2:31" s="39" customFormat="1" x14ac:dyDescent="0.3">
      <c r="B64" s="234" t="s">
        <v>647</v>
      </c>
      <c r="C64" s="242" t="str">
        <f>LOOKUP(B64, TRA_COMM_PRO!$C$16:$C$199, TRA_COMM_PRO!$D$16:$D$199)</f>
        <v>Other.Vehicles.01.</v>
      </c>
      <c r="D64" s="234" t="s">
        <v>27</v>
      </c>
      <c r="E64" s="234"/>
      <c r="F64" s="234"/>
      <c r="G64" s="10">
        <f>$G$20</f>
        <v>2020</v>
      </c>
      <c r="H64" s="11">
        <v>20</v>
      </c>
      <c r="I64" s="196">
        <v>1</v>
      </c>
      <c r="J64" s="196">
        <v>1</v>
      </c>
      <c r="K64" s="196">
        <v>1</v>
      </c>
      <c r="L64" s="196">
        <v>1</v>
      </c>
      <c r="M64" s="196">
        <v>1</v>
      </c>
      <c r="N64" s="22"/>
      <c r="O64" s="22"/>
      <c r="P64" s="22"/>
      <c r="Q64" s="40">
        <f>LOOKUP($B64, INVCOST!$C$8:$C$193, INVCOST!D$8:D$193)</f>
        <v>55</v>
      </c>
      <c r="R64" s="31"/>
      <c r="S64" s="31"/>
      <c r="T64" s="31"/>
      <c r="U64" s="31"/>
      <c r="V64" s="31"/>
      <c r="W64" s="31"/>
      <c r="X64" s="31"/>
      <c r="Y64" s="31"/>
    </row>
    <row r="65" spans="2:25" s="39" customFormat="1" x14ac:dyDescent="0.3">
      <c r="B65" s="239"/>
      <c r="C65" s="240"/>
      <c r="D65" s="239"/>
      <c r="E65" s="239"/>
      <c r="F65" s="239" t="s">
        <v>652</v>
      </c>
      <c r="G65" s="185"/>
      <c r="H65" s="194"/>
      <c r="I65" s="192"/>
      <c r="J65" s="185"/>
      <c r="K65" s="185"/>
      <c r="L65" s="195"/>
      <c r="M65" s="195"/>
      <c r="N65" s="195">
        <v>1</v>
      </c>
      <c r="O65" s="195"/>
      <c r="P65" s="195"/>
      <c r="Q65" s="186"/>
      <c r="R65" s="31"/>
      <c r="S65" s="31"/>
      <c r="T65" s="31"/>
      <c r="U65" s="31"/>
      <c r="V65" s="31"/>
      <c r="W65" s="31"/>
      <c r="X65" s="31"/>
      <c r="Y65" s="31"/>
    </row>
    <row r="66" spans="2:25" s="39" customFormat="1" x14ac:dyDescent="0.3">
      <c r="B66" s="30"/>
      <c r="C66" s="250"/>
      <c r="D66" s="30"/>
      <c r="E66" s="30"/>
      <c r="F66" s="30"/>
      <c r="G66" s="30"/>
      <c r="H66" s="251"/>
      <c r="I66" s="252"/>
      <c r="J66" s="30"/>
      <c r="K66" s="30"/>
      <c r="L66" s="253"/>
      <c r="M66" s="253"/>
      <c r="N66" s="253"/>
      <c r="O66" s="253"/>
      <c r="P66" s="253"/>
      <c r="Q66" s="31"/>
      <c r="R66" s="31"/>
      <c r="S66" s="31"/>
      <c r="T66" s="31"/>
      <c r="U66" s="31"/>
      <c r="V66" s="31"/>
      <c r="W66" s="31"/>
      <c r="X66" s="31"/>
      <c r="Y66" s="31"/>
    </row>
    <row r="67" spans="2:25" s="39" customFormat="1" x14ac:dyDescent="0.3">
      <c r="B67" s="30"/>
      <c r="C67" s="250"/>
      <c r="D67" s="30"/>
      <c r="E67" s="30"/>
      <c r="F67" s="30"/>
      <c r="G67" s="30"/>
      <c r="H67" s="251"/>
      <c r="I67" s="252"/>
      <c r="J67" s="30"/>
      <c r="K67" s="30"/>
      <c r="L67" s="253"/>
      <c r="M67" s="253"/>
      <c r="N67" s="253"/>
      <c r="O67" s="253"/>
      <c r="P67" s="253"/>
      <c r="Q67" s="31"/>
      <c r="R67" s="31"/>
      <c r="S67" s="31"/>
      <c r="T67" s="31"/>
      <c r="U67" s="31"/>
      <c r="V67" s="31"/>
      <c r="W67" s="31"/>
      <c r="X67" s="31"/>
      <c r="Y67" s="31"/>
    </row>
    <row r="68" spans="2:25" s="39" customFormat="1" x14ac:dyDescent="0.3">
      <c r="B68" s="6" t="s">
        <v>669</v>
      </c>
      <c r="C68" s="163"/>
      <c r="F68" s="9" t="s">
        <v>722</v>
      </c>
      <c r="G68" s="4"/>
    </row>
    <row r="69" spans="2:25" s="39" customFormat="1" x14ac:dyDescent="0.3">
      <c r="B69" s="201" t="s">
        <v>2</v>
      </c>
      <c r="C69" s="201" t="s">
        <v>3</v>
      </c>
      <c r="D69" s="201" t="s">
        <v>4</v>
      </c>
      <c r="E69" s="201" t="s">
        <v>5</v>
      </c>
      <c r="F69" s="202" t="s">
        <v>6</v>
      </c>
      <c r="G69" s="202" t="s">
        <v>187</v>
      </c>
      <c r="H69" s="203" t="s">
        <v>186</v>
      </c>
      <c r="I69" s="202" t="s">
        <v>628</v>
      </c>
      <c r="J69" s="202" t="s">
        <v>629</v>
      </c>
      <c r="K69" s="202" t="s">
        <v>630</v>
      </c>
      <c r="L69" s="202" t="s">
        <v>631</v>
      </c>
      <c r="M69" s="202" t="s">
        <v>632</v>
      </c>
      <c r="N69" s="203" t="s">
        <v>179</v>
      </c>
      <c r="O69" s="203" t="s">
        <v>14</v>
      </c>
      <c r="P69" s="203" t="s">
        <v>42</v>
      </c>
      <c r="Q69" s="203" t="s">
        <v>395</v>
      </c>
      <c r="R69" s="32"/>
      <c r="S69" s="32"/>
      <c r="T69" s="32"/>
      <c r="U69" s="32"/>
      <c r="V69" s="32"/>
      <c r="W69" s="32"/>
      <c r="X69" s="32"/>
      <c r="Y69" s="32"/>
    </row>
    <row r="70" spans="2:25" s="39" customFormat="1" ht="33.75" customHeight="1" thickBot="1" x14ac:dyDescent="0.35">
      <c r="B70" s="204" t="s">
        <v>22</v>
      </c>
      <c r="C70" s="204"/>
      <c r="D70" s="204"/>
      <c r="E70" s="204"/>
      <c r="F70" s="205" t="s">
        <v>23</v>
      </c>
      <c r="G70" s="205"/>
      <c r="H70" s="206" t="s">
        <v>26</v>
      </c>
      <c r="I70" s="206"/>
      <c r="J70" s="205"/>
      <c r="K70" s="205"/>
      <c r="L70" s="241"/>
      <c r="M70" s="241"/>
      <c r="N70" s="241"/>
      <c r="O70" s="241" t="s">
        <v>633</v>
      </c>
      <c r="P70" s="241" t="s">
        <v>636</v>
      </c>
      <c r="Q70" s="206" t="s">
        <v>636</v>
      </c>
      <c r="R70" s="32"/>
      <c r="S70" s="32"/>
      <c r="T70" s="32"/>
      <c r="U70" s="32"/>
      <c r="V70" s="32"/>
      <c r="W70" s="32"/>
      <c r="X70" s="32"/>
      <c r="Y70" s="32"/>
    </row>
    <row r="71" spans="2:25" s="39" customFormat="1" x14ac:dyDescent="0.3">
      <c r="B71" s="234" t="s">
        <v>648</v>
      </c>
      <c r="C71" s="242" t="str">
        <f>LOOKUP(B71, TRA_COMM_PRO!$C$16:$C$199, TRA_COMM_PRO!$D$16:$D$199)</f>
        <v>Other.Vehicles.City.01.</v>
      </c>
      <c r="D71" s="234" t="s">
        <v>27</v>
      </c>
      <c r="E71" s="234"/>
      <c r="F71" s="234"/>
      <c r="G71" s="10">
        <f>$G$20</f>
        <v>2020</v>
      </c>
      <c r="H71" s="11">
        <v>20</v>
      </c>
      <c r="I71" s="196">
        <v>1</v>
      </c>
      <c r="J71" s="196">
        <v>1</v>
      </c>
      <c r="K71" s="196">
        <v>1</v>
      </c>
      <c r="L71" s="196">
        <v>1</v>
      </c>
      <c r="M71" s="196">
        <v>1</v>
      </c>
      <c r="N71" s="22"/>
      <c r="O71" s="22"/>
      <c r="P71" s="22"/>
      <c r="Q71" s="40">
        <f>LOOKUP($B71, INVCOST!$C$8:$C$193, INVCOST!D$8:D$193)</f>
        <v>55</v>
      </c>
      <c r="R71" s="31"/>
      <c r="S71" s="31"/>
      <c r="T71" s="31"/>
      <c r="U71" s="31"/>
      <c r="V71" s="31"/>
      <c r="W71" s="31"/>
      <c r="X71" s="31"/>
      <c r="Y71" s="31"/>
    </row>
    <row r="72" spans="2:25" s="39" customFormat="1" x14ac:dyDescent="0.3">
      <c r="B72" s="239"/>
      <c r="C72" s="240"/>
      <c r="D72" s="239"/>
      <c r="E72" s="239"/>
      <c r="F72" s="239" t="s">
        <v>653</v>
      </c>
      <c r="G72" s="185"/>
      <c r="H72" s="194"/>
      <c r="I72" s="192"/>
      <c r="J72" s="185"/>
      <c r="K72" s="185"/>
      <c r="L72" s="195"/>
      <c r="M72" s="195"/>
      <c r="N72" s="195">
        <v>1</v>
      </c>
      <c r="O72" s="195"/>
      <c r="P72" s="195"/>
      <c r="Q72" s="186"/>
      <c r="R72" s="31"/>
      <c r="S72" s="31"/>
      <c r="T72" s="31"/>
      <c r="U72" s="31"/>
      <c r="V72" s="31"/>
      <c r="W72" s="31"/>
      <c r="X72" s="31"/>
      <c r="Y72" s="3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A93"/>
  <sheetViews>
    <sheetView zoomScale="75" zoomScaleNormal="75" workbookViewId="0">
      <selection activeCell="U1" sqref="U1:U1048576"/>
    </sheetView>
  </sheetViews>
  <sheetFormatPr defaultRowHeight="14.4" x14ac:dyDescent="0.3"/>
  <cols>
    <col min="2" max="2" width="21" customWidth="1"/>
    <col min="3" max="3" width="43.5546875" bestFit="1" customWidth="1"/>
    <col min="4" max="4" width="38.5546875" bestFit="1" customWidth="1"/>
    <col min="5" max="5" width="12" bestFit="1" customWidth="1"/>
    <col min="6" max="6" width="11.6640625" bestFit="1" customWidth="1"/>
    <col min="7" max="7" width="11.44140625" style="39" bestFit="1" customWidth="1"/>
    <col min="8" max="8" width="6.5546875" bestFit="1" customWidth="1"/>
    <col min="9" max="9" width="9.33203125" bestFit="1" customWidth="1"/>
    <col min="10" max="10" width="15" bestFit="1" customWidth="1"/>
    <col min="11" max="11" width="10.109375" bestFit="1" customWidth="1"/>
    <col min="12" max="15" width="11" customWidth="1"/>
    <col min="16" max="16" width="11.5546875" customWidth="1"/>
    <col min="17" max="18" width="11.5546875" bestFit="1" customWidth="1"/>
    <col min="19" max="19" width="11.5546875" customWidth="1"/>
    <col min="20" max="20" width="12.5546875" customWidth="1"/>
    <col min="21" max="27" width="14.33203125" customWidth="1"/>
  </cols>
  <sheetData>
    <row r="3" spans="2:27" x14ac:dyDescent="0.3">
      <c r="B3" s="6" t="s">
        <v>65</v>
      </c>
      <c r="C3" s="7"/>
      <c r="D3" s="8"/>
      <c r="E3" s="8"/>
      <c r="F3" s="9" t="s">
        <v>1</v>
      </c>
      <c r="G3" s="4"/>
    </row>
    <row r="4" spans="2:27" ht="27.9" customHeight="1" x14ac:dyDescent="0.3">
      <c r="B4" s="201" t="s">
        <v>2</v>
      </c>
      <c r="C4" s="201" t="s">
        <v>3</v>
      </c>
      <c r="D4" s="201" t="s">
        <v>4</v>
      </c>
      <c r="E4" s="201" t="s">
        <v>5</v>
      </c>
      <c r="F4" s="202" t="s">
        <v>6</v>
      </c>
      <c r="G4" s="202" t="s">
        <v>187</v>
      </c>
      <c r="H4" s="203" t="s">
        <v>186</v>
      </c>
      <c r="I4" s="203" t="s">
        <v>11</v>
      </c>
      <c r="J4" s="202" t="s">
        <v>12</v>
      </c>
      <c r="K4" s="203" t="s">
        <v>7</v>
      </c>
      <c r="L4" s="203" t="s">
        <v>335</v>
      </c>
      <c r="M4" s="203" t="s">
        <v>336</v>
      </c>
      <c r="N4" s="203" t="s">
        <v>9</v>
      </c>
      <c r="O4" s="203" t="s">
        <v>10</v>
      </c>
      <c r="P4" s="203" t="s">
        <v>465</v>
      </c>
      <c r="Q4" s="203" t="s">
        <v>13</v>
      </c>
      <c r="R4" s="203" t="s">
        <v>398</v>
      </c>
      <c r="S4" s="203" t="s">
        <v>42</v>
      </c>
      <c r="T4" s="203" t="s">
        <v>14</v>
      </c>
      <c r="U4" s="203" t="s">
        <v>15</v>
      </c>
      <c r="V4" s="203" t="s">
        <v>16</v>
      </c>
      <c r="W4" s="203" t="s">
        <v>17</v>
      </c>
      <c r="X4" s="203" t="s">
        <v>18</v>
      </c>
      <c r="Y4" s="203" t="s">
        <v>19</v>
      </c>
      <c r="Z4" s="203" t="s">
        <v>20</v>
      </c>
      <c r="AA4" s="203" t="s">
        <v>21</v>
      </c>
    </row>
    <row r="5" spans="2:27" ht="33.75" customHeight="1" thickBot="1" x14ac:dyDescent="0.35">
      <c r="B5" s="204" t="s">
        <v>22</v>
      </c>
      <c r="C5" s="204"/>
      <c r="D5" s="204"/>
      <c r="E5" s="204"/>
      <c r="F5" s="205" t="s">
        <v>23</v>
      </c>
      <c r="G5" s="205">
        <v>2020</v>
      </c>
      <c r="H5" s="206" t="s">
        <v>26</v>
      </c>
      <c r="I5" s="206" t="s">
        <v>560</v>
      </c>
      <c r="J5" s="206" t="s">
        <v>25</v>
      </c>
      <c r="K5" s="205"/>
      <c r="L5" s="207" t="s">
        <v>671</v>
      </c>
      <c r="M5" s="207" t="s">
        <v>671</v>
      </c>
      <c r="N5" s="207" t="s">
        <v>671</v>
      </c>
      <c r="O5" s="207" t="s">
        <v>671</v>
      </c>
      <c r="P5" s="206" t="s">
        <v>676</v>
      </c>
      <c r="Q5" s="206" t="s">
        <v>676</v>
      </c>
      <c r="R5" s="206" t="s">
        <v>676</v>
      </c>
      <c r="S5" s="208" t="s">
        <v>679</v>
      </c>
      <c r="T5" s="208" t="s">
        <v>678</v>
      </c>
      <c r="U5" s="208" t="s">
        <v>675</v>
      </c>
      <c r="V5" s="208" t="s">
        <v>675</v>
      </c>
      <c r="W5" s="208" t="s">
        <v>675</v>
      </c>
      <c r="X5" s="208" t="s">
        <v>675</v>
      </c>
      <c r="Y5" s="208" t="s">
        <v>675</v>
      </c>
      <c r="Z5" s="208" t="s">
        <v>675</v>
      </c>
      <c r="AA5" s="208" t="s">
        <v>675</v>
      </c>
    </row>
    <row r="6" spans="2:27" s="39" customFormat="1" x14ac:dyDescent="0.3">
      <c r="B6" s="211" t="s">
        <v>66</v>
      </c>
      <c r="C6" s="210" t="str">
        <f>LOOKUP(B6, TRA_COMM_PRO!$C$17:$C$199, TRA_COMM_PRO!$D$17:$D$199)</f>
        <v>Bus.Urban.BDL.01.</v>
      </c>
      <c r="D6" s="211" t="s">
        <v>44</v>
      </c>
      <c r="E6" s="211"/>
      <c r="F6" s="211"/>
      <c r="G6" s="59">
        <f>$G$5</f>
        <v>2020</v>
      </c>
      <c r="H6" s="40">
        <v>10</v>
      </c>
      <c r="I6" s="65">
        <f>10^-3</f>
        <v>1E-3</v>
      </c>
      <c r="J6" s="60">
        <v>11</v>
      </c>
      <c r="K6" s="42"/>
      <c r="L6" s="265"/>
      <c r="M6" s="265"/>
      <c r="N6" s="265"/>
      <c r="O6" s="265"/>
      <c r="P6" s="40"/>
      <c r="Q6" s="40"/>
      <c r="R6" s="40"/>
      <c r="S6" s="61"/>
      <c r="T6" s="62">
        <f>LOOKUP(B6, FIXOM_VAROM!$C$8:$C$190, FIXOM_VAROM!$D$8:$D$190)</f>
        <v>0.1</v>
      </c>
      <c r="U6" s="40">
        <f>LOOKUP($B6, INVCOST!$C$8:$C$193, INVCOST!E$8:E$193)</f>
        <v>260</v>
      </c>
      <c r="V6" s="40">
        <f>LOOKUP($B6, INVCOST!$C$8:$C$193, INVCOST!F$8:F$193)</f>
        <v>260</v>
      </c>
      <c r="W6" s="40">
        <f>LOOKUP($B6, INVCOST!$C$8:$C$193, INVCOST!G$8:G$193)</f>
        <v>260</v>
      </c>
      <c r="X6" s="40">
        <f>LOOKUP($B6, INVCOST!$C$8:$C$193, INVCOST!H$8:H$193)</f>
        <v>260</v>
      </c>
      <c r="Y6" s="40">
        <f>LOOKUP($B6, INVCOST!$C$8:$C$193, INVCOST!I$8:I$193)</f>
        <v>260</v>
      </c>
      <c r="Z6" s="40">
        <f>LOOKUP($B6, INVCOST!$C$8:$C$193, INVCOST!J$8:J$193)</f>
        <v>260</v>
      </c>
      <c r="AA6" s="40">
        <f>LOOKUP($B6, INVCOST!$C$8:$C$193, INVCOST!K$8:K$193)</f>
        <v>260</v>
      </c>
    </row>
    <row r="7" spans="2:27" s="39" customFormat="1" x14ac:dyDescent="0.3">
      <c r="B7" s="211"/>
      <c r="C7" s="211"/>
      <c r="D7" s="211"/>
      <c r="E7" s="211"/>
      <c r="F7" s="211" t="s">
        <v>68</v>
      </c>
      <c r="G7" s="59"/>
      <c r="H7" s="40"/>
      <c r="I7" s="41"/>
      <c r="J7" s="60"/>
      <c r="K7" s="42"/>
      <c r="L7" s="265">
        <f>LOOKUP($B6, CEFF!$C$163:$C$330, CEFF!G$163:G$330)</f>
        <v>7.6980000000000007E-2</v>
      </c>
      <c r="M7" s="265">
        <f>LOOKUP($B6, CEFF!$C$163:$C$330, CEFF!H$163:H$330)</f>
        <v>8.0909999999999996E-2</v>
      </c>
      <c r="N7" s="265">
        <f>LOOKUP($B6, CEFF!$C$163:$C$330, CEFF!I$163:I$330)</f>
        <v>8.5250000000000006E-2</v>
      </c>
      <c r="O7" s="265">
        <f>LOOKUP($B6, CEFF!$C$163:$C$330, CEFF!J$163:J$330)</f>
        <v>8.9450000000000002E-2</v>
      </c>
      <c r="P7" s="40"/>
      <c r="Q7" s="40"/>
      <c r="R7" s="40"/>
      <c r="S7" s="61"/>
      <c r="T7" s="60"/>
      <c r="U7" s="40"/>
      <c r="V7" s="40"/>
      <c r="W7" s="40"/>
      <c r="X7" s="40"/>
      <c r="Y7" s="40"/>
      <c r="Z7" s="40"/>
      <c r="AA7" s="40"/>
    </row>
    <row r="8" spans="2:27" s="39" customFormat="1" x14ac:dyDescent="0.3">
      <c r="B8" s="211"/>
      <c r="C8" s="211"/>
      <c r="D8" s="211"/>
      <c r="E8" s="211"/>
      <c r="F8" s="211" t="s">
        <v>380</v>
      </c>
      <c r="G8" s="63"/>
      <c r="H8" s="40"/>
      <c r="I8" s="41"/>
      <c r="J8" s="60"/>
      <c r="K8" s="42"/>
      <c r="L8" s="265">
        <f>LOOKUP($B6, CEFF!$C$163:$C$330, CEFF!G$163:G$330)</f>
        <v>7.6980000000000007E-2</v>
      </c>
      <c r="M8" s="265">
        <f>LOOKUP($B6, CEFF!$C$163:$C$330, CEFF!H$163:H$330)</f>
        <v>8.0909999999999996E-2</v>
      </c>
      <c r="N8" s="265">
        <f>LOOKUP($B6, CEFF!$C$163:$C$330, CEFF!I$163:I$330)</f>
        <v>8.5250000000000006E-2</v>
      </c>
      <c r="O8" s="265">
        <f>LOOKUP($B6, CEFF!$C$163:$C$330, CEFF!J$163:J$330)</f>
        <v>8.9450000000000002E-2</v>
      </c>
      <c r="P8" s="40"/>
      <c r="Q8" s="40"/>
      <c r="R8" s="45"/>
      <c r="S8" s="41"/>
      <c r="T8" s="60"/>
      <c r="U8" s="45"/>
      <c r="V8" s="45"/>
      <c r="W8" s="45"/>
      <c r="X8" s="45"/>
      <c r="Y8" s="45"/>
      <c r="Z8" s="45"/>
      <c r="AA8" s="45"/>
    </row>
    <row r="9" spans="2:27" s="39" customFormat="1" x14ac:dyDescent="0.3">
      <c r="B9" s="214" t="s">
        <v>69</v>
      </c>
      <c r="C9" s="214" t="str">
        <f>LOOKUP(B9, TRA_COMM_PRO!$C$17:$C$199, TRA_COMM_PRO!$D$17:$D$199)</f>
        <v>Bus.Urban.DME.01.</v>
      </c>
      <c r="D9" s="214" t="s">
        <v>71</v>
      </c>
      <c r="E9" s="214"/>
      <c r="F9" s="214"/>
      <c r="G9" s="59">
        <f>$G$5</f>
        <v>2020</v>
      </c>
      <c r="H9" s="54">
        <f>$H$6</f>
        <v>10</v>
      </c>
      <c r="I9" s="157">
        <f>$I$6</f>
        <v>1E-3</v>
      </c>
      <c r="J9" s="62">
        <f>J6</f>
        <v>11</v>
      </c>
      <c r="K9" s="56"/>
      <c r="L9" s="269"/>
      <c r="M9" s="269"/>
      <c r="N9" s="269"/>
      <c r="O9" s="269"/>
      <c r="P9" s="54"/>
      <c r="Q9" s="54"/>
      <c r="R9" s="40"/>
      <c r="S9" s="55"/>
      <c r="T9" s="62">
        <f>LOOKUP(B9, FIXOM_VAROM!$C$8:$C$190, FIXOM_VAROM!$D$8:$D$190)</f>
        <v>0.1</v>
      </c>
      <c r="U9" s="40">
        <f>LOOKUP($B9, INVCOST!$C$8:$C$193, INVCOST!E$8:E$193)</f>
        <v>312</v>
      </c>
      <c r="V9" s="40">
        <f>LOOKUP($B9, INVCOST!$C$8:$C$193, INVCOST!F$8:F$193)</f>
        <v>312</v>
      </c>
      <c r="W9" s="40">
        <f>LOOKUP($B9, INVCOST!$C$8:$C$193, INVCOST!G$8:G$193)</f>
        <v>312</v>
      </c>
      <c r="X9" s="40">
        <f>LOOKUP($B9, INVCOST!$C$8:$C$193, INVCOST!H$8:H$193)</f>
        <v>312</v>
      </c>
      <c r="Y9" s="40">
        <f>LOOKUP($B9, INVCOST!$C$8:$C$193, INVCOST!I$8:I$193)</f>
        <v>312</v>
      </c>
      <c r="Z9" s="40">
        <f>LOOKUP($B9, INVCOST!$C$8:$C$193, INVCOST!J$8:J$193)</f>
        <v>312</v>
      </c>
      <c r="AA9" s="40">
        <f>LOOKUP($B9, INVCOST!$C$8:$C$193, INVCOST!K$8:K$193)</f>
        <v>312</v>
      </c>
    </row>
    <row r="10" spans="2:27" s="39" customFormat="1" x14ac:dyDescent="0.3">
      <c r="B10" s="211"/>
      <c r="C10" s="211"/>
      <c r="D10" s="211"/>
      <c r="E10" s="211"/>
      <c r="F10" s="211" t="s">
        <v>68</v>
      </c>
      <c r="G10" s="59"/>
      <c r="H10" s="40"/>
      <c r="I10" s="41"/>
      <c r="J10" s="60"/>
      <c r="K10" s="42"/>
      <c r="L10" s="265">
        <f>LOOKUP($B$9, CEFF!$C$163:$C$330, CEFF!G$163:G$330)</f>
        <v>7.6980000000000007E-2</v>
      </c>
      <c r="M10" s="265">
        <f>LOOKUP($B$9, CEFF!$C$163:$C$330, CEFF!H$163:H$330)</f>
        <v>8.0909999999999996E-2</v>
      </c>
      <c r="N10" s="265">
        <f>LOOKUP($B$9, CEFF!$C$163:$C$330, CEFF!I$163:I$330)</f>
        <v>8.5250000000000006E-2</v>
      </c>
      <c r="O10" s="265">
        <f>LOOKUP($B$9, CEFF!$C$163:$C$330, CEFF!J$163:J$330)</f>
        <v>8.9450000000000002E-2</v>
      </c>
      <c r="P10" s="40"/>
      <c r="Q10" s="40"/>
      <c r="R10" s="40"/>
      <c r="S10" s="41"/>
      <c r="T10" s="60"/>
      <c r="U10" s="40"/>
      <c r="V10" s="40"/>
      <c r="W10" s="40"/>
      <c r="X10" s="40"/>
      <c r="Y10" s="40"/>
      <c r="Z10" s="40"/>
      <c r="AA10" s="40"/>
    </row>
    <row r="11" spans="2:27" s="39" customFormat="1" x14ac:dyDescent="0.3">
      <c r="B11" s="212"/>
      <c r="C11" s="212"/>
      <c r="D11" s="212"/>
      <c r="E11" s="212"/>
      <c r="F11" s="212" t="s">
        <v>380</v>
      </c>
      <c r="G11" s="63"/>
      <c r="H11" s="45"/>
      <c r="I11" s="46"/>
      <c r="J11" s="64"/>
      <c r="K11" s="44"/>
      <c r="L11" s="265">
        <f>LOOKUP($B$9, CEFF!$C$163:$C$330, CEFF!G$163:G$330)</f>
        <v>7.6980000000000007E-2</v>
      </c>
      <c r="M11" s="265">
        <f>LOOKUP($B$9, CEFF!$C$163:$C$330, CEFF!H$163:H$330)</f>
        <v>8.0909999999999996E-2</v>
      </c>
      <c r="N11" s="265">
        <f>LOOKUP($B$9, CEFF!$C$163:$C$330, CEFF!I$163:I$330)</f>
        <v>8.5250000000000006E-2</v>
      </c>
      <c r="O11" s="265">
        <f>LOOKUP($B$9, CEFF!$C$163:$C$330, CEFF!J$163:J$330)</f>
        <v>8.9450000000000002E-2</v>
      </c>
      <c r="P11" s="45"/>
      <c r="Q11" s="45"/>
      <c r="R11" s="45"/>
      <c r="S11" s="46"/>
      <c r="T11" s="60"/>
      <c r="U11" s="45"/>
      <c r="V11" s="45"/>
      <c r="W11" s="45"/>
      <c r="X11" s="45"/>
      <c r="Y11" s="45"/>
      <c r="Z11" s="45"/>
      <c r="AA11" s="45"/>
    </row>
    <row r="12" spans="2:27" s="39" customFormat="1" x14ac:dyDescent="0.3">
      <c r="B12" s="211" t="s">
        <v>72</v>
      </c>
      <c r="C12" s="210" t="str">
        <f>LOOKUP(B12, TRA_COMM_PRO!$C$17:$C$199, TRA_COMM_PRO!$D$17:$D$199)</f>
        <v>Bus.Urban.DST.01.</v>
      </c>
      <c r="D12" s="211" t="s">
        <v>712</v>
      </c>
      <c r="E12" s="211"/>
      <c r="F12" s="211"/>
      <c r="G12" s="59">
        <f>$G$5</f>
        <v>2020</v>
      </c>
      <c r="H12" s="54">
        <f>$H$6</f>
        <v>10</v>
      </c>
      <c r="I12" s="157">
        <f>$I$6</f>
        <v>1E-3</v>
      </c>
      <c r="J12" s="62">
        <f>J9</f>
        <v>11</v>
      </c>
      <c r="K12" s="42"/>
      <c r="L12" s="269"/>
      <c r="M12" s="269"/>
      <c r="N12" s="269"/>
      <c r="O12" s="269"/>
      <c r="P12" s="40"/>
      <c r="Q12" s="40"/>
      <c r="R12" s="40"/>
      <c r="S12" s="41"/>
      <c r="T12" s="62">
        <f>LOOKUP(B12, FIXOM_VAROM!$C$8:$C$190, FIXOM_VAROM!$D$8:$D$190)</f>
        <v>0.1</v>
      </c>
      <c r="U12" s="40">
        <f>LOOKUP($B12, INVCOST!$C$8:$C$193, INVCOST!E$8:E$193)</f>
        <v>260</v>
      </c>
      <c r="V12" s="40">
        <f>LOOKUP($B12, INVCOST!$C$8:$C$193, INVCOST!F$8:F$193)</f>
        <v>260</v>
      </c>
      <c r="W12" s="40">
        <f>LOOKUP($B12, INVCOST!$C$8:$C$193, INVCOST!G$8:G$193)</f>
        <v>260</v>
      </c>
      <c r="X12" s="40">
        <f>LOOKUP($B12, INVCOST!$C$8:$C$193, INVCOST!H$8:H$193)</f>
        <v>260</v>
      </c>
      <c r="Y12" s="40">
        <f>LOOKUP($B12, INVCOST!$C$8:$C$193, INVCOST!I$8:I$193)</f>
        <v>260</v>
      </c>
      <c r="Z12" s="40">
        <f>LOOKUP($B12, INVCOST!$C$8:$C$193, INVCOST!J$8:J$193)</f>
        <v>260</v>
      </c>
      <c r="AA12" s="40">
        <f>LOOKUP($B12, INVCOST!$C$8:$C$193, INVCOST!K$8:K$193)</f>
        <v>260</v>
      </c>
    </row>
    <row r="13" spans="2:27" s="39" customFormat="1" x14ac:dyDescent="0.3">
      <c r="B13" s="211"/>
      <c r="C13" s="211"/>
      <c r="D13" s="211"/>
      <c r="E13" s="211"/>
      <c r="F13" s="211" t="s">
        <v>68</v>
      </c>
      <c r="G13" s="59"/>
      <c r="H13" s="40"/>
      <c r="I13" s="41"/>
      <c r="J13" s="60"/>
      <c r="K13" s="42"/>
      <c r="L13" s="265">
        <f>LOOKUP($B$12, CEFF!$C$163:$C$330, CEFF!G$163:G$330)</f>
        <v>7.6980000000000007E-2</v>
      </c>
      <c r="M13" s="265">
        <f>LOOKUP($B$12, CEFF!$C$163:$C$330, CEFF!H$163:H$330)</f>
        <v>8.0909999999999996E-2</v>
      </c>
      <c r="N13" s="265">
        <f>LOOKUP($B$12, CEFF!$C$163:$C$330, CEFF!I$163:I$330)</f>
        <v>8.5250000000000006E-2</v>
      </c>
      <c r="O13" s="265">
        <f>LOOKUP($B$12, CEFF!$C$163:$C$330, CEFF!J$163:J$330)</f>
        <v>8.9450000000000002E-2</v>
      </c>
      <c r="P13" s="40"/>
      <c r="Q13" s="40"/>
      <c r="R13" s="40"/>
      <c r="S13" s="41"/>
      <c r="T13" s="60"/>
      <c r="U13" s="40"/>
      <c r="V13" s="40"/>
      <c r="W13" s="40"/>
      <c r="X13" s="40"/>
      <c r="Y13" s="40"/>
      <c r="Z13" s="40"/>
      <c r="AA13" s="40"/>
    </row>
    <row r="14" spans="2:27" s="39" customFormat="1" x14ac:dyDescent="0.3">
      <c r="B14" s="211"/>
      <c r="C14" s="212"/>
      <c r="D14" s="211"/>
      <c r="E14" s="211"/>
      <c r="F14" s="211" t="s">
        <v>380</v>
      </c>
      <c r="G14" s="63"/>
      <c r="H14" s="40"/>
      <c r="I14" s="41"/>
      <c r="J14" s="60"/>
      <c r="K14" s="42"/>
      <c r="L14" s="265">
        <f>LOOKUP($B$12, CEFF!$C$163:$C$330, CEFF!G$163:G$330)</f>
        <v>7.6980000000000007E-2</v>
      </c>
      <c r="M14" s="265">
        <f>LOOKUP($B$12, CEFF!$C$163:$C$330, CEFF!H$163:H$330)</f>
        <v>8.0909999999999996E-2</v>
      </c>
      <c r="N14" s="265">
        <f>LOOKUP($B$12, CEFF!$C$163:$C$330, CEFF!I$163:I$330)</f>
        <v>8.5250000000000006E-2</v>
      </c>
      <c r="O14" s="265">
        <f>LOOKUP($B$12, CEFF!$C$163:$C$330, CEFF!J$163:J$330)</f>
        <v>8.9450000000000002E-2</v>
      </c>
      <c r="P14" s="40"/>
      <c r="Q14" s="40"/>
      <c r="R14" s="45"/>
      <c r="S14" s="41"/>
      <c r="T14" s="60"/>
      <c r="U14" s="45"/>
      <c r="V14" s="45"/>
      <c r="W14" s="45"/>
      <c r="X14" s="45"/>
      <c r="Y14" s="45"/>
      <c r="Z14" s="45"/>
      <c r="AA14" s="45"/>
    </row>
    <row r="15" spans="2:27" s="39" customFormat="1" x14ac:dyDescent="0.3">
      <c r="B15" s="214" t="s">
        <v>74</v>
      </c>
      <c r="C15" s="210" t="str">
        <f>LOOKUP(B15, TRA_COMM_PRO!$C$17:$C$199, TRA_COMM_PRO!$D$17:$D$199)</f>
        <v>Bus.Urban.ELC.01.</v>
      </c>
      <c r="D15" s="214" t="s">
        <v>27</v>
      </c>
      <c r="E15" s="214"/>
      <c r="F15" s="214"/>
      <c r="G15" s="59">
        <f>$G$5</f>
        <v>2020</v>
      </c>
      <c r="H15" s="54">
        <f>$H$6</f>
        <v>10</v>
      </c>
      <c r="I15" s="157">
        <f>$I$6</f>
        <v>1E-3</v>
      </c>
      <c r="J15" s="62">
        <f>J12</f>
        <v>11</v>
      </c>
      <c r="K15" s="56"/>
      <c r="L15" s="269"/>
      <c r="M15" s="269"/>
      <c r="N15" s="269"/>
      <c r="O15" s="269"/>
      <c r="P15" s="54"/>
      <c r="Q15" s="54"/>
      <c r="R15" s="40"/>
      <c r="S15" s="55"/>
      <c r="T15" s="62">
        <f>LOOKUP(B15, FIXOM_VAROM!$C$8:$C$190, FIXOM_VAROM!$D$8:$D$190)</f>
        <v>8.0000000000000016E-2</v>
      </c>
      <c r="U15" s="40">
        <f>LOOKUP($B15, INVCOST!$C$8:$C$193, INVCOST!E$8:E$193)</f>
        <v>430</v>
      </c>
      <c r="V15" s="40">
        <f>LOOKUP($B15, INVCOST!$C$8:$C$193, INVCOST!F$8:F$193)</f>
        <v>430</v>
      </c>
      <c r="W15" s="40">
        <f>LOOKUP($B15, INVCOST!$C$8:$C$193, INVCOST!G$8:G$193)</f>
        <v>430</v>
      </c>
      <c r="X15" s="40">
        <f>LOOKUP($B15, INVCOST!$C$8:$C$193, INVCOST!H$8:H$193)</f>
        <v>430</v>
      </c>
      <c r="Y15" s="40">
        <f>LOOKUP($B15, INVCOST!$C$8:$C$193, INVCOST!I$8:I$193)</f>
        <v>430</v>
      </c>
      <c r="Z15" s="40">
        <f>LOOKUP($B15, INVCOST!$C$8:$C$193, INVCOST!J$8:J$193)</f>
        <v>430</v>
      </c>
      <c r="AA15" s="40">
        <f>LOOKUP($B15, INVCOST!$C$8:$C$193, INVCOST!K$8:K$193)</f>
        <v>430</v>
      </c>
    </row>
    <row r="16" spans="2:27" s="39" customFormat="1" x14ac:dyDescent="0.3">
      <c r="B16" s="211"/>
      <c r="C16" s="211"/>
      <c r="D16" s="211"/>
      <c r="E16" s="211"/>
      <c r="F16" s="211" t="s">
        <v>68</v>
      </c>
      <c r="G16" s="59"/>
      <c r="H16" s="40"/>
      <c r="I16" s="41"/>
      <c r="J16" s="60"/>
      <c r="K16" s="42"/>
      <c r="L16" s="265">
        <f>LOOKUP($B$15, CEFF!$C$163:$C$330, CEFF!G$163:G$330)</f>
        <v>0.17985999999999999</v>
      </c>
      <c r="M16" s="265">
        <f>LOOKUP($B$15, CEFF!$C$163:$C$330, CEFF!H$163:H$330)</f>
        <v>0.18970999999999999</v>
      </c>
      <c r="N16" s="265">
        <f>LOOKUP($B$15, CEFF!$C$163:$C$330, CEFF!I$163:I$330)</f>
        <v>0.19783999999999999</v>
      </c>
      <c r="O16" s="265">
        <f>LOOKUP($B$15, CEFF!$C$163:$C$330, CEFF!J$163:J$330)</f>
        <v>0.20982999999999999</v>
      </c>
      <c r="P16" s="40"/>
      <c r="Q16" s="40"/>
      <c r="R16" s="40"/>
      <c r="S16" s="41"/>
      <c r="T16" s="60"/>
      <c r="U16" s="40"/>
      <c r="V16" s="40"/>
      <c r="W16" s="40"/>
      <c r="X16" s="40"/>
      <c r="Y16" s="40"/>
      <c r="Z16" s="40"/>
      <c r="AA16" s="40"/>
    </row>
    <row r="17" spans="2:27" s="39" customFormat="1" x14ac:dyDescent="0.3">
      <c r="B17" s="212"/>
      <c r="C17" s="212"/>
      <c r="D17" s="212"/>
      <c r="E17" s="212"/>
      <c r="F17" s="212" t="s">
        <v>380</v>
      </c>
      <c r="G17" s="63"/>
      <c r="H17" s="45"/>
      <c r="I17" s="46"/>
      <c r="J17" s="64"/>
      <c r="K17" s="44"/>
      <c r="L17" s="265">
        <f>LOOKUP($B$15, CEFF!$C$163:$C$330, CEFF!G$163:G$330)</f>
        <v>0.17985999999999999</v>
      </c>
      <c r="M17" s="265">
        <f>LOOKUP($B$15, CEFF!$C$163:$C$330, CEFF!H$163:H$330)</f>
        <v>0.18970999999999999</v>
      </c>
      <c r="N17" s="265">
        <f>LOOKUP($B$15, CEFF!$C$163:$C$330, CEFF!I$163:I$330)</f>
        <v>0.19783999999999999</v>
      </c>
      <c r="O17" s="265">
        <f>LOOKUP($B$15, CEFF!$C$163:$C$330, CEFF!J$163:J$330)</f>
        <v>0.20982999999999999</v>
      </c>
      <c r="P17" s="45"/>
      <c r="Q17" s="45"/>
      <c r="R17" s="45"/>
      <c r="S17" s="46"/>
      <c r="T17" s="60"/>
      <c r="U17" s="45"/>
      <c r="V17" s="45"/>
      <c r="W17" s="45"/>
      <c r="X17" s="45"/>
      <c r="Y17" s="45"/>
      <c r="Z17" s="45"/>
      <c r="AA17" s="45"/>
    </row>
    <row r="18" spans="2:27" s="39" customFormat="1" x14ac:dyDescent="0.3">
      <c r="B18" s="214" t="s">
        <v>76</v>
      </c>
      <c r="C18" s="210" t="str">
        <f>LOOKUP(B18, TRA_COMM_PRO!$C$17:$C$199, TRA_COMM_PRO!$D$17:$D$199)</f>
        <v>Bus.Urban.ETH.01.</v>
      </c>
      <c r="D18" s="214" t="s">
        <v>51</v>
      </c>
      <c r="E18" s="214"/>
      <c r="F18" s="214"/>
      <c r="G18" s="59">
        <f>$G$5</f>
        <v>2020</v>
      </c>
      <c r="H18" s="54">
        <f>$H$6</f>
        <v>10</v>
      </c>
      <c r="I18" s="157">
        <f>$I$6</f>
        <v>1E-3</v>
      </c>
      <c r="J18" s="62">
        <f>J15</f>
        <v>11</v>
      </c>
      <c r="K18" s="56"/>
      <c r="L18" s="269"/>
      <c r="M18" s="269"/>
      <c r="N18" s="269"/>
      <c r="O18" s="269"/>
      <c r="P18" s="40"/>
      <c r="Q18" s="40"/>
      <c r="R18" s="40"/>
      <c r="S18" s="55"/>
      <c r="T18" s="62">
        <f>LOOKUP(B18, FIXOM_VAROM!$C$8:$C$190, FIXOM_VAROM!$D$8:$D$190)</f>
        <v>0.1</v>
      </c>
      <c r="U18" s="40">
        <f>LOOKUP($B18, INVCOST!$C$8:$C$193, INVCOST!E$8:E$193)</f>
        <v>260</v>
      </c>
      <c r="V18" s="40">
        <f>LOOKUP($B18, INVCOST!$C$8:$C$193, INVCOST!F$8:F$193)</f>
        <v>260</v>
      </c>
      <c r="W18" s="40">
        <f>LOOKUP($B18, INVCOST!$C$8:$C$193, INVCOST!G$8:G$193)</f>
        <v>260</v>
      </c>
      <c r="X18" s="40">
        <f>LOOKUP($B18, INVCOST!$C$8:$C$193, INVCOST!H$8:H$193)</f>
        <v>260</v>
      </c>
      <c r="Y18" s="40">
        <f>LOOKUP($B18, INVCOST!$C$8:$C$193, INVCOST!I$8:I$193)</f>
        <v>260</v>
      </c>
      <c r="Z18" s="40">
        <f>LOOKUP($B18, INVCOST!$C$8:$C$193, INVCOST!J$8:J$193)</f>
        <v>260</v>
      </c>
      <c r="AA18" s="40">
        <f>LOOKUP($B18, INVCOST!$C$8:$C$193, INVCOST!K$8:K$193)</f>
        <v>260</v>
      </c>
    </row>
    <row r="19" spans="2:27" s="39" customFormat="1" x14ac:dyDescent="0.3">
      <c r="B19" s="211"/>
      <c r="C19" s="211"/>
      <c r="D19" s="211"/>
      <c r="E19" s="211"/>
      <c r="F19" s="211" t="s">
        <v>68</v>
      </c>
      <c r="G19" s="59"/>
      <c r="H19" s="40"/>
      <c r="I19" s="41"/>
      <c r="J19" s="60"/>
      <c r="K19" s="42"/>
      <c r="L19" s="265">
        <f>LOOKUP($B$18, CEFF!$C$163:$C$330, CEFF!G$163:G$330)</f>
        <v>7.3130000000000001E-2</v>
      </c>
      <c r="M19" s="265">
        <f>LOOKUP($B$18, CEFF!$C$163:$C$330, CEFF!H$163:H$330)</f>
        <v>7.6859999999999998E-2</v>
      </c>
      <c r="N19" s="265">
        <f>LOOKUP($B$18, CEFF!$C$163:$C$330, CEFF!I$163:I$330)</f>
        <v>8.0990000000000006E-2</v>
      </c>
      <c r="O19" s="265">
        <f>LOOKUP($B$18, CEFF!$C$163:$C$330, CEFF!J$163:J$330)</f>
        <v>8.4970000000000004E-2</v>
      </c>
      <c r="P19" s="40"/>
      <c r="Q19" s="40"/>
      <c r="R19" s="40"/>
      <c r="S19" s="41"/>
      <c r="T19" s="60"/>
      <c r="U19" s="40"/>
      <c r="V19" s="40"/>
      <c r="W19" s="40"/>
      <c r="X19" s="40"/>
      <c r="Y19" s="40"/>
      <c r="Z19" s="40"/>
      <c r="AA19" s="40"/>
    </row>
    <row r="20" spans="2:27" s="39" customFormat="1" x14ac:dyDescent="0.3">
      <c r="B20" s="212"/>
      <c r="C20" s="212"/>
      <c r="D20" s="212"/>
      <c r="E20" s="212"/>
      <c r="F20" s="212" t="s">
        <v>380</v>
      </c>
      <c r="G20" s="63"/>
      <c r="H20" s="45"/>
      <c r="I20" s="46"/>
      <c r="J20" s="64"/>
      <c r="K20" s="44"/>
      <c r="L20" s="265">
        <f>LOOKUP($B$18, CEFF!$C$163:$C$330, CEFF!G$163:G$330)</f>
        <v>7.3130000000000001E-2</v>
      </c>
      <c r="M20" s="265">
        <f>LOOKUP($B$18, CEFF!$C$163:$C$330, CEFF!H$163:H$330)</f>
        <v>7.6859999999999998E-2</v>
      </c>
      <c r="N20" s="265">
        <f>LOOKUP($B$18, CEFF!$C$163:$C$330, CEFF!I$163:I$330)</f>
        <v>8.0990000000000006E-2</v>
      </c>
      <c r="O20" s="265">
        <f>LOOKUP($B$18, CEFF!$C$163:$C$330, CEFF!J$163:J$330)</f>
        <v>8.4970000000000004E-2</v>
      </c>
      <c r="P20" s="45"/>
      <c r="Q20" s="45"/>
      <c r="R20" s="45"/>
      <c r="S20" s="46"/>
      <c r="T20" s="60"/>
      <c r="U20" s="45"/>
      <c r="V20" s="45"/>
      <c r="W20" s="45"/>
      <c r="X20" s="45"/>
      <c r="Y20" s="45"/>
      <c r="Z20" s="45"/>
      <c r="AA20" s="45"/>
    </row>
    <row r="21" spans="2:27" s="39" customFormat="1" x14ac:dyDescent="0.3">
      <c r="B21" s="211" t="s">
        <v>78</v>
      </c>
      <c r="C21" s="210" t="str">
        <f>LOOKUP(B21, TRA_COMM_PRO!$C$17:$C$199, TRA_COMM_PRO!$D$17:$D$199)</f>
        <v>Bus.Urban.GAS.01.</v>
      </c>
      <c r="D21" s="211" t="s">
        <v>714</v>
      </c>
      <c r="E21" s="211"/>
      <c r="F21" s="211"/>
      <c r="G21" s="59">
        <f>$G$5</f>
        <v>2020</v>
      </c>
      <c r="H21" s="54">
        <f>$H$6</f>
        <v>10</v>
      </c>
      <c r="I21" s="157">
        <f>$I$6</f>
        <v>1E-3</v>
      </c>
      <c r="J21" s="62">
        <f>J18</f>
        <v>11</v>
      </c>
      <c r="K21" s="42"/>
      <c r="L21" s="269"/>
      <c r="M21" s="269"/>
      <c r="N21" s="269"/>
      <c r="O21" s="269"/>
      <c r="P21" s="40"/>
      <c r="Q21" s="40"/>
      <c r="R21" s="40"/>
      <c r="S21" s="41"/>
      <c r="T21" s="62">
        <f>LOOKUP(B21, FIXOM_VAROM!$C$8:$C$190, FIXOM_VAROM!$D$8:$D$190)</f>
        <v>0.1</v>
      </c>
      <c r="U21" s="40">
        <f>LOOKUP($B21, INVCOST!$C$8:$C$193, INVCOST!E$8:E$193)</f>
        <v>260</v>
      </c>
      <c r="V21" s="40">
        <f>LOOKUP($B21, INVCOST!$C$8:$C$193, INVCOST!F$8:F$193)</f>
        <v>260</v>
      </c>
      <c r="W21" s="40">
        <f>LOOKUP($B21, INVCOST!$C$8:$C$193, INVCOST!G$8:G$193)</f>
        <v>260</v>
      </c>
      <c r="X21" s="40">
        <f>LOOKUP($B21, INVCOST!$C$8:$C$193, INVCOST!H$8:H$193)</f>
        <v>260</v>
      </c>
      <c r="Y21" s="40">
        <f>LOOKUP($B21, INVCOST!$C$8:$C$193, INVCOST!I$8:I$193)</f>
        <v>260</v>
      </c>
      <c r="Z21" s="40">
        <f>LOOKUP($B21, INVCOST!$C$8:$C$193, INVCOST!J$8:J$193)</f>
        <v>260</v>
      </c>
      <c r="AA21" s="40">
        <f>LOOKUP($B21, INVCOST!$C$8:$C$193, INVCOST!K$8:K$193)</f>
        <v>260</v>
      </c>
    </row>
    <row r="22" spans="2:27" s="39" customFormat="1" x14ac:dyDescent="0.3">
      <c r="B22" s="211"/>
      <c r="C22" s="211"/>
      <c r="D22" s="211"/>
      <c r="E22" s="211"/>
      <c r="F22" s="211" t="s">
        <v>68</v>
      </c>
      <c r="G22" s="59"/>
      <c r="H22" s="40"/>
      <c r="I22" s="41"/>
      <c r="J22" s="60"/>
      <c r="K22" s="42"/>
      <c r="L22" s="265">
        <f>LOOKUP($B$21, CEFF!$C$163:$C$330, CEFF!G$163:G$330)</f>
        <v>5.1360000000000003E-2</v>
      </c>
      <c r="M22" s="265">
        <f>LOOKUP($B$21, CEFF!$C$163:$C$330, CEFF!H$163:H$330)</f>
        <v>5.4050000000000001E-2</v>
      </c>
      <c r="N22" s="265">
        <f>LOOKUP($B$21, CEFF!$C$163:$C$330, CEFF!I$163:I$330)</f>
        <v>5.679E-2</v>
      </c>
      <c r="O22" s="265">
        <f>LOOKUP($B$21, CEFF!$C$163:$C$330, CEFF!J$163:J$330)</f>
        <v>5.9769999999999997E-2</v>
      </c>
      <c r="P22" s="40"/>
      <c r="Q22" s="40"/>
      <c r="R22" s="40"/>
      <c r="S22" s="41"/>
      <c r="T22" s="60"/>
      <c r="U22" s="40"/>
      <c r="V22" s="40"/>
      <c r="W22" s="40"/>
      <c r="X22" s="40"/>
      <c r="Y22" s="40"/>
      <c r="Z22" s="40"/>
      <c r="AA22" s="40"/>
    </row>
    <row r="23" spans="2:27" s="39" customFormat="1" x14ac:dyDescent="0.3">
      <c r="B23" s="211"/>
      <c r="C23" s="212"/>
      <c r="D23" s="212"/>
      <c r="E23" s="211"/>
      <c r="F23" s="211" t="s">
        <v>380</v>
      </c>
      <c r="G23" s="63"/>
      <c r="H23" s="40"/>
      <c r="I23" s="41"/>
      <c r="J23" s="60"/>
      <c r="K23" s="42"/>
      <c r="L23" s="265">
        <f>LOOKUP($B$21, CEFF!$C$163:$C$330, CEFF!G$163:G$330)</f>
        <v>5.1360000000000003E-2</v>
      </c>
      <c r="M23" s="265">
        <f>LOOKUP($B$21, CEFF!$C$163:$C$330, CEFF!H$163:H$330)</f>
        <v>5.4050000000000001E-2</v>
      </c>
      <c r="N23" s="265">
        <f>LOOKUP($B$21, CEFF!$C$163:$C$330, CEFF!I$163:I$330)</f>
        <v>5.679E-2</v>
      </c>
      <c r="O23" s="265">
        <f>LOOKUP($B$21, CEFF!$C$163:$C$330, CEFF!J$163:J$330)</f>
        <v>5.9769999999999997E-2</v>
      </c>
      <c r="P23" s="40"/>
      <c r="Q23" s="40"/>
      <c r="R23" s="45"/>
      <c r="S23" s="41"/>
      <c r="T23" s="60"/>
      <c r="U23" s="45"/>
      <c r="V23" s="45"/>
      <c r="W23" s="45"/>
      <c r="X23" s="45"/>
      <c r="Y23" s="45"/>
      <c r="Z23" s="45"/>
      <c r="AA23" s="45"/>
    </row>
    <row r="24" spans="2:27" s="39" customFormat="1" x14ac:dyDescent="0.3">
      <c r="B24" s="214" t="s">
        <v>80</v>
      </c>
      <c r="C24" s="210" t="str">
        <f>LOOKUP(B24, TRA_COMM_PRO!$C$17:$C$199, TRA_COMM_PRO!$D$17:$D$199)</f>
        <v>Bus.Urban.GSL.01.</v>
      </c>
      <c r="D24" s="210" t="s">
        <v>713</v>
      </c>
      <c r="E24" s="214"/>
      <c r="F24" s="214"/>
      <c r="G24" s="59">
        <f>$G$5</f>
        <v>2020</v>
      </c>
      <c r="H24" s="54">
        <f>$H$6</f>
        <v>10</v>
      </c>
      <c r="I24" s="157">
        <f>$I$6</f>
        <v>1E-3</v>
      </c>
      <c r="J24" s="62">
        <f>J21</f>
        <v>11</v>
      </c>
      <c r="K24" s="56"/>
      <c r="L24" s="269"/>
      <c r="M24" s="269"/>
      <c r="N24" s="269"/>
      <c r="O24" s="269"/>
      <c r="P24" s="54"/>
      <c r="Q24" s="54"/>
      <c r="R24" s="40"/>
      <c r="S24" s="55"/>
      <c r="T24" s="62">
        <f>LOOKUP(B24, FIXOM_VAROM!$C$8:$C$190, FIXOM_VAROM!$D$8:$D$190)</f>
        <v>0.1</v>
      </c>
      <c r="U24" s="40">
        <f>LOOKUP($B24, INVCOST!$C$8:$C$193, INVCOST!E$8:E$193)</f>
        <v>260</v>
      </c>
      <c r="V24" s="40">
        <f>LOOKUP($B24, INVCOST!$C$8:$C$193, INVCOST!F$8:F$193)</f>
        <v>260</v>
      </c>
      <c r="W24" s="40">
        <f>LOOKUP($B24, INVCOST!$C$8:$C$193, INVCOST!G$8:G$193)</f>
        <v>260</v>
      </c>
      <c r="X24" s="40">
        <f>LOOKUP($B24, INVCOST!$C$8:$C$193, INVCOST!H$8:H$193)</f>
        <v>260</v>
      </c>
      <c r="Y24" s="40">
        <f>LOOKUP($B24, INVCOST!$C$8:$C$193, INVCOST!I$8:I$193)</f>
        <v>260</v>
      </c>
      <c r="Z24" s="40">
        <f>LOOKUP($B24, INVCOST!$C$8:$C$193, INVCOST!J$8:J$193)</f>
        <v>260</v>
      </c>
      <c r="AA24" s="40">
        <f>LOOKUP($B24, INVCOST!$C$8:$C$193, INVCOST!K$8:K$193)</f>
        <v>260</v>
      </c>
    </row>
    <row r="25" spans="2:27" s="39" customFormat="1" x14ac:dyDescent="0.3">
      <c r="B25" s="211"/>
      <c r="C25" s="211"/>
      <c r="D25" s="211"/>
      <c r="E25" s="211"/>
      <c r="F25" s="211" t="s">
        <v>68</v>
      </c>
      <c r="G25" s="59"/>
      <c r="H25" s="40"/>
      <c r="I25" s="41"/>
      <c r="J25" s="60"/>
      <c r="K25" s="42"/>
      <c r="L25" s="265">
        <f>LOOKUP($B$24, CEFF!$C$163:$C$330, CEFF!G$163:G$330)</f>
        <v>5.1360000000000003E-2</v>
      </c>
      <c r="M25" s="265">
        <f>LOOKUP($B$24, CEFF!$C$163:$C$330, CEFF!H$163:H$330)</f>
        <v>5.4050000000000001E-2</v>
      </c>
      <c r="N25" s="265">
        <f>LOOKUP($B$24, CEFF!$C$163:$C$330, CEFF!I$163:I$330)</f>
        <v>5.679E-2</v>
      </c>
      <c r="O25" s="265">
        <f>LOOKUP($B$24, CEFF!$C$163:$C$330, CEFF!J$163:J$330)</f>
        <v>5.9769999999999997E-2</v>
      </c>
      <c r="P25" s="40"/>
      <c r="Q25" s="40"/>
      <c r="R25" s="40"/>
      <c r="S25" s="41"/>
      <c r="T25" s="60"/>
      <c r="U25" s="40"/>
      <c r="V25" s="40"/>
      <c r="W25" s="40"/>
      <c r="X25" s="40"/>
      <c r="Y25" s="40"/>
      <c r="Z25" s="40"/>
      <c r="AA25" s="40"/>
    </row>
    <row r="26" spans="2:27" s="39" customFormat="1" x14ac:dyDescent="0.3">
      <c r="B26" s="212"/>
      <c r="C26" s="212"/>
      <c r="D26" s="212"/>
      <c r="E26" s="212"/>
      <c r="F26" s="212" t="s">
        <v>380</v>
      </c>
      <c r="G26" s="63"/>
      <c r="H26" s="45"/>
      <c r="I26" s="46"/>
      <c r="J26" s="64"/>
      <c r="K26" s="44"/>
      <c r="L26" s="265">
        <f>LOOKUP($B$24, CEFF!$C$163:$C$330, CEFF!G$163:G$330)</f>
        <v>5.1360000000000003E-2</v>
      </c>
      <c r="M26" s="265">
        <f>LOOKUP($B$24, CEFF!$C$163:$C$330, CEFF!H$163:H$330)</f>
        <v>5.4050000000000001E-2</v>
      </c>
      <c r="N26" s="265">
        <f>LOOKUP($B$24, CEFF!$C$163:$C$330, CEFF!I$163:I$330)</f>
        <v>5.679E-2</v>
      </c>
      <c r="O26" s="265">
        <f>LOOKUP($B$24, CEFF!$C$163:$C$330, CEFF!J$163:J$330)</f>
        <v>5.9769999999999997E-2</v>
      </c>
      <c r="P26" s="45"/>
      <c r="Q26" s="45"/>
      <c r="R26" s="45"/>
      <c r="S26" s="46"/>
      <c r="T26" s="60"/>
      <c r="U26" s="45"/>
      <c r="V26" s="45"/>
      <c r="W26" s="45"/>
      <c r="X26" s="45"/>
      <c r="Y26" s="45"/>
      <c r="Z26" s="45"/>
      <c r="AA26" s="45"/>
    </row>
    <row r="27" spans="2:27" s="39" customFormat="1" x14ac:dyDescent="0.3">
      <c r="B27" s="214" t="s">
        <v>82</v>
      </c>
      <c r="C27" s="210" t="str">
        <f>LOOKUP(B27, TRA_COMM_PRO!$C$17:$C$199, TRA_COMM_PRO!$D$17:$D$199)</f>
        <v>Bus.Urban.H2G.01.</v>
      </c>
      <c r="D27" s="214" t="s">
        <v>57</v>
      </c>
      <c r="E27" s="214"/>
      <c r="F27" s="214"/>
      <c r="G27" s="59">
        <f>$G$5</f>
        <v>2020</v>
      </c>
      <c r="H27" s="54">
        <f>$H$6</f>
        <v>10</v>
      </c>
      <c r="I27" s="157">
        <f>$I$6</f>
        <v>1E-3</v>
      </c>
      <c r="J27" s="62">
        <f>J30</f>
        <v>11</v>
      </c>
      <c r="K27" s="56"/>
      <c r="L27" s="269"/>
      <c r="M27" s="269"/>
      <c r="N27" s="269"/>
      <c r="O27" s="269"/>
      <c r="P27" s="54"/>
      <c r="Q27" s="54"/>
      <c r="R27" s="40"/>
      <c r="S27" s="55"/>
      <c r="T27" s="62">
        <f>LOOKUP(B27, FIXOM_VAROM!$C$8:$C$190, FIXOM_VAROM!$D$8:$D$190)</f>
        <v>8.0000000000000016E-2</v>
      </c>
      <c r="U27" s="40">
        <f>LOOKUP($B27, INVCOST!$C$8:$C$193, INVCOST!E$8:E$193)</f>
        <v>1000</v>
      </c>
      <c r="V27" s="40">
        <f>LOOKUP($B27, INVCOST!$C$8:$C$193, INVCOST!F$8:F$193)</f>
        <v>1000</v>
      </c>
      <c r="W27" s="40">
        <f>LOOKUP($B27, INVCOST!$C$8:$C$193, INVCOST!G$8:G$193)</f>
        <v>1000</v>
      </c>
      <c r="X27" s="40">
        <f>LOOKUP($B27, INVCOST!$C$8:$C$193, INVCOST!H$8:H$193)</f>
        <v>1000</v>
      </c>
      <c r="Y27" s="40">
        <f>LOOKUP($B27, INVCOST!$C$8:$C$193, INVCOST!I$8:I$193)</f>
        <v>1000</v>
      </c>
      <c r="Z27" s="40">
        <f>LOOKUP($B27, INVCOST!$C$8:$C$193, INVCOST!J$8:J$193)</f>
        <v>1000</v>
      </c>
      <c r="AA27" s="40">
        <f>LOOKUP($B27, INVCOST!$C$8:$C$193, INVCOST!K$8:K$193)</f>
        <v>1000</v>
      </c>
    </row>
    <row r="28" spans="2:27" s="39" customFormat="1" x14ac:dyDescent="0.3">
      <c r="B28" s="211"/>
      <c r="C28" s="211"/>
      <c r="D28" s="211"/>
      <c r="E28" s="211"/>
      <c r="F28" s="211" t="s">
        <v>68</v>
      </c>
      <c r="G28" s="59"/>
      <c r="H28" s="40"/>
      <c r="I28" s="41"/>
      <c r="J28" s="60"/>
      <c r="K28" s="42"/>
      <c r="L28" s="265">
        <f>LOOKUP($B$27, CEFF!$C$163:$C$330, CEFF!G$163:G$330)</f>
        <v>0.1283</v>
      </c>
      <c r="M28" s="265">
        <f>LOOKUP($B$27, CEFF!$C$163:$C$330, CEFF!H$163:H$330)</f>
        <v>0.13483999999999999</v>
      </c>
      <c r="N28" s="265">
        <f>LOOKUP($B$27, CEFF!$C$163:$C$330, CEFF!I$163:I$330)</f>
        <v>0.14208999999999999</v>
      </c>
      <c r="O28" s="265">
        <f>LOOKUP($B$27, CEFF!$C$163:$C$330, CEFF!J$163:J$330)</f>
        <v>0.14907999999999999</v>
      </c>
      <c r="P28" s="40"/>
      <c r="Q28" s="40"/>
      <c r="R28" s="40"/>
      <c r="S28" s="41"/>
      <c r="T28" s="60"/>
      <c r="U28" s="40"/>
      <c r="V28" s="40"/>
      <c r="W28" s="40"/>
      <c r="X28" s="40"/>
      <c r="Y28" s="40"/>
      <c r="Z28" s="40"/>
      <c r="AA28" s="40"/>
    </row>
    <row r="29" spans="2:27" s="39" customFormat="1" x14ac:dyDescent="0.3">
      <c r="B29" s="212"/>
      <c r="C29" s="212"/>
      <c r="D29" s="212"/>
      <c r="E29" s="212"/>
      <c r="F29" s="212" t="s">
        <v>380</v>
      </c>
      <c r="G29" s="63"/>
      <c r="H29" s="45"/>
      <c r="I29" s="46"/>
      <c r="J29" s="64"/>
      <c r="K29" s="44"/>
      <c r="L29" s="265">
        <f>LOOKUP($B$27, CEFF!$C$163:$C$330, CEFF!G$163:G$330)</f>
        <v>0.1283</v>
      </c>
      <c r="M29" s="265">
        <f>LOOKUP($B$27, CEFF!$C$163:$C$330, CEFF!H$163:H$330)</f>
        <v>0.13483999999999999</v>
      </c>
      <c r="N29" s="265">
        <f>LOOKUP($B$27, CEFF!$C$163:$C$330, CEFF!I$163:I$330)</f>
        <v>0.14208999999999999</v>
      </c>
      <c r="O29" s="265">
        <f>LOOKUP($B$27, CEFF!$C$163:$C$330, CEFF!J$163:J$330)</f>
        <v>0.14907999999999999</v>
      </c>
      <c r="P29" s="45"/>
      <c r="Q29" s="45"/>
      <c r="R29" s="45"/>
      <c r="S29" s="46"/>
      <c r="T29" s="60"/>
      <c r="U29" s="45"/>
      <c r="V29" s="45"/>
      <c r="W29" s="45"/>
      <c r="X29" s="45"/>
      <c r="Y29" s="45"/>
      <c r="Z29" s="45"/>
      <c r="AA29" s="45"/>
    </row>
    <row r="30" spans="2:27" s="39" customFormat="1" x14ac:dyDescent="0.3">
      <c r="B30" s="214" t="s">
        <v>352</v>
      </c>
      <c r="C30" s="210" t="str">
        <f>LOOKUP(B30, TRA_COMM_PRO!$C$17:$C$199, TRA_COMM_PRO!$D$17:$D$199)</f>
        <v>Bus.Urban.Hybrid.DST.01.</v>
      </c>
      <c r="D30" s="211" t="s">
        <v>712</v>
      </c>
      <c r="E30" s="214"/>
      <c r="F30" s="214"/>
      <c r="G30" s="59">
        <f>$G$5</f>
        <v>2020</v>
      </c>
      <c r="H30" s="54">
        <f>$H$6</f>
        <v>10</v>
      </c>
      <c r="I30" s="157">
        <f>$I$6</f>
        <v>1E-3</v>
      </c>
      <c r="J30" s="62">
        <f>J24</f>
        <v>11</v>
      </c>
      <c r="K30" s="56"/>
      <c r="L30" s="269"/>
      <c r="M30" s="269"/>
      <c r="N30" s="269"/>
      <c r="O30" s="269"/>
      <c r="P30" s="40"/>
      <c r="Q30" s="40"/>
      <c r="R30" s="40"/>
      <c r="S30" s="56"/>
      <c r="T30" s="62">
        <f>LOOKUP(B30, FIXOM_VAROM!$C$8:$C$190, FIXOM_VAROM!$D$8:$D$190)</f>
        <v>0.1</v>
      </c>
      <c r="U30" s="40">
        <f>LOOKUP($B30, INVCOST!$C$8:$C$193, INVCOST!E$8:E$193)</f>
        <v>602</v>
      </c>
      <c r="V30" s="40">
        <f>LOOKUP($B30, INVCOST!$C$8:$C$193, INVCOST!F$8:F$193)</f>
        <v>602</v>
      </c>
      <c r="W30" s="40">
        <f>LOOKUP($B30, INVCOST!$C$8:$C$193, INVCOST!G$8:G$193)</f>
        <v>602</v>
      </c>
      <c r="X30" s="40">
        <f>LOOKUP($B30, INVCOST!$C$8:$C$193, INVCOST!H$8:H$193)</f>
        <v>602</v>
      </c>
      <c r="Y30" s="40">
        <f>LOOKUP($B30, INVCOST!$C$8:$C$193, INVCOST!I$8:I$193)</f>
        <v>602</v>
      </c>
      <c r="Z30" s="40">
        <f>LOOKUP($B30, INVCOST!$C$8:$C$193, INVCOST!J$8:J$193)</f>
        <v>602</v>
      </c>
      <c r="AA30" s="40">
        <f>LOOKUP($B30, INVCOST!$C$8:$C$193, INVCOST!K$8:K$193)</f>
        <v>602</v>
      </c>
    </row>
    <row r="31" spans="2:27" s="39" customFormat="1" x14ac:dyDescent="0.3">
      <c r="B31" s="211"/>
      <c r="C31" s="211"/>
      <c r="D31" s="211"/>
      <c r="E31" s="211"/>
      <c r="F31" s="211" t="s">
        <v>68</v>
      </c>
      <c r="G31" s="59"/>
      <c r="H31" s="40"/>
      <c r="I31" s="41"/>
      <c r="J31" s="60"/>
      <c r="K31" s="42"/>
      <c r="L31" s="265">
        <f>LOOKUP($B$30, CEFF!$C$163:$C$330, CEFF!G$163:G$330)</f>
        <v>0.1283</v>
      </c>
      <c r="M31" s="265">
        <f>LOOKUP($B$30, CEFF!$C$163:$C$330, CEFF!H$163:H$330)</f>
        <v>0.13483999999999999</v>
      </c>
      <c r="N31" s="265">
        <f>LOOKUP($B$30, CEFF!$C$163:$C$330, CEFF!I$163:I$330)</f>
        <v>0.14208999999999999</v>
      </c>
      <c r="O31" s="265">
        <f>LOOKUP($B$30, CEFF!$C$163:$C$330, CEFF!J$163:J$330)</f>
        <v>0.14907999999999999</v>
      </c>
      <c r="P31" s="40"/>
      <c r="Q31" s="40"/>
      <c r="R31" s="40"/>
      <c r="S31" s="41"/>
      <c r="T31" s="60"/>
      <c r="U31" s="40"/>
      <c r="V31" s="40"/>
      <c r="W31" s="40"/>
      <c r="X31" s="40"/>
      <c r="Y31" s="40"/>
      <c r="Z31" s="40"/>
      <c r="AA31" s="40"/>
    </row>
    <row r="32" spans="2:27" s="39" customFormat="1" x14ac:dyDescent="0.3">
      <c r="B32" s="211"/>
      <c r="C32" s="212"/>
      <c r="D32" s="212"/>
      <c r="E32" s="211"/>
      <c r="F32" s="211" t="s">
        <v>380</v>
      </c>
      <c r="G32" s="63"/>
      <c r="H32" s="40"/>
      <c r="I32" s="41"/>
      <c r="J32" s="60"/>
      <c r="K32" s="42"/>
      <c r="L32" s="265">
        <f>LOOKUP($B$30, CEFF!$C$163:$C$330, CEFF!G$163:G$330)</f>
        <v>0.1283</v>
      </c>
      <c r="M32" s="265">
        <f>LOOKUP($B$30, CEFF!$C$163:$C$330, CEFF!H$163:H$330)</f>
        <v>0.13483999999999999</v>
      </c>
      <c r="N32" s="265">
        <f>LOOKUP($B$30, CEFF!$C$163:$C$330, CEFF!I$163:I$330)</f>
        <v>0.14208999999999999</v>
      </c>
      <c r="O32" s="265">
        <f>LOOKUP($B$30, CEFF!$C$163:$C$330, CEFF!J$163:J$330)</f>
        <v>0.14907999999999999</v>
      </c>
      <c r="P32" s="40"/>
      <c r="Q32" s="40"/>
      <c r="R32" s="45"/>
      <c r="S32" s="41"/>
      <c r="T32" s="60"/>
      <c r="U32" s="45"/>
      <c r="V32" s="45"/>
      <c r="W32" s="45"/>
      <c r="X32" s="45"/>
      <c r="Y32" s="45"/>
      <c r="Z32" s="45"/>
      <c r="AA32" s="45"/>
    </row>
    <row r="33" spans="2:27" s="39" customFormat="1" x14ac:dyDescent="0.3">
      <c r="B33" s="214" t="s">
        <v>389</v>
      </c>
      <c r="C33" s="210" t="str">
        <f>LOOKUP(B33, TRA_COMM_PRO!$C$17:$C$199, TRA_COMM_PRO!$D$17:$D$199)</f>
        <v>Bus.Urban.Hybrid.GSL.01.</v>
      </c>
      <c r="D33" s="211" t="s">
        <v>713</v>
      </c>
      <c r="E33" s="214"/>
      <c r="F33" s="214"/>
      <c r="G33" s="59">
        <f>$G$5</f>
        <v>2020</v>
      </c>
      <c r="H33" s="54">
        <f>$H$6</f>
        <v>10</v>
      </c>
      <c r="I33" s="157">
        <f>$I$6</f>
        <v>1E-3</v>
      </c>
      <c r="J33" s="62">
        <f>J30</f>
        <v>11</v>
      </c>
      <c r="K33" s="56"/>
      <c r="L33" s="269"/>
      <c r="M33" s="269"/>
      <c r="N33" s="269"/>
      <c r="O33" s="269"/>
      <c r="P33" s="54"/>
      <c r="Q33" s="54"/>
      <c r="R33" s="40"/>
      <c r="S33" s="55"/>
      <c r="T33" s="62">
        <f>LOOKUP(B33, FIXOM_VAROM!$C$8:$C$190, FIXOM_VAROM!$D$8:$D$190)</f>
        <v>0.1</v>
      </c>
      <c r="U33" s="40">
        <f>LOOKUP($B33, INVCOST!$C$8:$C$193, INVCOST!E$8:E$193)</f>
        <v>602</v>
      </c>
      <c r="V33" s="40">
        <f>LOOKUP($B33, INVCOST!$C$8:$C$193, INVCOST!F$8:F$193)</f>
        <v>602</v>
      </c>
      <c r="W33" s="40">
        <f>LOOKUP($B33, INVCOST!$C$8:$C$193, INVCOST!G$8:G$193)</f>
        <v>602</v>
      </c>
      <c r="X33" s="40">
        <f>LOOKUP($B33, INVCOST!$C$8:$C$193, INVCOST!H$8:H$193)</f>
        <v>602</v>
      </c>
      <c r="Y33" s="40">
        <f>LOOKUP($B33, INVCOST!$C$8:$C$193, INVCOST!I$8:I$193)</f>
        <v>602</v>
      </c>
      <c r="Z33" s="40">
        <f>LOOKUP($B33, INVCOST!$C$8:$C$193, INVCOST!J$8:J$193)</f>
        <v>602</v>
      </c>
      <c r="AA33" s="40">
        <f>LOOKUP($B33, INVCOST!$C$8:$C$193, INVCOST!K$8:K$193)</f>
        <v>602</v>
      </c>
    </row>
    <row r="34" spans="2:27" s="39" customFormat="1" x14ac:dyDescent="0.3">
      <c r="B34" s="211"/>
      <c r="C34" s="211"/>
      <c r="D34" s="211"/>
      <c r="E34" s="211"/>
      <c r="F34" s="211" t="s">
        <v>68</v>
      </c>
      <c r="G34" s="59"/>
      <c r="H34" s="40"/>
      <c r="I34" s="41"/>
      <c r="J34" s="60"/>
      <c r="K34" s="42"/>
      <c r="L34" s="265">
        <f>LOOKUP($B$33, CEFF!$C$163:$C$330, CEFF!G$163:G$330)</f>
        <v>0.1283</v>
      </c>
      <c r="M34" s="265">
        <f>LOOKUP($B$33, CEFF!$C$163:$C$330, CEFF!H$163:H$330)</f>
        <v>0.13483999999999999</v>
      </c>
      <c r="N34" s="265">
        <f>LOOKUP($B$33, CEFF!$C$163:$C$330, CEFF!I$163:I$330)</f>
        <v>0.14208999999999999</v>
      </c>
      <c r="O34" s="265">
        <f>LOOKUP($B$33, CEFF!$C$163:$C$330, CEFF!J$163:J$330)</f>
        <v>0.14907999999999999</v>
      </c>
      <c r="P34" s="40"/>
      <c r="Q34" s="40"/>
      <c r="R34" s="40"/>
      <c r="S34" s="41"/>
      <c r="T34" s="60"/>
      <c r="U34" s="40"/>
      <c r="V34" s="40"/>
      <c r="W34" s="40"/>
      <c r="X34" s="40"/>
      <c r="Y34" s="40"/>
      <c r="Z34" s="40"/>
      <c r="AA34" s="40"/>
    </row>
    <row r="35" spans="2:27" s="39" customFormat="1" x14ac:dyDescent="0.3">
      <c r="B35" s="212"/>
      <c r="C35" s="212"/>
      <c r="D35" s="212"/>
      <c r="E35" s="212"/>
      <c r="F35" s="212" t="s">
        <v>380</v>
      </c>
      <c r="G35" s="63"/>
      <c r="H35" s="45"/>
      <c r="I35" s="46"/>
      <c r="J35" s="64"/>
      <c r="K35" s="44"/>
      <c r="L35" s="265">
        <f>LOOKUP($B$33, CEFF!$C$163:$C$330, CEFF!G$163:G$330)</f>
        <v>0.1283</v>
      </c>
      <c r="M35" s="265">
        <f>LOOKUP($B$33, CEFF!$C$163:$C$330, CEFF!H$163:H$330)</f>
        <v>0.13483999999999999</v>
      </c>
      <c r="N35" s="265">
        <f>LOOKUP($B$33, CEFF!$C$163:$C$330, CEFF!I$163:I$330)</f>
        <v>0.14208999999999999</v>
      </c>
      <c r="O35" s="265">
        <f>LOOKUP($B$33, CEFF!$C$163:$C$330, CEFF!J$163:J$330)</f>
        <v>0.14907999999999999</v>
      </c>
      <c r="P35" s="45"/>
      <c r="Q35" s="45"/>
      <c r="R35" s="45"/>
      <c r="S35" s="46"/>
      <c r="T35" s="60"/>
      <c r="U35" s="45"/>
      <c r="V35" s="45"/>
      <c r="W35" s="45"/>
      <c r="X35" s="45"/>
      <c r="Y35" s="45"/>
      <c r="Z35" s="45"/>
      <c r="AA35" s="45"/>
    </row>
    <row r="36" spans="2:27" s="39" customFormat="1" x14ac:dyDescent="0.3">
      <c r="B36" s="211" t="s">
        <v>84</v>
      </c>
      <c r="C36" s="210" t="str">
        <f>LOOKUP(B36, TRA_COMM_PRO!$C$17:$C$199, TRA_COMM_PRO!$D$17:$D$199)</f>
        <v>Bus.Urban.LPG.01</v>
      </c>
      <c r="D36" s="211" t="s">
        <v>62</v>
      </c>
      <c r="E36" s="211"/>
      <c r="F36" s="211"/>
      <c r="G36" s="59">
        <f>$G$5</f>
        <v>2020</v>
      </c>
      <c r="H36" s="54">
        <f>$H$6</f>
        <v>10</v>
      </c>
      <c r="I36" s="157">
        <f>$I$6</f>
        <v>1E-3</v>
      </c>
      <c r="J36" s="60">
        <f>J27</f>
        <v>11</v>
      </c>
      <c r="K36" s="42"/>
      <c r="L36" s="269"/>
      <c r="M36" s="269"/>
      <c r="N36" s="269"/>
      <c r="O36" s="269"/>
      <c r="P36" s="40"/>
      <c r="Q36" s="40"/>
      <c r="R36" s="40"/>
      <c r="S36" s="41"/>
      <c r="T36" s="62">
        <f>LOOKUP(B36, FIXOM_VAROM!$C$8:$C$190, FIXOM_VAROM!$D$8:$D$190)</f>
        <v>8.0000000000000016E-2</v>
      </c>
      <c r="U36" s="40">
        <f>LOOKUP($B36, INVCOST!$C$8:$C$193, INVCOST!E$8:E$193)</f>
        <v>260</v>
      </c>
      <c r="V36" s="40">
        <f>LOOKUP($B36, INVCOST!$C$8:$C$193, INVCOST!F$8:F$193)</f>
        <v>260</v>
      </c>
      <c r="W36" s="40">
        <f>LOOKUP($B36, INVCOST!$C$8:$C$193, INVCOST!G$8:G$193)</f>
        <v>260</v>
      </c>
      <c r="X36" s="40">
        <f>LOOKUP($B36, INVCOST!$C$8:$C$193, INVCOST!H$8:H$193)</f>
        <v>260</v>
      </c>
      <c r="Y36" s="40">
        <f>LOOKUP($B36, INVCOST!$C$8:$C$193, INVCOST!I$8:I$193)</f>
        <v>260</v>
      </c>
      <c r="Z36" s="40">
        <f>LOOKUP($B36, INVCOST!$C$8:$C$193, INVCOST!J$8:J$193)</f>
        <v>260</v>
      </c>
      <c r="AA36" s="40">
        <f>LOOKUP($B36, INVCOST!$C$8:$C$193, INVCOST!K$8:K$193)</f>
        <v>260</v>
      </c>
    </row>
    <row r="37" spans="2:27" s="39" customFormat="1" x14ac:dyDescent="0.3">
      <c r="B37" s="211"/>
      <c r="C37" s="211"/>
      <c r="D37" s="211"/>
      <c r="E37" s="211"/>
      <c r="F37" s="211" t="s">
        <v>68</v>
      </c>
      <c r="G37" s="59"/>
      <c r="H37" s="40"/>
      <c r="I37" s="41"/>
      <c r="J37" s="60"/>
      <c r="K37" s="42"/>
      <c r="L37" s="265">
        <f>LOOKUP($B$36, CEFF!$C$163:$C$330, CEFF!G$163:G$330)</f>
        <v>5.1360000000000003E-2</v>
      </c>
      <c r="M37" s="265">
        <f>LOOKUP($B$36, CEFF!$C$163:$C$330, CEFF!H$163:H$330)</f>
        <v>5.4050000000000001E-2</v>
      </c>
      <c r="N37" s="265">
        <f>LOOKUP($B$36, CEFF!$C$163:$C$330, CEFF!I$163:I$330)</f>
        <v>5.679E-2</v>
      </c>
      <c r="O37" s="265">
        <f>LOOKUP($B$36, CEFF!$C$163:$C$330, CEFF!J$163:J$330)</f>
        <v>5.9769999999999997E-2</v>
      </c>
      <c r="P37" s="40"/>
      <c r="Q37" s="40"/>
      <c r="R37" s="40"/>
      <c r="S37" s="41"/>
      <c r="T37" s="60"/>
      <c r="U37" s="40"/>
      <c r="V37" s="40"/>
      <c r="W37" s="40"/>
      <c r="X37" s="40"/>
      <c r="Y37" s="40"/>
      <c r="Z37" s="40"/>
      <c r="AA37" s="40"/>
    </row>
    <row r="38" spans="2:27" s="39" customFormat="1" x14ac:dyDescent="0.3">
      <c r="B38" s="211"/>
      <c r="C38" s="212"/>
      <c r="D38" s="211"/>
      <c r="E38" s="211"/>
      <c r="F38" s="211" t="s">
        <v>380</v>
      </c>
      <c r="G38" s="63"/>
      <c r="H38" s="40"/>
      <c r="I38" s="41"/>
      <c r="J38" s="60"/>
      <c r="K38" s="42"/>
      <c r="L38" s="265">
        <f>LOOKUP($B$36, CEFF!$C$163:$C$330, CEFF!G$163:G$330)</f>
        <v>5.1360000000000003E-2</v>
      </c>
      <c r="M38" s="265">
        <f>LOOKUP($B$36, CEFF!$C$163:$C$330, CEFF!H$163:H$330)</f>
        <v>5.4050000000000001E-2</v>
      </c>
      <c r="N38" s="265">
        <f>LOOKUP($B$36, CEFF!$C$163:$C$330, CEFF!I$163:I$330)</f>
        <v>5.679E-2</v>
      </c>
      <c r="O38" s="265">
        <f>LOOKUP($B$36, CEFF!$C$163:$C$330, CEFF!J$163:J$330)</f>
        <v>5.9769999999999997E-2</v>
      </c>
      <c r="P38" s="45"/>
      <c r="Q38" s="45"/>
      <c r="R38" s="45"/>
      <c r="S38" s="41"/>
      <c r="T38" s="60"/>
      <c r="U38" s="45"/>
      <c r="V38" s="45"/>
      <c r="W38" s="45"/>
      <c r="X38" s="45"/>
      <c r="Y38" s="45"/>
      <c r="Z38" s="45"/>
      <c r="AA38" s="45"/>
    </row>
    <row r="39" spans="2:27" s="39" customFormat="1" x14ac:dyDescent="0.3">
      <c r="B39" s="214" t="s">
        <v>605</v>
      </c>
      <c r="C39" s="210" t="str">
        <f>LOOKUP(B39, TRA_COMM_PRO!$C$17:$C$199, TRA_COMM_PRO!$D$17:$D$199)</f>
        <v>Bus.Urban.MTH.01.</v>
      </c>
      <c r="D39" s="214" t="s">
        <v>599</v>
      </c>
      <c r="E39" s="214"/>
      <c r="F39" s="214"/>
      <c r="G39" s="59">
        <f>$G$5</f>
        <v>2020</v>
      </c>
      <c r="H39" s="54">
        <f>$H$6</f>
        <v>10</v>
      </c>
      <c r="I39" s="157">
        <f>$I$6</f>
        <v>1E-3</v>
      </c>
      <c r="J39" s="62">
        <f>J27</f>
        <v>11</v>
      </c>
      <c r="K39" s="56"/>
      <c r="L39" s="269"/>
      <c r="M39" s="269"/>
      <c r="N39" s="269"/>
      <c r="O39" s="269"/>
      <c r="P39" s="40"/>
      <c r="Q39" s="40"/>
      <c r="R39" s="40"/>
      <c r="S39" s="55"/>
      <c r="T39" s="62">
        <f>LOOKUP(B39, FIXOM_VAROM!$C$8:$C$190, FIXOM_VAROM!$D$8:$D$190)</f>
        <v>0.1</v>
      </c>
      <c r="U39" s="40">
        <f>LOOKUP($B39, INVCOST!$C$8:$C$193, INVCOST!E$8:E$193)</f>
        <v>312</v>
      </c>
      <c r="V39" s="40">
        <f>LOOKUP($B39, INVCOST!$C$8:$C$193, INVCOST!F$8:F$193)</f>
        <v>312</v>
      </c>
      <c r="W39" s="40">
        <f>LOOKUP($B39, INVCOST!$C$8:$C$193, INVCOST!G$8:G$193)</f>
        <v>312</v>
      </c>
      <c r="X39" s="40">
        <f>LOOKUP($B39, INVCOST!$C$8:$C$193, INVCOST!H$8:H$193)</f>
        <v>312</v>
      </c>
      <c r="Y39" s="40">
        <f>LOOKUP($B39, INVCOST!$C$8:$C$193, INVCOST!I$8:I$193)</f>
        <v>312</v>
      </c>
      <c r="Z39" s="40">
        <f>LOOKUP($B39, INVCOST!$C$8:$C$193, INVCOST!J$8:J$193)</f>
        <v>312</v>
      </c>
      <c r="AA39" s="40">
        <f>LOOKUP($B39, INVCOST!$C$8:$C$193, INVCOST!K$8:K$193)</f>
        <v>312</v>
      </c>
    </row>
    <row r="40" spans="2:27" s="39" customFormat="1" x14ac:dyDescent="0.3">
      <c r="B40" s="211"/>
      <c r="C40" s="211"/>
      <c r="D40" s="211"/>
      <c r="E40" s="211"/>
      <c r="F40" s="211" t="s">
        <v>68</v>
      </c>
      <c r="G40" s="59"/>
      <c r="H40" s="40"/>
      <c r="I40" s="41"/>
      <c r="J40" s="60"/>
      <c r="K40" s="42"/>
      <c r="L40" s="265">
        <f>LOOKUP($B$39, CEFF!$C$163:$C$330, CEFF!G$163:G$330)</f>
        <v>5.1360000000000003E-2</v>
      </c>
      <c r="M40" s="265">
        <f>LOOKUP($B$39, CEFF!$C$163:$C$330, CEFF!H$163:H$330)</f>
        <v>5.4050000000000001E-2</v>
      </c>
      <c r="N40" s="265">
        <f>LOOKUP($B$39, CEFF!$C$163:$C$330, CEFF!I$163:I$330)</f>
        <v>5.679E-2</v>
      </c>
      <c r="O40" s="265">
        <f>LOOKUP($B$39, CEFF!$C$163:$C$330, CEFF!J$163:J$330)</f>
        <v>5.9769999999999997E-2</v>
      </c>
      <c r="P40" s="40"/>
      <c r="Q40" s="40"/>
      <c r="R40" s="40"/>
      <c r="S40" s="41"/>
      <c r="T40" s="60"/>
      <c r="U40" s="40"/>
      <c r="V40" s="40"/>
      <c r="W40" s="40"/>
      <c r="X40" s="40"/>
      <c r="Y40" s="40"/>
      <c r="Z40" s="40"/>
      <c r="AA40" s="40"/>
    </row>
    <row r="41" spans="2:27" s="39" customFormat="1" x14ac:dyDescent="0.3">
      <c r="B41" s="211"/>
      <c r="C41" s="212"/>
      <c r="D41" s="211"/>
      <c r="E41" s="211"/>
      <c r="F41" s="211" t="s">
        <v>380</v>
      </c>
      <c r="G41" s="63"/>
      <c r="H41" s="40"/>
      <c r="I41" s="41"/>
      <c r="J41" s="60"/>
      <c r="K41" s="42"/>
      <c r="L41" s="265">
        <f>LOOKUP($B$39, CEFF!$C$163:$C$330, CEFF!G$163:G$330)</f>
        <v>5.1360000000000003E-2</v>
      </c>
      <c r="M41" s="265">
        <f>LOOKUP($B$39, CEFF!$C$163:$C$330, CEFF!H$163:H$330)</f>
        <v>5.4050000000000001E-2</v>
      </c>
      <c r="N41" s="265">
        <f>LOOKUP($B$39, CEFF!$C$163:$C$330, CEFF!I$163:I$330)</f>
        <v>5.679E-2</v>
      </c>
      <c r="O41" s="265">
        <f>LOOKUP($B$39, CEFF!$C$163:$C$330, CEFF!J$163:J$330)</f>
        <v>5.9769999999999997E-2</v>
      </c>
      <c r="P41" s="40"/>
      <c r="Q41" s="40"/>
      <c r="R41" s="45"/>
      <c r="S41" s="41"/>
      <c r="T41" s="60"/>
      <c r="U41" s="45"/>
      <c r="V41" s="45"/>
      <c r="W41" s="45"/>
      <c r="X41" s="45"/>
      <c r="Y41" s="45"/>
      <c r="Z41" s="45"/>
      <c r="AA41" s="45"/>
    </row>
    <row r="42" spans="2:27" s="39" customFormat="1" x14ac:dyDescent="0.3">
      <c r="B42" s="214" t="s">
        <v>354</v>
      </c>
      <c r="C42" s="210" t="str">
        <f>LOOKUP(B42, TRA_COMM_PRO!$C$17:$C$199, TRA_COMM_PRO!$D$17:$D$199)</f>
        <v>Bus.Urban.Plugin-Hybrid.DST.01.</v>
      </c>
      <c r="D42" s="214" t="s">
        <v>712</v>
      </c>
      <c r="E42" s="214"/>
      <c r="F42" s="214"/>
      <c r="G42" s="59">
        <f>$G$5</f>
        <v>2020</v>
      </c>
      <c r="H42" s="54">
        <f>$H$6</f>
        <v>10</v>
      </c>
      <c r="I42" s="157">
        <f>$I$6</f>
        <v>1E-3</v>
      </c>
      <c r="J42" s="62">
        <f>J39</f>
        <v>11</v>
      </c>
      <c r="K42" s="56"/>
      <c r="L42" s="269"/>
      <c r="M42" s="269"/>
      <c r="N42" s="269"/>
      <c r="O42" s="269"/>
      <c r="P42" s="54"/>
      <c r="Q42" s="54"/>
      <c r="R42" s="40"/>
      <c r="S42" s="55"/>
      <c r="T42" s="62">
        <f>LOOKUP(B42, FIXOM_VAROM!$C$8:$C$190, FIXOM_VAROM!$D$8:$D$190)</f>
        <v>0.1</v>
      </c>
      <c r="U42" s="40">
        <f>LOOKUP($B42, INVCOST!$C$8:$C$193, INVCOST!E$8:E$193)</f>
        <v>722.4</v>
      </c>
      <c r="V42" s="40">
        <f>LOOKUP($B42, INVCOST!$C$8:$C$193, INVCOST!F$8:F$193)</f>
        <v>722.4</v>
      </c>
      <c r="W42" s="40">
        <f>LOOKUP($B42, INVCOST!$C$8:$C$193, INVCOST!G$8:G$193)</f>
        <v>722.4</v>
      </c>
      <c r="X42" s="40">
        <f>LOOKUP($B42, INVCOST!$C$8:$C$193, INVCOST!H$8:H$193)</f>
        <v>722.4</v>
      </c>
      <c r="Y42" s="40">
        <f>LOOKUP($B42, INVCOST!$C$8:$C$193, INVCOST!I$8:I$193)</f>
        <v>722.4</v>
      </c>
      <c r="Z42" s="40">
        <f>LOOKUP($B42, INVCOST!$C$8:$C$193, INVCOST!J$8:J$193)</f>
        <v>722.4</v>
      </c>
      <c r="AA42" s="40">
        <f>LOOKUP($B42, INVCOST!$C$8:$C$193, INVCOST!K$8:K$193)</f>
        <v>722.4</v>
      </c>
    </row>
    <row r="43" spans="2:27" s="39" customFormat="1" x14ac:dyDescent="0.3">
      <c r="B43" s="211"/>
      <c r="C43" s="211"/>
      <c r="D43" s="211"/>
      <c r="E43" s="211"/>
      <c r="F43" s="211" t="s">
        <v>68</v>
      </c>
      <c r="G43" s="50"/>
      <c r="H43" s="40"/>
      <c r="I43" s="65"/>
      <c r="J43" s="60"/>
      <c r="K43" s="42"/>
      <c r="L43" s="265">
        <f>LOOKUP($B$42, CEFF!$C$163:$C$330, CEFF!G$163:G$330)</f>
        <v>0.10997</v>
      </c>
      <c r="M43" s="265">
        <f>LOOKUP($B$42, CEFF!$C$163:$C$330, CEFF!H$163:H$330)</f>
        <v>0.11558</v>
      </c>
      <c r="N43" s="265">
        <f>LOOKUP($B$42, CEFF!$C$163:$C$330, CEFF!I$163:I$330)</f>
        <v>0.12179</v>
      </c>
      <c r="O43" s="265">
        <f>LOOKUP($B$42, CEFF!$C$163:$C$330, CEFF!J$163:J$330)</f>
        <v>0.12778</v>
      </c>
      <c r="P43" s="40"/>
      <c r="Q43" s="40"/>
      <c r="R43" s="40"/>
      <c r="S43" s="41"/>
      <c r="T43" s="60"/>
      <c r="U43" s="40"/>
      <c r="V43" s="40"/>
      <c r="W43" s="40"/>
      <c r="X43" s="40"/>
      <c r="Y43" s="40"/>
      <c r="Z43" s="40"/>
      <c r="AA43" s="40"/>
    </row>
    <row r="44" spans="2:27" s="39" customFormat="1" x14ac:dyDescent="0.3">
      <c r="B44" s="211"/>
      <c r="C44" s="212"/>
      <c r="D44" s="212"/>
      <c r="E44" s="211"/>
      <c r="F44" s="211" t="s">
        <v>380</v>
      </c>
      <c r="G44" s="63"/>
      <c r="H44" s="40"/>
      <c r="I44" s="41"/>
      <c r="J44" s="60"/>
      <c r="K44" s="42"/>
      <c r="L44" s="265">
        <f>LOOKUP($B$42, CEFF!$C$163:$C$330, CEFF!G$163:G$330)</f>
        <v>0.10997</v>
      </c>
      <c r="M44" s="265">
        <f>LOOKUP($B$42, CEFF!$C$163:$C$330, CEFF!H$163:H$330)</f>
        <v>0.11558</v>
      </c>
      <c r="N44" s="265">
        <f>LOOKUP($B$42, CEFF!$C$163:$C$330, CEFF!I$163:I$330)</f>
        <v>0.12179</v>
      </c>
      <c r="O44" s="265">
        <f>LOOKUP($B$42, CEFF!$C$163:$C$330, CEFF!J$163:J$330)</f>
        <v>0.12778</v>
      </c>
      <c r="P44" s="40"/>
      <c r="Q44" s="40"/>
      <c r="R44" s="40"/>
      <c r="S44" s="41"/>
      <c r="T44" s="60"/>
      <c r="U44" s="45"/>
      <c r="V44" s="45"/>
      <c r="W44" s="45"/>
      <c r="X44" s="45"/>
      <c r="Y44" s="45"/>
      <c r="Z44" s="45"/>
      <c r="AA44" s="45"/>
    </row>
    <row r="45" spans="2:27" s="39" customFormat="1" x14ac:dyDescent="0.3">
      <c r="B45" s="214" t="s">
        <v>392</v>
      </c>
      <c r="C45" s="210" t="str">
        <f>LOOKUP(B45, TRA_COMM_PRO!$C$17:$C$199, TRA_COMM_PRO!$D$17:$D$199)</f>
        <v>Bus.Urban.Plugin-Hybrid.GSL.01.</v>
      </c>
      <c r="D45" s="210" t="s">
        <v>713</v>
      </c>
      <c r="E45" s="214"/>
      <c r="F45" s="214"/>
      <c r="G45" s="59">
        <f>$G$5</f>
        <v>2020</v>
      </c>
      <c r="H45" s="54">
        <f>$H$6</f>
        <v>10</v>
      </c>
      <c r="I45" s="157">
        <f>$I$6</f>
        <v>1E-3</v>
      </c>
      <c r="J45" s="62">
        <f>J42</f>
        <v>11</v>
      </c>
      <c r="K45" s="56"/>
      <c r="L45" s="269"/>
      <c r="M45" s="269"/>
      <c r="N45" s="269"/>
      <c r="O45" s="269"/>
      <c r="P45" s="54"/>
      <c r="Q45" s="54"/>
      <c r="R45" s="54"/>
      <c r="S45" s="55"/>
      <c r="T45" s="62">
        <f>LOOKUP(B45, FIXOM_VAROM!$C$8:$C$190, FIXOM_VAROM!$D$8:$D$190)</f>
        <v>0.1</v>
      </c>
      <c r="U45" s="40">
        <f>LOOKUP($B45, INVCOST!$C$8:$C$193, INVCOST!E$8:E$193)</f>
        <v>722.4</v>
      </c>
      <c r="V45" s="40">
        <f>LOOKUP($B45, INVCOST!$C$8:$C$193, INVCOST!F$8:F$193)</f>
        <v>722.4</v>
      </c>
      <c r="W45" s="40">
        <f>LOOKUP($B45, INVCOST!$C$8:$C$193, INVCOST!G$8:G$193)</f>
        <v>722.4</v>
      </c>
      <c r="X45" s="40">
        <f>LOOKUP($B45, INVCOST!$C$8:$C$193, INVCOST!H$8:H$193)</f>
        <v>722.4</v>
      </c>
      <c r="Y45" s="40">
        <f>LOOKUP($B45, INVCOST!$C$8:$C$193, INVCOST!I$8:I$193)</f>
        <v>722.4</v>
      </c>
      <c r="Z45" s="40">
        <f>LOOKUP($B45, INVCOST!$C$8:$C$193, INVCOST!J$8:J$193)</f>
        <v>722.4</v>
      </c>
      <c r="AA45" s="40">
        <f>LOOKUP($B45, INVCOST!$C$8:$C$193, INVCOST!K$8:K$193)</f>
        <v>722.4</v>
      </c>
    </row>
    <row r="46" spans="2:27" s="39" customFormat="1" x14ac:dyDescent="0.3">
      <c r="B46" s="211"/>
      <c r="C46" s="211"/>
      <c r="D46" s="211"/>
      <c r="E46" s="211"/>
      <c r="F46" s="211" t="s">
        <v>68</v>
      </c>
      <c r="G46" s="50"/>
      <c r="H46" s="40"/>
      <c r="I46" s="65"/>
      <c r="J46" s="60"/>
      <c r="K46" s="42"/>
      <c r="L46" s="268">
        <f>LOOKUP($B$45, CEFF!$C$163:$C$330, CEFF!G$163:G$330)</f>
        <v>7.3370000000000005E-2</v>
      </c>
      <c r="M46" s="268">
        <f>LOOKUP($B$45, CEFF!$C$163:$C$330, CEFF!H$163:H$330)</f>
        <v>7.7219999999999997E-2</v>
      </c>
      <c r="N46" s="268">
        <f>LOOKUP($B$45, CEFF!$C$163:$C$330, CEFF!I$163:I$330)</f>
        <v>8.1119999999999998E-2</v>
      </c>
      <c r="O46" s="268">
        <f>LOOKUP($B$45, CEFF!$C$163:$C$330, CEFF!J$163:J$330)</f>
        <v>8.5389999999999994E-2</v>
      </c>
      <c r="P46" s="40"/>
      <c r="Q46" s="40"/>
      <c r="R46" s="40"/>
      <c r="S46" s="41"/>
      <c r="T46" s="41"/>
      <c r="U46" s="40"/>
      <c r="V46" s="40"/>
      <c r="W46" s="40"/>
      <c r="X46" s="40"/>
      <c r="Y46" s="40"/>
      <c r="Z46" s="40"/>
      <c r="AA46" s="40"/>
    </row>
    <row r="47" spans="2:27" s="39" customFormat="1" x14ac:dyDescent="0.3">
      <c r="B47" s="215"/>
      <c r="C47" s="215"/>
      <c r="D47" s="215"/>
      <c r="E47" s="215"/>
      <c r="F47" s="215" t="s">
        <v>380</v>
      </c>
      <c r="G47" s="197"/>
      <c r="H47" s="183"/>
      <c r="I47" s="181"/>
      <c r="J47" s="184"/>
      <c r="K47" s="179"/>
      <c r="L47" s="279">
        <f>LOOKUP($B$45, CEFF!$C$163:$C$330, CEFF!G$163:G$330)</f>
        <v>7.3370000000000005E-2</v>
      </c>
      <c r="M47" s="279">
        <f>LOOKUP($B$45, CEFF!$C$163:$C$330, CEFF!H$163:H$330)</f>
        <v>7.7219999999999997E-2</v>
      </c>
      <c r="N47" s="279">
        <f>LOOKUP($B$45, CEFF!$C$163:$C$330, CEFF!I$163:I$330)</f>
        <v>8.1119999999999998E-2</v>
      </c>
      <c r="O47" s="279">
        <f>LOOKUP($B$45, CEFF!$C$163:$C$330, CEFF!J$163:J$330)</f>
        <v>8.5389999999999994E-2</v>
      </c>
      <c r="P47" s="183"/>
      <c r="Q47" s="183"/>
      <c r="R47" s="183"/>
      <c r="S47" s="181"/>
      <c r="T47" s="181"/>
      <c r="U47" s="183"/>
      <c r="V47" s="183"/>
      <c r="W47" s="183"/>
      <c r="X47" s="183"/>
      <c r="Y47" s="183"/>
      <c r="Z47" s="183"/>
      <c r="AA47" s="183"/>
    </row>
    <row r="48" spans="2:27" s="39" customFormat="1" x14ac:dyDescent="0.3">
      <c r="H48" s="36"/>
      <c r="I48" s="37"/>
      <c r="J48" s="58"/>
      <c r="K48" s="47"/>
      <c r="L48" s="66"/>
      <c r="M48" s="66"/>
      <c r="N48" s="66"/>
      <c r="O48" s="66"/>
      <c r="P48" s="36"/>
      <c r="Q48" s="36"/>
      <c r="R48" s="36"/>
      <c r="S48" s="38"/>
      <c r="T48" s="38"/>
      <c r="U48" s="36"/>
      <c r="V48" s="36"/>
      <c r="W48" s="36"/>
      <c r="X48" s="36"/>
      <c r="Y48" s="36"/>
      <c r="Z48" s="36"/>
      <c r="AA48" s="36"/>
    </row>
    <row r="49" spans="2:27" s="39" customFormat="1" x14ac:dyDescent="0.3">
      <c r="H49" s="36"/>
      <c r="I49" s="37"/>
      <c r="J49" s="58"/>
      <c r="K49" s="47"/>
      <c r="L49" s="66"/>
      <c r="M49" s="66"/>
      <c r="N49" s="66"/>
      <c r="O49" s="66"/>
      <c r="P49" s="36"/>
      <c r="Q49" s="36"/>
      <c r="R49" s="36"/>
      <c r="S49" s="38"/>
      <c r="T49" s="38"/>
      <c r="U49" s="36"/>
      <c r="V49" s="36"/>
      <c r="W49" s="36"/>
      <c r="X49" s="36"/>
      <c r="Y49" s="36"/>
      <c r="Z49" s="36"/>
      <c r="AA49" s="36"/>
    </row>
    <row r="50" spans="2:27" x14ac:dyDescent="0.3">
      <c r="B50" s="6" t="s">
        <v>87</v>
      </c>
      <c r="C50" s="7"/>
      <c r="D50" s="8"/>
      <c r="E50" s="8"/>
      <c r="F50" s="9" t="s">
        <v>1</v>
      </c>
      <c r="G50" s="4"/>
    </row>
    <row r="51" spans="2:27" x14ac:dyDescent="0.3">
      <c r="B51" s="201" t="s">
        <v>2</v>
      </c>
      <c r="C51" s="201" t="s">
        <v>3</v>
      </c>
      <c r="D51" s="201" t="s">
        <v>4</v>
      </c>
      <c r="E51" s="201" t="s">
        <v>5</v>
      </c>
      <c r="F51" s="202" t="s">
        <v>6</v>
      </c>
      <c r="G51" s="202" t="s">
        <v>187</v>
      </c>
      <c r="H51" s="203" t="s">
        <v>186</v>
      </c>
      <c r="I51" s="203" t="s">
        <v>11</v>
      </c>
      <c r="J51" s="202" t="s">
        <v>12</v>
      </c>
      <c r="K51" s="203" t="str">
        <f>K4</f>
        <v>Share~LO</v>
      </c>
      <c r="L51" s="203" t="s">
        <v>335</v>
      </c>
      <c r="M51" s="203" t="s">
        <v>336</v>
      </c>
      <c r="N51" s="203" t="s">
        <v>9</v>
      </c>
      <c r="O51" s="203" t="s">
        <v>10</v>
      </c>
      <c r="P51" s="203" t="s">
        <v>465</v>
      </c>
      <c r="Q51" s="203" t="s">
        <v>13</v>
      </c>
      <c r="R51" s="203" t="s">
        <v>398</v>
      </c>
      <c r="S51" s="203" t="s">
        <v>42</v>
      </c>
      <c r="T51" s="203" t="s">
        <v>14</v>
      </c>
      <c r="U51" s="203" t="s">
        <v>15</v>
      </c>
      <c r="V51" s="203" t="s">
        <v>16</v>
      </c>
      <c r="W51" s="203" t="s">
        <v>17</v>
      </c>
      <c r="X51" s="203" t="s">
        <v>18</v>
      </c>
      <c r="Y51" s="203" t="s">
        <v>19</v>
      </c>
      <c r="Z51" s="203" t="s">
        <v>20</v>
      </c>
      <c r="AA51" s="203" t="s">
        <v>21</v>
      </c>
    </row>
    <row r="52" spans="2:27" ht="33.75" customHeight="1" thickBot="1" x14ac:dyDescent="0.35">
      <c r="B52" s="204" t="s">
        <v>22</v>
      </c>
      <c r="C52" s="204"/>
      <c r="D52" s="204"/>
      <c r="E52" s="204"/>
      <c r="F52" s="205" t="s">
        <v>23</v>
      </c>
      <c r="G52" s="205">
        <v>2020</v>
      </c>
      <c r="H52" s="206" t="s">
        <v>26</v>
      </c>
      <c r="I52" s="206" t="s">
        <v>24</v>
      </c>
      <c r="J52" s="206" t="s">
        <v>25</v>
      </c>
      <c r="K52" s="205"/>
      <c r="L52" s="207" t="s">
        <v>671</v>
      </c>
      <c r="M52" s="207" t="s">
        <v>671</v>
      </c>
      <c r="N52" s="207" t="s">
        <v>671</v>
      </c>
      <c r="O52" s="207" t="s">
        <v>671</v>
      </c>
      <c r="P52" s="206" t="s">
        <v>676</v>
      </c>
      <c r="Q52" s="206" t="s">
        <v>676</v>
      </c>
      <c r="R52" s="206" t="s">
        <v>676</v>
      </c>
      <c r="S52" s="208" t="s">
        <v>679</v>
      </c>
      <c r="T52" s="208" t="s">
        <v>678</v>
      </c>
      <c r="U52" s="208" t="s">
        <v>675</v>
      </c>
      <c r="V52" s="208" t="s">
        <v>675</v>
      </c>
      <c r="W52" s="208" t="s">
        <v>675</v>
      </c>
      <c r="X52" s="208" t="s">
        <v>675</v>
      </c>
      <c r="Y52" s="208" t="s">
        <v>675</v>
      </c>
      <c r="Z52" s="208" t="s">
        <v>675</v>
      </c>
      <c r="AA52" s="208" t="s">
        <v>675</v>
      </c>
    </row>
    <row r="53" spans="2:27" s="39" customFormat="1" x14ac:dyDescent="0.3">
      <c r="B53" s="211" t="s">
        <v>88</v>
      </c>
      <c r="C53" s="210" t="str">
        <f>LOOKUP(B53, TRA_COMM_PRO!$C$17:$C$199, TRA_COMM_PRO!$D$17:$D$199)</f>
        <v>Bus.Intercity.BDL.01.</v>
      </c>
      <c r="D53" s="211" t="s">
        <v>44</v>
      </c>
      <c r="E53" s="211"/>
      <c r="F53" s="211"/>
      <c r="G53" s="59">
        <f>$G$52</f>
        <v>2020</v>
      </c>
      <c r="H53" s="40">
        <v>10</v>
      </c>
      <c r="I53" s="65">
        <f>10^-3</f>
        <v>1E-3</v>
      </c>
      <c r="J53" s="60">
        <v>11</v>
      </c>
      <c r="K53" s="42"/>
      <c r="L53" s="265"/>
      <c r="M53" s="265"/>
      <c r="N53" s="265"/>
      <c r="O53" s="265"/>
      <c r="P53" s="40"/>
      <c r="Q53" s="40"/>
      <c r="R53" s="40"/>
      <c r="S53" s="41"/>
      <c r="T53" s="62">
        <f>LOOKUP(B53, FIXOM_VAROM!$C$8:$C$190, FIXOM_VAROM!$D$8:$D$190)</f>
        <v>0.1</v>
      </c>
      <c r="U53" s="40">
        <f>LOOKUP($B53, INVCOST!$C$8:$C$193, INVCOST!E$8:E$193)</f>
        <v>260</v>
      </c>
      <c r="V53" s="40">
        <f>LOOKUP($B53, INVCOST!$C$8:$C$193, INVCOST!F$8:F$193)</f>
        <v>260</v>
      </c>
      <c r="W53" s="40">
        <f>LOOKUP($B53, INVCOST!$C$8:$C$193, INVCOST!G$8:G$193)</f>
        <v>260</v>
      </c>
      <c r="X53" s="40">
        <f>LOOKUP($B53, INVCOST!$C$8:$C$193, INVCOST!H$8:H$193)</f>
        <v>260</v>
      </c>
      <c r="Y53" s="40">
        <f>LOOKUP($B53, INVCOST!$C$8:$C$193, INVCOST!I$8:I$193)</f>
        <v>260</v>
      </c>
      <c r="Z53" s="40">
        <f>LOOKUP($B53, INVCOST!$C$8:$C$193, INVCOST!J$8:J$193)</f>
        <v>260</v>
      </c>
      <c r="AA53" s="40">
        <f>LOOKUP($B53, INVCOST!$C$8:$C$193, INVCOST!K$8:K$193)</f>
        <v>260</v>
      </c>
    </row>
    <row r="54" spans="2:27" s="39" customFormat="1" x14ac:dyDescent="0.3">
      <c r="B54" s="211"/>
      <c r="C54" s="211"/>
      <c r="D54" s="211"/>
      <c r="E54" s="211"/>
      <c r="F54" s="211" t="s">
        <v>90</v>
      </c>
      <c r="G54" s="59"/>
      <c r="H54" s="40"/>
      <c r="I54" s="41"/>
      <c r="J54" s="60"/>
      <c r="K54" s="42"/>
      <c r="L54" s="265">
        <f>LOOKUP($B$53, CEFF!$C$8:$C$156, CEFF!G$8:G$156)</f>
        <v>8.0820000000000003E-2</v>
      </c>
      <c r="M54" s="265">
        <f>LOOKUP($B$53, CEFF!$C$8:$C$156, CEFF!H$8:H$156)</f>
        <v>8.4930000000000005E-2</v>
      </c>
      <c r="N54" s="265">
        <f>LOOKUP($B$53, CEFF!$C$8:$C$156, CEFF!I$8:I$156)</f>
        <v>8.9480000000000004E-2</v>
      </c>
      <c r="O54" s="265">
        <f>LOOKUP($B$53, CEFF!$C$8:$C$156, CEFF!J$8:J$156)</f>
        <v>9.3950000000000006E-2</v>
      </c>
      <c r="P54" s="40"/>
      <c r="Q54" s="40"/>
      <c r="R54" s="40"/>
      <c r="S54" s="41"/>
      <c r="T54" s="60"/>
      <c r="U54" s="40"/>
      <c r="V54" s="40"/>
      <c r="W54" s="40"/>
      <c r="X54" s="40"/>
      <c r="Y54" s="40"/>
      <c r="Z54" s="40"/>
      <c r="AA54" s="40"/>
    </row>
    <row r="55" spans="2:27" s="39" customFormat="1" x14ac:dyDescent="0.3">
      <c r="B55" s="211"/>
      <c r="C55" s="211"/>
      <c r="D55" s="211"/>
      <c r="E55" s="211"/>
      <c r="F55" s="211" t="s">
        <v>381</v>
      </c>
      <c r="G55" s="63"/>
      <c r="H55" s="40"/>
      <c r="I55" s="41"/>
      <c r="J55" s="60"/>
      <c r="K55" s="42"/>
      <c r="L55" s="266">
        <f>LOOKUP($B$53, CEFF!$C$8:$C$156, CEFF!G$8:G$156)</f>
        <v>8.0820000000000003E-2</v>
      </c>
      <c r="M55" s="266">
        <f>LOOKUP($B$53, CEFF!$C$8:$C$156, CEFF!H$8:H$156)</f>
        <v>8.4930000000000005E-2</v>
      </c>
      <c r="N55" s="266">
        <f>LOOKUP($B$53, CEFF!$C$8:$C$156, CEFF!I$8:I$156)</f>
        <v>8.9480000000000004E-2</v>
      </c>
      <c r="O55" s="266">
        <f>LOOKUP($B$53, CEFF!$C$8:$C$156, CEFF!J$8:J$156)</f>
        <v>9.3950000000000006E-2</v>
      </c>
      <c r="P55" s="40"/>
      <c r="Q55" s="40"/>
      <c r="R55" s="40"/>
      <c r="S55" s="41"/>
      <c r="T55" s="60"/>
      <c r="U55" s="45"/>
      <c r="V55" s="45"/>
      <c r="W55" s="45"/>
      <c r="X55" s="45"/>
      <c r="Y55" s="45"/>
      <c r="Z55" s="45"/>
      <c r="AA55" s="45"/>
    </row>
    <row r="56" spans="2:27" s="39" customFormat="1" x14ac:dyDescent="0.3">
      <c r="B56" s="214" t="s">
        <v>91</v>
      </c>
      <c r="C56" s="214" t="str">
        <f>LOOKUP(B56, TRA_COMM_PRO!$C$17:$C$199, TRA_COMM_PRO!$D$17:$D$199)</f>
        <v>Bus.Intercity.DME.01.</v>
      </c>
      <c r="D56" s="214" t="s">
        <v>71</v>
      </c>
      <c r="E56" s="214"/>
      <c r="F56" s="214"/>
      <c r="G56" s="59">
        <f>$G$52</f>
        <v>2020</v>
      </c>
      <c r="H56" s="54">
        <f>$H$53</f>
        <v>10</v>
      </c>
      <c r="I56" s="157">
        <f>$I$53</f>
        <v>1E-3</v>
      </c>
      <c r="J56" s="62">
        <f>J53</f>
        <v>11</v>
      </c>
      <c r="K56" s="56"/>
      <c r="L56" s="265"/>
      <c r="M56" s="265"/>
      <c r="N56" s="265"/>
      <c r="O56" s="265"/>
      <c r="P56" s="54"/>
      <c r="Q56" s="54"/>
      <c r="R56" s="54"/>
      <c r="S56" s="55"/>
      <c r="T56" s="62">
        <f>LOOKUP(B56, FIXOM_VAROM!$C$8:$C$190, FIXOM_VAROM!$D$8:$D$190)</f>
        <v>0.1</v>
      </c>
      <c r="U56" s="40">
        <f>LOOKUP($B56, INVCOST!$C$8:$C$193, INVCOST!E$8:E$193)</f>
        <v>312</v>
      </c>
      <c r="V56" s="40">
        <f>LOOKUP($B56, INVCOST!$C$8:$C$193, INVCOST!F$8:F$193)</f>
        <v>312</v>
      </c>
      <c r="W56" s="40">
        <f>LOOKUP($B56, INVCOST!$C$8:$C$193, INVCOST!G$8:G$193)</f>
        <v>312</v>
      </c>
      <c r="X56" s="40">
        <f>LOOKUP($B56, INVCOST!$C$8:$C$193, INVCOST!H$8:H$193)</f>
        <v>312</v>
      </c>
      <c r="Y56" s="40">
        <f>LOOKUP($B56, INVCOST!$C$8:$C$193, INVCOST!I$8:I$193)</f>
        <v>312</v>
      </c>
      <c r="Z56" s="40">
        <f>LOOKUP($B56, INVCOST!$C$8:$C$193, INVCOST!J$8:J$193)</f>
        <v>312</v>
      </c>
      <c r="AA56" s="40">
        <f>LOOKUP($B56, INVCOST!$C$8:$C$193, INVCOST!K$8:K$193)</f>
        <v>312</v>
      </c>
    </row>
    <row r="57" spans="2:27" s="39" customFormat="1" x14ac:dyDescent="0.3">
      <c r="B57" s="211"/>
      <c r="C57" s="211"/>
      <c r="D57" s="211"/>
      <c r="E57" s="211"/>
      <c r="F57" s="211" t="s">
        <v>90</v>
      </c>
      <c r="G57" s="59"/>
      <c r="H57" s="40"/>
      <c r="I57" s="41"/>
      <c r="J57" s="60"/>
      <c r="K57" s="42"/>
      <c r="L57" s="265">
        <f>LOOKUP($B$56, CEFF!$C$8:$C$156, CEFF!G$8:G$156)</f>
        <v>8.0820000000000003E-2</v>
      </c>
      <c r="M57" s="265">
        <f>LOOKUP($B$56, CEFF!$C$8:$C$156, CEFF!H$8:H$156)</f>
        <v>8.4930000000000005E-2</v>
      </c>
      <c r="N57" s="265">
        <f>LOOKUP($B$56, CEFF!$C$8:$C$156, CEFF!I$8:I$156)</f>
        <v>8.9480000000000004E-2</v>
      </c>
      <c r="O57" s="265">
        <f>LOOKUP($B$56, CEFF!$C$8:$C$156, CEFF!J$8:J$156)</f>
        <v>9.3950000000000006E-2</v>
      </c>
      <c r="P57" s="40"/>
      <c r="Q57" s="40"/>
      <c r="R57" s="40"/>
      <c r="S57" s="41"/>
      <c r="T57" s="60"/>
      <c r="U57" s="40"/>
      <c r="V57" s="40"/>
      <c r="W57" s="40"/>
      <c r="X57" s="40"/>
      <c r="Y57" s="40"/>
      <c r="Z57" s="40"/>
      <c r="AA57" s="40"/>
    </row>
    <row r="58" spans="2:27" s="39" customFormat="1" x14ac:dyDescent="0.3">
      <c r="B58" s="211"/>
      <c r="C58" s="211"/>
      <c r="D58" s="211"/>
      <c r="E58" s="211"/>
      <c r="F58" s="211" t="s">
        <v>381</v>
      </c>
      <c r="G58" s="63"/>
      <c r="H58" s="40"/>
      <c r="I58" s="41"/>
      <c r="J58" s="60"/>
      <c r="K58" s="42"/>
      <c r="L58" s="266">
        <f>LOOKUP($B$56, CEFF!$C$8:$C$156, CEFF!G$8:G$156)</f>
        <v>8.0820000000000003E-2</v>
      </c>
      <c r="M58" s="266">
        <f>LOOKUP($B$56, CEFF!$C$8:$C$156, CEFF!H$8:H$156)</f>
        <v>8.4930000000000005E-2</v>
      </c>
      <c r="N58" s="266">
        <f>LOOKUP($B$56, CEFF!$C$8:$C$156, CEFF!I$8:I$156)</f>
        <v>8.9480000000000004E-2</v>
      </c>
      <c r="O58" s="266">
        <f>LOOKUP($B$56, CEFF!$C$8:$C$156, CEFF!J$8:J$156)</f>
        <v>9.3950000000000006E-2</v>
      </c>
      <c r="P58" s="40"/>
      <c r="Q58" s="40"/>
      <c r="R58" s="40"/>
      <c r="S58" s="41"/>
      <c r="T58" s="60"/>
      <c r="U58" s="45"/>
      <c r="V58" s="45"/>
      <c r="W58" s="45"/>
      <c r="X58" s="45"/>
      <c r="Y58" s="45"/>
      <c r="Z58" s="45"/>
      <c r="AA58" s="45"/>
    </row>
    <row r="59" spans="2:27" s="39" customFormat="1" x14ac:dyDescent="0.3">
      <c r="B59" s="214" t="s">
        <v>93</v>
      </c>
      <c r="C59" s="214" t="str">
        <f>LOOKUP(B59, TRA_COMM_PRO!$C$17:$C$199, TRA_COMM_PRO!$D$17:$D$199)</f>
        <v>Bus.Intercity.DST.01.</v>
      </c>
      <c r="D59" s="214" t="s">
        <v>712</v>
      </c>
      <c r="E59" s="214"/>
      <c r="F59" s="214"/>
      <c r="G59" s="59">
        <f>$G$52</f>
        <v>2020</v>
      </c>
      <c r="H59" s="54">
        <f>$H$53</f>
        <v>10</v>
      </c>
      <c r="I59" s="157">
        <f>$I$53</f>
        <v>1E-3</v>
      </c>
      <c r="J59" s="67">
        <f>J56</f>
        <v>11</v>
      </c>
      <c r="K59" s="56"/>
      <c r="L59" s="265"/>
      <c r="M59" s="265"/>
      <c r="N59" s="265"/>
      <c r="O59" s="265"/>
      <c r="P59" s="54"/>
      <c r="Q59" s="54"/>
      <c r="R59" s="54"/>
      <c r="S59" s="55"/>
      <c r="T59" s="62">
        <f>LOOKUP(B59, FIXOM_VAROM!$C$8:$C$190, FIXOM_VAROM!$D$8:$D$190)</f>
        <v>0.1</v>
      </c>
      <c r="U59" s="40">
        <f>LOOKUP($B59, INVCOST!$C$8:$C$193, INVCOST!E$8:E$193)</f>
        <v>260</v>
      </c>
      <c r="V59" s="40">
        <f>LOOKUP($B59, INVCOST!$C$8:$C$193, INVCOST!F$8:F$193)</f>
        <v>260</v>
      </c>
      <c r="W59" s="40">
        <f>LOOKUP($B59, INVCOST!$C$8:$C$193, INVCOST!G$8:G$193)</f>
        <v>260</v>
      </c>
      <c r="X59" s="40">
        <f>LOOKUP($B59, INVCOST!$C$8:$C$193, INVCOST!H$8:H$193)</f>
        <v>260</v>
      </c>
      <c r="Y59" s="40">
        <f>LOOKUP($B59, INVCOST!$C$8:$C$193, INVCOST!I$8:I$193)</f>
        <v>260</v>
      </c>
      <c r="Z59" s="40">
        <f>LOOKUP($B59, INVCOST!$C$8:$C$193, INVCOST!J$8:J$193)</f>
        <v>260</v>
      </c>
      <c r="AA59" s="40">
        <f>LOOKUP($B59, INVCOST!$C$8:$C$193, INVCOST!K$8:K$193)</f>
        <v>260</v>
      </c>
    </row>
    <row r="60" spans="2:27" s="39" customFormat="1" x14ac:dyDescent="0.3">
      <c r="B60" s="211"/>
      <c r="C60" s="211"/>
      <c r="D60" s="211"/>
      <c r="E60" s="211"/>
      <c r="F60" s="211" t="s">
        <v>90</v>
      </c>
      <c r="G60" s="59"/>
      <c r="H60" s="40"/>
      <c r="I60" s="41"/>
      <c r="J60" s="60"/>
      <c r="K60" s="42"/>
      <c r="L60" s="265">
        <f>LOOKUP($B$59, CEFF!$C$8:$C$156, CEFF!G$8:G$156)</f>
        <v>8.0820000000000003E-2</v>
      </c>
      <c r="M60" s="265">
        <f>LOOKUP($B$59, CEFF!$C$8:$C$156, CEFF!H$8:H$156)</f>
        <v>8.4930000000000005E-2</v>
      </c>
      <c r="N60" s="265">
        <f>LOOKUP($B$59, CEFF!$C$8:$C$156, CEFF!I$8:I$156)</f>
        <v>8.9480000000000004E-2</v>
      </c>
      <c r="O60" s="265">
        <f>LOOKUP($B$59, CEFF!$C$8:$C$156, CEFF!J$8:J$156)</f>
        <v>9.3950000000000006E-2</v>
      </c>
      <c r="P60" s="40"/>
      <c r="Q60" s="40"/>
      <c r="R60" s="40"/>
      <c r="S60" s="41"/>
      <c r="T60" s="60"/>
      <c r="U60" s="41"/>
      <c r="V60" s="41"/>
      <c r="W60" s="41"/>
      <c r="X60" s="41"/>
      <c r="Y60" s="41"/>
      <c r="Z60" s="41"/>
      <c r="AA60" s="41"/>
    </row>
    <row r="61" spans="2:27" s="39" customFormat="1" x14ac:dyDescent="0.3">
      <c r="B61" s="211"/>
      <c r="C61" s="211"/>
      <c r="D61" s="211"/>
      <c r="E61" s="211"/>
      <c r="F61" s="211" t="s">
        <v>381</v>
      </c>
      <c r="G61" s="63"/>
      <c r="H61" s="40"/>
      <c r="I61" s="41"/>
      <c r="J61" s="60"/>
      <c r="K61" s="42"/>
      <c r="L61" s="266">
        <f>LOOKUP($B$59, CEFF!$C$8:$C$156, CEFF!G$8:G$156)</f>
        <v>8.0820000000000003E-2</v>
      </c>
      <c r="M61" s="266">
        <f>LOOKUP($B$59, CEFF!$C$8:$C$156, CEFF!H$8:H$156)</f>
        <v>8.4930000000000005E-2</v>
      </c>
      <c r="N61" s="266">
        <f>LOOKUP($B$59, CEFF!$C$8:$C$156, CEFF!I$8:I$156)</f>
        <v>8.9480000000000004E-2</v>
      </c>
      <c r="O61" s="266">
        <f>LOOKUP($B$59, CEFF!$C$8:$C$156, CEFF!J$8:J$156)</f>
        <v>9.3950000000000006E-2</v>
      </c>
      <c r="P61" s="40"/>
      <c r="Q61" s="40"/>
      <c r="R61" s="40"/>
      <c r="S61" s="41"/>
      <c r="T61" s="60"/>
      <c r="U61" s="45"/>
      <c r="V61" s="45"/>
      <c r="W61" s="45"/>
      <c r="X61" s="45"/>
      <c r="Y61" s="45"/>
      <c r="Z61" s="45"/>
      <c r="AA61" s="45"/>
    </row>
    <row r="62" spans="2:27" s="39" customFormat="1" x14ac:dyDescent="0.3">
      <c r="B62" s="214" t="s">
        <v>95</v>
      </c>
      <c r="C62" s="214" t="str">
        <f>LOOKUP(B62, TRA_COMM_PRO!$C$17:$C$199, TRA_COMM_PRO!$D$17:$D$199)</f>
        <v>Bus.Intercity.ETH.01.</v>
      </c>
      <c r="D62" s="214" t="s">
        <v>51</v>
      </c>
      <c r="E62" s="214"/>
      <c r="F62" s="214"/>
      <c r="G62" s="59">
        <f>$G$52</f>
        <v>2020</v>
      </c>
      <c r="H62" s="54">
        <f>$H$53</f>
        <v>10</v>
      </c>
      <c r="I62" s="157">
        <f>$I$53</f>
        <v>1E-3</v>
      </c>
      <c r="J62" s="62">
        <f>J59</f>
        <v>11</v>
      </c>
      <c r="K62" s="56"/>
      <c r="L62" s="265"/>
      <c r="M62" s="265"/>
      <c r="N62" s="265"/>
      <c r="O62" s="265"/>
      <c r="P62" s="54"/>
      <c r="Q62" s="54"/>
      <c r="R62" s="54"/>
      <c r="S62" s="55"/>
      <c r="T62" s="62">
        <f>LOOKUP(B62, FIXOM_VAROM!$C$8:$C$190, FIXOM_VAROM!$D$8:$D$190)</f>
        <v>0.1</v>
      </c>
      <c r="U62" s="40">
        <f>LOOKUP($B62, INVCOST!$C$8:$C$193, INVCOST!E$8:E$193)</f>
        <v>260</v>
      </c>
      <c r="V62" s="40">
        <f>LOOKUP($B62, INVCOST!$C$8:$C$193, INVCOST!F$8:F$193)</f>
        <v>260</v>
      </c>
      <c r="W62" s="40">
        <f>LOOKUP($B62, INVCOST!$C$8:$C$193, INVCOST!G$8:G$193)</f>
        <v>260</v>
      </c>
      <c r="X62" s="40">
        <f>LOOKUP($B62, INVCOST!$C$8:$C$193, INVCOST!H$8:H$193)</f>
        <v>260</v>
      </c>
      <c r="Y62" s="40">
        <f>LOOKUP($B62, INVCOST!$C$8:$C$193, INVCOST!I$8:I$193)</f>
        <v>260</v>
      </c>
      <c r="Z62" s="40">
        <f>LOOKUP($B62, INVCOST!$C$8:$C$193, INVCOST!J$8:J$193)</f>
        <v>260</v>
      </c>
      <c r="AA62" s="40">
        <f>LOOKUP($B62, INVCOST!$C$8:$C$193, INVCOST!K$8:K$193)</f>
        <v>260</v>
      </c>
    </row>
    <row r="63" spans="2:27" s="39" customFormat="1" x14ac:dyDescent="0.3">
      <c r="B63" s="211"/>
      <c r="C63" s="211"/>
      <c r="D63" s="211"/>
      <c r="E63" s="211"/>
      <c r="F63" s="211" t="s">
        <v>90</v>
      </c>
      <c r="G63" s="59"/>
      <c r="H63" s="40"/>
      <c r="I63" s="41"/>
      <c r="J63" s="60"/>
      <c r="K63" s="42"/>
      <c r="L63" s="265">
        <f>LOOKUP($B$62, CEFF!$C$8:$C$156, CEFF!G$8:G$156)</f>
        <v>7.6780000000000001E-2</v>
      </c>
      <c r="M63" s="265">
        <f>LOOKUP($B$62, CEFF!$C$8:$C$156, CEFF!H$8:H$156)</f>
        <v>8.0680000000000002E-2</v>
      </c>
      <c r="N63" s="265">
        <f>LOOKUP($B$62, CEFF!$C$8:$C$156, CEFF!I$8:I$156)</f>
        <v>8.5000000000000006E-2</v>
      </c>
      <c r="O63" s="265">
        <f>LOOKUP($B$62, CEFF!$C$8:$C$156, CEFF!J$8:J$156)</f>
        <v>8.9249999999999996E-2</v>
      </c>
      <c r="P63" s="40"/>
      <c r="Q63" s="40"/>
      <c r="R63" s="40"/>
      <c r="S63" s="41"/>
      <c r="T63" s="60"/>
      <c r="U63" s="40"/>
      <c r="V63" s="40"/>
      <c r="W63" s="40"/>
      <c r="X63" s="40"/>
      <c r="Y63" s="40"/>
      <c r="Z63" s="40"/>
      <c r="AA63" s="40"/>
    </row>
    <row r="64" spans="2:27" s="39" customFormat="1" x14ac:dyDescent="0.3">
      <c r="B64" s="212"/>
      <c r="C64" s="211"/>
      <c r="D64" s="212"/>
      <c r="E64" s="212"/>
      <c r="F64" s="212" t="s">
        <v>381</v>
      </c>
      <c r="G64" s="63"/>
      <c r="H64" s="45"/>
      <c r="I64" s="46"/>
      <c r="J64" s="64"/>
      <c r="K64" s="44"/>
      <c r="L64" s="266">
        <f>LOOKUP($B$62, CEFF!$C$8:$C$156, CEFF!G$8:G$156)</f>
        <v>7.6780000000000001E-2</v>
      </c>
      <c r="M64" s="266">
        <f>LOOKUP($B$62, CEFF!$C$8:$C$156, CEFF!H$8:H$156)</f>
        <v>8.0680000000000002E-2</v>
      </c>
      <c r="N64" s="266">
        <f>LOOKUP($B$62, CEFF!$C$8:$C$156, CEFF!I$8:I$156)</f>
        <v>8.5000000000000006E-2</v>
      </c>
      <c r="O64" s="266">
        <f>LOOKUP($B$62, CEFF!$C$8:$C$156, CEFF!J$8:J$156)</f>
        <v>8.9249999999999996E-2</v>
      </c>
      <c r="P64" s="45"/>
      <c r="Q64" s="45"/>
      <c r="R64" s="45"/>
      <c r="S64" s="46"/>
      <c r="T64" s="64"/>
      <c r="U64" s="45"/>
      <c r="V64" s="45"/>
      <c r="W64" s="45"/>
      <c r="X64" s="45"/>
      <c r="Y64" s="45"/>
      <c r="Z64" s="45"/>
      <c r="AA64" s="45"/>
    </row>
    <row r="65" spans="2:27" s="39" customFormat="1" x14ac:dyDescent="0.3">
      <c r="B65" s="211" t="s">
        <v>97</v>
      </c>
      <c r="C65" s="214" t="str">
        <f>LOOKUP(B65, TRA_COMM_PRO!$C$17:$C$199, TRA_COMM_PRO!$D$17:$D$199)</f>
        <v>Bus.Intercity.GAS.01.</v>
      </c>
      <c r="D65" s="211" t="s">
        <v>53</v>
      </c>
      <c r="E65" s="211"/>
      <c r="F65" s="211"/>
      <c r="G65" s="59">
        <f>$G$52</f>
        <v>2020</v>
      </c>
      <c r="H65" s="54">
        <f>$H$53</f>
        <v>10</v>
      </c>
      <c r="I65" s="157">
        <f>$I$53</f>
        <v>1E-3</v>
      </c>
      <c r="J65" s="60">
        <f>J62</f>
        <v>11</v>
      </c>
      <c r="K65" s="42"/>
      <c r="L65" s="265"/>
      <c r="M65" s="265"/>
      <c r="N65" s="265"/>
      <c r="O65" s="265"/>
      <c r="P65" s="40"/>
      <c r="Q65" s="40"/>
      <c r="R65" s="40"/>
      <c r="S65" s="41"/>
      <c r="T65" s="62">
        <f>LOOKUP(B65, FIXOM_VAROM!$C$8:$C$190, FIXOM_VAROM!$D$8:$D$190)</f>
        <v>0.1</v>
      </c>
      <c r="U65" s="40">
        <f>LOOKUP($B65, INVCOST!$C$8:$C$193, INVCOST!E$8:E$193)</f>
        <v>260</v>
      </c>
      <c r="V65" s="40">
        <f>LOOKUP($B65, INVCOST!$C$8:$C$193, INVCOST!F$8:F$193)</f>
        <v>260</v>
      </c>
      <c r="W65" s="40">
        <f>LOOKUP($B65, INVCOST!$C$8:$C$193, INVCOST!G$8:G$193)</f>
        <v>260</v>
      </c>
      <c r="X65" s="40">
        <f>LOOKUP($B65, INVCOST!$C$8:$C$193, INVCOST!H$8:H$193)</f>
        <v>260</v>
      </c>
      <c r="Y65" s="40">
        <f>LOOKUP($B65, INVCOST!$C$8:$C$193, INVCOST!I$8:I$193)</f>
        <v>260</v>
      </c>
      <c r="Z65" s="40">
        <f>LOOKUP($B65, INVCOST!$C$8:$C$193, INVCOST!J$8:J$193)</f>
        <v>260</v>
      </c>
      <c r="AA65" s="40">
        <f>LOOKUP($B65, INVCOST!$C$8:$C$193, INVCOST!K$8:K$193)</f>
        <v>260</v>
      </c>
    </row>
    <row r="66" spans="2:27" s="39" customFormat="1" x14ac:dyDescent="0.3">
      <c r="B66" s="211"/>
      <c r="C66" s="211"/>
      <c r="D66" s="211" t="s">
        <v>54</v>
      </c>
      <c r="E66" s="211"/>
      <c r="F66" s="211"/>
      <c r="G66" s="59"/>
      <c r="H66" s="40"/>
      <c r="I66" s="41"/>
      <c r="J66" s="60"/>
      <c r="K66" s="42"/>
      <c r="L66" s="265"/>
      <c r="M66" s="265"/>
      <c r="N66" s="265"/>
      <c r="O66" s="265"/>
      <c r="P66" s="40"/>
      <c r="Q66" s="40"/>
      <c r="R66" s="40"/>
      <c r="S66" s="41"/>
      <c r="T66" s="60"/>
      <c r="U66" s="41"/>
      <c r="V66" s="41"/>
      <c r="W66" s="41"/>
      <c r="X66" s="41"/>
      <c r="Y66" s="41"/>
      <c r="Z66" s="41"/>
      <c r="AA66" s="41"/>
    </row>
    <row r="67" spans="2:27" s="39" customFormat="1" x14ac:dyDescent="0.3">
      <c r="B67" s="211"/>
      <c r="C67" s="211"/>
      <c r="D67" s="211"/>
      <c r="E67" s="211"/>
      <c r="F67" s="211" t="s">
        <v>90</v>
      </c>
      <c r="G67" s="59"/>
      <c r="H67" s="40"/>
      <c r="I67" s="41"/>
      <c r="J67" s="60"/>
      <c r="K67" s="42"/>
      <c r="L67" s="265">
        <f>LOOKUP($B$65, CEFF!$C$8:$C$156, CEFF!G$8:G$156)</f>
        <v>5.3940000000000002E-2</v>
      </c>
      <c r="M67" s="265">
        <f>LOOKUP($B$65, CEFF!$C$8:$C$156, CEFF!H$8:H$156)</f>
        <v>5.6750000000000002E-2</v>
      </c>
      <c r="N67" s="265">
        <f>LOOKUP($B$65, CEFF!$C$8:$C$156, CEFF!I$8:I$156)</f>
        <v>5.9630000000000002E-2</v>
      </c>
      <c r="O67" s="265">
        <f>LOOKUP($B$65, CEFF!$C$8:$C$156, CEFF!J$8:J$156)</f>
        <v>6.2770000000000006E-2</v>
      </c>
      <c r="P67" s="40"/>
      <c r="Q67" s="40"/>
      <c r="R67" s="40"/>
      <c r="S67" s="41"/>
      <c r="T67" s="60"/>
      <c r="U67" s="41"/>
      <c r="V67" s="41"/>
      <c r="W67" s="41"/>
      <c r="X67" s="41"/>
      <c r="Y67" s="41"/>
      <c r="Z67" s="41"/>
      <c r="AA67" s="41"/>
    </row>
    <row r="68" spans="2:27" s="39" customFormat="1" x14ac:dyDescent="0.3">
      <c r="B68" s="211"/>
      <c r="C68" s="211"/>
      <c r="D68" s="211"/>
      <c r="E68" s="211"/>
      <c r="F68" s="211" t="s">
        <v>381</v>
      </c>
      <c r="G68" s="63"/>
      <c r="H68" s="40"/>
      <c r="I68" s="41"/>
      <c r="J68" s="60"/>
      <c r="K68" s="42"/>
      <c r="L68" s="266">
        <f>LOOKUP($B$65, CEFF!$C$8:$C$156, CEFF!G$8:G$156)</f>
        <v>5.3940000000000002E-2</v>
      </c>
      <c r="M68" s="266">
        <f>LOOKUP($B$65, CEFF!$C$8:$C$156, CEFF!H$8:H$156)</f>
        <v>5.6750000000000002E-2</v>
      </c>
      <c r="N68" s="266">
        <f>LOOKUP($B$65, CEFF!$C$8:$C$156, CEFF!I$8:I$156)</f>
        <v>5.9630000000000002E-2</v>
      </c>
      <c r="O68" s="266">
        <f>LOOKUP($B$65, CEFF!$C$8:$C$156, CEFF!J$8:J$156)</f>
        <v>6.2770000000000006E-2</v>
      </c>
      <c r="P68" s="40"/>
      <c r="Q68" s="40"/>
      <c r="R68" s="40"/>
      <c r="S68" s="41"/>
      <c r="T68" s="60"/>
      <c r="U68" s="45"/>
      <c r="V68" s="45"/>
      <c r="W68" s="45"/>
      <c r="X68" s="45"/>
      <c r="Y68" s="45"/>
      <c r="Z68" s="45"/>
      <c r="AA68" s="45"/>
    </row>
    <row r="69" spans="2:27" s="39" customFormat="1" x14ac:dyDescent="0.3">
      <c r="B69" s="214" t="s">
        <v>99</v>
      </c>
      <c r="C69" s="214" t="str">
        <f>LOOKUP(B69, TRA_COMM_PRO!$C$17:$C$199, TRA_COMM_PRO!$D$17:$D$199)</f>
        <v>Bus.Intercity.GSL.01.</v>
      </c>
      <c r="D69" s="214" t="s">
        <v>713</v>
      </c>
      <c r="E69" s="214"/>
      <c r="F69" s="214"/>
      <c r="G69" s="59">
        <f>$G$52</f>
        <v>2020</v>
      </c>
      <c r="H69" s="54">
        <f>$H$53</f>
        <v>10</v>
      </c>
      <c r="I69" s="157">
        <f>$I$53</f>
        <v>1E-3</v>
      </c>
      <c r="J69" s="62">
        <f>J65</f>
        <v>11</v>
      </c>
      <c r="K69" s="56"/>
      <c r="L69" s="265"/>
      <c r="M69" s="265"/>
      <c r="N69" s="265"/>
      <c r="O69" s="265"/>
      <c r="P69" s="54"/>
      <c r="Q69" s="54"/>
      <c r="R69" s="54"/>
      <c r="S69" s="55"/>
      <c r="T69" s="62">
        <f>LOOKUP(B69, FIXOM_VAROM!$C$8:$C$190, FIXOM_VAROM!$D$8:$D$190)</f>
        <v>0.1</v>
      </c>
      <c r="U69" s="40">
        <f>LOOKUP($B69, INVCOST!$C$8:$C$193, INVCOST!E$8:E$193)</f>
        <v>260</v>
      </c>
      <c r="V69" s="40">
        <f>LOOKUP($B69, INVCOST!$C$8:$C$193, INVCOST!F$8:F$193)</f>
        <v>260</v>
      </c>
      <c r="W69" s="40">
        <f>LOOKUP($B69, INVCOST!$C$8:$C$193, INVCOST!G$8:G$193)</f>
        <v>260</v>
      </c>
      <c r="X69" s="40">
        <f>LOOKUP($B69, INVCOST!$C$8:$C$193, INVCOST!H$8:H$193)</f>
        <v>260</v>
      </c>
      <c r="Y69" s="40">
        <f>LOOKUP($B69, INVCOST!$C$8:$C$193, INVCOST!I$8:I$193)</f>
        <v>260</v>
      </c>
      <c r="Z69" s="40">
        <f>LOOKUP($B69, INVCOST!$C$8:$C$193, INVCOST!J$8:J$193)</f>
        <v>260</v>
      </c>
      <c r="AA69" s="40">
        <f>LOOKUP($B69, INVCOST!$C$8:$C$193, INVCOST!K$8:K$193)</f>
        <v>260</v>
      </c>
    </row>
    <row r="70" spans="2:27" s="39" customFormat="1" x14ac:dyDescent="0.3">
      <c r="B70" s="211"/>
      <c r="C70" s="211"/>
      <c r="D70" s="211"/>
      <c r="E70" s="211"/>
      <c r="F70" s="211" t="s">
        <v>90</v>
      </c>
      <c r="G70" s="59"/>
      <c r="H70" s="40"/>
      <c r="I70" s="41"/>
      <c r="J70" s="60"/>
      <c r="K70" s="42"/>
      <c r="L70" s="265">
        <f>LOOKUP($B$69, CEFF!$C$8:$C$156, CEFF!G$8:G$156)</f>
        <v>5.3940000000000002E-2</v>
      </c>
      <c r="M70" s="265">
        <f>LOOKUP($B$69, CEFF!$C$8:$C$156, CEFF!H$8:H$156)</f>
        <v>5.6750000000000002E-2</v>
      </c>
      <c r="N70" s="265">
        <f>LOOKUP($B$69, CEFF!$C$8:$C$156, CEFF!I$8:I$156)</f>
        <v>5.9630000000000002E-2</v>
      </c>
      <c r="O70" s="265">
        <f>LOOKUP($B$69, CEFF!$C$8:$C$156, CEFF!J$8:J$156)</f>
        <v>6.2770000000000006E-2</v>
      </c>
      <c r="P70" s="40"/>
      <c r="Q70" s="40"/>
      <c r="R70" s="40"/>
      <c r="S70" s="41"/>
      <c r="T70" s="60"/>
      <c r="U70" s="41"/>
      <c r="V70" s="41"/>
      <c r="W70" s="41"/>
      <c r="X70" s="41"/>
      <c r="Y70" s="41"/>
      <c r="Z70" s="41"/>
      <c r="AA70" s="41"/>
    </row>
    <row r="71" spans="2:27" s="39" customFormat="1" x14ac:dyDescent="0.3">
      <c r="B71" s="211"/>
      <c r="C71" s="211"/>
      <c r="D71" s="211"/>
      <c r="E71" s="211"/>
      <c r="F71" s="211" t="s">
        <v>381</v>
      </c>
      <c r="G71" s="63"/>
      <c r="H71" s="40"/>
      <c r="I71" s="41"/>
      <c r="J71" s="60"/>
      <c r="K71" s="42"/>
      <c r="L71" s="266">
        <f>LOOKUP($B$69, CEFF!$C$8:$C$156, CEFF!G$8:G$156)</f>
        <v>5.3940000000000002E-2</v>
      </c>
      <c r="M71" s="266">
        <f>LOOKUP($B$69, CEFF!$C$8:$C$156, CEFF!H$8:H$156)</f>
        <v>5.6750000000000002E-2</v>
      </c>
      <c r="N71" s="266">
        <f>LOOKUP($B$69, CEFF!$C$8:$C$156, CEFF!I$8:I$156)</f>
        <v>5.9630000000000002E-2</v>
      </c>
      <c r="O71" s="266">
        <f>LOOKUP($B$69, CEFF!$C$8:$C$156, CEFF!J$8:J$156)</f>
        <v>6.2770000000000006E-2</v>
      </c>
      <c r="P71" s="40"/>
      <c r="Q71" s="40"/>
      <c r="R71" s="40"/>
      <c r="S71" s="41"/>
      <c r="T71" s="60"/>
      <c r="U71" s="45"/>
      <c r="V71" s="45"/>
      <c r="W71" s="45"/>
      <c r="X71" s="45"/>
      <c r="Y71" s="45"/>
      <c r="Z71" s="45"/>
      <c r="AA71" s="45"/>
    </row>
    <row r="72" spans="2:27" s="39" customFormat="1" x14ac:dyDescent="0.3">
      <c r="B72" s="214" t="s">
        <v>101</v>
      </c>
      <c r="C72" s="214" t="str">
        <f>LOOKUP(B72, TRA_COMM_PRO!$C$17:$C$199, TRA_COMM_PRO!$D$17:$D$199)</f>
        <v>Bus.Intercity.H2G.01.</v>
      </c>
      <c r="D72" s="214" t="s">
        <v>57</v>
      </c>
      <c r="E72" s="214"/>
      <c r="F72" s="214"/>
      <c r="G72" s="59">
        <f>$G$52</f>
        <v>2020</v>
      </c>
      <c r="H72" s="54">
        <f>$H$53</f>
        <v>10</v>
      </c>
      <c r="I72" s="157">
        <f>$I$53</f>
        <v>1E-3</v>
      </c>
      <c r="J72" s="62">
        <f>J69</f>
        <v>11</v>
      </c>
      <c r="K72" s="56"/>
      <c r="L72" s="265"/>
      <c r="M72" s="265"/>
      <c r="N72" s="265"/>
      <c r="O72" s="265"/>
      <c r="P72" s="54"/>
      <c r="Q72" s="54"/>
      <c r="R72" s="54"/>
      <c r="S72" s="55"/>
      <c r="T72" s="62">
        <f>LOOKUP(B72, FIXOM_VAROM!$C$8:$C$190, FIXOM_VAROM!$D$8:$D$190)</f>
        <v>8.0000000000000016E-2</v>
      </c>
      <c r="U72" s="40">
        <f>LOOKUP($B72, INVCOST!$C$8:$C$193, INVCOST!E$8:E$193)</f>
        <v>1000</v>
      </c>
      <c r="V72" s="40">
        <f>LOOKUP($B72, INVCOST!$C$8:$C$193, INVCOST!F$8:F$193)</f>
        <v>1000</v>
      </c>
      <c r="W72" s="40">
        <f>LOOKUP($B72, INVCOST!$C$8:$C$193, INVCOST!G$8:G$193)</f>
        <v>1000</v>
      </c>
      <c r="X72" s="40">
        <f>LOOKUP($B72, INVCOST!$C$8:$C$193, INVCOST!H$8:H$193)</f>
        <v>1000</v>
      </c>
      <c r="Y72" s="40">
        <f>LOOKUP($B72, INVCOST!$C$8:$C$193, INVCOST!I$8:I$193)</f>
        <v>1000</v>
      </c>
      <c r="Z72" s="40">
        <f>LOOKUP($B72, INVCOST!$C$8:$C$193, INVCOST!J$8:J$193)</f>
        <v>1000</v>
      </c>
      <c r="AA72" s="40">
        <f>LOOKUP($B72, INVCOST!$C$8:$C$193, INVCOST!K$8:K$193)</f>
        <v>1000</v>
      </c>
    </row>
    <row r="73" spans="2:27" s="39" customFormat="1" x14ac:dyDescent="0.3">
      <c r="B73" s="211"/>
      <c r="C73" s="211"/>
      <c r="D73" s="211"/>
      <c r="E73" s="211"/>
      <c r="F73" s="211" t="s">
        <v>90</v>
      </c>
      <c r="G73" s="59"/>
      <c r="H73" s="40"/>
      <c r="I73" s="41"/>
      <c r="J73" s="60"/>
      <c r="K73" s="42"/>
      <c r="L73" s="265">
        <f>LOOKUP($B$72, CEFF!$C$8:$C$156, CEFF!G$8:G$156)</f>
        <v>5.3940000000000002E-2</v>
      </c>
      <c r="M73" s="265">
        <f>LOOKUP($B$72, CEFF!$C$8:$C$156, CEFF!H$8:H$156)</f>
        <v>5.6750000000000002E-2</v>
      </c>
      <c r="N73" s="265">
        <f>LOOKUP($B$72, CEFF!$C$8:$C$156, CEFF!I$8:I$156)</f>
        <v>5.9630000000000002E-2</v>
      </c>
      <c r="O73" s="265">
        <f>LOOKUP($B$72, CEFF!$C$8:$C$156, CEFF!J$8:J$156)</f>
        <v>6.2770000000000006E-2</v>
      </c>
      <c r="P73" s="40"/>
      <c r="Q73" s="40"/>
      <c r="R73" s="40"/>
      <c r="S73" s="41"/>
      <c r="T73" s="60"/>
      <c r="U73" s="60"/>
      <c r="V73" s="60"/>
      <c r="W73" s="60"/>
      <c r="X73" s="60"/>
      <c r="Y73" s="60"/>
      <c r="Z73" s="60"/>
      <c r="AA73" s="60"/>
    </row>
    <row r="74" spans="2:27" s="39" customFormat="1" x14ac:dyDescent="0.3">
      <c r="B74" s="212"/>
      <c r="C74" s="212"/>
      <c r="D74" s="212"/>
      <c r="E74" s="212"/>
      <c r="F74" s="212" t="s">
        <v>381</v>
      </c>
      <c r="G74" s="63"/>
      <c r="H74" s="45"/>
      <c r="I74" s="46"/>
      <c r="J74" s="64"/>
      <c r="K74" s="44"/>
      <c r="L74" s="266">
        <f>LOOKUP($B$72, CEFF!$C$8:$C$156, CEFF!G$8:G$156)</f>
        <v>5.3940000000000002E-2</v>
      </c>
      <c r="M74" s="266">
        <f>LOOKUP($B$72, CEFF!$C$8:$C$156, CEFF!H$8:H$156)</f>
        <v>5.6750000000000002E-2</v>
      </c>
      <c r="N74" s="266">
        <f>LOOKUP($B$72, CEFF!$C$8:$C$156, CEFF!I$8:I$156)</f>
        <v>5.9630000000000002E-2</v>
      </c>
      <c r="O74" s="266">
        <f>LOOKUP($B$72, CEFF!$C$8:$C$156, CEFF!J$8:J$156)</f>
        <v>6.2770000000000006E-2</v>
      </c>
      <c r="P74" s="45"/>
      <c r="Q74" s="45"/>
      <c r="R74" s="45"/>
      <c r="S74" s="46"/>
      <c r="T74" s="64"/>
      <c r="U74" s="46"/>
      <c r="V74" s="46"/>
      <c r="W74" s="46"/>
      <c r="X74" s="46"/>
      <c r="Y74" s="46"/>
      <c r="Z74" s="46"/>
      <c r="AA74" s="46"/>
    </row>
    <row r="75" spans="2:27" s="39" customFormat="1" x14ac:dyDescent="0.3">
      <c r="B75" s="214" t="s">
        <v>356</v>
      </c>
      <c r="C75" s="214" t="str">
        <f>LOOKUP(B75, TRA_COMM_PRO!$C$17:$C$199, TRA_COMM_PRO!$D$17:$D$199)</f>
        <v>Bus.Intercity.Hybrid.DST.01.</v>
      </c>
      <c r="D75" s="214" t="s">
        <v>712</v>
      </c>
      <c r="E75" s="214"/>
      <c r="F75" s="214"/>
      <c r="G75" s="59">
        <f>$G$52</f>
        <v>2020</v>
      </c>
      <c r="H75" s="54">
        <f>$H$53</f>
        <v>10</v>
      </c>
      <c r="I75" s="157">
        <f>$I$53</f>
        <v>1E-3</v>
      </c>
      <c r="J75" s="62">
        <f>J72</f>
        <v>11</v>
      </c>
      <c r="K75" s="56"/>
      <c r="L75" s="265"/>
      <c r="M75" s="265"/>
      <c r="N75" s="265"/>
      <c r="O75" s="265"/>
      <c r="P75" s="54"/>
      <c r="Q75" s="54"/>
      <c r="R75" s="54"/>
      <c r="S75" s="55"/>
      <c r="T75" s="62">
        <f>LOOKUP(B75, FIXOM_VAROM!$C$8:$C$190, FIXOM_VAROM!$D$8:$D$190)</f>
        <v>0.1</v>
      </c>
      <c r="U75" s="40">
        <f>LOOKUP($B75, INVCOST!$C$8:$C$193, INVCOST!E$8:E$193)</f>
        <v>602</v>
      </c>
      <c r="V75" s="40">
        <f>LOOKUP($B75, INVCOST!$C$8:$C$193, INVCOST!F$8:F$193)</f>
        <v>602</v>
      </c>
      <c r="W75" s="40">
        <f>LOOKUP($B75, INVCOST!$C$8:$C$193, INVCOST!G$8:G$193)</f>
        <v>602</v>
      </c>
      <c r="X75" s="40">
        <f>LOOKUP($B75, INVCOST!$C$8:$C$193, INVCOST!H$8:H$193)</f>
        <v>602</v>
      </c>
      <c r="Y75" s="40">
        <f>LOOKUP($B75, INVCOST!$C$8:$C$193, INVCOST!I$8:I$193)</f>
        <v>602</v>
      </c>
      <c r="Z75" s="40">
        <f>LOOKUP($B75, INVCOST!$C$8:$C$193, INVCOST!J$8:J$193)</f>
        <v>602</v>
      </c>
      <c r="AA75" s="40">
        <f>LOOKUP($B75, INVCOST!$C$8:$C$193, INVCOST!K$8:K$193)</f>
        <v>602</v>
      </c>
    </row>
    <row r="76" spans="2:27" s="39" customFormat="1" x14ac:dyDescent="0.3">
      <c r="B76" s="211"/>
      <c r="C76" s="211"/>
      <c r="D76" s="211"/>
      <c r="E76" s="211"/>
      <c r="F76" s="211" t="s">
        <v>90</v>
      </c>
      <c r="G76" s="59"/>
      <c r="H76" s="40"/>
      <c r="I76" s="41"/>
      <c r="J76" s="60"/>
      <c r="K76" s="42"/>
      <c r="L76" s="265">
        <f>LOOKUP($B$75, CEFF!$C$8:$C$156, CEFF!G$8:G$156)</f>
        <v>8.5690000000000002E-2</v>
      </c>
      <c r="M76" s="265">
        <f>LOOKUP($B$75, CEFF!$C$8:$C$156, CEFF!H$8:H$156)</f>
        <v>9.0090000000000003E-2</v>
      </c>
      <c r="N76" s="265">
        <f>LOOKUP($B$75, CEFF!$C$8:$C$156, CEFF!I$8:I$156)</f>
        <v>9.4880000000000006E-2</v>
      </c>
      <c r="O76" s="265">
        <f>LOOKUP($B$75, CEFF!$C$8:$C$156, CEFF!J$8:J$156)</f>
        <v>9.9599999999999994E-2</v>
      </c>
      <c r="P76" s="40"/>
      <c r="Q76" s="40"/>
      <c r="R76" s="40"/>
      <c r="S76" s="41"/>
      <c r="T76" s="60"/>
      <c r="U76" s="41"/>
      <c r="V76" s="41"/>
      <c r="W76" s="41"/>
      <c r="X76" s="41"/>
      <c r="Y76" s="41"/>
      <c r="Z76" s="41"/>
      <c r="AA76" s="41"/>
    </row>
    <row r="77" spans="2:27" s="39" customFormat="1" x14ac:dyDescent="0.3">
      <c r="B77" s="212"/>
      <c r="C77" s="212"/>
      <c r="D77" s="212"/>
      <c r="E77" s="212"/>
      <c r="F77" s="212" t="s">
        <v>381</v>
      </c>
      <c r="G77" s="63"/>
      <c r="H77" s="45"/>
      <c r="I77" s="46"/>
      <c r="J77" s="64"/>
      <c r="K77" s="44"/>
      <c r="L77" s="266">
        <f>LOOKUP($B$75, CEFF!$C$8:$C$156, CEFF!G$8:G$156)</f>
        <v>8.5690000000000002E-2</v>
      </c>
      <c r="M77" s="266">
        <f>LOOKUP($B$75, CEFF!$C$8:$C$156, CEFF!H$8:H$156)</f>
        <v>9.0090000000000003E-2</v>
      </c>
      <c r="N77" s="266">
        <f>LOOKUP($B$75, CEFF!$C$8:$C$156, CEFF!I$8:I$156)</f>
        <v>9.4880000000000006E-2</v>
      </c>
      <c r="O77" s="266">
        <f>LOOKUP($B$75, CEFF!$C$8:$C$156, CEFF!J$8:J$156)</f>
        <v>9.9599999999999994E-2</v>
      </c>
      <c r="P77" s="45"/>
      <c r="Q77" s="45"/>
      <c r="R77" s="45"/>
      <c r="S77" s="46"/>
      <c r="T77" s="64"/>
      <c r="U77" s="46"/>
      <c r="V77" s="46"/>
      <c r="W77" s="46"/>
      <c r="X77" s="46"/>
      <c r="Y77" s="46"/>
      <c r="Z77" s="46"/>
      <c r="AA77" s="46"/>
    </row>
    <row r="78" spans="2:27" s="39" customFormat="1" x14ac:dyDescent="0.3">
      <c r="B78" s="214" t="s">
        <v>421</v>
      </c>
      <c r="C78" s="214" t="str">
        <f>LOOKUP(B78, TRA_COMM_PRO!$C$17:$C$199, TRA_COMM_PRO!$D$17:$D$199)</f>
        <v>Bus.Intercity.Hybrid.GSL.01.</v>
      </c>
      <c r="D78" s="210" t="s">
        <v>713</v>
      </c>
      <c r="E78" s="214"/>
      <c r="F78" s="214"/>
      <c r="G78" s="59">
        <f>$G$52</f>
        <v>2020</v>
      </c>
      <c r="H78" s="54">
        <f>$H$53</f>
        <v>10</v>
      </c>
      <c r="I78" s="157">
        <f>$I$53</f>
        <v>1E-3</v>
      </c>
      <c r="J78" s="62">
        <f>J75</f>
        <v>11</v>
      </c>
      <c r="K78" s="56"/>
      <c r="L78" s="265"/>
      <c r="M78" s="265"/>
      <c r="N78" s="265"/>
      <c r="O78" s="265"/>
      <c r="P78" s="54"/>
      <c r="Q78" s="54"/>
      <c r="R78" s="54"/>
      <c r="S78" s="55"/>
      <c r="T78" s="62">
        <f>LOOKUP(B78, FIXOM_VAROM!$C$8:$C$190, FIXOM_VAROM!$D$8:$D$190)</f>
        <v>0.1</v>
      </c>
      <c r="U78" s="40">
        <f>LOOKUP($B78, INVCOST!$C$8:$C$193, INVCOST!E$8:E$193)</f>
        <v>602</v>
      </c>
      <c r="V78" s="40">
        <f>LOOKUP($B78, INVCOST!$C$8:$C$193, INVCOST!F$8:F$193)</f>
        <v>602</v>
      </c>
      <c r="W78" s="40">
        <f>LOOKUP($B78, INVCOST!$C$8:$C$193, INVCOST!G$8:G$193)</f>
        <v>602</v>
      </c>
      <c r="X78" s="40">
        <f>LOOKUP($B78, INVCOST!$C$8:$C$193, INVCOST!H$8:H$193)</f>
        <v>602</v>
      </c>
      <c r="Y78" s="40">
        <f>LOOKUP($B78, INVCOST!$C$8:$C$193, INVCOST!I$8:I$193)</f>
        <v>602</v>
      </c>
      <c r="Z78" s="40">
        <f>LOOKUP($B78, INVCOST!$C$8:$C$193, INVCOST!J$8:J$193)</f>
        <v>602</v>
      </c>
      <c r="AA78" s="40">
        <f>LOOKUP($B78, INVCOST!$C$8:$C$193, INVCOST!K$8:K$193)</f>
        <v>602</v>
      </c>
    </row>
    <row r="79" spans="2:27" s="39" customFormat="1" x14ac:dyDescent="0.3">
      <c r="B79" s="211"/>
      <c r="C79" s="211"/>
      <c r="D79" s="211"/>
      <c r="E79" s="211"/>
      <c r="F79" s="211" t="s">
        <v>90</v>
      </c>
      <c r="G79" s="59"/>
      <c r="H79" s="40"/>
      <c r="I79" s="41"/>
      <c r="J79" s="60"/>
      <c r="K79" s="42"/>
      <c r="L79" s="265">
        <f>LOOKUP($B$78, CEFF!$C$8:$C$156, CEFF!G$8:G$156)</f>
        <v>5.6779999999999997E-2</v>
      </c>
      <c r="M79" s="265">
        <f>LOOKUP($B$78, CEFF!$C$8:$C$156, CEFF!H$8:H$156)</f>
        <v>5.9740000000000001E-2</v>
      </c>
      <c r="N79" s="265">
        <f>LOOKUP($B$78, CEFF!$C$8:$C$156, CEFF!I$8:I$156)</f>
        <v>6.2770000000000006E-2</v>
      </c>
      <c r="O79" s="265">
        <f>LOOKUP($B$78, CEFF!$C$8:$C$156, CEFF!J$8:J$156)</f>
        <v>6.608E-2</v>
      </c>
      <c r="P79" s="40"/>
      <c r="Q79" s="40"/>
      <c r="R79" s="40"/>
      <c r="S79" s="41"/>
      <c r="T79" s="60"/>
      <c r="U79" s="41"/>
      <c r="V79" s="41"/>
      <c r="W79" s="41"/>
      <c r="X79" s="41"/>
      <c r="Y79" s="41"/>
      <c r="Z79" s="41"/>
      <c r="AA79" s="41"/>
    </row>
    <row r="80" spans="2:27" s="39" customFormat="1" x14ac:dyDescent="0.3">
      <c r="B80" s="212"/>
      <c r="C80" s="212"/>
      <c r="D80" s="212"/>
      <c r="E80" s="212"/>
      <c r="F80" s="212" t="s">
        <v>381</v>
      </c>
      <c r="G80" s="63"/>
      <c r="H80" s="45"/>
      <c r="I80" s="46"/>
      <c r="J80" s="64"/>
      <c r="K80" s="44"/>
      <c r="L80" s="266">
        <f>LOOKUP($B$78, CEFF!$C$8:$C$156, CEFF!G$8:G$156)</f>
        <v>5.6779999999999997E-2</v>
      </c>
      <c r="M80" s="266">
        <f>LOOKUP($B$78, CEFF!$C$8:$C$156, CEFF!H$8:H$156)</f>
        <v>5.9740000000000001E-2</v>
      </c>
      <c r="N80" s="266">
        <f>LOOKUP($B$78, CEFF!$C$8:$C$156, CEFF!I$8:I$156)</f>
        <v>6.2770000000000006E-2</v>
      </c>
      <c r="O80" s="266">
        <f>LOOKUP($B$78, CEFF!$C$8:$C$156, CEFF!J$8:J$156)</f>
        <v>6.608E-2</v>
      </c>
      <c r="P80" s="45"/>
      <c r="Q80" s="45"/>
      <c r="R80" s="45"/>
      <c r="S80" s="46"/>
      <c r="T80" s="64"/>
      <c r="U80" s="46"/>
      <c r="V80" s="46"/>
      <c r="W80" s="46"/>
      <c r="X80" s="46"/>
      <c r="Y80" s="46"/>
      <c r="Z80" s="46"/>
      <c r="AA80" s="46"/>
    </row>
    <row r="81" spans="2:27" s="39" customFormat="1" x14ac:dyDescent="0.3">
      <c r="B81" s="211" t="s">
        <v>103</v>
      </c>
      <c r="C81" s="214" t="str">
        <f>LOOKUP(B81, TRA_COMM_PRO!$C$17:$C$199, TRA_COMM_PRO!$D$17:$D$199)</f>
        <v>Bus.Intercity.LPG.01.</v>
      </c>
      <c r="D81" s="211" t="s">
        <v>62</v>
      </c>
      <c r="E81" s="211"/>
      <c r="F81" s="211"/>
      <c r="G81" s="59">
        <f>$G$52</f>
        <v>2020</v>
      </c>
      <c r="H81" s="54">
        <f>$H$53</f>
        <v>10</v>
      </c>
      <c r="I81" s="157">
        <f>$I$53</f>
        <v>1E-3</v>
      </c>
      <c r="J81" s="60">
        <f>J75</f>
        <v>11</v>
      </c>
      <c r="K81" s="42"/>
      <c r="L81" s="265"/>
      <c r="M81" s="265"/>
      <c r="N81" s="265"/>
      <c r="O81" s="265"/>
      <c r="P81" s="40"/>
      <c r="Q81" s="40"/>
      <c r="R81" s="40"/>
      <c r="S81" s="41"/>
      <c r="T81" s="62">
        <f>LOOKUP(B81, FIXOM_VAROM!$C$8:$C$190, FIXOM_VAROM!$D$8:$D$190)</f>
        <v>0.1</v>
      </c>
      <c r="U81" s="40">
        <f>LOOKUP($B81, INVCOST!$C$8:$C$193, INVCOST!E$8:E$193)</f>
        <v>260</v>
      </c>
      <c r="V81" s="40">
        <f>LOOKUP($B81, INVCOST!$C$8:$C$193, INVCOST!F$8:F$193)</f>
        <v>260</v>
      </c>
      <c r="W81" s="40">
        <f>LOOKUP($B81, INVCOST!$C$8:$C$193, INVCOST!G$8:G$193)</f>
        <v>260</v>
      </c>
      <c r="X81" s="40">
        <f>LOOKUP($B81, INVCOST!$C$8:$C$193, INVCOST!H$8:H$193)</f>
        <v>260</v>
      </c>
      <c r="Y81" s="40">
        <f>LOOKUP($B81, INVCOST!$C$8:$C$193, INVCOST!I$8:I$193)</f>
        <v>260</v>
      </c>
      <c r="Z81" s="40">
        <f>LOOKUP($B81, INVCOST!$C$8:$C$193, INVCOST!J$8:J$193)</f>
        <v>260</v>
      </c>
      <c r="AA81" s="40">
        <f>LOOKUP($B81, INVCOST!$C$8:$C$193, INVCOST!K$8:K$193)</f>
        <v>260</v>
      </c>
    </row>
    <row r="82" spans="2:27" s="39" customFormat="1" x14ac:dyDescent="0.3">
      <c r="B82" s="211"/>
      <c r="C82" s="211"/>
      <c r="D82" s="211"/>
      <c r="E82" s="211"/>
      <c r="F82" s="211" t="s">
        <v>90</v>
      </c>
      <c r="G82" s="59"/>
      <c r="H82" s="40"/>
      <c r="I82" s="41"/>
      <c r="J82" s="60"/>
      <c r="K82" s="42"/>
      <c r="L82" s="265">
        <f>LOOKUP($B$81, CEFF!$C$8:$C$156, CEFF!G$8:G$156)</f>
        <v>5.3940000000000002E-2</v>
      </c>
      <c r="M82" s="265">
        <f>LOOKUP($B$81, CEFF!$C$8:$C$156, CEFF!H$8:H$156)</f>
        <v>5.6750000000000002E-2</v>
      </c>
      <c r="N82" s="265">
        <f>LOOKUP($B$81, CEFF!$C$8:$C$156, CEFF!I$8:I$156)</f>
        <v>5.9630000000000002E-2</v>
      </c>
      <c r="O82" s="265">
        <f>LOOKUP($B$81, CEFF!$C$8:$C$156, CEFF!J$8:J$156)</f>
        <v>6.2770000000000006E-2</v>
      </c>
      <c r="P82" s="40"/>
      <c r="Q82" s="40"/>
      <c r="R82" s="40"/>
      <c r="S82" s="41"/>
      <c r="T82" s="60"/>
      <c r="U82" s="60"/>
      <c r="V82" s="60"/>
      <c r="W82" s="60"/>
      <c r="X82" s="60"/>
      <c r="Y82" s="60"/>
      <c r="Z82" s="60"/>
      <c r="AA82" s="60"/>
    </row>
    <row r="83" spans="2:27" s="39" customFormat="1" x14ac:dyDescent="0.3">
      <c r="B83" s="211"/>
      <c r="C83" s="211"/>
      <c r="D83" s="211"/>
      <c r="E83" s="211"/>
      <c r="F83" s="211" t="s">
        <v>381</v>
      </c>
      <c r="G83" s="63"/>
      <c r="H83" s="40"/>
      <c r="I83" s="41"/>
      <c r="J83" s="60"/>
      <c r="K83" s="42"/>
      <c r="L83" s="266">
        <f>LOOKUP($B$81, CEFF!$C$8:$C$156, CEFF!G$8:G$156)</f>
        <v>5.3940000000000002E-2</v>
      </c>
      <c r="M83" s="266">
        <f>LOOKUP($B$81, CEFF!$C$8:$C$156, CEFF!H$8:H$156)</f>
        <v>5.6750000000000002E-2</v>
      </c>
      <c r="N83" s="266">
        <f>LOOKUP($B$81, CEFF!$C$8:$C$156, CEFF!I$8:I$156)</f>
        <v>5.9630000000000002E-2</v>
      </c>
      <c r="O83" s="266">
        <f>LOOKUP($B$81, CEFF!$C$8:$C$156, CEFF!J$8:J$156)</f>
        <v>6.2770000000000006E-2</v>
      </c>
      <c r="P83" s="40"/>
      <c r="Q83" s="40"/>
      <c r="R83" s="40"/>
      <c r="S83" s="41"/>
      <c r="T83" s="60"/>
      <c r="U83" s="46"/>
      <c r="V83" s="46"/>
      <c r="W83" s="46"/>
      <c r="X83" s="46"/>
      <c r="Y83" s="46"/>
      <c r="Z83" s="46"/>
      <c r="AA83" s="46"/>
    </row>
    <row r="84" spans="2:27" s="39" customFormat="1" x14ac:dyDescent="0.3">
      <c r="B84" s="214" t="s">
        <v>606</v>
      </c>
      <c r="C84" s="214" t="str">
        <f>LOOKUP(B84, TRA_COMM_PRO!$C$17:$C$199, TRA_COMM_PRO!$D$17:$D$199)</f>
        <v>Bus.Intercity.MTH.01.</v>
      </c>
      <c r="D84" s="214" t="s">
        <v>599</v>
      </c>
      <c r="E84" s="214"/>
      <c r="F84" s="214"/>
      <c r="G84" s="59">
        <f>$G$52</f>
        <v>2020</v>
      </c>
      <c r="H84" s="54">
        <f>$H$53</f>
        <v>10</v>
      </c>
      <c r="I84" s="157">
        <f>$I$53</f>
        <v>1E-3</v>
      </c>
      <c r="J84" s="62">
        <f>J81</f>
        <v>11</v>
      </c>
      <c r="K84" s="56"/>
      <c r="L84" s="265"/>
      <c r="M84" s="265"/>
      <c r="N84" s="265"/>
      <c r="O84" s="265"/>
      <c r="P84" s="54"/>
      <c r="Q84" s="54"/>
      <c r="R84" s="54"/>
      <c r="S84" s="55"/>
      <c r="T84" s="62">
        <f>LOOKUP(B84, FIXOM_VAROM!$C$8:$C$190, FIXOM_VAROM!$D$8:$D$190)</f>
        <v>0.1</v>
      </c>
      <c r="U84" s="40">
        <f>LOOKUP($B84, INVCOST!$C$8:$C$193, INVCOST!E$8:E$193)</f>
        <v>312</v>
      </c>
      <c r="V84" s="40">
        <f>LOOKUP($B84, INVCOST!$C$8:$C$193, INVCOST!F$8:F$193)</f>
        <v>312</v>
      </c>
      <c r="W84" s="40">
        <f>LOOKUP($B84, INVCOST!$C$8:$C$193, INVCOST!G$8:G$193)</f>
        <v>312</v>
      </c>
      <c r="X84" s="40">
        <f>LOOKUP($B84, INVCOST!$C$8:$C$193, INVCOST!H$8:H$193)</f>
        <v>312</v>
      </c>
      <c r="Y84" s="40">
        <f>LOOKUP($B84, INVCOST!$C$8:$C$193, INVCOST!I$8:I$193)</f>
        <v>312</v>
      </c>
      <c r="Z84" s="40">
        <f>LOOKUP($B84, INVCOST!$C$8:$C$193, INVCOST!J$8:J$193)</f>
        <v>312</v>
      </c>
      <c r="AA84" s="40">
        <f>LOOKUP($B84, INVCOST!$C$8:$C$193, INVCOST!K$8:K$193)</f>
        <v>312</v>
      </c>
    </row>
    <row r="85" spans="2:27" s="39" customFormat="1" x14ac:dyDescent="0.3">
      <c r="B85" s="211"/>
      <c r="C85" s="211"/>
      <c r="D85" s="211"/>
      <c r="E85" s="211"/>
      <c r="F85" s="211" t="s">
        <v>90</v>
      </c>
      <c r="G85" s="59"/>
      <c r="H85" s="40"/>
      <c r="I85" s="41"/>
      <c r="J85" s="60"/>
      <c r="K85" s="42"/>
      <c r="L85" s="265">
        <f>LOOKUP($B$84, CEFF!$C$8:$C$156, CEFF!G$8:G$156)</f>
        <v>5.3940000000000002E-2</v>
      </c>
      <c r="M85" s="265">
        <f>LOOKUP($B$84, CEFF!$C$8:$C$156, CEFF!H$8:H$156)</f>
        <v>5.6750000000000002E-2</v>
      </c>
      <c r="N85" s="265">
        <f>LOOKUP($B$84, CEFF!$C$8:$C$156, CEFF!I$8:I$156)</f>
        <v>5.9630000000000002E-2</v>
      </c>
      <c r="O85" s="265">
        <f>LOOKUP($B$84, CEFF!$C$8:$C$156, CEFF!J$8:J$156)</f>
        <v>6.2770000000000006E-2</v>
      </c>
      <c r="P85" s="40"/>
      <c r="Q85" s="40"/>
      <c r="R85" s="40"/>
      <c r="S85" s="41"/>
      <c r="T85" s="60"/>
      <c r="U85" s="60"/>
      <c r="V85" s="60"/>
      <c r="W85" s="60"/>
      <c r="X85" s="60"/>
      <c r="Y85" s="60"/>
      <c r="Z85" s="60"/>
      <c r="AA85" s="60"/>
    </row>
    <row r="86" spans="2:27" s="39" customFormat="1" x14ac:dyDescent="0.3">
      <c r="B86" s="211"/>
      <c r="C86" s="211"/>
      <c r="D86" s="211"/>
      <c r="E86" s="211"/>
      <c r="F86" s="211" t="s">
        <v>381</v>
      </c>
      <c r="G86" s="63"/>
      <c r="H86" s="40"/>
      <c r="I86" s="41"/>
      <c r="J86" s="60"/>
      <c r="K86" s="42"/>
      <c r="L86" s="266">
        <f>LOOKUP($B$84, CEFF!$C$8:$C$156, CEFF!G$8:G$156)</f>
        <v>5.3940000000000002E-2</v>
      </c>
      <c r="M86" s="266">
        <f>LOOKUP($B$84, CEFF!$C$8:$C$156, CEFF!H$8:H$156)</f>
        <v>5.6750000000000002E-2</v>
      </c>
      <c r="N86" s="266">
        <f>LOOKUP($B$84, CEFF!$C$8:$C$156, CEFF!I$8:I$156)</f>
        <v>5.9630000000000002E-2</v>
      </c>
      <c r="O86" s="266">
        <f>LOOKUP($B$84, CEFF!$C$8:$C$156, CEFF!J$8:J$156)</f>
        <v>6.2770000000000006E-2</v>
      </c>
      <c r="P86" s="42"/>
      <c r="Q86" s="42"/>
      <c r="R86" s="42"/>
      <c r="S86" s="42"/>
      <c r="T86" s="60"/>
      <c r="U86" s="46"/>
      <c r="V86" s="46"/>
      <c r="W86" s="46"/>
      <c r="X86" s="46"/>
      <c r="Y86" s="46"/>
      <c r="Z86" s="46"/>
      <c r="AA86" s="46"/>
    </row>
    <row r="87" spans="2:27" s="39" customFormat="1" x14ac:dyDescent="0.3">
      <c r="B87" s="214" t="s">
        <v>422</v>
      </c>
      <c r="C87" s="214" t="str">
        <f>LOOKUP(B87, TRA_COMM_PRO!$C$17:$C$199, TRA_COMM_PRO!$D$17:$D$199)</f>
        <v>Bus.Intercity.Plugin-Hybrid.DST.01.</v>
      </c>
      <c r="D87" s="214" t="s">
        <v>712</v>
      </c>
      <c r="E87" s="214"/>
      <c r="F87" s="214"/>
      <c r="G87" s="59">
        <f>$G$5</f>
        <v>2020</v>
      </c>
      <c r="H87" s="54">
        <f>$H$53</f>
        <v>10</v>
      </c>
      <c r="I87" s="157">
        <f>$I$53</f>
        <v>1E-3</v>
      </c>
      <c r="J87" s="62">
        <f>J84</f>
        <v>11</v>
      </c>
      <c r="K87" s="56"/>
      <c r="L87" s="265"/>
      <c r="M87" s="265"/>
      <c r="N87" s="265"/>
      <c r="O87" s="265"/>
      <c r="P87" s="56"/>
      <c r="Q87" s="56"/>
      <c r="R87" s="56"/>
      <c r="S87" s="56"/>
      <c r="T87" s="62">
        <f>LOOKUP(B87, FIXOM_VAROM!$C$8:$C$190, FIXOM_VAROM!$D$8:$D$190)</f>
        <v>0.1</v>
      </c>
      <c r="U87" s="40">
        <f>LOOKUP($B87, INVCOST!$C$8:$C$193, INVCOST!E$8:E$193)</f>
        <v>722.4</v>
      </c>
      <c r="V87" s="40">
        <f>LOOKUP($B87, INVCOST!$C$8:$C$193, INVCOST!F$8:F$193)</f>
        <v>722.4</v>
      </c>
      <c r="W87" s="40">
        <f>LOOKUP($B87, INVCOST!$C$8:$C$193, INVCOST!G$8:G$193)</f>
        <v>722.4</v>
      </c>
      <c r="X87" s="40">
        <f>LOOKUP($B87, INVCOST!$C$8:$C$193, INVCOST!H$8:H$193)</f>
        <v>722.4</v>
      </c>
      <c r="Y87" s="40">
        <f>LOOKUP($B87, INVCOST!$C$8:$C$193, INVCOST!I$8:I$193)</f>
        <v>722.4</v>
      </c>
      <c r="Z87" s="40">
        <f>LOOKUP($B87, INVCOST!$C$8:$C$193, INVCOST!J$8:J$193)</f>
        <v>722.4</v>
      </c>
      <c r="AA87" s="40">
        <f>LOOKUP($B87, INVCOST!$C$8:$C$193, INVCOST!K$8:K$193)</f>
        <v>722.4</v>
      </c>
    </row>
    <row r="88" spans="2:27" s="39" customFormat="1" x14ac:dyDescent="0.3">
      <c r="B88" s="211"/>
      <c r="C88" s="211"/>
      <c r="D88" s="211"/>
      <c r="E88" s="211"/>
      <c r="F88" s="211" t="s">
        <v>90</v>
      </c>
      <c r="G88" s="50"/>
      <c r="H88" s="40"/>
      <c r="I88" s="65"/>
      <c r="J88" s="60"/>
      <c r="K88" s="42"/>
      <c r="L88" s="265">
        <f>LOOKUP($B$87, CEFF!$C$8:$C$156, CEFF!G$8:G$156)</f>
        <v>8.9800000000000005E-2</v>
      </c>
      <c r="M88" s="265">
        <f>LOOKUP($B$87, CEFF!$C$8:$C$156, CEFF!H$8:H$156)</f>
        <v>9.4369999999999996E-2</v>
      </c>
      <c r="N88" s="265">
        <f>LOOKUP($B$87, CEFF!$C$8:$C$156, CEFF!I$8:I$156)</f>
        <v>9.9419999999999994E-2</v>
      </c>
      <c r="O88" s="265">
        <f>LOOKUP($B$87, CEFF!$C$8:$C$156, CEFF!J$8:J$156)</f>
        <v>0.10439</v>
      </c>
      <c r="P88" s="40"/>
      <c r="Q88" s="40"/>
      <c r="R88" s="40"/>
      <c r="S88" s="41"/>
      <c r="T88" s="60"/>
      <c r="U88" s="40"/>
      <c r="V88" s="40"/>
      <c r="W88" s="40"/>
      <c r="X88" s="40"/>
      <c r="Y88" s="40"/>
      <c r="Z88" s="40"/>
      <c r="AA88" s="40"/>
    </row>
    <row r="89" spans="2:27" s="39" customFormat="1" x14ac:dyDescent="0.3">
      <c r="B89" s="211"/>
      <c r="C89" s="212"/>
      <c r="D89" s="212"/>
      <c r="E89" s="211"/>
      <c r="F89" s="211" t="s">
        <v>381</v>
      </c>
      <c r="G89" s="63"/>
      <c r="H89" s="40"/>
      <c r="I89" s="41"/>
      <c r="J89" s="60"/>
      <c r="K89" s="42"/>
      <c r="L89" s="266">
        <f>LOOKUP($B$87, CEFF!$C$8:$C$156, CEFF!G$8:G$156)</f>
        <v>8.9800000000000005E-2</v>
      </c>
      <c r="M89" s="266">
        <f>LOOKUP($B$87, CEFF!$C$8:$C$156, CEFF!H$8:H$156)</f>
        <v>9.4369999999999996E-2</v>
      </c>
      <c r="N89" s="266">
        <f>LOOKUP($B$87, CEFF!$C$8:$C$156, CEFF!I$8:I$156)</f>
        <v>9.9419999999999994E-2</v>
      </c>
      <c r="O89" s="266">
        <f>LOOKUP($B$87, CEFF!$C$8:$C$156, CEFF!J$8:J$156)</f>
        <v>0.10439</v>
      </c>
      <c r="P89" s="40"/>
      <c r="Q89" s="40"/>
      <c r="R89" s="40"/>
      <c r="S89" s="41"/>
      <c r="T89" s="60"/>
      <c r="U89" s="45"/>
      <c r="V89" s="45"/>
      <c r="W89" s="45"/>
      <c r="X89" s="45"/>
      <c r="Y89" s="45"/>
      <c r="Z89" s="45"/>
      <c r="AA89" s="45"/>
    </row>
    <row r="90" spans="2:27" s="39" customFormat="1" x14ac:dyDescent="0.3">
      <c r="B90" s="214" t="s">
        <v>423</v>
      </c>
      <c r="C90" s="214" t="str">
        <f>LOOKUP(B90, TRA_COMM_PRO!$C$17:$C$199, TRA_COMM_PRO!$D$17:$D$199)</f>
        <v>Bus.Intercity.Plugin-Hybrid.GSL.01.</v>
      </c>
      <c r="D90" s="210" t="s">
        <v>713</v>
      </c>
      <c r="E90" s="214"/>
      <c r="F90" s="214"/>
      <c r="G90" s="59">
        <f>$G$5</f>
        <v>2020</v>
      </c>
      <c r="H90" s="54">
        <f>$H$53</f>
        <v>10</v>
      </c>
      <c r="I90" s="157">
        <f>$I$53</f>
        <v>1E-3</v>
      </c>
      <c r="J90" s="62">
        <f>J87</f>
        <v>11</v>
      </c>
      <c r="K90" s="56"/>
      <c r="L90" s="265"/>
      <c r="M90" s="265"/>
      <c r="N90" s="265"/>
      <c r="O90" s="265"/>
      <c r="P90" s="54"/>
      <c r="Q90" s="54"/>
      <c r="R90" s="54"/>
      <c r="S90" s="55"/>
      <c r="T90" s="62">
        <f>LOOKUP(B90, FIXOM_VAROM!$C$8:$C$190, FIXOM_VAROM!$D$8:$D$190)</f>
        <v>0.1</v>
      </c>
      <c r="U90" s="40">
        <f>LOOKUP($B90, INVCOST!$C$8:$C$193, INVCOST!E$8:E$193)</f>
        <v>722.4</v>
      </c>
      <c r="V90" s="40">
        <f>LOOKUP($B90, INVCOST!$C$8:$C$193, INVCOST!F$8:F$193)</f>
        <v>722.4</v>
      </c>
      <c r="W90" s="40">
        <f>LOOKUP($B90, INVCOST!$C$8:$C$193, INVCOST!G$8:G$193)</f>
        <v>722.4</v>
      </c>
      <c r="X90" s="40">
        <f>LOOKUP($B90, INVCOST!$C$8:$C$193, INVCOST!H$8:H$193)</f>
        <v>722.4</v>
      </c>
      <c r="Y90" s="40">
        <f>LOOKUP($B90, INVCOST!$C$8:$C$193, INVCOST!I$8:I$193)</f>
        <v>722.4</v>
      </c>
      <c r="Z90" s="40">
        <f>LOOKUP($B90, INVCOST!$C$8:$C$193, INVCOST!J$8:J$193)</f>
        <v>722.4</v>
      </c>
      <c r="AA90" s="40">
        <f>LOOKUP($B90, INVCOST!$C$8:$C$193, INVCOST!K$8:K$193)</f>
        <v>722.4</v>
      </c>
    </row>
    <row r="91" spans="2:27" s="39" customFormat="1" x14ac:dyDescent="0.3">
      <c r="B91" s="211"/>
      <c r="C91" s="211"/>
      <c r="D91" s="211"/>
      <c r="E91" s="211"/>
      <c r="F91" s="211" t="s">
        <v>90</v>
      </c>
      <c r="G91" s="50"/>
      <c r="H91" s="40"/>
      <c r="I91" s="65"/>
      <c r="J91" s="60"/>
      <c r="K91" s="42"/>
      <c r="L91" s="265">
        <f>LOOKUP($B$90, CEFF!$C$8:$C$156, CEFF!G$8:G$156)</f>
        <v>5.9929999999999997E-2</v>
      </c>
      <c r="M91" s="265">
        <f>LOOKUP($B$90, CEFF!$C$8:$C$156, CEFF!H$8:H$156)</f>
        <v>6.3060000000000005E-2</v>
      </c>
      <c r="N91" s="265">
        <f>LOOKUP($B$90, CEFF!$C$8:$C$156, CEFF!I$8:I$156)</f>
        <v>6.6259999999999999E-2</v>
      </c>
      <c r="O91" s="265">
        <f>LOOKUP($B$90, CEFF!$C$8:$C$156, CEFF!J$8:J$156)</f>
        <v>6.9750000000000006E-2</v>
      </c>
      <c r="P91" s="40"/>
      <c r="Q91" s="40"/>
      <c r="R91" s="40"/>
      <c r="S91" s="41"/>
      <c r="T91" s="41"/>
      <c r="U91" s="40"/>
      <c r="V91" s="40"/>
      <c r="W91" s="40"/>
      <c r="X91" s="40"/>
      <c r="Y91" s="40"/>
      <c r="Z91" s="40"/>
      <c r="AA91" s="40"/>
    </row>
    <row r="92" spans="2:27" s="39" customFormat="1" x14ac:dyDescent="0.3">
      <c r="B92" s="215"/>
      <c r="C92" s="215"/>
      <c r="D92" s="215"/>
      <c r="E92" s="215"/>
      <c r="F92" s="215" t="s">
        <v>381</v>
      </c>
      <c r="G92" s="197"/>
      <c r="H92" s="183"/>
      <c r="I92" s="181"/>
      <c r="J92" s="184"/>
      <c r="K92" s="179"/>
      <c r="L92" s="267">
        <f>LOOKUP($B$90, CEFF!$C$8:$C$156, CEFF!G$8:G$156)</f>
        <v>5.9929999999999997E-2</v>
      </c>
      <c r="M92" s="267">
        <f>LOOKUP($B$90, CEFF!$C$8:$C$156, CEFF!H$8:H$156)</f>
        <v>6.3060000000000005E-2</v>
      </c>
      <c r="N92" s="267">
        <f>LOOKUP($B$90, CEFF!$C$8:$C$156, CEFF!I$8:I$156)</f>
        <v>6.6259999999999999E-2</v>
      </c>
      <c r="O92" s="267">
        <f>LOOKUP($B$90, CEFF!$C$8:$C$156, CEFF!J$8:J$156)</f>
        <v>6.9750000000000006E-2</v>
      </c>
      <c r="P92" s="183"/>
      <c r="Q92" s="183"/>
      <c r="R92" s="183"/>
      <c r="S92" s="181"/>
      <c r="T92" s="181"/>
      <c r="U92" s="183"/>
      <c r="V92" s="183"/>
      <c r="W92" s="183"/>
      <c r="X92" s="183"/>
      <c r="Y92" s="183"/>
      <c r="Z92" s="183"/>
      <c r="AA92" s="183"/>
    </row>
    <row r="93" spans="2:27" s="39" customFormat="1" x14ac:dyDescent="0.3">
      <c r="H93" s="36"/>
      <c r="I93" s="37"/>
      <c r="J93" s="38"/>
      <c r="K93" s="58"/>
      <c r="L93" s="38"/>
      <c r="M93" s="38"/>
      <c r="N93" s="38"/>
      <c r="O93" s="38"/>
      <c r="P93" s="36"/>
      <c r="Q93" s="36"/>
      <c r="R93" s="36"/>
      <c r="S93" s="38"/>
      <c r="T93" s="38"/>
      <c r="U93" s="38"/>
      <c r="V93" s="38"/>
      <c r="W93" s="38"/>
      <c r="X93" s="38"/>
      <c r="Y93" s="38"/>
      <c r="Z93" s="38"/>
      <c r="AA93" s="38"/>
    </row>
  </sheetData>
  <sortState xmlns:xlrd2="http://schemas.microsoft.com/office/spreadsheetml/2017/richdata2" ref="D90">
    <sortCondition ref="D90"/>
  </sortState>
  <conditionalFormatting sqref="D60:E60 E59">
    <cfRule type="duplicateValues" dxfId="0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D281"/>
  <sheetViews>
    <sheetView zoomScale="75" zoomScaleNormal="75" workbookViewId="0">
      <selection activeCell="X3" sqref="X1:X1048576"/>
    </sheetView>
  </sheetViews>
  <sheetFormatPr defaultRowHeight="14.4" x14ac:dyDescent="0.3"/>
  <cols>
    <col min="2" max="2" width="25.88671875" customWidth="1"/>
    <col min="3" max="3" width="38.44140625" bestFit="1" customWidth="1"/>
    <col min="4" max="4" width="38.5546875" bestFit="1" customWidth="1"/>
    <col min="5" max="5" width="11.44140625" bestFit="1" customWidth="1"/>
    <col min="6" max="6" width="11.109375" bestFit="1" customWidth="1"/>
    <col min="7" max="7" width="11.44140625" style="39" bestFit="1" customWidth="1"/>
    <col min="8" max="8" width="6.33203125" bestFit="1" customWidth="1"/>
    <col min="10" max="10" width="14.33203125" bestFit="1" customWidth="1"/>
    <col min="11" max="14" width="9.88671875" bestFit="1" customWidth="1"/>
    <col min="15" max="18" width="10.6640625" customWidth="1"/>
    <col min="19" max="21" width="13.44140625" customWidth="1"/>
    <col min="22" max="22" width="11" customWidth="1"/>
    <col min="23" max="23" width="9.88671875" customWidth="1"/>
    <col min="24" max="30" width="14.6640625" customWidth="1"/>
  </cols>
  <sheetData>
    <row r="3" spans="1:30" x14ac:dyDescent="0.3">
      <c r="B3" s="6" t="s">
        <v>562</v>
      </c>
      <c r="C3" s="7"/>
      <c r="D3" s="8"/>
      <c r="E3" s="8"/>
      <c r="F3" s="9" t="s">
        <v>1</v>
      </c>
      <c r="G3" s="4"/>
    </row>
    <row r="4" spans="1:30" ht="28.8" x14ac:dyDescent="0.3">
      <c r="B4" s="201" t="s">
        <v>2</v>
      </c>
      <c r="C4" s="201" t="s">
        <v>3</v>
      </c>
      <c r="D4" s="201" t="s">
        <v>4</v>
      </c>
      <c r="E4" s="201" t="s">
        <v>5</v>
      </c>
      <c r="F4" s="202" t="s">
        <v>6</v>
      </c>
      <c r="G4" s="202" t="s">
        <v>187</v>
      </c>
      <c r="H4" s="203" t="s">
        <v>186</v>
      </c>
      <c r="I4" s="203" t="s">
        <v>11</v>
      </c>
      <c r="J4" s="202" t="s">
        <v>12</v>
      </c>
      <c r="K4" s="203" t="s">
        <v>708</v>
      </c>
      <c r="L4" s="203" t="s">
        <v>709</v>
      </c>
      <c r="M4" s="203" t="s">
        <v>710</v>
      </c>
      <c r="N4" s="203" t="s">
        <v>711</v>
      </c>
      <c r="O4" s="203" t="s">
        <v>335</v>
      </c>
      <c r="P4" s="203" t="s">
        <v>336</v>
      </c>
      <c r="Q4" s="203" t="s">
        <v>9</v>
      </c>
      <c r="R4" s="203" t="s">
        <v>10</v>
      </c>
      <c r="S4" s="203" t="s">
        <v>465</v>
      </c>
      <c r="T4" s="203" t="s">
        <v>13</v>
      </c>
      <c r="U4" s="203" t="s">
        <v>398</v>
      </c>
      <c r="V4" s="203" t="s">
        <v>42</v>
      </c>
      <c r="W4" s="203" t="s">
        <v>14</v>
      </c>
      <c r="X4" s="203" t="s">
        <v>15</v>
      </c>
      <c r="Y4" s="203" t="s">
        <v>16</v>
      </c>
      <c r="Z4" s="203" t="s">
        <v>17</v>
      </c>
      <c r="AA4" s="203" t="s">
        <v>18</v>
      </c>
      <c r="AB4" s="203" t="s">
        <v>19</v>
      </c>
      <c r="AC4" s="203" t="s">
        <v>20</v>
      </c>
      <c r="AD4" s="203" t="s">
        <v>21</v>
      </c>
    </row>
    <row r="5" spans="1:30" ht="33.75" customHeight="1" thickBot="1" x14ac:dyDescent="0.35">
      <c r="B5" s="204" t="s">
        <v>22</v>
      </c>
      <c r="C5" s="204"/>
      <c r="D5" s="204"/>
      <c r="E5" s="204"/>
      <c r="F5" s="205" t="s">
        <v>23</v>
      </c>
      <c r="G5" s="205">
        <v>2020</v>
      </c>
      <c r="H5" s="206" t="s">
        <v>26</v>
      </c>
      <c r="I5" s="206" t="s">
        <v>560</v>
      </c>
      <c r="J5" s="206" t="s">
        <v>127</v>
      </c>
      <c r="K5" s="205"/>
      <c r="L5" s="205"/>
      <c r="M5" s="205"/>
      <c r="N5" s="205"/>
      <c r="O5" s="207" t="s">
        <v>671</v>
      </c>
      <c r="P5" s="207" t="s">
        <v>671</v>
      </c>
      <c r="Q5" s="207" t="s">
        <v>671</v>
      </c>
      <c r="R5" s="207" t="s">
        <v>671</v>
      </c>
      <c r="S5" s="206" t="s">
        <v>676</v>
      </c>
      <c r="T5" s="206" t="s">
        <v>676</v>
      </c>
      <c r="U5" s="206" t="s">
        <v>676</v>
      </c>
      <c r="V5" s="208" t="s">
        <v>679</v>
      </c>
      <c r="W5" s="208" t="s">
        <v>678</v>
      </c>
      <c r="X5" s="208" t="s">
        <v>675</v>
      </c>
      <c r="Y5" s="208" t="s">
        <v>675</v>
      </c>
      <c r="Z5" s="208" t="s">
        <v>675</v>
      </c>
      <c r="AA5" s="208" t="s">
        <v>675</v>
      </c>
      <c r="AB5" s="208" t="s">
        <v>675</v>
      </c>
      <c r="AC5" s="208" t="s">
        <v>675</v>
      </c>
      <c r="AD5" s="208" t="s">
        <v>675</v>
      </c>
    </row>
    <row r="6" spans="1:30" s="39" customFormat="1" x14ac:dyDescent="0.3">
      <c r="A6" s="313"/>
      <c r="B6" s="209" t="s">
        <v>133</v>
      </c>
      <c r="C6" s="210" t="str">
        <f>LOOKUP(B6, TRA_COMM_PRO!$C$17:$C$199, TRA_COMM_PRO!$D$17:$D$199)</f>
        <v>Truck.Light.BDL.01.</v>
      </c>
      <c r="D6" s="209" t="s">
        <v>44</v>
      </c>
      <c r="E6" s="209"/>
      <c r="F6" s="209"/>
      <c r="G6" s="10">
        <f>$G$5</f>
        <v>2020</v>
      </c>
      <c r="H6" s="71">
        <v>15</v>
      </c>
      <c r="I6" s="158">
        <f>10^-3</f>
        <v>1E-3</v>
      </c>
      <c r="J6" s="72">
        <v>0.3</v>
      </c>
      <c r="K6" s="73"/>
      <c r="L6" s="73"/>
      <c r="M6" s="73"/>
      <c r="N6" s="73"/>
      <c r="O6" s="71"/>
      <c r="P6" s="71"/>
      <c r="Q6" s="71"/>
      <c r="R6" s="71"/>
      <c r="S6" s="71"/>
      <c r="T6" s="71"/>
      <c r="U6" s="71"/>
      <c r="V6" s="72"/>
      <c r="W6" s="62">
        <f>LOOKUP(B6, FIXOM_VAROM!$C$8:$C$190, FIXOM_VAROM!$D$8:$D$190)</f>
        <v>0.05</v>
      </c>
      <c r="X6" s="40">
        <f>LOOKUP($B6, INVCOST!$C$8:$C$193, INVCOST!E$8:E$193)</f>
        <v>21.155000000000001</v>
      </c>
      <c r="Y6" s="40">
        <f>LOOKUP($B6, INVCOST!$C$8:$C$193, INVCOST!F$8:F$193)</f>
        <v>21.132000000000001</v>
      </c>
      <c r="Z6" s="40">
        <f>LOOKUP($B6, INVCOST!$C$8:$C$193, INVCOST!G$8:G$193)</f>
        <v>21.117999999999999</v>
      </c>
      <c r="AA6" s="40">
        <f>LOOKUP($B6, INVCOST!$C$8:$C$193, INVCOST!H$8:H$193)</f>
        <v>21.108000000000001</v>
      </c>
      <c r="AB6" s="40">
        <f>LOOKUP($B6, INVCOST!$C$8:$C$193, INVCOST!I$8:I$193)</f>
        <v>21.1</v>
      </c>
      <c r="AC6" s="40">
        <f>LOOKUP($B6, INVCOST!$C$8:$C$193, INVCOST!J$8:J$193)</f>
        <v>21.093</v>
      </c>
      <c r="AD6" s="40">
        <f>LOOKUP($B6, INVCOST!$C$8:$C$193, INVCOST!K$8:K$193)</f>
        <v>21.088000000000001</v>
      </c>
    </row>
    <row r="7" spans="1:30" s="39" customFormat="1" x14ac:dyDescent="0.3">
      <c r="A7" s="313"/>
      <c r="B7" s="211"/>
      <c r="C7" s="213"/>
      <c r="D7" s="211"/>
      <c r="E7" s="211"/>
      <c r="F7" s="211" t="s">
        <v>347</v>
      </c>
      <c r="G7" s="50"/>
      <c r="H7" s="40"/>
      <c r="I7" s="41"/>
      <c r="J7" s="41"/>
      <c r="K7" s="42"/>
      <c r="L7" s="42"/>
      <c r="M7" s="42"/>
      <c r="N7" s="42"/>
      <c r="O7" s="166">
        <f>LOOKUP($B6, CEFF!$C$8:$C$156, CEFF!G$8:G$156)</f>
        <v>0.61350000000000005</v>
      </c>
      <c r="P7" s="166">
        <f>LOOKUP($B6, CEFF!$C$8:$C$156, CEFF!H$8:H$156)</f>
        <v>0.64515999999999996</v>
      </c>
      <c r="Q7" s="166">
        <f>LOOKUP($B6, CEFF!$C$8:$C$156, CEFF!I$8:I$156)</f>
        <v>0.68027000000000004</v>
      </c>
      <c r="R7" s="166">
        <f>LOOKUP($B6, CEFF!$C$8:$C$156, CEFF!J$8:J$156)</f>
        <v>0.71428999999999998</v>
      </c>
      <c r="S7" s="40"/>
      <c r="T7" s="40"/>
      <c r="U7" s="40"/>
      <c r="V7" s="41"/>
      <c r="W7" s="60"/>
      <c r="X7" s="40"/>
      <c r="Y7" s="40"/>
      <c r="Z7" s="40"/>
      <c r="AA7" s="40"/>
      <c r="AB7" s="40"/>
      <c r="AC7" s="40"/>
      <c r="AD7" s="40"/>
    </row>
    <row r="8" spans="1:30" s="39" customFormat="1" x14ac:dyDescent="0.3">
      <c r="A8" s="313"/>
      <c r="B8" s="212"/>
      <c r="C8" s="212"/>
      <c r="D8" s="212"/>
      <c r="E8" s="212"/>
      <c r="F8" s="212" t="s">
        <v>349</v>
      </c>
      <c r="G8" s="51"/>
      <c r="H8" s="45"/>
      <c r="I8" s="46"/>
      <c r="J8" s="46"/>
      <c r="K8" s="44"/>
      <c r="L8" s="44"/>
      <c r="M8" s="44"/>
      <c r="N8" s="44"/>
      <c r="O8" s="261">
        <f>LOOKUP($B6, CEFF!$C$163:$C$330, CEFF!G$163:G$330)</f>
        <v>0.53763000000000005</v>
      </c>
      <c r="P8" s="261">
        <f>LOOKUP($B6, CEFF!$C$163:$C$330, CEFF!H$163:H$330)</f>
        <v>0.56496999999999997</v>
      </c>
      <c r="Q8" s="261">
        <f>LOOKUP($B6, CEFF!$C$163:$C$330, CEFF!I$163:I$330)</f>
        <v>0.59523999999999999</v>
      </c>
      <c r="R8" s="261">
        <f>LOOKUP($B6, CEFF!$C$163:$C$330, CEFF!J$163:J$330)</f>
        <v>0.625</v>
      </c>
      <c r="S8" s="45"/>
      <c r="T8" s="45"/>
      <c r="U8" s="45"/>
      <c r="V8" s="46"/>
      <c r="W8" s="64"/>
      <c r="X8" s="45"/>
      <c r="Y8" s="45"/>
      <c r="Z8" s="45"/>
      <c r="AA8" s="45"/>
      <c r="AB8" s="45"/>
      <c r="AC8" s="45"/>
      <c r="AD8" s="45"/>
    </row>
    <row r="9" spans="1:30" s="39" customFormat="1" x14ac:dyDescent="0.3">
      <c r="B9" s="211" t="s">
        <v>135</v>
      </c>
      <c r="C9" s="210" t="str">
        <f>LOOKUP(B9, TRA_COMM_PRO!$C$17:$C$199, TRA_COMM_PRO!$D$17:$D$199)</f>
        <v>Truck.Light.DME.01.</v>
      </c>
      <c r="D9" s="211" t="s">
        <v>71</v>
      </c>
      <c r="E9" s="211"/>
      <c r="F9" s="211"/>
      <c r="G9" s="10">
        <f>$G$5</f>
        <v>2020</v>
      </c>
      <c r="H9" s="40">
        <v>15</v>
      </c>
      <c r="I9" s="65">
        <f>$I$6</f>
        <v>1E-3</v>
      </c>
      <c r="J9" s="41">
        <f>$J$6</f>
        <v>0.3</v>
      </c>
      <c r="K9" s="42"/>
      <c r="L9" s="42"/>
      <c r="M9" s="42"/>
      <c r="N9" s="42"/>
      <c r="O9" s="165"/>
      <c r="P9" s="165"/>
      <c r="Q9" s="165"/>
      <c r="R9" s="165"/>
      <c r="S9" s="40"/>
      <c r="T9" s="40"/>
      <c r="U9" s="40"/>
      <c r="V9" s="41"/>
      <c r="W9" s="62">
        <f>LOOKUP(B9, FIXOM_VAROM!$C$8:$C$190, FIXOM_VAROM!$D$8:$D$190)</f>
        <v>0.05</v>
      </c>
      <c r="X9" s="40">
        <f>LOOKUP($B9, INVCOST!$C$8:$C$193, INVCOST!E$8:E$193)</f>
        <v>23.270500000000002</v>
      </c>
      <c r="Y9" s="40">
        <f>LOOKUP($B9, INVCOST!$C$8:$C$193, INVCOST!F$8:F$193)</f>
        <v>23.245200000000004</v>
      </c>
      <c r="Z9" s="40">
        <f>LOOKUP($B9, INVCOST!$C$8:$C$193, INVCOST!G$8:G$193)</f>
        <v>23.229800000000001</v>
      </c>
      <c r="AA9" s="40">
        <f>LOOKUP($B9, INVCOST!$C$8:$C$193, INVCOST!H$8:H$193)</f>
        <v>23.218800000000002</v>
      </c>
      <c r="AB9" s="40">
        <f>LOOKUP($B9, INVCOST!$C$8:$C$193, INVCOST!I$8:I$193)</f>
        <v>23.210000000000004</v>
      </c>
      <c r="AC9" s="40">
        <f>LOOKUP($B9, INVCOST!$C$8:$C$193, INVCOST!J$8:J$193)</f>
        <v>23.202300000000001</v>
      </c>
      <c r="AD9" s="40">
        <f>LOOKUP($B9, INVCOST!$C$8:$C$193, INVCOST!K$8:K$193)</f>
        <v>23.196800000000003</v>
      </c>
    </row>
    <row r="10" spans="1:30" s="39" customFormat="1" x14ac:dyDescent="0.3">
      <c r="B10" s="211"/>
      <c r="C10" s="211"/>
      <c r="D10" s="211"/>
      <c r="E10" s="211"/>
      <c r="F10" s="211" t="s">
        <v>347</v>
      </c>
      <c r="G10" s="50"/>
      <c r="H10" s="40"/>
      <c r="I10" s="41"/>
      <c r="J10" s="41"/>
      <c r="K10" s="42"/>
      <c r="L10" s="42"/>
      <c r="M10" s="42"/>
      <c r="N10" s="42"/>
      <c r="O10" s="166">
        <f>LOOKUP($B9, CEFF!$C$8:$C$156, CEFF!G$8:G$156)</f>
        <v>0.61350000000000005</v>
      </c>
      <c r="P10" s="166">
        <f>LOOKUP($B9, CEFF!$C$8:$C$156, CEFF!H$8:H$156)</f>
        <v>0.64515999999999996</v>
      </c>
      <c r="Q10" s="166">
        <f>LOOKUP($B9, CEFF!$C$8:$C$156, CEFF!I$8:I$156)</f>
        <v>0.68027000000000004</v>
      </c>
      <c r="R10" s="166">
        <f>LOOKUP($B9, CEFF!$C$8:$C$156, CEFF!J$8:J$156)</f>
        <v>0.71428999999999998</v>
      </c>
      <c r="S10" s="40"/>
      <c r="T10" s="40"/>
      <c r="U10" s="40"/>
      <c r="V10" s="41"/>
      <c r="W10" s="60"/>
      <c r="X10" s="40"/>
      <c r="Y10" s="40"/>
      <c r="Z10" s="40"/>
      <c r="AA10" s="40"/>
      <c r="AB10" s="40"/>
      <c r="AC10" s="40"/>
      <c r="AD10" s="40"/>
    </row>
    <row r="11" spans="1:30" s="39" customFormat="1" x14ac:dyDescent="0.3">
      <c r="B11" s="212"/>
      <c r="C11" s="212"/>
      <c r="D11" s="212"/>
      <c r="E11" s="212"/>
      <c r="F11" s="212" t="s">
        <v>349</v>
      </c>
      <c r="G11" s="51"/>
      <c r="H11" s="45"/>
      <c r="I11" s="46"/>
      <c r="J11" s="46"/>
      <c r="K11" s="44"/>
      <c r="L11" s="44"/>
      <c r="M11" s="44"/>
      <c r="N11" s="44"/>
      <c r="O11" s="261">
        <f>LOOKUP($B9, CEFF!$C$163:$C$330, CEFF!G$163:G$330)</f>
        <v>0.53763000000000005</v>
      </c>
      <c r="P11" s="261">
        <f>LOOKUP($B9, CEFF!$C$163:$C$330, CEFF!H$163:H$330)</f>
        <v>0.56496999999999997</v>
      </c>
      <c r="Q11" s="261">
        <f>LOOKUP($B9, CEFF!$C$163:$C$330, CEFF!I$163:I$330)</f>
        <v>0.59523999999999999</v>
      </c>
      <c r="R11" s="261">
        <f>LOOKUP($B9, CEFF!$C$163:$C$330, CEFF!J$163:J$330)</f>
        <v>0.625</v>
      </c>
      <c r="S11" s="45"/>
      <c r="T11" s="45"/>
      <c r="U11" s="45"/>
      <c r="V11" s="46"/>
      <c r="W11" s="64"/>
      <c r="X11" s="45"/>
      <c r="Y11" s="45"/>
      <c r="Z11" s="45"/>
      <c r="AA11" s="45"/>
      <c r="AB11" s="45"/>
      <c r="AC11" s="45"/>
      <c r="AD11" s="45"/>
    </row>
    <row r="12" spans="1:30" s="39" customFormat="1" x14ac:dyDescent="0.3">
      <c r="B12" s="211" t="s">
        <v>137</v>
      </c>
      <c r="C12" s="210" t="str">
        <f>LOOKUP(B12, TRA_COMM_PRO!$C$17:$C$199, TRA_COMM_PRO!$D$17:$D$199)</f>
        <v>Truck.Light.DST.01.</v>
      </c>
      <c r="D12" s="211" t="s">
        <v>712</v>
      </c>
      <c r="E12" s="211"/>
      <c r="F12" s="211"/>
      <c r="G12" s="10">
        <f>$G$5</f>
        <v>2020</v>
      </c>
      <c r="H12" s="40">
        <v>15</v>
      </c>
      <c r="I12" s="65">
        <f>$I$6</f>
        <v>1E-3</v>
      </c>
      <c r="J12" s="41">
        <f>$J$6</f>
        <v>0.3</v>
      </c>
      <c r="K12" s="42"/>
      <c r="L12" s="42"/>
      <c r="M12" s="42"/>
      <c r="N12" s="42"/>
      <c r="O12" s="165"/>
      <c r="P12" s="165"/>
      <c r="Q12" s="165"/>
      <c r="R12" s="165"/>
      <c r="S12" s="40"/>
      <c r="T12" s="40"/>
      <c r="U12" s="40"/>
      <c r="V12" s="41"/>
      <c r="W12" s="62">
        <f>LOOKUP(B12, FIXOM_VAROM!$C$8:$C$190, FIXOM_VAROM!$D$8:$D$190)</f>
        <v>0.05</v>
      </c>
      <c r="X12" s="40">
        <f>LOOKUP($B12, INVCOST!$C$8:$C$193, INVCOST!E$8:E$193)</f>
        <v>21.155000000000001</v>
      </c>
      <c r="Y12" s="40">
        <f>LOOKUP($B12, INVCOST!$C$8:$C$193, INVCOST!F$8:F$193)</f>
        <v>21.132000000000001</v>
      </c>
      <c r="Z12" s="40">
        <f>LOOKUP($B12, INVCOST!$C$8:$C$193, INVCOST!G$8:G$193)</f>
        <v>21.117999999999999</v>
      </c>
      <c r="AA12" s="40">
        <f>LOOKUP($B12, INVCOST!$C$8:$C$193, INVCOST!H$8:H$193)</f>
        <v>21.108000000000001</v>
      </c>
      <c r="AB12" s="40">
        <f>LOOKUP($B12, INVCOST!$C$8:$C$193, INVCOST!I$8:I$193)</f>
        <v>21.1</v>
      </c>
      <c r="AC12" s="40">
        <f>LOOKUP($B12, INVCOST!$C$8:$C$193, INVCOST!J$8:J$193)</f>
        <v>21.093</v>
      </c>
      <c r="AD12" s="40">
        <f>LOOKUP($B12, INVCOST!$C$8:$C$193, INVCOST!K$8:K$193)</f>
        <v>21.088000000000001</v>
      </c>
    </row>
    <row r="13" spans="1:30" s="39" customFormat="1" x14ac:dyDescent="0.3">
      <c r="B13" s="211"/>
      <c r="C13" s="211"/>
      <c r="D13" s="211"/>
      <c r="E13" s="211"/>
      <c r="F13" s="211" t="s">
        <v>347</v>
      </c>
      <c r="G13" s="50"/>
      <c r="H13" s="40"/>
      <c r="I13" s="41"/>
      <c r="J13" s="41"/>
      <c r="K13" s="42"/>
      <c r="L13" s="42"/>
      <c r="M13" s="42"/>
      <c r="N13" s="42"/>
      <c r="O13" s="166">
        <f>LOOKUP($B12, CEFF!$C$8:$C$156, CEFF!G$8:G$156)</f>
        <v>0.61350000000000005</v>
      </c>
      <c r="P13" s="166">
        <f>LOOKUP($B12, CEFF!$C$8:$C$156, CEFF!H$8:H$156)</f>
        <v>0.64515999999999996</v>
      </c>
      <c r="Q13" s="166">
        <f>LOOKUP($B12, CEFF!$C$8:$C$156, CEFF!I$8:I$156)</f>
        <v>0.68027000000000004</v>
      </c>
      <c r="R13" s="166">
        <f>LOOKUP($B12, CEFF!$C$8:$C$156, CEFF!J$8:J$156)</f>
        <v>0.71428999999999998</v>
      </c>
      <c r="S13" s="40"/>
      <c r="T13" s="40"/>
      <c r="U13" s="40"/>
      <c r="V13" s="41"/>
      <c r="W13" s="60"/>
      <c r="X13" s="40"/>
      <c r="Y13" s="40"/>
      <c r="Z13" s="40"/>
      <c r="AA13" s="40"/>
      <c r="AB13" s="40"/>
      <c r="AC13" s="40"/>
      <c r="AD13" s="40"/>
    </row>
    <row r="14" spans="1:30" s="39" customFormat="1" x14ac:dyDescent="0.3">
      <c r="B14" s="212"/>
      <c r="C14" s="212"/>
      <c r="D14" s="212"/>
      <c r="E14" s="212"/>
      <c r="F14" s="212" t="s">
        <v>349</v>
      </c>
      <c r="G14" s="51"/>
      <c r="H14" s="45"/>
      <c r="I14" s="46"/>
      <c r="J14" s="46"/>
      <c r="K14" s="44"/>
      <c r="L14" s="44"/>
      <c r="M14" s="44"/>
      <c r="N14" s="44"/>
      <c r="O14" s="261">
        <f>LOOKUP($B12, CEFF!$C$163:$C$330, CEFF!G$163:G$330)</f>
        <v>0.53763000000000005</v>
      </c>
      <c r="P14" s="261">
        <f>LOOKUP($B12, CEFF!$C$163:$C$330, CEFF!H$163:H$330)</f>
        <v>0.56496999999999997</v>
      </c>
      <c r="Q14" s="261">
        <f>LOOKUP($B12, CEFF!$C$163:$C$330, CEFF!I$163:I$330)</f>
        <v>0.59523999999999999</v>
      </c>
      <c r="R14" s="261">
        <f>LOOKUP($B12, CEFF!$C$163:$C$330, CEFF!J$163:J$330)</f>
        <v>0.625</v>
      </c>
      <c r="S14" s="45"/>
      <c r="T14" s="45"/>
      <c r="U14" s="45"/>
      <c r="V14" s="46"/>
      <c r="W14" s="64"/>
      <c r="X14" s="45"/>
      <c r="Y14" s="45"/>
      <c r="Z14" s="45"/>
      <c r="AA14" s="45"/>
      <c r="AB14" s="45"/>
      <c r="AC14" s="45"/>
      <c r="AD14" s="45"/>
    </row>
    <row r="15" spans="1:30" s="39" customFormat="1" x14ac:dyDescent="0.3">
      <c r="B15" s="211" t="s">
        <v>139</v>
      </c>
      <c r="C15" s="210" t="str">
        <f>LOOKUP(B15, TRA_COMM_PRO!$C$17:$C$199, TRA_COMM_PRO!$D$17:$D$199)</f>
        <v>Truck.Light.ELC.01.</v>
      </c>
      <c r="D15" s="211" t="s">
        <v>27</v>
      </c>
      <c r="E15" s="211"/>
      <c r="F15" s="211"/>
      <c r="G15" s="10">
        <f>$G$5</f>
        <v>2020</v>
      </c>
      <c r="H15" s="40">
        <v>15</v>
      </c>
      <c r="I15" s="65">
        <f>$I$6</f>
        <v>1E-3</v>
      </c>
      <c r="J15" s="41">
        <f>$J$6</f>
        <v>0.3</v>
      </c>
      <c r="K15" s="42"/>
      <c r="L15" s="42"/>
      <c r="M15" s="42"/>
      <c r="N15" s="42"/>
      <c r="O15" s="165"/>
      <c r="P15" s="165"/>
      <c r="Q15" s="165"/>
      <c r="R15" s="165"/>
      <c r="S15" s="40"/>
      <c r="T15" s="40"/>
      <c r="U15" s="40"/>
      <c r="V15" s="41"/>
      <c r="W15" s="62">
        <f>LOOKUP(B15, FIXOM_VAROM!$C$8:$C$190, FIXOM_VAROM!$D$8:$D$190)</f>
        <v>4.0000000000000008E-2</v>
      </c>
      <c r="X15" s="40">
        <f>LOOKUP($B15, INVCOST!$C$8:$C$193, INVCOST!E$8:E$193)</f>
        <v>35.389000000000003</v>
      </c>
      <c r="Y15" s="40">
        <f>LOOKUP($B15, INVCOST!$C$8:$C$193, INVCOST!F$8:F$193)</f>
        <v>31.187999999999999</v>
      </c>
      <c r="Z15" s="40">
        <f>LOOKUP($B15, INVCOST!$C$8:$C$193, INVCOST!G$8:G$193)</f>
        <v>29.695</v>
      </c>
      <c r="AA15" s="40">
        <f>LOOKUP($B15, INVCOST!$C$8:$C$193, INVCOST!H$8:H$193)</f>
        <v>28.536999999999999</v>
      </c>
      <c r="AB15" s="40">
        <f>LOOKUP($B15, INVCOST!$C$8:$C$193, INVCOST!I$8:I$193)</f>
        <v>27.753</v>
      </c>
      <c r="AC15" s="40">
        <f>LOOKUP($B15, INVCOST!$C$8:$C$193, INVCOST!J$8:J$193)</f>
        <v>27.114000000000001</v>
      </c>
      <c r="AD15" s="40">
        <f>LOOKUP($B15, INVCOST!$C$8:$C$193, INVCOST!K$8:K$193)</f>
        <v>26.594000000000001</v>
      </c>
    </row>
    <row r="16" spans="1:30" s="39" customFormat="1" x14ac:dyDescent="0.3">
      <c r="B16" s="211"/>
      <c r="C16" s="211"/>
      <c r="D16" s="211"/>
      <c r="E16" s="211"/>
      <c r="F16" s="211" t="s">
        <v>347</v>
      </c>
      <c r="G16" s="50"/>
      <c r="H16" s="40"/>
      <c r="I16" s="41"/>
      <c r="J16" s="41"/>
      <c r="K16" s="42"/>
      <c r="L16" s="42"/>
      <c r="M16" s="42"/>
      <c r="N16" s="42"/>
      <c r="O16" s="166">
        <f>LOOKUP($B15, CEFF!$C$8:$C$156, CEFF!G$8:G$156)</f>
        <v>1.2987</v>
      </c>
      <c r="P16" s="166">
        <f>LOOKUP($B15, CEFF!$C$8:$C$156, CEFF!H$8:H$156)</f>
        <v>1.3698600000000001</v>
      </c>
      <c r="Q16" s="166">
        <f>LOOKUP($B15, CEFF!$C$8:$C$156, CEFF!I$8:I$156)</f>
        <v>1.4285699999999999</v>
      </c>
      <c r="R16" s="166">
        <f>LOOKUP($B15, CEFF!$C$8:$C$156, CEFF!J$8:J$156)</f>
        <v>1.51515</v>
      </c>
      <c r="S16" s="40"/>
      <c r="T16" s="40"/>
      <c r="U16" s="40"/>
      <c r="V16" s="41"/>
      <c r="W16" s="60"/>
      <c r="X16" s="40"/>
      <c r="Y16" s="40"/>
      <c r="Z16" s="40"/>
      <c r="AA16" s="40"/>
      <c r="AB16" s="40"/>
      <c r="AC16" s="40"/>
      <c r="AD16" s="40"/>
    </row>
    <row r="17" spans="2:30" s="39" customFormat="1" x14ac:dyDescent="0.3">
      <c r="B17" s="212"/>
      <c r="C17" s="212"/>
      <c r="D17" s="212"/>
      <c r="E17" s="212"/>
      <c r="F17" s="212" t="s">
        <v>349</v>
      </c>
      <c r="G17" s="51"/>
      <c r="H17" s="45"/>
      <c r="I17" s="46"/>
      <c r="J17" s="46"/>
      <c r="K17" s="44"/>
      <c r="L17" s="44"/>
      <c r="M17" s="44"/>
      <c r="N17" s="44"/>
      <c r="O17" s="261">
        <f>LOOKUP($B15, CEFF!$C$163:$C$330, CEFF!G$163:G$330)</f>
        <v>1.6129</v>
      </c>
      <c r="P17" s="261">
        <f>LOOKUP($B15, CEFF!$C$163:$C$330, CEFF!H$163:H$330)</f>
        <v>1.69492</v>
      </c>
      <c r="Q17" s="261">
        <f>LOOKUP($B15, CEFF!$C$163:$C$330, CEFF!I$163:I$330)</f>
        <v>1.7857099999999999</v>
      </c>
      <c r="R17" s="261">
        <f>LOOKUP($B15, CEFF!$C$163:$C$330, CEFF!J$163:J$330)</f>
        <v>1.88679</v>
      </c>
      <c r="S17" s="45"/>
      <c r="T17" s="45"/>
      <c r="U17" s="45"/>
      <c r="V17" s="46"/>
      <c r="W17" s="64"/>
      <c r="X17" s="45"/>
      <c r="Y17" s="45"/>
      <c r="Z17" s="45"/>
      <c r="AA17" s="45"/>
      <c r="AB17" s="45"/>
      <c r="AC17" s="45"/>
      <c r="AD17" s="45"/>
    </row>
    <row r="18" spans="2:30" s="39" customFormat="1" x14ac:dyDescent="0.3">
      <c r="B18" s="211" t="s">
        <v>141</v>
      </c>
      <c r="C18" s="210" t="str">
        <f>LOOKUP(B18, TRA_COMM_PRO!$C$17:$C$199, TRA_COMM_PRO!$D$17:$D$199)</f>
        <v>Truck.Light.ETH.01.</v>
      </c>
      <c r="D18" s="211" t="s">
        <v>51</v>
      </c>
      <c r="E18" s="211"/>
      <c r="F18" s="211"/>
      <c r="G18" s="10">
        <f>$G$5</f>
        <v>2020</v>
      </c>
      <c r="H18" s="40">
        <v>15</v>
      </c>
      <c r="I18" s="65">
        <f>$I$6</f>
        <v>1E-3</v>
      </c>
      <c r="J18" s="41">
        <f>$J$6</f>
        <v>0.3</v>
      </c>
      <c r="K18" s="42"/>
      <c r="L18" s="42"/>
      <c r="M18" s="42"/>
      <c r="N18" s="42"/>
      <c r="O18" s="165"/>
      <c r="P18" s="165"/>
      <c r="Q18" s="165"/>
      <c r="R18" s="165"/>
      <c r="S18" s="40"/>
      <c r="T18" s="40"/>
      <c r="U18" s="40"/>
      <c r="V18" s="41"/>
      <c r="W18" s="62">
        <f>LOOKUP(B18, FIXOM_VAROM!$C$8:$C$190, FIXOM_VAROM!$D$8:$D$190)</f>
        <v>0.05</v>
      </c>
      <c r="X18" s="40">
        <f>LOOKUP($B18, INVCOST!$C$8:$C$193, INVCOST!E$8:E$193)</f>
        <v>19.452000000000002</v>
      </c>
      <c r="Y18" s="40">
        <f>LOOKUP($B18, INVCOST!$C$8:$C$193, INVCOST!F$8:F$193)</f>
        <v>19.43</v>
      </c>
      <c r="Z18" s="40">
        <f>LOOKUP($B18, INVCOST!$C$8:$C$193, INVCOST!G$8:G$193)</f>
        <v>19.414999999999999</v>
      </c>
      <c r="AA18" s="40">
        <f>LOOKUP($B18, INVCOST!$C$8:$C$193, INVCOST!H$8:H$193)</f>
        <v>19.402999999999999</v>
      </c>
      <c r="AB18" s="40">
        <f>LOOKUP($B18, INVCOST!$C$8:$C$193, INVCOST!I$8:I$193)</f>
        <v>19.393000000000001</v>
      </c>
      <c r="AC18" s="40">
        <f>LOOKUP($B18, INVCOST!$C$8:$C$193, INVCOST!J$8:J$193)</f>
        <v>19.385000000000002</v>
      </c>
      <c r="AD18" s="40">
        <f>LOOKUP($B18, INVCOST!$C$8:$C$193, INVCOST!K$8:K$193)</f>
        <v>19.378</v>
      </c>
    </row>
    <row r="19" spans="2:30" s="39" customFormat="1" x14ac:dyDescent="0.3">
      <c r="B19" s="211"/>
      <c r="C19" s="211"/>
      <c r="D19" s="211" t="s">
        <v>39</v>
      </c>
      <c r="E19" s="211"/>
      <c r="F19" s="211"/>
      <c r="G19" s="50"/>
      <c r="H19" s="40"/>
      <c r="I19" s="41"/>
      <c r="J19" s="41"/>
      <c r="K19" s="42">
        <v>0.15</v>
      </c>
      <c r="L19" s="42">
        <v>0.15</v>
      </c>
      <c r="M19" s="42">
        <v>0.15</v>
      </c>
      <c r="N19" s="42">
        <v>0.15</v>
      </c>
      <c r="O19" s="165"/>
      <c r="P19" s="165"/>
      <c r="Q19" s="165"/>
      <c r="R19" s="165"/>
      <c r="S19" s="40"/>
      <c r="T19" s="40"/>
      <c r="U19" s="40"/>
      <c r="V19" s="41"/>
      <c r="W19" s="60"/>
      <c r="X19" s="40"/>
      <c r="Y19" s="40"/>
      <c r="Z19" s="40"/>
      <c r="AA19" s="40"/>
      <c r="AB19" s="40"/>
      <c r="AC19" s="40"/>
      <c r="AD19" s="40"/>
    </row>
    <row r="20" spans="2:30" s="39" customFormat="1" x14ac:dyDescent="0.3">
      <c r="B20" s="211"/>
      <c r="C20" s="211"/>
      <c r="D20" s="211"/>
      <c r="E20" s="211"/>
      <c r="F20" s="211" t="s">
        <v>347</v>
      </c>
      <c r="G20" s="50"/>
      <c r="H20" s="40"/>
      <c r="I20" s="41"/>
      <c r="J20" s="41"/>
      <c r="K20" s="42"/>
      <c r="L20" s="42"/>
      <c r="M20" s="42"/>
      <c r="N20" s="42"/>
      <c r="O20" s="166">
        <f>LOOKUP($B18, CEFF!$C$8:$C$156, CEFF!G$8:G$156)</f>
        <v>0.55249000000000004</v>
      </c>
      <c r="P20" s="166">
        <f>LOOKUP($B18, CEFF!$C$8:$C$156, CEFF!H$8:H$156)</f>
        <v>0.58140000000000003</v>
      </c>
      <c r="Q20" s="166">
        <f>LOOKUP($B18, CEFF!$C$8:$C$156, CEFF!I$8:I$156)</f>
        <v>0.61350000000000005</v>
      </c>
      <c r="R20" s="166">
        <f>LOOKUP($B18, CEFF!$C$8:$C$156, CEFF!J$8:J$156)</f>
        <v>0.64515999999999996</v>
      </c>
      <c r="S20" s="40"/>
      <c r="T20" s="40"/>
      <c r="U20" s="40"/>
      <c r="V20" s="41"/>
      <c r="W20" s="60"/>
      <c r="X20" s="40"/>
      <c r="Y20" s="40"/>
      <c r="Z20" s="40"/>
      <c r="AA20" s="40"/>
      <c r="AB20" s="40"/>
      <c r="AC20" s="40"/>
      <c r="AD20" s="40"/>
    </row>
    <row r="21" spans="2:30" s="39" customFormat="1" x14ac:dyDescent="0.3">
      <c r="B21" s="212"/>
      <c r="C21" s="212"/>
      <c r="D21" s="212"/>
      <c r="E21" s="212"/>
      <c r="F21" s="212" t="s">
        <v>349</v>
      </c>
      <c r="G21" s="51"/>
      <c r="H21" s="45"/>
      <c r="I21" s="46"/>
      <c r="J21" s="46"/>
      <c r="K21" s="44"/>
      <c r="L21" s="44"/>
      <c r="M21" s="44"/>
      <c r="N21" s="44"/>
      <c r="O21" s="261">
        <f>LOOKUP($B18, CEFF!$C$163:$C$330, CEFF!G$163:G$330)</f>
        <v>0.45455000000000001</v>
      </c>
      <c r="P21" s="261">
        <f>LOOKUP($B18, CEFF!$C$163:$C$330, CEFF!H$163:H$330)</f>
        <v>0.47847000000000001</v>
      </c>
      <c r="Q21" s="261">
        <f>LOOKUP($B18, CEFF!$C$163:$C$330, CEFF!I$163:I$330)</f>
        <v>0.50251000000000001</v>
      </c>
      <c r="R21" s="261">
        <f>LOOKUP($B18, CEFF!$C$163:$C$330, CEFF!J$163:J$330)</f>
        <v>0.52910000000000001</v>
      </c>
      <c r="S21" s="45"/>
      <c r="T21" s="45"/>
      <c r="U21" s="45"/>
      <c r="V21" s="46"/>
      <c r="W21" s="64"/>
      <c r="X21" s="45"/>
      <c r="Y21" s="45"/>
      <c r="Z21" s="45"/>
      <c r="AA21" s="45"/>
      <c r="AB21" s="45"/>
      <c r="AC21" s="45"/>
      <c r="AD21" s="45"/>
    </row>
    <row r="22" spans="2:30" s="39" customFormat="1" x14ac:dyDescent="0.3">
      <c r="B22" s="211" t="s">
        <v>143</v>
      </c>
      <c r="C22" s="210" t="str">
        <f>LOOKUP(B22, TRA_COMM_PRO!$C$17:$C$199, TRA_COMM_PRO!$D$17:$D$199)</f>
        <v>Truck.Light.GAS.01.</v>
      </c>
      <c r="D22" s="211" t="s">
        <v>715</v>
      </c>
      <c r="E22" s="211"/>
      <c r="F22" s="211"/>
      <c r="G22" s="10">
        <f>$G$5</f>
        <v>2020</v>
      </c>
      <c r="H22" s="40">
        <v>15</v>
      </c>
      <c r="I22" s="65">
        <f>$I$6</f>
        <v>1E-3</v>
      </c>
      <c r="J22" s="41">
        <f>$J$6</f>
        <v>0.3</v>
      </c>
      <c r="K22" s="42"/>
      <c r="L22" s="42"/>
      <c r="M22" s="42"/>
      <c r="N22" s="42"/>
      <c r="O22" s="165"/>
      <c r="P22" s="165"/>
      <c r="Q22" s="165"/>
      <c r="R22" s="165"/>
      <c r="S22" s="40"/>
      <c r="T22" s="40"/>
      <c r="U22" s="40"/>
      <c r="V22" s="41"/>
      <c r="W22" s="62">
        <f>LOOKUP(B22, FIXOM_VAROM!$C$8:$C$190, FIXOM_VAROM!$D$8:$D$190)</f>
        <v>0.05</v>
      </c>
      <c r="X22" s="40">
        <f>LOOKUP($B22, INVCOST!$C$8:$C$193, INVCOST!E$8:E$193)</f>
        <v>19.452000000000002</v>
      </c>
      <c r="Y22" s="40">
        <f>LOOKUP($B22, INVCOST!$C$8:$C$193, INVCOST!F$8:F$193)</f>
        <v>19.43</v>
      </c>
      <c r="Z22" s="40">
        <f>LOOKUP($B22, INVCOST!$C$8:$C$193, INVCOST!G$8:G$193)</f>
        <v>19.414999999999999</v>
      </c>
      <c r="AA22" s="40">
        <f>LOOKUP($B22, INVCOST!$C$8:$C$193, INVCOST!H$8:H$193)</f>
        <v>19.402999999999999</v>
      </c>
      <c r="AB22" s="40">
        <f>LOOKUP($B22, INVCOST!$C$8:$C$193, INVCOST!I$8:I$193)</f>
        <v>19.393000000000001</v>
      </c>
      <c r="AC22" s="40">
        <f>LOOKUP($B22, INVCOST!$C$8:$C$193, INVCOST!J$8:J$193)</f>
        <v>19.385000000000002</v>
      </c>
      <c r="AD22" s="40">
        <f>LOOKUP($B22, INVCOST!$C$8:$C$193, INVCOST!K$8:K$193)</f>
        <v>19.378</v>
      </c>
    </row>
    <row r="23" spans="2:30" s="39" customFormat="1" x14ac:dyDescent="0.3">
      <c r="B23" s="211"/>
      <c r="C23" s="211"/>
      <c r="D23" s="211" t="s">
        <v>39</v>
      </c>
      <c r="E23" s="211"/>
      <c r="F23" s="211"/>
      <c r="G23" s="50"/>
      <c r="H23" s="40"/>
      <c r="I23" s="41"/>
      <c r="J23" s="41"/>
      <c r="K23" s="42">
        <v>0.05</v>
      </c>
      <c r="L23" s="42">
        <v>0.05</v>
      </c>
      <c r="M23" s="42">
        <v>0.05</v>
      </c>
      <c r="N23" s="42">
        <v>0.05</v>
      </c>
      <c r="O23" s="165"/>
      <c r="P23" s="165"/>
      <c r="Q23" s="165"/>
      <c r="R23" s="165"/>
      <c r="S23" s="40"/>
      <c r="T23" s="40"/>
      <c r="U23" s="40"/>
      <c r="V23" s="41"/>
      <c r="W23" s="60"/>
      <c r="X23" s="40"/>
      <c r="Y23" s="40"/>
      <c r="Z23" s="40"/>
      <c r="AA23" s="40"/>
      <c r="AB23" s="40"/>
      <c r="AC23" s="40"/>
      <c r="AD23" s="40"/>
    </row>
    <row r="24" spans="2:30" s="39" customFormat="1" x14ac:dyDescent="0.3">
      <c r="B24" s="211"/>
      <c r="C24" s="211"/>
      <c r="D24" s="211"/>
      <c r="E24" s="211"/>
      <c r="F24" s="211" t="s">
        <v>347</v>
      </c>
      <c r="G24" s="50"/>
      <c r="H24" s="40"/>
      <c r="I24" s="41"/>
      <c r="J24" s="41"/>
      <c r="K24" s="42"/>
      <c r="L24" s="42"/>
      <c r="M24" s="42"/>
      <c r="N24" s="42"/>
      <c r="O24" s="166">
        <f>LOOKUP($B22, CEFF!$C$8:$C$156, CEFF!G$8:G$156)</f>
        <v>0.55249000000000004</v>
      </c>
      <c r="P24" s="166">
        <f>LOOKUP($B22, CEFF!$C$8:$C$156, CEFF!H$8:H$156)</f>
        <v>0.58140000000000003</v>
      </c>
      <c r="Q24" s="166">
        <f>LOOKUP($B22, CEFF!$C$8:$C$156, CEFF!I$8:I$156)</f>
        <v>0.61350000000000005</v>
      </c>
      <c r="R24" s="166">
        <f>LOOKUP($B22, CEFF!$C$8:$C$156, CEFF!J$8:J$156)</f>
        <v>0.64515999999999996</v>
      </c>
      <c r="S24" s="40"/>
      <c r="T24" s="40"/>
      <c r="U24" s="40"/>
      <c r="V24" s="41"/>
      <c r="W24" s="60"/>
      <c r="X24" s="40"/>
      <c r="Y24" s="40"/>
      <c r="Z24" s="40"/>
      <c r="AA24" s="40"/>
      <c r="AB24" s="40"/>
      <c r="AC24" s="40"/>
      <c r="AD24" s="40"/>
    </row>
    <row r="25" spans="2:30" s="39" customFormat="1" x14ac:dyDescent="0.3">
      <c r="B25" s="212"/>
      <c r="C25" s="212"/>
      <c r="D25" s="212"/>
      <c r="E25" s="212"/>
      <c r="F25" s="212" t="s">
        <v>349</v>
      </c>
      <c r="G25" s="51"/>
      <c r="H25" s="45"/>
      <c r="I25" s="46"/>
      <c r="J25" s="46"/>
      <c r="K25" s="44"/>
      <c r="L25" s="44"/>
      <c r="M25" s="44"/>
      <c r="N25" s="44"/>
      <c r="O25" s="261">
        <f>LOOKUP($B22, CEFF!$C$163:$C$330, CEFF!G$163:G$330)</f>
        <v>0.45455000000000001</v>
      </c>
      <c r="P25" s="261">
        <f>LOOKUP($B22, CEFF!$C$163:$C$330, CEFF!H$163:H$330)</f>
        <v>0.47847000000000001</v>
      </c>
      <c r="Q25" s="261">
        <f>LOOKUP($B22, CEFF!$C$163:$C$330, CEFF!I$163:I$330)</f>
        <v>0.50251000000000001</v>
      </c>
      <c r="R25" s="261">
        <f>LOOKUP($B22, CEFF!$C$163:$C$330, CEFF!J$163:J$330)</f>
        <v>0.52910000000000001</v>
      </c>
      <c r="S25" s="45"/>
      <c r="T25" s="45"/>
      <c r="U25" s="45"/>
      <c r="V25" s="46"/>
      <c r="W25" s="64"/>
      <c r="X25" s="45"/>
      <c r="Y25" s="45"/>
      <c r="Z25" s="45"/>
      <c r="AA25" s="45"/>
      <c r="AB25" s="45"/>
      <c r="AC25" s="45"/>
      <c r="AD25" s="45"/>
    </row>
    <row r="26" spans="2:30" s="39" customFormat="1" x14ac:dyDescent="0.3">
      <c r="B26" s="211" t="s">
        <v>145</v>
      </c>
      <c r="C26" s="210" t="str">
        <f>LOOKUP(B26, TRA_COMM_PRO!$C$17:$C$199, TRA_COMM_PRO!$D$17:$D$199)</f>
        <v>Truck.Light.GSL.01.</v>
      </c>
      <c r="D26" s="214" t="s">
        <v>713</v>
      </c>
      <c r="E26" s="211"/>
      <c r="F26" s="211"/>
      <c r="G26" s="10">
        <f>$G$5</f>
        <v>2020</v>
      </c>
      <c r="H26" s="40">
        <v>15</v>
      </c>
      <c r="I26" s="65">
        <f>$I$6</f>
        <v>1E-3</v>
      </c>
      <c r="J26" s="41">
        <f>$J$6</f>
        <v>0.3</v>
      </c>
      <c r="K26" s="42"/>
      <c r="L26" s="42"/>
      <c r="M26" s="42"/>
      <c r="N26" s="42"/>
      <c r="O26" s="165"/>
      <c r="P26" s="165"/>
      <c r="Q26" s="165"/>
      <c r="R26" s="165"/>
      <c r="S26" s="40"/>
      <c r="T26" s="40"/>
      <c r="U26" s="40"/>
      <c r="V26" s="41"/>
      <c r="W26" s="62">
        <f>LOOKUP(B26, FIXOM_VAROM!$C$8:$C$190, FIXOM_VAROM!$D$8:$D$190)</f>
        <v>0.05</v>
      </c>
      <c r="X26" s="40">
        <f>LOOKUP($B26, INVCOST!$C$8:$C$193, INVCOST!E$8:E$193)</f>
        <v>19.452000000000002</v>
      </c>
      <c r="Y26" s="40">
        <f>LOOKUP($B26, INVCOST!$C$8:$C$193, INVCOST!F$8:F$193)</f>
        <v>19.43</v>
      </c>
      <c r="Z26" s="40">
        <f>LOOKUP($B26, INVCOST!$C$8:$C$193, INVCOST!G$8:G$193)</f>
        <v>19.414999999999999</v>
      </c>
      <c r="AA26" s="40">
        <f>LOOKUP($B26, INVCOST!$C$8:$C$193, INVCOST!H$8:H$193)</f>
        <v>19.402999999999999</v>
      </c>
      <c r="AB26" s="40">
        <f>LOOKUP($B26, INVCOST!$C$8:$C$193, INVCOST!I$8:I$193)</f>
        <v>19.393000000000001</v>
      </c>
      <c r="AC26" s="40">
        <f>LOOKUP($B26, INVCOST!$C$8:$C$193, INVCOST!J$8:J$193)</f>
        <v>19.385000000000002</v>
      </c>
      <c r="AD26" s="40">
        <f>LOOKUP($B26, INVCOST!$C$8:$C$193, INVCOST!K$8:K$193)</f>
        <v>19.378</v>
      </c>
    </row>
    <row r="27" spans="2:30" s="39" customFormat="1" x14ac:dyDescent="0.3">
      <c r="B27" s="211"/>
      <c r="C27" s="211"/>
      <c r="D27" s="211"/>
      <c r="E27" s="211"/>
      <c r="F27" s="211" t="s">
        <v>347</v>
      </c>
      <c r="G27" s="50"/>
      <c r="H27" s="40"/>
      <c r="I27" s="41"/>
      <c r="J27" s="41"/>
      <c r="K27" s="42"/>
      <c r="L27" s="42"/>
      <c r="M27" s="42"/>
      <c r="N27" s="42"/>
      <c r="O27" s="166">
        <f>LOOKUP($B26, CEFF!$C$8:$C$156, CEFF!G$8:G$156)</f>
        <v>0.55249000000000004</v>
      </c>
      <c r="P27" s="166">
        <f>LOOKUP($B26, CEFF!$C$8:$C$156, CEFF!H$8:H$156)</f>
        <v>0.58140000000000003</v>
      </c>
      <c r="Q27" s="166">
        <f>LOOKUP($B26, CEFF!$C$8:$C$156, CEFF!I$8:I$156)</f>
        <v>0.61350000000000005</v>
      </c>
      <c r="R27" s="166">
        <f>LOOKUP($B26, CEFF!$C$8:$C$156, CEFF!J$8:J$156)</f>
        <v>0.64515999999999996</v>
      </c>
      <c r="S27" s="40"/>
      <c r="T27" s="40"/>
      <c r="U27" s="40"/>
      <c r="V27" s="41"/>
      <c r="W27" s="60"/>
      <c r="X27" s="40"/>
      <c r="Y27" s="40"/>
      <c r="Z27" s="40"/>
      <c r="AA27" s="40"/>
      <c r="AB27" s="40"/>
      <c r="AC27" s="40"/>
      <c r="AD27" s="40"/>
    </row>
    <row r="28" spans="2:30" s="39" customFormat="1" x14ac:dyDescent="0.3">
      <c r="B28" s="212"/>
      <c r="C28" s="212"/>
      <c r="D28" s="212"/>
      <c r="E28" s="212"/>
      <c r="F28" s="212" t="s">
        <v>349</v>
      </c>
      <c r="G28" s="51"/>
      <c r="H28" s="45"/>
      <c r="I28" s="46"/>
      <c r="J28" s="46"/>
      <c r="K28" s="44"/>
      <c r="L28" s="44"/>
      <c r="M28" s="44"/>
      <c r="N28" s="44"/>
      <c r="O28" s="261">
        <f>LOOKUP($B26, CEFF!$C$163:$C$330, CEFF!G$163:G$330)</f>
        <v>0.45455000000000001</v>
      </c>
      <c r="P28" s="261">
        <f>LOOKUP($B26, CEFF!$C$163:$C$330, CEFF!H$163:H$330)</f>
        <v>0.47847000000000001</v>
      </c>
      <c r="Q28" s="261">
        <f>LOOKUP($B26, CEFF!$C$163:$C$330, CEFF!I$163:I$330)</f>
        <v>0.50251000000000001</v>
      </c>
      <c r="R28" s="261">
        <f>LOOKUP($B26, CEFF!$C$163:$C$330, CEFF!J$163:J$330)</f>
        <v>0.52910000000000001</v>
      </c>
      <c r="S28" s="45"/>
      <c r="T28" s="45"/>
      <c r="U28" s="45"/>
      <c r="V28" s="46"/>
      <c r="W28" s="64"/>
      <c r="X28" s="45"/>
      <c r="Y28" s="45"/>
      <c r="Z28" s="45"/>
      <c r="AA28" s="45"/>
      <c r="AB28" s="45"/>
      <c r="AC28" s="45"/>
      <c r="AD28" s="45"/>
    </row>
    <row r="29" spans="2:30" s="39" customFormat="1" x14ac:dyDescent="0.3">
      <c r="B29" s="211" t="s">
        <v>147</v>
      </c>
      <c r="C29" s="210" t="str">
        <f>LOOKUP(B29, TRA_COMM_PRO!$C$17:$C$199, TRA_COMM_PRO!$D$17:$D$199)</f>
        <v>Truck.Light.H2G.01.</v>
      </c>
      <c r="D29" s="211" t="s">
        <v>57</v>
      </c>
      <c r="E29" s="211"/>
      <c r="F29" s="211"/>
      <c r="G29" s="10">
        <f>$G$5</f>
        <v>2020</v>
      </c>
      <c r="H29" s="40">
        <v>15</v>
      </c>
      <c r="I29" s="65">
        <f>$I$6</f>
        <v>1E-3</v>
      </c>
      <c r="J29" s="41">
        <f>$J$6</f>
        <v>0.3</v>
      </c>
      <c r="K29" s="42"/>
      <c r="L29" s="42"/>
      <c r="M29" s="42"/>
      <c r="N29" s="42"/>
      <c r="O29" s="165"/>
      <c r="P29" s="165"/>
      <c r="Q29" s="165"/>
      <c r="R29" s="165"/>
      <c r="S29" s="40"/>
      <c r="T29" s="40"/>
      <c r="U29" s="40"/>
      <c r="V29" s="41"/>
      <c r="W29" s="62">
        <f>LOOKUP(B29, FIXOM_VAROM!$C$8:$C$190, FIXOM_VAROM!$D$8:$D$190)</f>
        <v>4.0000000000000008E-2</v>
      </c>
      <c r="X29" s="40">
        <f>LOOKUP($B29, INVCOST!$C$8:$C$193, INVCOST!E$8:E$193)</f>
        <v>33.204999999999998</v>
      </c>
      <c r="Y29" s="40">
        <f>LOOKUP($B29, INVCOST!$C$8:$C$193, INVCOST!F$8:F$193)</f>
        <v>30.501000000000001</v>
      </c>
      <c r="Z29" s="40">
        <f>LOOKUP($B29, INVCOST!$C$8:$C$193, INVCOST!G$8:G$193)</f>
        <v>29.122</v>
      </c>
      <c r="AA29" s="40">
        <f>LOOKUP($B29, INVCOST!$C$8:$C$193, INVCOST!H$8:H$193)</f>
        <v>28.056000000000001</v>
      </c>
      <c r="AB29" s="40">
        <f>LOOKUP($B29, INVCOST!$C$8:$C$193, INVCOST!I$8:I$193)</f>
        <v>27.158999999999999</v>
      </c>
      <c r="AC29" s="40">
        <f>LOOKUP($B29, INVCOST!$C$8:$C$193, INVCOST!J$8:J$193)</f>
        <v>26.395</v>
      </c>
      <c r="AD29" s="40">
        <f>LOOKUP($B29, INVCOST!$C$8:$C$193, INVCOST!K$8:K$193)</f>
        <v>25.727</v>
      </c>
    </row>
    <row r="30" spans="2:30" s="39" customFormat="1" x14ac:dyDescent="0.3">
      <c r="B30" s="211"/>
      <c r="C30" s="211"/>
      <c r="D30" s="211"/>
      <c r="E30" s="211"/>
      <c r="F30" s="211" t="s">
        <v>347</v>
      </c>
      <c r="G30" s="50"/>
      <c r="H30" s="40"/>
      <c r="I30" s="41"/>
      <c r="J30" s="41"/>
      <c r="K30" s="42"/>
      <c r="L30" s="42"/>
      <c r="M30" s="42"/>
      <c r="N30" s="42"/>
      <c r="O30" s="166">
        <f>LOOKUP($B29, CEFF!$C$8:$C$156, CEFF!G$8:G$156)</f>
        <v>0.98038999999999998</v>
      </c>
      <c r="P30" s="166">
        <f>LOOKUP($B29, CEFF!$C$8:$C$156, CEFF!H$8:H$156)</f>
        <v>1.0869599999999999</v>
      </c>
      <c r="Q30" s="166">
        <f>LOOKUP($B29, CEFF!$C$8:$C$156, CEFF!I$8:I$156)</f>
        <v>1.20482</v>
      </c>
      <c r="R30" s="166">
        <f>LOOKUP($B29, CEFF!$C$8:$C$156, CEFF!J$8:J$156)</f>
        <v>1.2658199999999999</v>
      </c>
      <c r="S30" s="40"/>
      <c r="T30" s="40"/>
      <c r="U30" s="40"/>
      <c r="V30" s="41"/>
      <c r="W30" s="60"/>
      <c r="X30" s="40"/>
      <c r="Y30" s="40"/>
      <c r="Z30" s="40"/>
      <c r="AA30" s="40"/>
      <c r="AB30" s="40"/>
      <c r="AC30" s="40"/>
      <c r="AD30" s="40"/>
    </row>
    <row r="31" spans="2:30" s="39" customFormat="1" x14ac:dyDescent="0.3">
      <c r="B31" s="212"/>
      <c r="C31" s="212"/>
      <c r="D31" s="212"/>
      <c r="E31" s="212"/>
      <c r="F31" s="212" t="s">
        <v>349</v>
      </c>
      <c r="G31" s="51"/>
      <c r="H31" s="45"/>
      <c r="I31" s="46"/>
      <c r="J31" s="46"/>
      <c r="K31" s="44"/>
      <c r="L31" s="44"/>
      <c r="M31" s="44"/>
      <c r="N31" s="44"/>
      <c r="O31" s="261">
        <f>LOOKUP($B29, CEFF!$C$163:$C$330, CEFF!G$163:G$330)</f>
        <v>0.80645</v>
      </c>
      <c r="P31" s="261">
        <f>LOOKUP($B29, CEFF!$C$163:$C$330, CEFF!H$163:H$330)</f>
        <v>0.89285999999999999</v>
      </c>
      <c r="Q31" s="261">
        <f>LOOKUP($B29, CEFF!$C$163:$C$330, CEFF!I$163:I$330)</f>
        <v>0.99009999999999998</v>
      </c>
      <c r="R31" s="261">
        <f>LOOKUP($B29, CEFF!$C$163:$C$330, CEFF!J$163:J$330)</f>
        <v>1.0989</v>
      </c>
      <c r="S31" s="45"/>
      <c r="T31" s="45"/>
      <c r="U31" s="45"/>
      <c r="V31" s="46"/>
      <c r="W31" s="64"/>
      <c r="X31" s="45"/>
      <c r="Y31" s="45"/>
      <c r="Z31" s="45"/>
      <c r="AA31" s="45"/>
      <c r="AB31" s="45"/>
      <c r="AC31" s="45"/>
      <c r="AD31" s="45"/>
    </row>
    <row r="32" spans="2:30" s="39" customFormat="1" x14ac:dyDescent="0.3">
      <c r="B32" s="211" t="s">
        <v>150</v>
      </c>
      <c r="C32" s="210" t="str">
        <f>LOOKUP(B32, TRA_COMM_PRO!$C$17:$C$199, TRA_COMM_PRO!$D$17:$D$199)</f>
        <v>Truck.Light.Hybrid.DST.01.</v>
      </c>
      <c r="D32" s="211" t="s">
        <v>712</v>
      </c>
      <c r="E32" s="211"/>
      <c r="F32" s="211"/>
      <c r="G32" s="10">
        <f>$G$5</f>
        <v>2020</v>
      </c>
      <c r="H32" s="54">
        <v>15</v>
      </c>
      <c r="I32" s="65">
        <f>$I$6</f>
        <v>1E-3</v>
      </c>
      <c r="J32" s="41">
        <f>$J$6</f>
        <v>0.3</v>
      </c>
      <c r="K32" s="42"/>
      <c r="L32" s="42"/>
      <c r="M32" s="42"/>
      <c r="N32" s="42"/>
      <c r="O32" s="166"/>
      <c r="P32" s="166"/>
      <c r="Q32" s="166"/>
      <c r="R32" s="166"/>
      <c r="S32" s="40"/>
      <c r="T32" s="40"/>
      <c r="U32" s="40"/>
      <c r="V32" s="41"/>
      <c r="W32" s="62">
        <f>LOOKUP(B32, FIXOM_VAROM!$C$8:$C$190, FIXOM_VAROM!$D$8:$D$190)</f>
        <v>0.05</v>
      </c>
      <c r="X32" s="40">
        <f>LOOKUP($B32, INVCOST!$C$8:$C$193, INVCOST!E$8:E$193)</f>
        <v>23.181999999999999</v>
      </c>
      <c r="Y32" s="40">
        <f>LOOKUP($B32, INVCOST!$C$8:$C$193, INVCOST!F$8:F$193)</f>
        <v>22.738</v>
      </c>
      <c r="Z32" s="40">
        <f>LOOKUP($B32, INVCOST!$C$8:$C$193, INVCOST!G$8:G$193)</f>
        <v>22.478000000000002</v>
      </c>
      <c r="AA32" s="40">
        <f>LOOKUP($B32, INVCOST!$C$8:$C$193, INVCOST!H$8:H$193)</f>
        <v>22.3</v>
      </c>
      <c r="AB32" s="40">
        <f>LOOKUP($B32, INVCOST!$C$8:$C$193, INVCOST!I$8:I$193)</f>
        <v>22.170999999999999</v>
      </c>
      <c r="AC32" s="40">
        <f>LOOKUP($B32, INVCOST!$C$8:$C$193, INVCOST!J$8:J$193)</f>
        <v>22.068999999999999</v>
      </c>
      <c r="AD32" s="40">
        <f>LOOKUP($B32, INVCOST!$C$8:$C$193, INVCOST!K$8:K$193)</f>
        <v>21.995000000000001</v>
      </c>
    </row>
    <row r="33" spans="2:30" s="39" customFormat="1" x14ac:dyDescent="0.3">
      <c r="B33" s="211"/>
      <c r="C33" s="211"/>
      <c r="D33" s="211"/>
      <c r="E33" s="211"/>
      <c r="F33" s="211" t="s">
        <v>347</v>
      </c>
      <c r="G33" s="50"/>
      <c r="H33" s="40"/>
      <c r="I33" s="41"/>
      <c r="J33" s="41"/>
      <c r="K33" s="42"/>
      <c r="L33" s="42"/>
      <c r="M33" s="42"/>
      <c r="N33" s="42"/>
      <c r="O33" s="166">
        <f>LOOKUP($B32, CEFF!$C$8:$C$156, CEFF!G$8:G$156)</f>
        <v>0.74626999999999999</v>
      </c>
      <c r="P33" s="166">
        <f>LOOKUP($B32, CEFF!$C$8:$C$156, CEFF!H$8:H$156)</f>
        <v>0.82645000000000002</v>
      </c>
      <c r="Q33" s="166">
        <f>LOOKUP($B32, CEFF!$C$8:$C$156, CEFF!I$8:I$156)</f>
        <v>0.91742999999999997</v>
      </c>
      <c r="R33" s="166">
        <f>LOOKUP($B32, CEFF!$C$8:$C$156, CEFF!J$8:J$156)</f>
        <v>1.02041</v>
      </c>
      <c r="S33" s="40"/>
      <c r="T33" s="40"/>
      <c r="U33" s="40"/>
      <c r="V33" s="42"/>
      <c r="W33" s="60"/>
      <c r="X33" s="40"/>
      <c r="Y33" s="40"/>
      <c r="Z33" s="40"/>
      <c r="AA33" s="40"/>
      <c r="AB33" s="40"/>
      <c r="AC33" s="40"/>
      <c r="AD33" s="40"/>
    </row>
    <row r="34" spans="2:30" s="39" customFormat="1" x14ac:dyDescent="0.3">
      <c r="B34" s="212"/>
      <c r="C34" s="212"/>
      <c r="D34" s="212"/>
      <c r="E34" s="212"/>
      <c r="F34" s="212" t="s">
        <v>349</v>
      </c>
      <c r="G34" s="51"/>
      <c r="H34" s="45"/>
      <c r="I34" s="46"/>
      <c r="J34" s="46"/>
      <c r="K34" s="44"/>
      <c r="L34" s="44"/>
      <c r="M34" s="44"/>
      <c r="N34" s="44"/>
      <c r="O34" s="261">
        <f>LOOKUP($B32, CEFF!$C$163:$C$330, CEFF!G$163:G$330)</f>
        <v>0.65788999999999997</v>
      </c>
      <c r="P34" s="261">
        <f>LOOKUP($B32, CEFF!$C$163:$C$330, CEFF!H$163:H$330)</f>
        <v>0.72992999999999997</v>
      </c>
      <c r="Q34" s="261">
        <f>LOOKUP($B32, CEFF!$C$163:$C$330, CEFF!I$163:I$330)</f>
        <v>0.80645</v>
      </c>
      <c r="R34" s="261">
        <f>LOOKUP($B32, CEFF!$C$163:$C$330, CEFF!J$163:J$330)</f>
        <v>0.89285999999999999</v>
      </c>
      <c r="S34" s="45"/>
      <c r="T34" s="45"/>
      <c r="U34" s="45"/>
      <c r="V34" s="44"/>
      <c r="W34" s="64"/>
      <c r="X34" s="45"/>
      <c r="Y34" s="45"/>
      <c r="Z34" s="45"/>
      <c r="AA34" s="45"/>
      <c r="AB34" s="45"/>
      <c r="AC34" s="45"/>
      <c r="AD34" s="45"/>
    </row>
    <row r="35" spans="2:30" s="39" customFormat="1" x14ac:dyDescent="0.3">
      <c r="B35" s="211" t="s">
        <v>152</v>
      </c>
      <c r="C35" s="210" t="str">
        <f>LOOKUP(B35, TRA_COMM_PRO!$C$17:$C$199, TRA_COMM_PRO!$D$17:$D$199)</f>
        <v>Truck.Light.Hybrid.GSL.01.</v>
      </c>
      <c r="D35" s="214" t="s">
        <v>713</v>
      </c>
      <c r="E35" s="211"/>
      <c r="F35" s="211"/>
      <c r="G35" s="10">
        <f>$G$5</f>
        <v>2020</v>
      </c>
      <c r="H35" s="54">
        <v>15</v>
      </c>
      <c r="I35" s="65">
        <f>$I$6</f>
        <v>1E-3</v>
      </c>
      <c r="J35" s="41">
        <f>$J$6</f>
        <v>0.3</v>
      </c>
      <c r="K35" s="42"/>
      <c r="L35" s="42"/>
      <c r="M35" s="42"/>
      <c r="N35" s="42"/>
      <c r="O35" s="263"/>
      <c r="P35" s="263"/>
      <c r="Q35" s="263"/>
      <c r="R35" s="263"/>
      <c r="S35" s="40"/>
      <c r="T35" s="40"/>
      <c r="U35" s="40"/>
      <c r="V35" s="41"/>
      <c r="W35" s="62">
        <f>LOOKUP(B35, FIXOM_VAROM!$C$8:$C$190, FIXOM_VAROM!$D$8:$D$190)</f>
        <v>0.05</v>
      </c>
      <c r="X35" s="40">
        <f>LOOKUP($B35, INVCOST!$C$8:$C$193, INVCOST!E$8:E$193)</f>
        <v>21.329000000000001</v>
      </c>
      <c r="Y35" s="40">
        <f>LOOKUP($B35, INVCOST!$C$8:$C$193, INVCOST!F$8:F$193)</f>
        <v>20.885999999999999</v>
      </c>
      <c r="Z35" s="40">
        <f>LOOKUP($B35, INVCOST!$C$8:$C$193, INVCOST!G$8:G$193)</f>
        <v>20.626000000000001</v>
      </c>
      <c r="AA35" s="40">
        <f>LOOKUP($B35, INVCOST!$C$8:$C$193, INVCOST!H$8:H$193)</f>
        <v>20.446000000000002</v>
      </c>
      <c r="AB35" s="40">
        <f>LOOKUP($B35, INVCOST!$C$8:$C$193, INVCOST!I$8:I$193)</f>
        <v>20.135999999999999</v>
      </c>
      <c r="AC35" s="40">
        <f>LOOKUP($B35, INVCOST!$C$8:$C$193, INVCOST!J$8:J$193)</f>
        <v>20.212</v>
      </c>
      <c r="AD35" s="40">
        <f>LOOKUP($B35, INVCOST!$C$8:$C$193, INVCOST!K$8:K$193)</f>
        <v>20.135999999999999</v>
      </c>
    </row>
    <row r="36" spans="2:30" s="39" customFormat="1" x14ac:dyDescent="0.3">
      <c r="B36" s="211"/>
      <c r="C36" s="211"/>
      <c r="D36" s="211"/>
      <c r="E36" s="211"/>
      <c r="F36" s="211" t="s">
        <v>347</v>
      </c>
      <c r="G36" s="50"/>
      <c r="H36" s="40"/>
      <c r="I36" s="41"/>
      <c r="J36" s="41"/>
      <c r="K36" s="42"/>
      <c r="L36" s="42"/>
      <c r="M36" s="42"/>
      <c r="N36" s="42"/>
      <c r="O36" s="166">
        <f>LOOKUP($B35, CEFF!$C$8:$C$156, CEFF!G$8:G$156)</f>
        <v>0.67113999999999996</v>
      </c>
      <c r="P36" s="166">
        <f>LOOKUP($B35, CEFF!$C$8:$C$156, CEFF!H$8:H$156)</f>
        <v>0.74626999999999999</v>
      </c>
      <c r="Q36" s="166">
        <f>LOOKUP($B35, CEFF!$C$8:$C$156, CEFF!I$8:I$156)</f>
        <v>0.82645000000000002</v>
      </c>
      <c r="R36" s="166">
        <f>LOOKUP($B35, CEFF!$C$8:$C$156, CEFF!J$8:J$156)</f>
        <v>0.91742999999999997</v>
      </c>
      <c r="S36" s="40"/>
      <c r="T36" s="40"/>
      <c r="U36" s="40"/>
      <c r="V36" s="42"/>
      <c r="W36" s="60"/>
      <c r="X36" s="40"/>
      <c r="Y36" s="40"/>
      <c r="Z36" s="40"/>
      <c r="AA36" s="40"/>
      <c r="AB36" s="40"/>
      <c r="AC36" s="40"/>
      <c r="AD36" s="40"/>
    </row>
    <row r="37" spans="2:30" s="39" customFormat="1" x14ac:dyDescent="0.3">
      <c r="B37" s="212"/>
      <c r="C37" s="212"/>
      <c r="D37" s="212"/>
      <c r="E37" s="212"/>
      <c r="F37" s="212" t="s">
        <v>349</v>
      </c>
      <c r="G37" s="51"/>
      <c r="H37" s="45"/>
      <c r="I37" s="46"/>
      <c r="J37" s="46"/>
      <c r="K37" s="44"/>
      <c r="L37" s="44"/>
      <c r="M37" s="44"/>
      <c r="N37" s="44"/>
      <c r="O37" s="261">
        <f>LOOKUP($B35, CEFF!$C$163:$C$330, CEFF!G$163:G$330)</f>
        <v>0.55249000000000004</v>
      </c>
      <c r="P37" s="261">
        <f>LOOKUP($B35, CEFF!$C$163:$C$330, CEFF!H$163:H$330)</f>
        <v>0.61350000000000005</v>
      </c>
      <c r="Q37" s="261">
        <f>LOOKUP($B35, CEFF!$C$163:$C$330, CEFF!I$163:I$330)</f>
        <v>0.68027000000000004</v>
      </c>
      <c r="R37" s="261">
        <f>LOOKUP($B35, CEFF!$C$163:$C$330, CEFF!J$163:J$330)</f>
        <v>0.75187999999999999</v>
      </c>
      <c r="S37" s="45"/>
      <c r="T37" s="45"/>
      <c r="U37" s="45"/>
      <c r="V37" s="44"/>
      <c r="W37" s="64"/>
      <c r="X37" s="45"/>
      <c r="Y37" s="45"/>
      <c r="Z37" s="45"/>
      <c r="AA37" s="45"/>
      <c r="AB37" s="45"/>
      <c r="AC37" s="45"/>
      <c r="AD37" s="45"/>
    </row>
    <row r="38" spans="2:30" s="39" customFormat="1" x14ac:dyDescent="0.3">
      <c r="B38" s="211" t="s">
        <v>149</v>
      </c>
      <c r="C38" s="210" t="str">
        <f>LOOKUP(B38, TRA_COMM_PRO!$C$17:$C$199, TRA_COMM_PRO!$D$17:$D$199)</f>
        <v>Truck.Light.LPG.City.01.</v>
      </c>
      <c r="D38" s="211" t="s">
        <v>62</v>
      </c>
      <c r="E38" s="211"/>
      <c r="F38" s="211"/>
      <c r="G38" s="10">
        <f>$G$5</f>
        <v>2020</v>
      </c>
      <c r="H38" s="40">
        <f>H41</f>
        <v>15</v>
      </c>
      <c r="I38" s="65">
        <f>$I$6</f>
        <v>1E-3</v>
      </c>
      <c r="J38" s="41">
        <f>$J$6</f>
        <v>0.3</v>
      </c>
      <c r="K38" s="42"/>
      <c r="L38" s="42"/>
      <c r="M38" s="42"/>
      <c r="N38" s="42"/>
      <c r="O38" s="165"/>
      <c r="P38" s="165"/>
      <c r="Q38" s="165"/>
      <c r="R38" s="165"/>
      <c r="S38" s="40"/>
      <c r="T38" s="40"/>
      <c r="U38" s="40"/>
      <c r="V38" s="41"/>
      <c r="W38" s="62">
        <f>LOOKUP(B38, FIXOM_VAROM!$C$8:$C$190, FIXOM_VAROM!$D$8:$D$190)</f>
        <v>0.05</v>
      </c>
      <c r="X38" s="40">
        <f>LOOKUP($B38, INVCOST!$C$8:$C$193, INVCOST!E$8:E$193)</f>
        <v>19.452000000000002</v>
      </c>
      <c r="Y38" s="40">
        <f>LOOKUP($B38, INVCOST!$C$8:$C$193, INVCOST!F$8:F$193)</f>
        <v>19.43</v>
      </c>
      <c r="Z38" s="40">
        <f>LOOKUP($B38, INVCOST!$C$8:$C$193, INVCOST!G$8:G$193)</f>
        <v>19.414999999999999</v>
      </c>
      <c r="AA38" s="40">
        <f>LOOKUP($B38, INVCOST!$C$8:$C$193, INVCOST!H$8:H$193)</f>
        <v>19.402999999999999</v>
      </c>
      <c r="AB38" s="40">
        <f>LOOKUP($B38, INVCOST!$C$8:$C$193, INVCOST!I$8:I$193)</f>
        <v>19.393000000000001</v>
      </c>
      <c r="AC38" s="40">
        <f>LOOKUP($B38, INVCOST!$C$8:$C$193, INVCOST!J$8:J$193)</f>
        <v>19.385000000000002</v>
      </c>
      <c r="AD38" s="40">
        <f>LOOKUP($B38, INVCOST!$C$8:$C$193, INVCOST!K$8:K$193)</f>
        <v>19.378</v>
      </c>
    </row>
    <row r="39" spans="2:30" s="39" customFormat="1" x14ac:dyDescent="0.3">
      <c r="B39" s="211"/>
      <c r="C39" s="211"/>
      <c r="D39" s="211"/>
      <c r="E39" s="211"/>
      <c r="F39" s="211" t="s">
        <v>347</v>
      </c>
      <c r="G39" s="50"/>
      <c r="H39" s="40"/>
      <c r="I39" s="41"/>
      <c r="J39" s="41"/>
      <c r="K39" s="42"/>
      <c r="L39" s="42"/>
      <c r="M39" s="42"/>
      <c r="N39" s="42"/>
      <c r="O39" s="166">
        <f>LOOKUP($B38, CEFF!$C$8:$C$156, CEFF!G$8:G$156)</f>
        <v>0.55249000000000004</v>
      </c>
      <c r="P39" s="166">
        <f>LOOKUP($B38, CEFF!$C$8:$C$156, CEFF!H$8:H$156)</f>
        <v>0.58140000000000003</v>
      </c>
      <c r="Q39" s="166">
        <f>LOOKUP($B38, CEFF!$C$8:$C$156, CEFF!I$8:I$156)</f>
        <v>0.61350000000000005</v>
      </c>
      <c r="R39" s="166">
        <f>LOOKUP($B38, CEFF!$C$8:$C$156, CEFF!J$8:J$156)</f>
        <v>0.64515999999999996</v>
      </c>
      <c r="S39" s="40"/>
      <c r="T39" s="40"/>
      <c r="U39" s="40"/>
      <c r="V39" s="41"/>
      <c r="W39" s="60"/>
      <c r="X39" s="40"/>
      <c r="Y39" s="40"/>
      <c r="Z39" s="40"/>
      <c r="AA39" s="40"/>
      <c r="AB39" s="40"/>
      <c r="AC39" s="40"/>
      <c r="AD39" s="40"/>
    </row>
    <row r="40" spans="2:30" s="39" customFormat="1" x14ac:dyDescent="0.3">
      <c r="B40" s="212"/>
      <c r="C40" s="212"/>
      <c r="D40" s="212"/>
      <c r="E40" s="212"/>
      <c r="F40" s="212" t="s">
        <v>349</v>
      </c>
      <c r="G40" s="51"/>
      <c r="H40" s="45"/>
      <c r="I40" s="46"/>
      <c r="J40" s="46"/>
      <c r="K40" s="44"/>
      <c r="L40" s="44"/>
      <c r="M40" s="44"/>
      <c r="N40" s="44"/>
      <c r="O40" s="261">
        <f>LOOKUP($B38, CEFF!$C$163:$C$330, CEFF!G$163:G$330)</f>
        <v>0.45455000000000001</v>
      </c>
      <c r="P40" s="261">
        <f>LOOKUP($B38, CEFF!$C$163:$C$330, CEFF!H$163:H$330)</f>
        <v>0.47847000000000001</v>
      </c>
      <c r="Q40" s="261">
        <f>LOOKUP($B38, CEFF!$C$163:$C$330, CEFF!I$163:I$330)</f>
        <v>0.50251000000000001</v>
      </c>
      <c r="R40" s="261">
        <f>LOOKUP($B38, CEFF!$C$163:$C$330, CEFF!J$163:J$330)</f>
        <v>0.52910000000000001</v>
      </c>
      <c r="S40" s="45"/>
      <c r="T40" s="45"/>
      <c r="U40" s="45"/>
      <c r="V40" s="46"/>
      <c r="W40" s="64"/>
      <c r="X40" s="45"/>
      <c r="Y40" s="45"/>
      <c r="Z40" s="45"/>
      <c r="AA40" s="45"/>
      <c r="AB40" s="45"/>
      <c r="AC40" s="45"/>
      <c r="AD40" s="45"/>
    </row>
    <row r="41" spans="2:30" s="39" customFormat="1" x14ac:dyDescent="0.3">
      <c r="B41" s="211" t="s">
        <v>610</v>
      </c>
      <c r="C41" s="210" t="str">
        <f>LOOKUP(B41, TRA_COMM_PRO!$C$17:$C$199, TRA_COMM_PRO!$D$17:$D$199)</f>
        <v>Truck.Light.MTH.01.</v>
      </c>
      <c r="D41" s="211" t="s">
        <v>599</v>
      </c>
      <c r="E41" s="211"/>
      <c r="F41" s="211"/>
      <c r="G41" s="10">
        <f>$G$5</f>
        <v>2020</v>
      </c>
      <c r="H41" s="40">
        <v>15</v>
      </c>
      <c r="I41" s="65">
        <f>$I$6</f>
        <v>1E-3</v>
      </c>
      <c r="J41" s="41">
        <f>$J$6</f>
        <v>0.3</v>
      </c>
      <c r="K41" s="42"/>
      <c r="L41" s="42"/>
      <c r="M41" s="42"/>
      <c r="N41" s="42"/>
      <c r="O41" s="165"/>
      <c r="P41" s="165"/>
      <c r="Q41" s="165"/>
      <c r="R41" s="165"/>
      <c r="S41" s="40"/>
      <c r="T41" s="40"/>
      <c r="U41" s="40"/>
      <c r="V41" s="41"/>
      <c r="W41" s="62">
        <f>LOOKUP(B41, FIXOM_VAROM!$C$8:$C$190, FIXOM_VAROM!$D$8:$D$190)</f>
        <v>0.05</v>
      </c>
      <c r="X41" s="40">
        <f>LOOKUP($B41, INVCOST!$C$8:$C$193, INVCOST!E$8:E$193)</f>
        <v>19.452000000000002</v>
      </c>
      <c r="Y41" s="40">
        <f>LOOKUP($B41, INVCOST!$C$8:$C$193, INVCOST!F$8:F$193)</f>
        <v>19.43</v>
      </c>
      <c r="Z41" s="40">
        <f>LOOKUP($B41, INVCOST!$C$8:$C$193, INVCOST!G$8:G$193)</f>
        <v>19.414999999999999</v>
      </c>
      <c r="AA41" s="40">
        <f>LOOKUP($B41, INVCOST!$C$8:$C$193, INVCOST!H$8:H$193)</f>
        <v>19.402999999999999</v>
      </c>
      <c r="AB41" s="40">
        <f>LOOKUP($B41, INVCOST!$C$8:$C$193, INVCOST!I$8:I$193)</f>
        <v>19.393000000000001</v>
      </c>
      <c r="AC41" s="40">
        <f>LOOKUP($B41, INVCOST!$C$8:$C$193, INVCOST!J$8:J$193)</f>
        <v>19.385000000000002</v>
      </c>
      <c r="AD41" s="40">
        <f>LOOKUP($B41, INVCOST!$C$8:$C$193, INVCOST!K$8:K$193)</f>
        <v>19.378</v>
      </c>
    </row>
    <row r="42" spans="2:30" s="39" customFormat="1" x14ac:dyDescent="0.3">
      <c r="B42" s="211"/>
      <c r="C42" s="211"/>
      <c r="D42" s="211"/>
      <c r="E42" s="211"/>
      <c r="F42" s="211" t="s">
        <v>347</v>
      </c>
      <c r="G42" s="50"/>
      <c r="H42" s="40"/>
      <c r="I42" s="41"/>
      <c r="J42" s="41"/>
      <c r="K42" s="42"/>
      <c r="L42" s="42"/>
      <c r="M42" s="42"/>
      <c r="N42" s="42"/>
      <c r="O42" s="166">
        <f>LOOKUP($B41, CEFF!$C$8:$C$156, CEFF!G$8:G$156)</f>
        <v>0.55249000000000004</v>
      </c>
      <c r="P42" s="166">
        <f>LOOKUP($B41, CEFF!$C$8:$C$156, CEFF!H$8:H$156)</f>
        <v>0.58140000000000003</v>
      </c>
      <c r="Q42" s="166">
        <f>LOOKUP($B41, CEFF!$C$8:$C$156, CEFF!I$8:I$156)</f>
        <v>0.61350000000000005</v>
      </c>
      <c r="R42" s="166">
        <f>LOOKUP($B41, CEFF!$C$8:$C$156, CEFF!J$8:J$156)</f>
        <v>0.64515999999999996</v>
      </c>
      <c r="S42" s="40"/>
      <c r="T42" s="40"/>
      <c r="U42" s="40"/>
      <c r="V42" s="41"/>
      <c r="W42" s="60"/>
      <c r="X42" s="40"/>
      <c r="Y42" s="40"/>
      <c r="Z42" s="40"/>
      <c r="AA42" s="40"/>
      <c r="AB42" s="40"/>
      <c r="AC42" s="40"/>
      <c r="AD42" s="40"/>
    </row>
    <row r="43" spans="2:30" s="39" customFormat="1" x14ac:dyDescent="0.3">
      <c r="B43" s="212"/>
      <c r="C43" s="212"/>
      <c r="D43" s="212"/>
      <c r="E43" s="212"/>
      <c r="F43" s="212" t="s">
        <v>349</v>
      </c>
      <c r="G43" s="51"/>
      <c r="H43" s="45"/>
      <c r="I43" s="46"/>
      <c r="J43" s="46"/>
      <c r="K43" s="44"/>
      <c r="L43" s="44"/>
      <c r="M43" s="44"/>
      <c r="N43" s="44"/>
      <c r="O43" s="261">
        <f>LOOKUP($B41, CEFF!$C$163:$C$330, CEFF!G$163:G$330)</f>
        <v>0.45455000000000001</v>
      </c>
      <c r="P43" s="261">
        <f>LOOKUP($B41, CEFF!$C$163:$C$330, CEFF!H$163:H$330)</f>
        <v>0.47847000000000001</v>
      </c>
      <c r="Q43" s="261">
        <f>LOOKUP($B41, CEFF!$C$163:$C$330, CEFF!I$163:I$330)</f>
        <v>0.50251000000000001</v>
      </c>
      <c r="R43" s="261">
        <f>LOOKUP($B41, CEFF!$C$163:$C$330, CEFF!J$163:J$330)</f>
        <v>0.52910000000000001</v>
      </c>
      <c r="S43" s="45"/>
      <c r="T43" s="45"/>
      <c r="U43" s="45"/>
      <c r="V43" s="46"/>
      <c r="W43" s="64"/>
      <c r="X43" s="156"/>
      <c r="Y43" s="156"/>
      <c r="Z43" s="156"/>
      <c r="AA43" s="156"/>
      <c r="AB43" s="156"/>
      <c r="AC43" s="156"/>
      <c r="AD43" s="156"/>
    </row>
    <row r="44" spans="2:30" s="39" customFormat="1" x14ac:dyDescent="0.3">
      <c r="B44" s="214" t="s">
        <v>153</v>
      </c>
      <c r="C44" s="210" t="str">
        <f>LOOKUP(B44, TRA_COMM_PRO!$C$17:$C$199, TRA_COMM_PRO!$D$17:$D$199)</f>
        <v>Truck.Light.Plugin-Hybrid.DST.01.</v>
      </c>
      <c r="D44" s="211" t="s">
        <v>712</v>
      </c>
      <c r="E44" s="214"/>
      <c r="F44" s="214"/>
      <c r="G44" s="10">
        <f>$G$5</f>
        <v>2020</v>
      </c>
      <c r="H44" s="54">
        <v>15</v>
      </c>
      <c r="I44" s="65">
        <f>$I$6</f>
        <v>1E-3</v>
      </c>
      <c r="J44" s="41">
        <f>$J$6</f>
        <v>0.3</v>
      </c>
      <c r="K44" s="42"/>
      <c r="L44" s="42"/>
      <c r="M44" s="42"/>
      <c r="N44" s="42"/>
      <c r="O44" s="166"/>
      <c r="P44" s="166"/>
      <c r="Q44" s="166"/>
      <c r="R44" s="166"/>
      <c r="S44" s="40"/>
      <c r="T44" s="40"/>
      <c r="U44" s="40"/>
      <c r="V44" s="41"/>
      <c r="W44" s="62">
        <f>LOOKUP(B44, FIXOM_VAROM!$C$8:$C$190, FIXOM_VAROM!$D$8:$D$190)</f>
        <v>0.05</v>
      </c>
      <c r="X44" s="40">
        <f>LOOKUP($B44, INVCOST!$C$8:$C$193, INVCOST!E$8:E$193)</f>
        <v>29.478999999999999</v>
      </c>
      <c r="Y44" s="40">
        <f>LOOKUP($B44, INVCOST!$C$8:$C$193, INVCOST!F$8:F$193)</f>
        <v>27.831</v>
      </c>
      <c r="Z44" s="40">
        <f>LOOKUP($B44, INVCOST!$C$8:$C$193, INVCOST!G$8:G$193)</f>
        <v>26.962</v>
      </c>
      <c r="AA44" s="40">
        <f>LOOKUP($B44, INVCOST!$C$8:$C$193, INVCOST!H$8:H$193)</f>
        <v>26.277000000000001</v>
      </c>
      <c r="AB44" s="40">
        <f>LOOKUP($B44, INVCOST!$C$8:$C$193, INVCOST!I$8:I$193)</f>
        <v>25.709</v>
      </c>
      <c r="AC44" s="40">
        <f>LOOKUP($B44, INVCOST!$C$8:$C$193, INVCOST!J$8:J$193)</f>
        <v>25.244</v>
      </c>
      <c r="AD44" s="40">
        <f>LOOKUP($B44, INVCOST!$C$8:$C$193, INVCOST!K$8:K$193)</f>
        <v>24.864000000000001</v>
      </c>
    </row>
    <row r="45" spans="2:30" s="39" customFormat="1" x14ac:dyDescent="0.3">
      <c r="B45" s="211"/>
      <c r="C45" s="211"/>
      <c r="D45" s="211"/>
      <c r="E45" s="211"/>
      <c r="F45" s="211" t="s">
        <v>347</v>
      </c>
      <c r="G45" s="50"/>
      <c r="H45" s="40"/>
      <c r="I45" s="41"/>
      <c r="J45" s="41"/>
      <c r="K45" s="42"/>
      <c r="L45" s="42"/>
      <c r="M45" s="42"/>
      <c r="N45" s="42"/>
      <c r="O45" s="166">
        <f>LOOKUP($B44, CEFF!$C$8:$C$156, CEFF!G$8:G$156)</f>
        <v>0.85470000000000002</v>
      </c>
      <c r="P45" s="166">
        <f>LOOKUP($B44, CEFF!$C$8:$C$156, CEFF!H$8:H$156)</f>
        <v>0.94340000000000002</v>
      </c>
      <c r="Q45" s="166">
        <f>LOOKUP($B44, CEFF!$C$8:$C$156, CEFF!I$8:I$156)</f>
        <v>1.0416700000000001</v>
      </c>
      <c r="R45" s="166">
        <f>LOOKUP($B44, CEFF!$C$8:$C$156, CEFF!J$8:J$156)</f>
        <v>1.16279</v>
      </c>
      <c r="S45" s="40"/>
      <c r="T45" s="40"/>
      <c r="U45" s="40"/>
      <c r="V45" s="42"/>
      <c r="W45" s="60"/>
      <c r="X45" s="40"/>
      <c r="Y45" s="40"/>
      <c r="Z45" s="40"/>
      <c r="AA45" s="40"/>
      <c r="AB45" s="40"/>
      <c r="AC45" s="40"/>
      <c r="AD45" s="40"/>
    </row>
    <row r="46" spans="2:30" s="39" customFormat="1" x14ac:dyDescent="0.3">
      <c r="B46" s="212"/>
      <c r="C46" s="212"/>
      <c r="D46" s="212"/>
      <c r="E46" s="212"/>
      <c r="F46" s="212" t="s">
        <v>349</v>
      </c>
      <c r="G46" s="51"/>
      <c r="H46" s="45"/>
      <c r="I46" s="46"/>
      <c r="J46" s="46"/>
      <c r="K46" s="44"/>
      <c r="L46" s="44"/>
      <c r="M46" s="44"/>
      <c r="N46" s="44"/>
      <c r="O46" s="261">
        <f>LOOKUP($B44, CEFF!$C$163:$C$330, CEFF!G$163:G$330)</f>
        <v>1.0638300000000001</v>
      </c>
      <c r="P46" s="261">
        <f>LOOKUP($B44, CEFF!$C$163:$C$330, CEFF!H$163:H$330)</f>
        <v>1.13636</v>
      </c>
      <c r="Q46" s="261">
        <f>LOOKUP($B44, CEFF!$C$163:$C$330, CEFF!I$163:I$330)</f>
        <v>1.2195100000000001</v>
      </c>
      <c r="R46" s="261">
        <f>LOOKUP($B44, CEFF!$C$163:$C$330, CEFF!J$163:J$330)</f>
        <v>1.31579</v>
      </c>
      <c r="S46" s="45"/>
      <c r="T46" s="45"/>
      <c r="U46" s="45"/>
      <c r="V46" s="44"/>
      <c r="W46" s="64"/>
      <c r="X46" s="45"/>
      <c r="Y46" s="45"/>
      <c r="Z46" s="45"/>
      <c r="AA46" s="45"/>
      <c r="AB46" s="45"/>
      <c r="AC46" s="45"/>
      <c r="AD46" s="45"/>
    </row>
    <row r="47" spans="2:30" s="39" customFormat="1" x14ac:dyDescent="0.3">
      <c r="B47" s="211" t="s">
        <v>155</v>
      </c>
      <c r="C47" s="210" t="str">
        <f>LOOKUP(B47, TRA_COMM_PRO!$C$17:$C$199, TRA_COMM_PRO!$D$17:$D$199)</f>
        <v>Truck.Light.Plugin-Hybrid.GSL01.</v>
      </c>
      <c r="D47" s="214" t="s">
        <v>713</v>
      </c>
      <c r="E47" s="211"/>
      <c r="F47" s="211"/>
      <c r="G47" s="10">
        <f>$G$5</f>
        <v>2020</v>
      </c>
      <c r="H47" s="54">
        <v>15</v>
      </c>
      <c r="I47" s="65">
        <f>$I$6</f>
        <v>1E-3</v>
      </c>
      <c r="J47" s="41">
        <f>$J$6</f>
        <v>0.3</v>
      </c>
      <c r="K47" s="42"/>
      <c r="L47" s="42"/>
      <c r="M47" s="42"/>
      <c r="N47" s="42"/>
      <c r="O47" s="166"/>
      <c r="P47" s="166"/>
      <c r="Q47" s="166"/>
      <c r="R47" s="166"/>
      <c r="S47" s="40"/>
      <c r="T47" s="40"/>
      <c r="U47" s="40"/>
      <c r="V47" s="41"/>
      <c r="W47" s="62">
        <f>LOOKUP(B47, FIXOM_VAROM!$C$8:$C$190, FIXOM_VAROM!$D$8:$D$190)</f>
        <v>0.05</v>
      </c>
      <c r="X47" s="40">
        <f>LOOKUP($B47, INVCOST!$C$8:$C$193, INVCOST!E$8:E$193)</f>
        <v>28.067</v>
      </c>
      <c r="Y47" s="40">
        <f>LOOKUP($B47, INVCOST!$C$8:$C$193, INVCOST!F$8:F$193)</f>
        <v>26.41</v>
      </c>
      <c r="Z47" s="40">
        <f>LOOKUP($B47, INVCOST!$C$8:$C$193, INVCOST!G$8:G$193)</f>
        <v>25.536000000000001</v>
      </c>
      <c r="AA47" s="40">
        <f>LOOKUP($B47, INVCOST!$C$8:$C$193, INVCOST!H$8:H$193)</f>
        <v>24.844999999999999</v>
      </c>
      <c r="AB47" s="40">
        <f>LOOKUP($B47, INVCOST!$C$8:$C$193, INVCOST!I$8:I$193)</f>
        <v>24.273</v>
      </c>
      <c r="AC47" s="40">
        <f>LOOKUP($B47, INVCOST!$C$8:$C$193, INVCOST!J$8:J$193)</f>
        <v>23.803000000000001</v>
      </c>
      <c r="AD47" s="40">
        <f>LOOKUP($B47, INVCOST!$C$8:$C$193, INVCOST!K$8:K$193)</f>
        <v>23.42</v>
      </c>
    </row>
    <row r="48" spans="2:30" s="39" customFormat="1" x14ac:dyDescent="0.3">
      <c r="B48" s="211"/>
      <c r="C48" s="211"/>
      <c r="D48" s="211"/>
      <c r="E48" s="211"/>
      <c r="F48" s="211" t="s">
        <v>347</v>
      </c>
      <c r="G48" s="50"/>
      <c r="H48" s="40"/>
      <c r="I48" s="41"/>
      <c r="J48" s="41"/>
      <c r="K48" s="42"/>
      <c r="L48" s="42"/>
      <c r="M48" s="42"/>
      <c r="N48" s="42"/>
      <c r="O48" s="166">
        <f>LOOKUP($B47, CEFF!$C$8:$C$156, CEFF!G$8:G$156)</f>
        <v>0.90908999999999995</v>
      </c>
      <c r="P48" s="166">
        <f>LOOKUP($B47, CEFF!$C$8:$C$156, CEFF!H$8:H$156)</f>
        <v>1.0101</v>
      </c>
      <c r="Q48" s="166">
        <f>LOOKUP($B47, CEFF!$C$8:$C$156, CEFF!I$8:I$156)</f>
        <v>1.11111</v>
      </c>
      <c r="R48" s="166">
        <f>LOOKUP($B47, CEFF!$C$8:$C$156, CEFF!J$8:J$156)</f>
        <v>1.2345699999999999</v>
      </c>
      <c r="S48" s="40"/>
      <c r="T48" s="40"/>
      <c r="U48" s="40"/>
      <c r="V48" s="42"/>
      <c r="W48" s="41"/>
      <c r="X48" s="41"/>
      <c r="Y48" s="41"/>
      <c r="Z48" s="41"/>
      <c r="AA48" s="41"/>
      <c r="AB48" s="41"/>
      <c r="AC48" s="41"/>
      <c r="AD48" s="41"/>
    </row>
    <row r="49" spans="1:30" s="39" customFormat="1" x14ac:dyDescent="0.3">
      <c r="B49" s="215"/>
      <c r="C49" s="215"/>
      <c r="D49" s="215"/>
      <c r="E49" s="215"/>
      <c r="F49" s="215" t="s">
        <v>349</v>
      </c>
      <c r="G49" s="182"/>
      <c r="H49" s="183"/>
      <c r="I49" s="181"/>
      <c r="J49" s="181"/>
      <c r="K49" s="179"/>
      <c r="L49" s="179"/>
      <c r="M49" s="179"/>
      <c r="N49" s="179"/>
      <c r="O49" s="264">
        <f>LOOKUP($B47, CEFF!$C$163:$C$330, CEFF!G$163:G$330)</f>
        <v>0.99009999999999998</v>
      </c>
      <c r="P49" s="264">
        <f>LOOKUP($B47, CEFF!$C$163:$C$330, CEFF!H$163:H$330)</f>
        <v>1.05263</v>
      </c>
      <c r="Q49" s="264">
        <f>LOOKUP($B47, CEFF!$C$163:$C$330, CEFF!I$163:I$330)</f>
        <v>1.1235999999999999</v>
      </c>
      <c r="R49" s="264">
        <f>LOOKUP($B47, CEFF!$C$163:$C$330, CEFF!J$163:J$330)</f>
        <v>1.19048</v>
      </c>
      <c r="S49" s="183"/>
      <c r="T49" s="183"/>
      <c r="U49" s="183"/>
      <c r="V49" s="179"/>
      <c r="W49" s="181"/>
      <c r="X49" s="181"/>
      <c r="Y49" s="181"/>
      <c r="Z49" s="181"/>
      <c r="AA49" s="181"/>
      <c r="AB49" s="181"/>
      <c r="AC49" s="181"/>
      <c r="AD49" s="181"/>
    </row>
    <row r="50" spans="1:30" s="39" customFormat="1" x14ac:dyDescent="0.3">
      <c r="H50" s="36"/>
      <c r="I50" s="37"/>
      <c r="J50" s="38"/>
      <c r="K50" s="58"/>
      <c r="L50" s="58"/>
      <c r="M50" s="58"/>
      <c r="N50" s="58"/>
      <c r="O50" s="58"/>
      <c r="P50" s="58"/>
      <c r="Q50" s="58"/>
      <c r="R50" s="58"/>
      <c r="S50" s="36"/>
      <c r="T50" s="36"/>
      <c r="U50" s="36"/>
      <c r="V50" s="38"/>
      <c r="W50" s="38"/>
      <c r="X50" s="38"/>
      <c r="Y50" s="38"/>
      <c r="Z50" s="38"/>
      <c r="AA50" s="38"/>
      <c r="AB50" s="38"/>
      <c r="AC50" s="38"/>
      <c r="AD50" s="38"/>
    </row>
    <row r="52" spans="1:30" x14ac:dyDescent="0.3">
      <c r="B52" s="6" t="s">
        <v>561</v>
      </c>
      <c r="C52" s="7"/>
      <c r="D52" s="8"/>
      <c r="E52" s="8"/>
      <c r="F52" s="9" t="s">
        <v>722</v>
      </c>
      <c r="G52" s="4"/>
    </row>
    <row r="53" spans="1:30" ht="28.8" x14ac:dyDescent="0.3">
      <c r="B53" s="201" t="s">
        <v>2</v>
      </c>
      <c r="C53" s="201" t="s">
        <v>3</v>
      </c>
      <c r="D53" s="201" t="s">
        <v>4</v>
      </c>
      <c r="E53" s="201" t="s">
        <v>5</v>
      </c>
      <c r="F53" s="202" t="s">
        <v>6</v>
      </c>
      <c r="G53" s="202" t="s">
        <v>187</v>
      </c>
      <c r="H53" s="203" t="s">
        <v>186</v>
      </c>
      <c r="I53" s="203" t="s">
        <v>11</v>
      </c>
      <c r="J53" s="202" t="s">
        <v>12</v>
      </c>
      <c r="K53" s="203" t="str">
        <f>K4</f>
        <v>Share~UP~2020</v>
      </c>
      <c r="L53" s="203" t="str">
        <f>L4</f>
        <v>Share~UP~2030</v>
      </c>
      <c r="M53" s="203" t="str">
        <f>M4</f>
        <v>Share~UP~2040</v>
      </c>
      <c r="N53" s="203" t="str">
        <f>N4</f>
        <v>Share~UP~2050</v>
      </c>
      <c r="O53" s="203" t="s">
        <v>335</v>
      </c>
      <c r="P53" s="203" t="s">
        <v>336</v>
      </c>
      <c r="Q53" s="203" t="s">
        <v>9</v>
      </c>
      <c r="R53" s="203" t="s">
        <v>10</v>
      </c>
      <c r="S53" s="203" t="s">
        <v>465</v>
      </c>
      <c r="T53" s="203" t="s">
        <v>13</v>
      </c>
      <c r="U53" s="203" t="s">
        <v>398</v>
      </c>
      <c r="V53" s="203" t="s">
        <v>42</v>
      </c>
      <c r="W53" s="203" t="s">
        <v>14</v>
      </c>
      <c r="X53" s="203" t="s">
        <v>15</v>
      </c>
      <c r="Y53" s="203" t="s">
        <v>16</v>
      </c>
      <c r="Z53" s="203" t="s">
        <v>17</v>
      </c>
      <c r="AA53" s="203" t="s">
        <v>18</v>
      </c>
      <c r="AB53" s="203" t="s">
        <v>19</v>
      </c>
      <c r="AC53" s="203" t="s">
        <v>20</v>
      </c>
      <c r="AD53" s="203" t="s">
        <v>21</v>
      </c>
    </row>
    <row r="54" spans="1:30" ht="33.75" customHeight="1" thickBot="1" x14ac:dyDescent="0.35">
      <c r="B54" s="204" t="s">
        <v>22</v>
      </c>
      <c r="C54" s="204"/>
      <c r="D54" s="204"/>
      <c r="E54" s="204"/>
      <c r="F54" s="205" t="s">
        <v>23</v>
      </c>
      <c r="G54" s="205">
        <v>2020</v>
      </c>
      <c r="H54" s="206" t="s">
        <v>26</v>
      </c>
      <c r="I54" s="206" t="s">
        <v>560</v>
      </c>
      <c r="J54" s="206" t="s">
        <v>127</v>
      </c>
      <c r="K54" s="205"/>
      <c r="L54" s="205"/>
      <c r="M54" s="205"/>
      <c r="N54" s="205"/>
      <c r="O54" s="207" t="s">
        <v>671</v>
      </c>
      <c r="P54" s="207" t="s">
        <v>671</v>
      </c>
      <c r="Q54" s="207" t="s">
        <v>671</v>
      </c>
      <c r="R54" s="207" t="s">
        <v>671</v>
      </c>
      <c r="S54" s="206" t="s">
        <v>676</v>
      </c>
      <c r="T54" s="206" t="s">
        <v>676</v>
      </c>
      <c r="U54" s="206" t="s">
        <v>676</v>
      </c>
      <c r="V54" s="208" t="s">
        <v>679</v>
      </c>
      <c r="W54" s="208" t="s">
        <v>678</v>
      </c>
      <c r="X54" s="208" t="s">
        <v>675</v>
      </c>
      <c r="Y54" s="208" t="s">
        <v>675</v>
      </c>
      <c r="Z54" s="208" t="s">
        <v>675</v>
      </c>
      <c r="AA54" s="208" t="s">
        <v>675</v>
      </c>
      <c r="AB54" s="208" t="s">
        <v>675</v>
      </c>
      <c r="AC54" s="208" t="s">
        <v>675</v>
      </c>
      <c r="AD54" s="208" t="s">
        <v>675</v>
      </c>
    </row>
    <row r="55" spans="1:30" s="39" customFormat="1" x14ac:dyDescent="0.3">
      <c r="A55" s="313"/>
      <c r="B55" s="209" t="s">
        <v>250</v>
      </c>
      <c r="C55" s="210" t="str">
        <f>LOOKUP(B55, TRA_COMM_PRO!$C$17:$C$199, TRA_COMM_PRO!$D$17:$D$199)</f>
        <v>Truck.Light.BDL.City.01.</v>
      </c>
      <c r="D55" s="209" t="s">
        <v>44</v>
      </c>
      <c r="E55" s="209"/>
      <c r="F55" s="209"/>
      <c r="G55" s="10">
        <f>$G$54</f>
        <v>2020</v>
      </c>
      <c r="H55" s="71">
        <v>15</v>
      </c>
      <c r="I55" s="158">
        <f>10^-3</f>
        <v>1E-3</v>
      </c>
      <c r="J55" s="72">
        <v>0.3</v>
      </c>
      <c r="K55" s="73"/>
      <c r="L55" s="73"/>
      <c r="M55" s="73"/>
      <c r="N55" s="73"/>
      <c r="O55" s="71"/>
      <c r="P55" s="71"/>
      <c r="Q55" s="71"/>
      <c r="R55" s="71"/>
      <c r="S55" s="71"/>
      <c r="T55" s="71"/>
      <c r="U55" s="71"/>
      <c r="V55" s="72"/>
      <c r="W55" s="62">
        <f>LOOKUP(B55, FIXOM_VAROM!$C$8:$C$190, FIXOM_VAROM!$D$8:$D$190)</f>
        <v>0.05</v>
      </c>
      <c r="X55" s="40">
        <f>LOOKUP($B55, INVCOST!$C$8:$C$193, INVCOST!E$8:E$193)</f>
        <v>21.155000000000001</v>
      </c>
      <c r="Y55" s="40">
        <f>LOOKUP($B55, INVCOST!$C$8:$C$193, INVCOST!F$8:F$193)</f>
        <v>21.132000000000001</v>
      </c>
      <c r="Z55" s="40">
        <f>LOOKUP($B55, INVCOST!$C$8:$C$193, INVCOST!G$8:G$193)</f>
        <v>21.117999999999999</v>
      </c>
      <c r="AA55" s="40">
        <f>LOOKUP($B55, INVCOST!$C$8:$C$193, INVCOST!H$8:H$193)</f>
        <v>21.108000000000001</v>
      </c>
      <c r="AB55" s="40">
        <f>LOOKUP($B55, INVCOST!$C$8:$C$193, INVCOST!I$8:I$193)</f>
        <v>21.1</v>
      </c>
      <c r="AC55" s="40">
        <f>LOOKUP($B55, INVCOST!$C$8:$C$193, INVCOST!J$8:J$193)</f>
        <v>21.093</v>
      </c>
      <c r="AD55" s="40">
        <f>LOOKUP($B55, INVCOST!$C$8:$C$193, INVCOST!K$8:K$193)</f>
        <v>21.088000000000001</v>
      </c>
    </row>
    <row r="56" spans="1:30" s="39" customFormat="1" x14ac:dyDescent="0.3">
      <c r="A56" s="313"/>
      <c r="B56" s="211"/>
      <c r="C56" s="213"/>
      <c r="D56" s="211"/>
      <c r="E56" s="211"/>
      <c r="F56" s="211" t="s">
        <v>494</v>
      </c>
      <c r="G56" s="50"/>
      <c r="H56" s="40"/>
      <c r="I56" s="41"/>
      <c r="J56" s="41"/>
      <c r="K56" s="42"/>
      <c r="L56" s="42"/>
      <c r="M56" s="42"/>
      <c r="N56" s="42"/>
      <c r="O56" s="166">
        <f>LOOKUP($B55, CEFF!$C$8:$C$156, CEFF!G$8:G$156)</f>
        <v>0.61350000000000005</v>
      </c>
      <c r="P56" s="166">
        <f>LOOKUP($B55, CEFF!$C$8:$C$156, CEFF!H$8:H$156)</f>
        <v>0.64515999999999996</v>
      </c>
      <c r="Q56" s="166">
        <f>LOOKUP($B55, CEFF!$C$8:$C$156, CEFF!I$8:I$156)</f>
        <v>0.68027000000000004</v>
      </c>
      <c r="R56" s="166">
        <f>LOOKUP($B55, CEFF!$C$8:$C$156, CEFF!J$8:J$156)</f>
        <v>0.71428999999999998</v>
      </c>
      <c r="S56" s="40"/>
      <c r="T56" s="40"/>
      <c r="U56" s="40"/>
      <c r="V56" s="41"/>
      <c r="W56" s="60"/>
      <c r="X56" s="40"/>
      <c r="Y56" s="40"/>
      <c r="Z56" s="40"/>
      <c r="AA56" s="40"/>
      <c r="AB56" s="40"/>
      <c r="AC56" s="40"/>
      <c r="AD56" s="40"/>
    </row>
    <row r="57" spans="1:30" s="39" customFormat="1" x14ac:dyDescent="0.3">
      <c r="A57" s="313"/>
      <c r="B57" s="212"/>
      <c r="C57" s="212"/>
      <c r="D57" s="212"/>
      <c r="E57" s="212"/>
      <c r="F57" s="212" t="s">
        <v>493</v>
      </c>
      <c r="G57" s="51"/>
      <c r="H57" s="45"/>
      <c r="I57" s="46"/>
      <c r="J57" s="46"/>
      <c r="K57" s="44"/>
      <c r="L57" s="44"/>
      <c r="M57" s="44"/>
      <c r="N57" s="44"/>
      <c r="O57" s="261">
        <f>LOOKUP($B55, CEFF!$C$163:$C$330, CEFF!G$163:G$330)</f>
        <v>0.53763000000000005</v>
      </c>
      <c r="P57" s="261">
        <f>LOOKUP($B55, CEFF!$C$163:$C$330, CEFF!H$163:H$330)</f>
        <v>0.56496999999999997</v>
      </c>
      <c r="Q57" s="261">
        <f>LOOKUP($B55, CEFF!$C$163:$C$330, CEFF!I$163:I$330)</f>
        <v>0.59523999999999999</v>
      </c>
      <c r="R57" s="261">
        <f>LOOKUP($B55, CEFF!$C$163:$C$330, CEFF!J$163:J$330)</f>
        <v>0.625</v>
      </c>
      <c r="S57" s="45"/>
      <c r="T57" s="45"/>
      <c r="U57" s="45"/>
      <c r="V57" s="46"/>
      <c r="W57" s="64"/>
      <c r="X57" s="45"/>
      <c r="Y57" s="45"/>
      <c r="Z57" s="45"/>
      <c r="AA57" s="45"/>
      <c r="AB57" s="45"/>
      <c r="AC57" s="45"/>
      <c r="AD57" s="45"/>
    </row>
    <row r="58" spans="1:30" s="39" customFormat="1" x14ac:dyDescent="0.3">
      <c r="B58" s="211" t="s">
        <v>252</v>
      </c>
      <c r="C58" s="210" t="str">
        <f>LOOKUP(B58, TRA_COMM_PRO!$C$17:$C$199, TRA_COMM_PRO!$D$17:$D$199)</f>
        <v>Truck.Light.DME.City.01.</v>
      </c>
      <c r="D58" s="211" t="s">
        <v>71</v>
      </c>
      <c r="E58" s="211"/>
      <c r="F58" s="211"/>
      <c r="G58" s="10">
        <f>$G$54</f>
        <v>2020</v>
      </c>
      <c r="H58" s="40">
        <v>15</v>
      </c>
      <c r="I58" s="65">
        <f>$I$6</f>
        <v>1E-3</v>
      </c>
      <c r="J58" s="41">
        <f>$J$55</f>
        <v>0.3</v>
      </c>
      <c r="K58" s="42"/>
      <c r="L58" s="42"/>
      <c r="M58" s="42"/>
      <c r="N58" s="42"/>
      <c r="O58" s="165"/>
      <c r="P58" s="165"/>
      <c r="Q58" s="165"/>
      <c r="R58" s="165"/>
      <c r="S58" s="40"/>
      <c r="T58" s="40"/>
      <c r="U58" s="40"/>
      <c r="V58" s="41"/>
      <c r="W58" s="62">
        <f>LOOKUP(B58, FIXOM_VAROM!$C$8:$C$190, FIXOM_VAROM!$D$8:$D$190)</f>
        <v>0.05</v>
      </c>
      <c r="X58" s="40">
        <f>LOOKUP($B58, INVCOST!$C$8:$C$193, INVCOST!E$8:E$193)</f>
        <v>23.270500000000002</v>
      </c>
      <c r="Y58" s="40">
        <f>LOOKUP($B58, INVCOST!$C$8:$C$193, INVCOST!F$8:F$193)</f>
        <v>23.245200000000004</v>
      </c>
      <c r="Z58" s="40">
        <f>LOOKUP($B58, INVCOST!$C$8:$C$193, INVCOST!G$8:G$193)</f>
        <v>23.229800000000001</v>
      </c>
      <c r="AA58" s="40">
        <f>LOOKUP($B58, INVCOST!$C$8:$C$193, INVCOST!H$8:H$193)</f>
        <v>23.218800000000002</v>
      </c>
      <c r="AB58" s="40">
        <f>LOOKUP($B58, INVCOST!$C$8:$C$193, INVCOST!I$8:I$193)</f>
        <v>23.210000000000004</v>
      </c>
      <c r="AC58" s="40">
        <f>LOOKUP($B58, INVCOST!$C$8:$C$193, INVCOST!J$8:J$193)</f>
        <v>23.202300000000001</v>
      </c>
      <c r="AD58" s="40">
        <f>LOOKUP($B58, INVCOST!$C$8:$C$193, INVCOST!K$8:K$193)</f>
        <v>23.196800000000003</v>
      </c>
    </row>
    <row r="59" spans="1:30" s="39" customFormat="1" x14ac:dyDescent="0.3">
      <c r="B59" s="211"/>
      <c r="C59" s="211"/>
      <c r="D59" s="211"/>
      <c r="E59" s="211"/>
      <c r="F59" s="211" t="s">
        <v>494</v>
      </c>
      <c r="G59" s="50"/>
      <c r="H59" s="40"/>
      <c r="I59" s="41"/>
      <c r="J59" s="41"/>
      <c r="K59" s="42"/>
      <c r="L59" s="42"/>
      <c r="M59" s="42"/>
      <c r="N59" s="42"/>
      <c r="O59" s="166">
        <f>LOOKUP($B58, CEFF!$C$8:$C$156, CEFF!G$8:G$156)</f>
        <v>0.61350000000000005</v>
      </c>
      <c r="P59" s="166">
        <f>LOOKUP($B58, CEFF!$C$8:$C$156, CEFF!H$8:H$156)</f>
        <v>0.64515999999999996</v>
      </c>
      <c r="Q59" s="166">
        <f>LOOKUP($B58, CEFF!$C$8:$C$156, CEFF!I$8:I$156)</f>
        <v>0.68027000000000004</v>
      </c>
      <c r="R59" s="166">
        <f>LOOKUP($B58, CEFF!$C$8:$C$156, CEFF!J$8:J$156)</f>
        <v>0.71428999999999998</v>
      </c>
      <c r="S59" s="40"/>
      <c r="T59" s="40"/>
      <c r="U59" s="40"/>
      <c r="V59" s="41"/>
      <c r="W59" s="60"/>
      <c r="X59" s="40"/>
      <c r="Y59" s="40"/>
      <c r="Z59" s="40"/>
      <c r="AA59" s="40"/>
      <c r="AB59" s="40"/>
      <c r="AC59" s="40"/>
      <c r="AD59" s="40"/>
    </row>
    <row r="60" spans="1:30" s="39" customFormat="1" x14ac:dyDescent="0.3">
      <c r="B60" s="212"/>
      <c r="C60" s="212"/>
      <c r="D60" s="212"/>
      <c r="E60" s="212"/>
      <c r="F60" s="212" t="s">
        <v>493</v>
      </c>
      <c r="G60" s="51"/>
      <c r="H60" s="45"/>
      <c r="I60" s="46"/>
      <c r="J60" s="46"/>
      <c r="K60" s="44"/>
      <c r="L60" s="44"/>
      <c r="M60" s="44"/>
      <c r="N60" s="44"/>
      <c r="O60" s="261">
        <f>LOOKUP($B58, CEFF!$C$163:$C$330, CEFF!G$163:G$330)</f>
        <v>0.53763000000000005</v>
      </c>
      <c r="P60" s="261">
        <f>LOOKUP($B58, CEFF!$C$163:$C$330, CEFF!H$163:H$330)</f>
        <v>0.56496999999999997</v>
      </c>
      <c r="Q60" s="261">
        <f>LOOKUP($B58, CEFF!$C$163:$C$330, CEFF!I$163:I$330)</f>
        <v>0.59523999999999999</v>
      </c>
      <c r="R60" s="261">
        <f>LOOKUP($B58, CEFF!$C$163:$C$330, CEFF!J$163:J$330)</f>
        <v>0.625</v>
      </c>
      <c r="S60" s="45"/>
      <c r="T60" s="45"/>
      <c r="U60" s="45"/>
      <c r="V60" s="46"/>
      <c r="W60" s="64"/>
      <c r="X60" s="45"/>
      <c r="Y60" s="45"/>
      <c r="Z60" s="45"/>
      <c r="AA60" s="45"/>
      <c r="AB60" s="45"/>
      <c r="AC60" s="45"/>
      <c r="AD60" s="45"/>
    </row>
    <row r="61" spans="1:30" s="39" customFormat="1" x14ac:dyDescent="0.3">
      <c r="B61" s="211" t="s">
        <v>254</v>
      </c>
      <c r="C61" s="210" t="str">
        <f>LOOKUP(B61, TRA_COMM_PRO!$C$17:$C$199, TRA_COMM_PRO!$D$17:$D$199)</f>
        <v>Truck.Light.DST.City.01.</v>
      </c>
      <c r="D61" s="211" t="s">
        <v>712</v>
      </c>
      <c r="E61" s="211"/>
      <c r="F61" s="211"/>
      <c r="G61" s="10">
        <f>$G$54</f>
        <v>2020</v>
      </c>
      <c r="H61" s="40">
        <v>15</v>
      </c>
      <c r="I61" s="65">
        <f>$I$6</f>
        <v>1E-3</v>
      </c>
      <c r="J61" s="41">
        <f>$J$55</f>
        <v>0.3</v>
      </c>
      <c r="K61" s="42"/>
      <c r="L61" s="42"/>
      <c r="M61" s="42"/>
      <c r="N61" s="42"/>
      <c r="O61" s="165"/>
      <c r="P61" s="165"/>
      <c r="Q61" s="165"/>
      <c r="R61" s="165"/>
      <c r="S61" s="40"/>
      <c r="T61" s="40"/>
      <c r="U61" s="40"/>
      <c r="V61" s="41"/>
      <c r="W61" s="62">
        <f>LOOKUP(B61, FIXOM_VAROM!$C$8:$C$190, FIXOM_VAROM!$D$8:$D$190)</f>
        <v>0.05</v>
      </c>
      <c r="X61" s="40">
        <f>LOOKUP($B61, INVCOST!$C$8:$C$193, INVCOST!E$8:E$193)</f>
        <v>21.155000000000001</v>
      </c>
      <c r="Y61" s="40">
        <f>LOOKUP($B61, INVCOST!$C$8:$C$193, INVCOST!F$8:F$193)</f>
        <v>21.132000000000001</v>
      </c>
      <c r="Z61" s="40">
        <f>LOOKUP($B61, INVCOST!$C$8:$C$193, INVCOST!G$8:G$193)</f>
        <v>21.117999999999999</v>
      </c>
      <c r="AA61" s="40">
        <f>LOOKUP($B61, INVCOST!$C$8:$C$193, INVCOST!H$8:H$193)</f>
        <v>21.108000000000001</v>
      </c>
      <c r="AB61" s="40">
        <f>LOOKUP($B61, INVCOST!$C$8:$C$193, INVCOST!I$8:I$193)</f>
        <v>21.1</v>
      </c>
      <c r="AC61" s="40">
        <f>LOOKUP($B61, INVCOST!$C$8:$C$193, INVCOST!J$8:J$193)</f>
        <v>21.093</v>
      </c>
      <c r="AD61" s="40">
        <f>LOOKUP($B61, INVCOST!$C$8:$C$193, INVCOST!K$8:K$193)</f>
        <v>21.088000000000001</v>
      </c>
    </row>
    <row r="62" spans="1:30" s="39" customFormat="1" x14ac:dyDescent="0.3">
      <c r="B62" s="211"/>
      <c r="C62" s="211"/>
      <c r="D62" s="211"/>
      <c r="E62" s="211"/>
      <c r="F62" s="211" t="s">
        <v>494</v>
      </c>
      <c r="G62" s="50"/>
      <c r="H62" s="40"/>
      <c r="I62" s="41"/>
      <c r="J62" s="41"/>
      <c r="K62" s="42"/>
      <c r="L62" s="42"/>
      <c r="M62" s="42"/>
      <c r="N62" s="42"/>
      <c r="O62" s="166">
        <f>LOOKUP($B61, CEFF!$C$8:$C$156, CEFF!G$8:G$156)</f>
        <v>0.61350000000000005</v>
      </c>
      <c r="P62" s="166">
        <f>LOOKUP($B61, CEFF!$C$8:$C$156, CEFF!H$8:H$156)</f>
        <v>0.64515999999999996</v>
      </c>
      <c r="Q62" s="166">
        <f>LOOKUP($B61, CEFF!$C$8:$C$156, CEFF!I$8:I$156)</f>
        <v>0.68027000000000004</v>
      </c>
      <c r="R62" s="166">
        <f>LOOKUP($B61, CEFF!$C$8:$C$156, CEFF!J$8:J$156)</f>
        <v>0.71428999999999998</v>
      </c>
      <c r="S62" s="40"/>
      <c r="T62" s="40"/>
      <c r="U62" s="40"/>
      <c r="V62" s="41"/>
      <c r="W62" s="60"/>
      <c r="X62" s="40"/>
      <c r="Y62" s="40"/>
      <c r="Z62" s="40"/>
      <c r="AA62" s="40"/>
      <c r="AB62" s="40"/>
      <c r="AC62" s="40"/>
      <c r="AD62" s="40"/>
    </row>
    <row r="63" spans="1:30" s="39" customFormat="1" x14ac:dyDescent="0.3">
      <c r="B63" s="212"/>
      <c r="C63" s="212"/>
      <c r="D63" s="212"/>
      <c r="E63" s="212"/>
      <c r="F63" s="212" t="s">
        <v>493</v>
      </c>
      <c r="G63" s="51"/>
      <c r="H63" s="45"/>
      <c r="I63" s="46"/>
      <c r="J63" s="46"/>
      <c r="K63" s="44"/>
      <c r="L63" s="44"/>
      <c r="M63" s="44"/>
      <c r="N63" s="44"/>
      <c r="O63" s="261">
        <f>LOOKUP($B61, CEFF!$C$163:$C$330, CEFF!G$163:G$330)</f>
        <v>0.53763000000000005</v>
      </c>
      <c r="P63" s="261">
        <f>LOOKUP($B61, CEFF!$C$163:$C$330, CEFF!H$163:H$330)</f>
        <v>0.56496999999999997</v>
      </c>
      <c r="Q63" s="261">
        <f>LOOKUP($B61, CEFF!$C$163:$C$330, CEFF!I$163:I$330)</f>
        <v>0.59523999999999999</v>
      </c>
      <c r="R63" s="261">
        <f>LOOKUP($B61, CEFF!$C$163:$C$330, CEFF!J$163:J$330)</f>
        <v>0.625</v>
      </c>
      <c r="S63" s="45"/>
      <c r="T63" s="45"/>
      <c r="U63" s="45"/>
      <c r="V63" s="46"/>
      <c r="W63" s="64"/>
      <c r="X63" s="45"/>
      <c r="Y63" s="45"/>
      <c r="Z63" s="45"/>
      <c r="AA63" s="45"/>
      <c r="AB63" s="45"/>
      <c r="AC63" s="45"/>
      <c r="AD63" s="45"/>
    </row>
    <row r="64" spans="1:30" s="39" customFormat="1" x14ac:dyDescent="0.3">
      <c r="B64" s="211" t="s">
        <v>256</v>
      </c>
      <c r="C64" s="210" t="str">
        <f>LOOKUP(B64, TRA_COMM_PRO!$C$17:$C$199, TRA_COMM_PRO!$D$17:$D$199)</f>
        <v>Truck.Light.ELC.City.01.</v>
      </c>
      <c r="D64" s="211" t="s">
        <v>27</v>
      </c>
      <c r="E64" s="211"/>
      <c r="F64" s="211"/>
      <c r="G64" s="10">
        <f>$G$54</f>
        <v>2020</v>
      </c>
      <c r="H64" s="40">
        <v>15</v>
      </c>
      <c r="I64" s="65">
        <f>$I$6</f>
        <v>1E-3</v>
      </c>
      <c r="J64" s="41">
        <f>$J$55</f>
        <v>0.3</v>
      </c>
      <c r="K64" s="42"/>
      <c r="L64" s="42"/>
      <c r="M64" s="42"/>
      <c r="N64" s="42"/>
      <c r="O64" s="165"/>
      <c r="P64" s="165"/>
      <c r="Q64" s="165"/>
      <c r="R64" s="165"/>
      <c r="S64" s="40"/>
      <c r="T64" s="40"/>
      <c r="U64" s="40"/>
      <c r="V64" s="41"/>
      <c r="W64" s="62">
        <f>LOOKUP(B64, FIXOM_VAROM!$C$8:$C$190, FIXOM_VAROM!$D$8:$D$190)</f>
        <v>4.0000000000000008E-2</v>
      </c>
      <c r="X64" s="40">
        <f>LOOKUP($B64, INVCOST!$C$8:$C$193, INVCOST!E$8:E$193)</f>
        <v>35.389000000000003</v>
      </c>
      <c r="Y64" s="40">
        <f>LOOKUP($B64, INVCOST!$C$8:$C$193, INVCOST!F$8:F$193)</f>
        <v>31.187999999999999</v>
      </c>
      <c r="Z64" s="40">
        <f>LOOKUP($B64, INVCOST!$C$8:$C$193, INVCOST!G$8:G$193)</f>
        <v>29.695</v>
      </c>
      <c r="AA64" s="40">
        <f>LOOKUP($B64, INVCOST!$C$8:$C$193, INVCOST!H$8:H$193)</f>
        <v>28.536999999999999</v>
      </c>
      <c r="AB64" s="40">
        <f>LOOKUP($B64, INVCOST!$C$8:$C$193, INVCOST!I$8:I$193)</f>
        <v>27.753</v>
      </c>
      <c r="AC64" s="40">
        <f>LOOKUP($B64, INVCOST!$C$8:$C$193, INVCOST!J$8:J$193)</f>
        <v>27.114000000000001</v>
      </c>
      <c r="AD64" s="40">
        <f>LOOKUP($B64, INVCOST!$C$8:$C$193, INVCOST!K$8:K$193)</f>
        <v>26.594000000000001</v>
      </c>
    </row>
    <row r="65" spans="2:30" s="39" customFormat="1" x14ac:dyDescent="0.3">
      <c r="B65" s="211"/>
      <c r="C65" s="211"/>
      <c r="D65" s="211"/>
      <c r="E65" s="211"/>
      <c r="F65" s="211" t="s">
        <v>494</v>
      </c>
      <c r="G65" s="50"/>
      <c r="H65" s="40"/>
      <c r="I65" s="41"/>
      <c r="J65" s="41"/>
      <c r="K65" s="42"/>
      <c r="L65" s="42"/>
      <c r="M65" s="42"/>
      <c r="N65" s="42"/>
      <c r="O65" s="166">
        <f>LOOKUP($B64, CEFF!$C$8:$C$156, CEFF!G$8:G$156)</f>
        <v>1.2987</v>
      </c>
      <c r="P65" s="166">
        <f>LOOKUP($B64, CEFF!$C$8:$C$156, CEFF!H$8:H$156)</f>
        <v>1.3698600000000001</v>
      </c>
      <c r="Q65" s="166">
        <f>LOOKUP($B64, CEFF!$C$8:$C$156, CEFF!I$8:I$156)</f>
        <v>1.4285699999999999</v>
      </c>
      <c r="R65" s="166">
        <f>LOOKUP($B64, CEFF!$C$8:$C$156, CEFF!J$8:J$156)</f>
        <v>1.51515</v>
      </c>
      <c r="S65" s="40"/>
      <c r="T65" s="40"/>
      <c r="U65" s="40"/>
      <c r="V65" s="41"/>
      <c r="W65" s="60"/>
      <c r="X65" s="40"/>
      <c r="Y65" s="40"/>
      <c r="Z65" s="40"/>
      <c r="AA65" s="40"/>
      <c r="AB65" s="40"/>
      <c r="AC65" s="40"/>
      <c r="AD65" s="40"/>
    </row>
    <row r="66" spans="2:30" s="39" customFormat="1" x14ac:dyDescent="0.3">
      <c r="B66" s="212"/>
      <c r="C66" s="212"/>
      <c r="D66" s="212"/>
      <c r="E66" s="212"/>
      <c r="F66" s="212" t="s">
        <v>493</v>
      </c>
      <c r="G66" s="51"/>
      <c r="H66" s="45"/>
      <c r="I66" s="46"/>
      <c r="J66" s="46"/>
      <c r="K66" s="44"/>
      <c r="L66" s="44"/>
      <c r="M66" s="44"/>
      <c r="N66" s="44"/>
      <c r="O66" s="261">
        <f>LOOKUP($B64, CEFF!$C$163:$C$330, CEFF!G$163:G$330)</f>
        <v>1.6129</v>
      </c>
      <c r="P66" s="261">
        <f>LOOKUP($B64, CEFF!$C$163:$C$330, CEFF!H$163:H$330)</f>
        <v>1.69492</v>
      </c>
      <c r="Q66" s="261">
        <f>LOOKUP($B64, CEFF!$C$163:$C$330, CEFF!I$163:I$330)</f>
        <v>1.7857099999999999</v>
      </c>
      <c r="R66" s="261">
        <f>LOOKUP($B64, CEFF!$C$163:$C$330, CEFF!J$163:J$330)</f>
        <v>1.88679</v>
      </c>
      <c r="S66" s="45"/>
      <c r="T66" s="45"/>
      <c r="U66" s="45"/>
      <c r="V66" s="46"/>
      <c r="W66" s="64"/>
      <c r="X66" s="45"/>
      <c r="Y66" s="45"/>
      <c r="Z66" s="45"/>
      <c r="AA66" s="45"/>
      <c r="AB66" s="45"/>
      <c r="AC66" s="45"/>
      <c r="AD66" s="45"/>
    </row>
    <row r="67" spans="2:30" s="39" customFormat="1" x14ac:dyDescent="0.3">
      <c r="B67" s="211" t="s">
        <v>258</v>
      </c>
      <c r="C67" s="210" t="str">
        <f>LOOKUP(B67, TRA_COMM_PRO!$C$17:$C$199, TRA_COMM_PRO!$D$17:$D$199)</f>
        <v>Truck.Light.ETH.City.01.</v>
      </c>
      <c r="D67" s="211" t="s">
        <v>51</v>
      </c>
      <c r="E67" s="211"/>
      <c r="F67" s="211"/>
      <c r="G67" s="10">
        <f>$G$54</f>
        <v>2020</v>
      </c>
      <c r="H67" s="40">
        <v>15</v>
      </c>
      <c r="I67" s="65">
        <f>$I$6</f>
        <v>1E-3</v>
      </c>
      <c r="J67" s="41">
        <f>$J$55</f>
        <v>0.3</v>
      </c>
      <c r="K67" s="42"/>
      <c r="L67" s="42"/>
      <c r="M67" s="42"/>
      <c r="N67" s="42"/>
      <c r="O67" s="165"/>
      <c r="P67" s="165"/>
      <c r="Q67" s="165"/>
      <c r="R67" s="165"/>
      <c r="S67" s="40"/>
      <c r="T67" s="40"/>
      <c r="U67" s="40"/>
      <c r="V67" s="41"/>
      <c r="W67" s="62">
        <f>LOOKUP(B67, FIXOM_VAROM!$C$8:$C$190, FIXOM_VAROM!$D$8:$D$190)</f>
        <v>0.05</v>
      </c>
      <c r="X67" s="40">
        <f>LOOKUP($B67, INVCOST!$C$8:$C$193, INVCOST!E$8:E$193)</f>
        <v>19.452000000000002</v>
      </c>
      <c r="Y67" s="40">
        <f>LOOKUP($B67, INVCOST!$C$8:$C$193, INVCOST!F$8:F$193)</f>
        <v>19.43</v>
      </c>
      <c r="Z67" s="40">
        <f>LOOKUP($B67, INVCOST!$C$8:$C$193, INVCOST!G$8:G$193)</f>
        <v>19.414999999999999</v>
      </c>
      <c r="AA67" s="40">
        <f>LOOKUP($B67, INVCOST!$C$8:$C$193, INVCOST!H$8:H$193)</f>
        <v>19.402999999999999</v>
      </c>
      <c r="AB67" s="40">
        <f>LOOKUP($B67, INVCOST!$C$8:$C$193, INVCOST!I$8:I$193)</f>
        <v>19.393000000000001</v>
      </c>
      <c r="AC67" s="40">
        <f>LOOKUP($B67, INVCOST!$C$8:$C$193, INVCOST!J$8:J$193)</f>
        <v>19.385000000000002</v>
      </c>
      <c r="AD67" s="40">
        <f>LOOKUP($B67, INVCOST!$C$8:$C$193, INVCOST!K$8:K$193)</f>
        <v>19.378</v>
      </c>
    </row>
    <row r="68" spans="2:30" s="39" customFormat="1" x14ac:dyDescent="0.3">
      <c r="B68" s="211"/>
      <c r="C68" s="211"/>
      <c r="D68" s="211" t="s">
        <v>39</v>
      </c>
      <c r="E68" s="211"/>
      <c r="F68" s="211"/>
      <c r="G68" s="50"/>
      <c r="H68" s="40"/>
      <c r="I68" s="41"/>
      <c r="J68" s="41"/>
      <c r="K68" s="42">
        <v>0.15</v>
      </c>
      <c r="L68" s="42">
        <v>0.15</v>
      </c>
      <c r="M68" s="42">
        <v>0.15</v>
      </c>
      <c r="N68" s="42">
        <v>0.15</v>
      </c>
      <c r="O68" s="165"/>
      <c r="P68" s="165"/>
      <c r="Q68" s="165"/>
      <c r="R68" s="165"/>
      <c r="S68" s="40"/>
      <c r="T68" s="40"/>
      <c r="U68" s="40"/>
      <c r="V68" s="41"/>
      <c r="W68" s="60"/>
      <c r="X68" s="40"/>
      <c r="Y68" s="40"/>
      <c r="Z68" s="40"/>
      <c r="AA68" s="40"/>
      <c r="AB68" s="40"/>
      <c r="AC68" s="40"/>
      <c r="AD68" s="40"/>
    </row>
    <row r="69" spans="2:30" s="39" customFormat="1" x14ac:dyDescent="0.3">
      <c r="B69" s="211"/>
      <c r="C69" s="211"/>
      <c r="D69" s="211"/>
      <c r="E69" s="211"/>
      <c r="F69" s="211" t="s">
        <v>494</v>
      </c>
      <c r="G69" s="50"/>
      <c r="H69" s="40"/>
      <c r="I69" s="41"/>
      <c r="J69" s="41"/>
      <c r="K69" s="42"/>
      <c r="L69" s="42"/>
      <c r="M69" s="42"/>
      <c r="N69" s="42"/>
      <c r="O69" s="166">
        <f>LOOKUP($B67, CEFF!$C$8:$C$156, CEFF!G$8:G$156)</f>
        <v>0.55249000000000004</v>
      </c>
      <c r="P69" s="166">
        <f>LOOKUP($B67, CEFF!$C$8:$C$156, CEFF!H$8:H$156)</f>
        <v>0.58140000000000003</v>
      </c>
      <c r="Q69" s="166">
        <f>LOOKUP($B67, CEFF!$C$8:$C$156, CEFF!I$8:I$156)</f>
        <v>0.61350000000000005</v>
      </c>
      <c r="R69" s="166">
        <f>LOOKUP($B67, CEFF!$C$8:$C$156, CEFF!J$8:J$156)</f>
        <v>0.64515999999999996</v>
      </c>
      <c r="S69" s="40"/>
      <c r="T69" s="40"/>
      <c r="U69" s="40"/>
      <c r="V69" s="41"/>
      <c r="W69" s="60"/>
      <c r="X69" s="40"/>
      <c r="Y69" s="40"/>
      <c r="Z69" s="40"/>
      <c r="AA69" s="40"/>
      <c r="AB69" s="40"/>
      <c r="AC69" s="40"/>
      <c r="AD69" s="40"/>
    </row>
    <row r="70" spans="2:30" s="39" customFormat="1" x14ac:dyDescent="0.3">
      <c r="B70" s="212"/>
      <c r="C70" s="212"/>
      <c r="D70" s="212"/>
      <c r="E70" s="212"/>
      <c r="F70" s="212" t="s">
        <v>493</v>
      </c>
      <c r="G70" s="51"/>
      <c r="H70" s="45"/>
      <c r="I70" s="46"/>
      <c r="J70" s="46"/>
      <c r="K70" s="44"/>
      <c r="L70" s="44"/>
      <c r="M70" s="44"/>
      <c r="N70" s="44"/>
      <c r="O70" s="261">
        <f>LOOKUP($B67, CEFF!$C$163:$C$330, CEFF!G$163:G$330)</f>
        <v>0.45455000000000001</v>
      </c>
      <c r="P70" s="261">
        <f>LOOKUP($B67, CEFF!$C$163:$C$330, CEFF!H$163:H$330)</f>
        <v>0.47847000000000001</v>
      </c>
      <c r="Q70" s="261">
        <f>LOOKUP($B67, CEFF!$C$163:$C$330, CEFF!I$163:I$330)</f>
        <v>0.50251000000000001</v>
      </c>
      <c r="R70" s="261">
        <f>LOOKUP($B67, CEFF!$C$163:$C$330, CEFF!J$163:J$330)</f>
        <v>0.52910000000000001</v>
      </c>
      <c r="S70" s="45"/>
      <c r="T70" s="45"/>
      <c r="U70" s="45"/>
      <c r="V70" s="46"/>
      <c r="W70" s="64"/>
      <c r="X70" s="45"/>
      <c r="Y70" s="45"/>
      <c r="Z70" s="45"/>
      <c r="AA70" s="45"/>
      <c r="AB70" s="45"/>
      <c r="AC70" s="45"/>
      <c r="AD70" s="45"/>
    </row>
    <row r="71" spans="2:30" s="39" customFormat="1" x14ac:dyDescent="0.3">
      <c r="B71" s="211" t="s">
        <v>260</v>
      </c>
      <c r="C71" s="210" t="str">
        <f>LOOKUP(B71, TRA_COMM_PRO!$C$17:$C$199, TRA_COMM_PRO!$D$17:$D$199)</f>
        <v>Truck.Light.GAS.City.01.</v>
      </c>
      <c r="D71" s="211" t="s">
        <v>715</v>
      </c>
      <c r="E71" s="211"/>
      <c r="F71" s="211"/>
      <c r="G71" s="10">
        <f>$G$54</f>
        <v>2020</v>
      </c>
      <c r="H71" s="40">
        <v>15</v>
      </c>
      <c r="I71" s="65">
        <f>$I$6</f>
        <v>1E-3</v>
      </c>
      <c r="J71" s="41">
        <f>$J$55</f>
        <v>0.3</v>
      </c>
      <c r="K71" s="42"/>
      <c r="L71" s="42"/>
      <c r="M71" s="42"/>
      <c r="N71" s="42"/>
      <c r="O71" s="165"/>
      <c r="P71" s="165"/>
      <c r="Q71" s="165"/>
      <c r="R71" s="165"/>
      <c r="S71" s="40"/>
      <c r="T71" s="40"/>
      <c r="U71" s="40"/>
      <c r="V71" s="41"/>
      <c r="W71" s="62">
        <f>LOOKUP(B71, FIXOM_VAROM!$C$8:$C$190, FIXOM_VAROM!$D$8:$D$190)</f>
        <v>0.05</v>
      </c>
      <c r="X71" s="40">
        <f>LOOKUP($B71, INVCOST!$C$8:$C$193, INVCOST!E$8:E$193)</f>
        <v>19.452000000000002</v>
      </c>
      <c r="Y71" s="40">
        <f>LOOKUP($B71, INVCOST!$C$8:$C$193, INVCOST!F$8:F$193)</f>
        <v>19.43</v>
      </c>
      <c r="Z71" s="40">
        <f>LOOKUP($B71, INVCOST!$C$8:$C$193, INVCOST!G$8:G$193)</f>
        <v>19.414999999999999</v>
      </c>
      <c r="AA71" s="40">
        <f>LOOKUP($B71, INVCOST!$C$8:$C$193, INVCOST!H$8:H$193)</f>
        <v>19.402999999999999</v>
      </c>
      <c r="AB71" s="40">
        <f>LOOKUP($B71, INVCOST!$C$8:$C$193, INVCOST!I$8:I$193)</f>
        <v>19.393000000000001</v>
      </c>
      <c r="AC71" s="40">
        <f>LOOKUP($B71, INVCOST!$C$8:$C$193, INVCOST!J$8:J$193)</f>
        <v>19.385000000000002</v>
      </c>
      <c r="AD71" s="40">
        <f>LOOKUP($B71, INVCOST!$C$8:$C$193, INVCOST!K$8:K$193)</f>
        <v>19.378</v>
      </c>
    </row>
    <row r="72" spans="2:30" s="39" customFormat="1" x14ac:dyDescent="0.3">
      <c r="B72" s="211"/>
      <c r="C72" s="211"/>
      <c r="D72" s="211" t="s">
        <v>39</v>
      </c>
      <c r="E72" s="211"/>
      <c r="F72" s="211"/>
      <c r="G72" s="50"/>
      <c r="H72" s="40"/>
      <c r="I72" s="41"/>
      <c r="J72" s="41"/>
      <c r="K72" s="42">
        <v>0.05</v>
      </c>
      <c r="L72" s="42">
        <v>0.05</v>
      </c>
      <c r="M72" s="42">
        <v>0.05</v>
      </c>
      <c r="N72" s="42">
        <v>0.05</v>
      </c>
      <c r="O72" s="165"/>
      <c r="P72" s="165"/>
      <c r="Q72" s="165"/>
      <c r="R72" s="165"/>
      <c r="S72" s="40"/>
      <c r="T72" s="40"/>
      <c r="U72" s="40"/>
      <c r="V72" s="41"/>
      <c r="W72" s="60"/>
      <c r="X72" s="40"/>
      <c r="Y72" s="40"/>
      <c r="Z72" s="40"/>
      <c r="AA72" s="40"/>
      <c r="AB72" s="40"/>
      <c r="AC72" s="40"/>
      <c r="AD72" s="40"/>
    </row>
    <row r="73" spans="2:30" s="39" customFormat="1" x14ac:dyDescent="0.3">
      <c r="B73" s="211"/>
      <c r="C73" s="211"/>
      <c r="D73" s="211"/>
      <c r="E73" s="211"/>
      <c r="F73" s="211" t="s">
        <v>494</v>
      </c>
      <c r="G73" s="50"/>
      <c r="H73" s="40"/>
      <c r="I73" s="41"/>
      <c r="J73" s="41"/>
      <c r="K73" s="42"/>
      <c r="L73" s="42"/>
      <c r="M73" s="42"/>
      <c r="N73" s="42"/>
      <c r="O73" s="166">
        <f>LOOKUP($B71, CEFF!$C$8:$C$156, CEFF!G$8:G$156)</f>
        <v>0.55249000000000004</v>
      </c>
      <c r="P73" s="166">
        <f>LOOKUP($B71, CEFF!$C$8:$C$156, CEFF!H$8:H$156)</f>
        <v>0.58140000000000003</v>
      </c>
      <c r="Q73" s="166">
        <f>LOOKUP($B71, CEFF!$C$8:$C$156, CEFF!I$8:I$156)</f>
        <v>0.61350000000000005</v>
      </c>
      <c r="R73" s="166">
        <f>LOOKUP($B71, CEFF!$C$8:$C$156, CEFF!J$8:J$156)</f>
        <v>0.64515999999999996</v>
      </c>
      <c r="S73" s="40"/>
      <c r="T73" s="40"/>
      <c r="U73" s="40"/>
      <c r="V73" s="41"/>
      <c r="W73" s="60"/>
      <c r="X73" s="40"/>
      <c r="Y73" s="40"/>
      <c r="Z73" s="40"/>
      <c r="AA73" s="40"/>
      <c r="AB73" s="40"/>
      <c r="AC73" s="40"/>
      <c r="AD73" s="40"/>
    </row>
    <row r="74" spans="2:30" s="39" customFormat="1" x14ac:dyDescent="0.3">
      <c r="B74" s="212"/>
      <c r="C74" s="212"/>
      <c r="D74" s="212"/>
      <c r="E74" s="212"/>
      <c r="F74" s="212" t="s">
        <v>493</v>
      </c>
      <c r="G74" s="51"/>
      <c r="H74" s="45"/>
      <c r="I74" s="46"/>
      <c r="J74" s="46"/>
      <c r="K74" s="44"/>
      <c r="L74" s="44"/>
      <c r="M74" s="44"/>
      <c r="N74" s="44"/>
      <c r="O74" s="261">
        <f>LOOKUP($B71, CEFF!$C$163:$C$330, CEFF!G$163:G$330)</f>
        <v>0.45455000000000001</v>
      </c>
      <c r="P74" s="261">
        <f>LOOKUP($B71, CEFF!$C$163:$C$330, CEFF!H$163:H$330)</f>
        <v>0.47847000000000001</v>
      </c>
      <c r="Q74" s="261">
        <f>LOOKUP($B71, CEFF!$C$163:$C$330, CEFF!I$163:I$330)</f>
        <v>0.50251000000000001</v>
      </c>
      <c r="R74" s="261">
        <f>LOOKUP($B71, CEFF!$C$163:$C$330, CEFF!J$163:J$330)</f>
        <v>0.52910000000000001</v>
      </c>
      <c r="S74" s="45"/>
      <c r="T74" s="45"/>
      <c r="U74" s="45"/>
      <c r="V74" s="46"/>
      <c r="W74" s="64"/>
      <c r="X74" s="45"/>
      <c r="Y74" s="45"/>
      <c r="Z74" s="45"/>
      <c r="AA74" s="45"/>
      <c r="AB74" s="45"/>
      <c r="AC74" s="45"/>
      <c r="AD74" s="45"/>
    </row>
    <row r="75" spans="2:30" s="39" customFormat="1" x14ac:dyDescent="0.3">
      <c r="B75" s="211" t="s">
        <v>262</v>
      </c>
      <c r="C75" s="210" t="str">
        <f>LOOKUP(B75, TRA_COMM_PRO!$C$17:$C$199, TRA_COMM_PRO!$D$17:$D$199)</f>
        <v>Truck.Light.GSL.City.01.</v>
      </c>
      <c r="D75" s="214" t="s">
        <v>713</v>
      </c>
      <c r="E75" s="211"/>
      <c r="F75" s="211"/>
      <c r="G75" s="10">
        <f>$G$54</f>
        <v>2020</v>
      </c>
      <c r="H75" s="40">
        <v>15</v>
      </c>
      <c r="I75" s="65">
        <f>$I$6</f>
        <v>1E-3</v>
      </c>
      <c r="J75" s="41">
        <f>$J$55</f>
        <v>0.3</v>
      </c>
      <c r="K75" s="42"/>
      <c r="L75" s="42"/>
      <c r="M75" s="42"/>
      <c r="N75" s="42"/>
      <c r="O75" s="165"/>
      <c r="P75" s="165"/>
      <c r="Q75" s="165"/>
      <c r="R75" s="165"/>
      <c r="S75" s="40"/>
      <c r="T75" s="40"/>
      <c r="U75" s="40"/>
      <c r="V75" s="41"/>
      <c r="W75" s="62">
        <f>LOOKUP(B75, FIXOM_VAROM!$C$8:$C$190, FIXOM_VAROM!$D$8:$D$190)</f>
        <v>0.05</v>
      </c>
      <c r="X75" s="40">
        <f>LOOKUP($B75, INVCOST!$C$8:$C$193, INVCOST!E$8:E$193)</f>
        <v>19.452000000000002</v>
      </c>
      <c r="Y75" s="40">
        <f>LOOKUP($B75, INVCOST!$C$8:$C$193, INVCOST!F$8:F$193)</f>
        <v>19.43</v>
      </c>
      <c r="Z75" s="40">
        <f>LOOKUP($B75, INVCOST!$C$8:$C$193, INVCOST!G$8:G$193)</f>
        <v>19.414999999999999</v>
      </c>
      <c r="AA75" s="40">
        <f>LOOKUP($B75, INVCOST!$C$8:$C$193, INVCOST!H$8:H$193)</f>
        <v>19.402999999999999</v>
      </c>
      <c r="AB75" s="40">
        <f>LOOKUP($B75, INVCOST!$C$8:$C$193, INVCOST!I$8:I$193)</f>
        <v>19.393000000000001</v>
      </c>
      <c r="AC75" s="40">
        <f>LOOKUP($B75, INVCOST!$C$8:$C$193, INVCOST!J$8:J$193)</f>
        <v>19.385000000000002</v>
      </c>
      <c r="AD75" s="40">
        <f>LOOKUP($B75, INVCOST!$C$8:$C$193, INVCOST!K$8:K$193)</f>
        <v>19.378</v>
      </c>
    </row>
    <row r="76" spans="2:30" s="39" customFormat="1" x14ac:dyDescent="0.3">
      <c r="B76" s="211"/>
      <c r="C76" s="211"/>
      <c r="D76" s="211"/>
      <c r="E76" s="211"/>
      <c r="F76" s="211" t="s">
        <v>494</v>
      </c>
      <c r="G76" s="50"/>
      <c r="H76" s="40"/>
      <c r="I76" s="41"/>
      <c r="J76" s="41"/>
      <c r="K76" s="42"/>
      <c r="L76" s="42"/>
      <c r="M76" s="42"/>
      <c r="N76" s="42"/>
      <c r="O76" s="166">
        <f>LOOKUP($B75, CEFF!$C$8:$C$156, CEFF!G$8:G$156)</f>
        <v>0.55249000000000004</v>
      </c>
      <c r="P76" s="166">
        <f>LOOKUP($B75, CEFF!$C$8:$C$156, CEFF!H$8:H$156)</f>
        <v>0.58140000000000003</v>
      </c>
      <c r="Q76" s="166">
        <f>LOOKUP($B75, CEFF!$C$8:$C$156, CEFF!I$8:I$156)</f>
        <v>0.61350000000000005</v>
      </c>
      <c r="R76" s="166">
        <f>LOOKUP($B75, CEFF!$C$8:$C$156, CEFF!J$8:J$156)</f>
        <v>0.64515999999999996</v>
      </c>
      <c r="S76" s="40"/>
      <c r="T76" s="40"/>
      <c r="U76" s="40"/>
      <c r="V76" s="41"/>
      <c r="W76" s="60"/>
      <c r="X76" s="40"/>
      <c r="Y76" s="40"/>
      <c r="Z76" s="40"/>
      <c r="AA76" s="40"/>
      <c r="AB76" s="40"/>
      <c r="AC76" s="40"/>
      <c r="AD76" s="40"/>
    </row>
    <row r="77" spans="2:30" s="39" customFormat="1" x14ac:dyDescent="0.3">
      <c r="B77" s="212"/>
      <c r="C77" s="212"/>
      <c r="D77" s="212"/>
      <c r="E77" s="212"/>
      <c r="F77" s="212" t="s">
        <v>493</v>
      </c>
      <c r="G77" s="51"/>
      <c r="H77" s="45"/>
      <c r="I77" s="46"/>
      <c r="J77" s="46"/>
      <c r="K77" s="44"/>
      <c r="L77" s="44"/>
      <c r="M77" s="44"/>
      <c r="N77" s="44"/>
      <c r="O77" s="261">
        <f>LOOKUP($B75, CEFF!$C$163:$C$330, CEFF!G$163:G$330)</f>
        <v>0.45455000000000001</v>
      </c>
      <c r="P77" s="261">
        <f>LOOKUP($B75, CEFF!$C$163:$C$330, CEFF!H$163:H$330)</f>
        <v>0.47847000000000001</v>
      </c>
      <c r="Q77" s="261">
        <f>LOOKUP($B75, CEFF!$C$163:$C$330, CEFF!I$163:I$330)</f>
        <v>0.50251000000000001</v>
      </c>
      <c r="R77" s="261">
        <f>LOOKUP($B75, CEFF!$C$163:$C$330, CEFF!J$163:J$330)</f>
        <v>0.52910000000000001</v>
      </c>
      <c r="S77" s="45"/>
      <c r="T77" s="45"/>
      <c r="U77" s="45"/>
      <c r="V77" s="46"/>
      <c r="W77" s="64"/>
      <c r="X77" s="45"/>
      <c r="Y77" s="45"/>
      <c r="Z77" s="45"/>
      <c r="AA77" s="45"/>
      <c r="AB77" s="45"/>
      <c r="AC77" s="45"/>
      <c r="AD77" s="45"/>
    </row>
    <row r="78" spans="2:30" s="39" customFormat="1" x14ac:dyDescent="0.3">
      <c r="B78" s="211" t="s">
        <v>264</v>
      </c>
      <c r="C78" s="210" t="str">
        <f>LOOKUP(B78, TRA_COMM_PRO!$C$17:$C$199, TRA_COMM_PRO!$D$17:$D$199)</f>
        <v>Truck.Light.H2G.City.01.</v>
      </c>
      <c r="D78" s="211" t="s">
        <v>57</v>
      </c>
      <c r="E78" s="211"/>
      <c r="F78" s="211"/>
      <c r="G78" s="10">
        <f>$G$54</f>
        <v>2020</v>
      </c>
      <c r="H78" s="40">
        <v>15</v>
      </c>
      <c r="I78" s="65">
        <f>$I$6</f>
        <v>1E-3</v>
      </c>
      <c r="J78" s="41">
        <f>$J$55</f>
        <v>0.3</v>
      </c>
      <c r="K78" s="42"/>
      <c r="L78" s="42"/>
      <c r="M78" s="42"/>
      <c r="N78" s="42"/>
      <c r="O78" s="165"/>
      <c r="P78" s="165"/>
      <c r="Q78" s="165"/>
      <c r="R78" s="165"/>
      <c r="S78" s="40"/>
      <c r="T78" s="40"/>
      <c r="U78" s="40"/>
      <c r="V78" s="41"/>
      <c r="W78" s="62">
        <f>LOOKUP(B78, FIXOM_VAROM!$C$8:$C$190, FIXOM_VAROM!$D$8:$D$190)</f>
        <v>4.0000000000000008E-2</v>
      </c>
      <c r="X78" s="40">
        <f>LOOKUP($B78, INVCOST!$C$8:$C$193, INVCOST!E$8:E$193)</f>
        <v>33.204999999999998</v>
      </c>
      <c r="Y78" s="40">
        <f>LOOKUP($B78, INVCOST!$C$8:$C$193, INVCOST!F$8:F$193)</f>
        <v>30.501000000000001</v>
      </c>
      <c r="Z78" s="40">
        <f>LOOKUP($B78, INVCOST!$C$8:$C$193, INVCOST!G$8:G$193)</f>
        <v>29.122</v>
      </c>
      <c r="AA78" s="40">
        <f>LOOKUP($B78, INVCOST!$C$8:$C$193, INVCOST!H$8:H$193)</f>
        <v>28.056000000000001</v>
      </c>
      <c r="AB78" s="40">
        <f>LOOKUP($B78, INVCOST!$C$8:$C$193, INVCOST!I$8:I$193)</f>
        <v>27.158999999999999</v>
      </c>
      <c r="AC78" s="40">
        <f>LOOKUP($B78, INVCOST!$C$8:$C$193, INVCOST!J$8:J$193)</f>
        <v>26.395</v>
      </c>
      <c r="AD78" s="40">
        <f>LOOKUP($B78, INVCOST!$C$8:$C$193, INVCOST!K$8:K$193)</f>
        <v>25.727</v>
      </c>
    </row>
    <row r="79" spans="2:30" s="39" customFormat="1" x14ac:dyDescent="0.3">
      <c r="B79" s="211"/>
      <c r="C79" s="211"/>
      <c r="D79" s="211"/>
      <c r="E79" s="211"/>
      <c r="F79" s="211" t="s">
        <v>494</v>
      </c>
      <c r="G79" s="50"/>
      <c r="H79" s="40"/>
      <c r="I79" s="41"/>
      <c r="J79" s="41"/>
      <c r="K79" s="42"/>
      <c r="L79" s="42"/>
      <c r="M79" s="42"/>
      <c r="N79" s="42"/>
      <c r="O79" s="166">
        <f>LOOKUP($B78, CEFF!$C$8:$C$156, CEFF!G$8:G$156)</f>
        <v>0.98038999999999998</v>
      </c>
      <c r="P79" s="166">
        <f>LOOKUP($B78, CEFF!$C$8:$C$156, CEFF!H$8:H$156)</f>
        <v>1.0869599999999999</v>
      </c>
      <c r="Q79" s="166">
        <f>LOOKUP($B78, CEFF!$C$8:$C$156, CEFF!I$8:I$156)</f>
        <v>1.20482</v>
      </c>
      <c r="R79" s="166">
        <f>LOOKUP($B78, CEFF!$C$8:$C$156, CEFF!J$8:J$156)</f>
        <v>1.2658199999999999</v>
      </c>
      <c r="S79" s="40"/>
      <c r="T79" s="40"/>
      <c r="U79" s="40"/>
      <c r="V79" s="41"/>
      <c r="W79" s="60"/>
      <c r="X79" s="40"/>
      <c r="Y79" s="40"/>
      <c r="Z79" s="40"/>
      <c r="AA79" s="40"/>
      <c r="AB79" s="40"/>
      <c r="AC79" s="40"/>
      <c r="AD79" s="40"/>
    </row>
    <row r="80" spans="2:30" s="39" customFormat="1" x14ac:dyDescent="0.3">
      <c r="B80" s="212"/>
      <c r="C80" s="212"/>
      <c r="D80" s="212"/>
      <c r="E80" s="212"/>
      <c r="F80" s="212" t="s">
        <v>493</v>
      </c>
      <c r="G80" s="51"/>
      <c r="H80" s="45"/>
      <c r="I80" s="46"/>
      <c r="J80" s="46"/>
      <c r="K80" s="44"/>
      <c r="L80" s="44"/>
      <c r="M80" s="44"/>
      <c r="N80" s="44"/>
      <c r="O80" s="261">
        <f>LOOKUP($B78, CEFF!$C$163:$C$330, CEFF!G$163:G$330)</f>
        <v>0.80645</v>
      </c>
      <c r="P80" s="261">
        <f>LOOKUP($B78, CEFF!$C$163:$C$330, CEFF!H$163:H$330)</f>
        <v>0.89285999999999999</v>
      </c>
      <c r="Q80" s="261">
        <f>LOOKUP($B78, CEFF!$C$163:$C$330, CEFF!I$163:I$330)</f>
        <v>0.99009999999999998</v>
      </c>
      <c r="R80" s="261">
        <f>LOOKUP($B78, CEFF!$C$163:$C$330, CEFF!J$163:J$330)</f>
        <v>1.0989</v>
      </c>
      <c r="S80" s="45"/>
      <c r="T80" s="45"/>
      <c r="U80" s="45"/>
      <c r="V80" s="46"/>
      <c r="W80" s="64"/>
      <c r="X80" s="45"/>
      <c r="Y80" s="45"/>
      <c r="Z80" s="45"/>
      <c r="AA80" s="45"/>
      <c r="AB80" s="45"/>
      <c r="AC80" s="45"/>
      <c r="AD80" s="45"/>
    </row>
    <row r="81" spans="2:30" s="39" customFormat="1" x14ac:dyDescent="0.3">
      <c r="B81" s="211" t="s">
        <v>311</v>
      </c>
      <c r="C81" s="210" t="str">
        <f>LOOKUP(B81, TRA_COMM_PRO!$C$17:$C$199, TRA_COMM_PRO!$D$17:$D$199)</f>
        <v>Truck.Light.Hybrid.DST.City.01.</v>
      </c>
      <c r="D81" s="211" t="s">
        <v>712</v>
      </c>
      <c r="E81" s="211"/>
      <c r="F81" s="211"/>
      <c r="G81" s="10">
        <f>$G$54</f>
        <v>2020</v>
      </c>
      <c r="H81" s="54">
        <v>15</v>
      </c>
      <c r="I81" s="65">
        <f>$I$6</f>
        <v>1E-3</v>
      </c>
      <c r="J81" s="41">
        <f>$J$55</f>
        <v>0.3</v>
      </c>
      <c r="K81" s="42"/>
      <c r="L81" s="42"/>
      <c r="M81" s="42"/>
      <c r="N81" s="42"/>
      <c r="O81" s="166"/>
      <c r="P81" s="166"/>
      <c r="Q81" s="166"/>
      <c r="R81" s="166"/>
      <c r="S81" s="40"/>
      <c r="T81" s="40"/>
      <c r="U81" s="40"/>
      <c r="V81" s="41"/>
      <c r="W81" s="62">
        <f>LOOKUP(B81, FIXOM_VAROM!$C$8:$C$190, FIXOM_VAROM!$D$8:$D$190)</f>
        <v>0.05</v>
      </c>
      <c r="X81" s="40">
        <f>LOOKUP($B81, INVCOST!$C$8:$C$193, INVCOST!E$8:E$193)</f>
        <v>23.181999999999999</v>
      </c>
      <c r="Y81" s="40">
        <f>LOOKUP($B81, INVCOST!$C$8:$C$193, INVCOST!F$8:F$193)</f>
        <v>22.738</v>
      </c>
      <c r="Z81" s="40">
        <f>LOOKUP($B81, INVCOST!$C$8:$C$193, INVCOST!G$8:G$193)</f>
        <v>22.478000000000002</v>
      </c>
      <c r="AA81" s="40">
        <f>LOOKUP($B81, INVCOST!$C$8:$C$193, INVCOST!H$8:H$193)</f>
        <v>22.3</v>
      </c>
      <c r="AB81" s="40">
        <f>LOOKUP($B81, INVCOST!$C$8:$C$193, INVCOST!I$8:I$193)</f>
        <v>22.170999999999999</v>
      </c>
      <c r="AC81" s="40">
        <f>LOOKUP($B81, INVCOST!$C$8:$C$193, INVCOST!J$8:J$193)</f>
        <v>22.068999999999999</v>
      </c>
      <c r="AD81" s="40">
        <f>LOOKUP($B81, INVCOST!$C$8:$C$193, INVCOST!K$8:K$193)</f>
        <v>21.995000000000001</v>
      </c>
    </row>
    <row r="82" spans="2:30" s="39" customFormat="1" x14ac:dyDescent="0.3">
      <c r="B82" s="211"/>
      <c r="C82" s="211"/>
      <c r="D82" s="211"/>
      <c r="E82" s="211"/>
      <c r="F82" s="211" t="s">
        <v>494</v>
      </c>
      <c r="G82" s="50"/>
      <c r="H82" s="40"/>
      <c r="I82" s="41"/>
      <c r="J82" s="41"/>
      <c r="K82" s="42"/>
      <c r="L82" s="42"/>
      <c r="M82" s="42"/>
      <c r="N82" s="42"/>
      <c r="O82" s="166">
        <f>LOOKUP($B81, CEFF!$C$8:$C$156, CEFF!G$8:G$156)</f>
        <v>0.74626999999999999</v>
      </c>
      <c r="P82" s="166">
        <f>LOOKUP($B81, CEFF!$C$8:$C$156, CEFF!H$8:H$156)</f>
        <v>0.82645000000000002</v>
      </c>
      <c r="Q82" s="166">
        <f>LOOKUP($B81, CEFF!$C$8:$C$156, CEFF!I$8:I$156)</f>
        <v>0.91742999999999997</v>
      </c>
      <c r="R82" s="166">
        <f>LOOKUP($B81, CEFF!$C$8:$C$156, CEFF!J$8:J$156)</f>
        <v>1.02041</v>
      </c>
      <c r="S82" s="40"/>
      <c r="T82" s="40"/>
      <c r="U82" s="40"/>
      <c r="V82" s="42"/>
      <c r="W82" s="60"/>
      <c r="X82" s="40"/>
      <c r="Y82" s="40"/>
      <c r="Z82" s="40"/>
      <c r="AA82" s="40"/>
      <c r="AB82" s="40"/>
      <c r="AC82" s="40"/>
      <c r="AD82" s="40"/>
    </row>
    <row r="83" spans="2:30" s="39" customFormat="1" x14ac:dyDescent="0.3">
      <c r="B83" s="212"/>
      <c r="C83" s="212"/>
      <c r="D83" s="212"/>
      <c r="E83" s="212"/>
      <c r="F83" s="212" t="s">
        <v>493</v>
      </c>
      <c r="G83" s="51"/>
      <c r="H83" s="45"/>
      <c r="I83" s="46"/>
      <c r="J83" s="46"/>
      <c r="K83" s="44"/>
      <c r="L83" s="44"/>
      <c r="M83" s="44"/>
      <c r="N83" s="44"/>
      <c r="O83" s="261">
        <f>LOOKUP($B81, CEFF!$C$163:$C$330, CEFF!G$163:G$330)</f>
        <v>0.65788999999999997</v>
      </c>
      <c r="P83" s="261">
        <f>LOOKUP($B81, CEFF!$C$163:$C$330, CEFF!H$163:H$330)</f>
        <v>0.72992999999999997</v>
      </c>
      <c r="Q83" s="261">
        <f>LOOKUP($B81, CEFF!$C$163:$C$330, CEFF!I$163:I$330)</f>
        <v>0.80645</v>
      </c>
      <c r="R83" s="261">
        <f>LOOKUP($B81, CEFF!$C$163:$C$330, CEFF!J$163:J$330)</f>
        <v>0.89285999999999999</v>
      </c>
      <c r="S83" s="45"/>
      <c r="T83" s="45"/>
      <c r="U83" s="45"/>
      <c r="V83" s="44"/>
      <c r="W83" s="64"/>
      <c r="X83" s="45"/>
      <c r="Y83" s="45"/>
      <c r="Z83" s="45"/>
      <c r="AA83" s="45"/>
      <c r="AB83" s="45"/>
      <c r="AC83" s="45"/>
      <c r="AD83" s="45"/>
    </row>
    <row r="84" spans="2:30" s="39" customFormat="1" x14ac:dyDescent="0.3">
      <c r="B84" s="211" t="s">
        <v>312</v>
      </c>
      <c r="C84" s="210" t="str">
        <f>LOOKUP(B84, TRA_COMM_PRO!$C$17:$C$199, TRA_COMM_PRO!$D$17:$D$199)</f>
        <v>Truck.Light.Hybrid.GSL.City.01.</v>
      </c>
      <c r="D84" s="214" t="s">
        <v>713</v>
      </c>
      <c r="E84" s="211"/>
      <c r="F84" s="211"/>
      <c r="G84" s="10">
        <f>$G$54</f>
        <v>2020</v>
      </c>
      <c r="H84" s="54">
        <v>15</v>
      </c>
      <c r="I84" s="65">
        <f>$I$6</f>
        <v>1E-3</v>
      </c>
      <c r="J84" s="41">
        <f>$J$55</f>
        <v>0.3</v>
      </c>
      <c r="K84" s="42"/>
      <c r="L84" s="42"/>
      <c r="M84" s="42"/>
      <c r="N84" s="42"/>
      <c r="O84" s="263"/>
      <c r="P84" s="263"/>
      <c r="Q84" s="263"/>
      <c r="R84" s="263"/>
      <c r="S84" s="40"/>
      <c r="T84" s="40"/>
      <c r="U84" s="40"/>
      <c r="V84" s="41"/>
      <c r="W84" s="62">
        <f>LOOKUP(B84, FIXOM_VAROM!$C$8:$C$190, FIXOM_VAROM!$D$8:$D$190)</f>
        <v>0.05</v>
      </c>
      <c r="X84" s="40">
        <f>LOOKUP($B84, INVCOST!$C$8:$C$193, INVCOST!E$8:E$193)</f>
        <v>21.329000000000001</v>
      </c>
      <c r="Y84" s="40">
        <f>LOOKUP($B84, INVCOST!$C$8:$C$193, INVCOST!F$8:F$193)</f>
        <v>20.885999999999999</v>
      </c>
      <c r="Z84" s="40">
        <f>LOOKUP($B84, INVCOST!$C$8:$C$193, INVCOST!G$8:G$193)</f>
        <v>20.626000000000001</v>
      </c>
      <c r="AA84" s="40">
        <f>LOOKUP($B84, INVCOST!$C$8:$C$193, INVCOST!H$8:H$193)</f>
        <v>20.446000000000002</v>
      </c>
      <c r="AB84" s="40">
        <f>LOOKUP($B84, INVCOST!$C$8:$C$193, INVCOST!I$8:I$193)</f>
        <v>20.135999999999999</v>
      </c>
      <c r="AC84" s="40">
        <f>LOOKUP($B84, INVCOST!$C$8:$C$193, INVCOST!J$8:J$193)</f>
        <v>20.212</v>
      </c>
      <c r="AD84" s="40">
        <f>LOOKUP($B84, INVCOST!$C$8:$C$193, INVCOST!K$8:K$193)</f>
        <v>20.135999999999999</v>
      </c>
    </row>
    <row r="85" spans="2:30" s="39" customFormat="1" x14ac:dyDescent="0.3">
      <c r="B85" s="211"/>
      <c r="C85" s="211"/>
      <c r="D85" s="211"/>
      <c r="E85" s="211"/>
      <c r="F85" s="211" t="s">
        <v>494</v>
      </c>
      <c r="G85" s="50"/>
      <c r="H85" s="40"/>
      <c r="I85" s="41"/>
      <c r="J85" s="41"/>
      <c r="K85" s="42"/>
      <c r="L85" s="42"/>
      <c r="M85" s="42"/>
      <c r="N85" s="42"/>
      <c r="O85" s="166">
        <f>LOOKUP($B84, CEFF!$C$8:$C$156, CEFF!G$8:G$156)</f>
        <v>0.67113999999999996</v>
      </c>
      <c r="P85" s="166">
        <f>LOOKUP($B84, CEFF!$C$8:$C$156, CEFF!H$8:H$156)</f>
        <v>0.74626999999999999</v>
      </c>
      <c r="Q85" s="166">
        <f>LOOKUP($B84, CEFF!$C$8:$C$156, CEFF!I$8:I$156)</f>
        <v>0.82645000000000002</v>
      </c>
      <c r="R85" s="166">
        <f>LOOKUP($B84, CEFF!$C$8:$C$156, CEFF!J$8:J$156)</f>
        <v>0.91742999999999997</v>
      </c>
      <c r="S85" s="40"/>
      <c r="T85" s="40"/>
      <c r="U85" s="40"/>
      <c r="V85" s="42"/>
      <c r="W85" s="60"/>
      <c r="X85" s="40"/>
      <c r="Y85" s="40"/>
      <c r="Z85" s="40"/>
      <c r="AA85" s="40"/>
      <c r="AB85" s="40"/>
      <c r="AC85" s="40"/>
      <c r="AD85" s="40"/>
    </row>
    <row r="86" spans="2:30" s="39" customFormat="1" x14ac:dyDescent="0.3">
      <c r="B86" s="212"/>
      <c r="C86" s="212"/>
      <c r="D86" s="212"/>
      <c r="E86" s="212"/>
      <c r="F86" s="212" t="s">
        <v>493</v>
      </c>
      <c r="G86" s="51"/>
      <c r="H86" s="45"/>
      <c r="I86" s="46"/>
      <c r="J86" s="46"/>
      <c r="K86" s="44"/>
      <c r="L86" s="44"/>
      <c r="M86" s="44"/>
      <c r="N86" s="44"/>
      <c r="O86" s="261">
        <f>LOOKUP($B84, CEFF!$C$163:$C$330, CEFF!G$163:G$330)</f>
        <v>0.55249000000000004</v>
      </c>
      <c r="P86" s="261">
        <f>LOOKUP($B84, CEFF!$C$163:$C$330, CEFF!H$163:H$330)</f>
        <v>0.61350000000000005</v>
      </c>
      <c r="Q86" s="261">
        <f>LOOKUP($B84, CEFF!$C$163:$C$330, CEFF!I$163:I$330)</f>
        <v>0.68027000000000004</v>
      </c>
      <c r="R86" s="261">
        <f>LOOKUP($B84, CEFF!$C$163:$C$330, CEFF!J$163:J$330)</f>
        <v>0.75187999999999999</v>
      </c>
      <c r="S86" s="45"/>
      <c r="T86" s="45"/>
      <c r="U86" s="45"/>
      <c r="V86" s="44"/>
      <c r="W86" s="64"/>
      <c r="X86" s="45"/>
      <c r="Y86" s="45"/>
      <c r="Z86" s="45"/>
      <c r="AA86" s="45"/>
      <c r="AB86" s="45"/>
      <c r="AC86" s="45"/>
      <c r="AD86" s="45"/>
    </row>
    <row r="87" spans="2:30" s="39" customFormat="1" x14ac:dyDescent="0.3">
      <c r="B87" s="211" t="s">
        <v>266</v>
      </c>
      <c r="C87" s="210" t="str">
        <f>LOOKUP(B87, TRA_COMM_PRO!$C$17:$C$199, TRA_COMM_PRO!$D$17:$D$199)</f>
        <v>Truck.Light.LPG.City.01.</v>
      </c>
      <c r="D87" s="211" t="s">
        <v>62</v>
      </c>
      <c r="E87" s="211"/>
      <c r="F87" s="211"/>
      <c r="G87" s="10">
        <f>$G$54</f>
        <v>2020</v>
      </c>
      <c r="H87" s="40">
        <f>H90</f>
        <v>15</v>
      </c>
      <c r="I87" s="65">
        <f>$I$6</f>
        <v>1E-3</v>
      </c>
      <c r="J87" s="41">
        <f>$J$55</f>
        <v>0.3</v>
      </c>
      <c r="K87" s="42"/>
      <c r="L87" s="42"/>
      <c r="M87" s="42"/>
      <c r="N87" s="42"/>
      <c r="O87" s="165"/>
      <c r="P87" s="165"/>
      <c r="Q87" s="165"/>
      <c r="R87" s="165"/>
      <c r="S87" s="40"/>
      <c r="T87" s="40"/>
      <c r="U87" s="40"/>
      <c r="V87" s="41"/>
      <c r="W87" s="62">
        <f>LOOKUP(B87, FIXOM_VAROM!$C$8:$C$190, FIXOM_VAROM!$D$8:$D$190)</f>
        <v>0.05</v>
      </c>
      <c r="X87" s="40">
        <f>LOOKUP($B87, INVCOST!$C$8:$C$193, INVCOST!E$8:E$193)</f>
        <v>19.452000000000002</v>
      </c>
      <c r="Y87" s="40">
        <f>LOOKUP($B87, INVCOST!$C$8:$C$193, INVCOST!F$8:F$193)</f>
        <v>19.43</v>
      </c>
      <c r="Z87" s="40">
        <f>LOOKUP($B87, INVCOST!$C$8:$C$193, INVCOST!G$8:G$193)</f>
        <v>19.414999999999999</v>
      </c>
      <c r="AA87" s="40">
        <f>LOOKUP($B87, INVCOST!$C$8:$C$193, INVCOST!H$8:H$193)</f>
        <v>19.402999999999999</v>
      </c>
      <c r="AB87" s="40">
        <f>LOOKUP($B87, INVCOST!$C$8:$C$193, INVCOST!I$8:I$193)</f>
        <v>19.393000000000001</v>
      </c>
      <c r="AC87" s="40">
        <f>LOOKUP($B87, INVCOST!$C$8:$C$193, INVCOST!J$8:J$193)</f>
        <v>19.385000000000002</v>
      </c>
      <c r="AD87" s="40">
        <f>LOOKUP($B87, INVCOST!$C$8:$C$193, INVCOST!K$8:K$193)</f>
        <v>19.378</v>
      </c>
    </row>
    <row r="88" spans="2:30" s="39" customFormat="1" x14ac:dyDescent="0.3">
      <c r="B88" s="211"/>
      <c r="C88" s="211"/>
      <c r="D88" s="211"/>
      <c r="E88" s="211"/>
      <c r="F88" s="211" t="s">
        <v>494</v>
      </c>
      <c r="G88" s="50"/>
      <c r="H88" s="40"/>
      <c r="I88" s="41"/>
      <c r="J88" s="41"/>
      <c r="K88" s="42"/>
      <c r="L88" s="42"/>
      <c r="M88" s="42"/>
      <c r="N88" s="42"/>
      <c r="O88" s="166">
        <f>LOOKUP($B87, CEFF!$C$8:$C$156, CEFF!G$8:G$156)</f>
        <v>0.55249000000000004</v>
      </c>
      <c r="P88" s="166">
        <f>LOOKUP($B87, CEFF!$C$8:$C$156, CEFF!H$8:H$156)</f>
        <v>0.58140000000000003</v>
      </c>
      <c r="Q88" s="166">
        <f>LOOKUP($B87, CEFF!$C$8:$C$156, CEFF!I$8:I$156)</f>
        <v>0.61350000000000005</v>
      </c>
      <c r="R88" s="166">
        <f>LOOKUP($B87, CEFF!$C$8:$C$156, CEFF!J$8:J$156)</f>
        <v>0.64515999999999996</v>
      </c>
      <c r="S88" s="40"/>
      <c r="T88" s="40"/>
      <c r="U88" s="40"/>
      <c r="V88" s="41"/>
      <c r="W88" s="60"/>
      <c r="X88" s="40"/>
      <c r="Y88" s="40"/>
      <c r="Z88" s="40"/>
      <c r="AA88" s="40"/>
      <c r="AB88" s="40"/>
      <c r="AC88" s="40"/>
      <c r="AD88" s="40"/>
    </row>
    <row r="89" spans="2:30" s="39" customFormat="1" x14ac:dyDescent="0.3">
      <c r="B89" s="212"/>
      <c r="C89" s="212"/>
      <c r="D89" s="212"/>
      <c r="E89" s="212"/>
      <c r="F89" s="212" t="s">
        <v>493</v>
      </c>
      <c r="G89" s="51"/>
      <c r="H89" s="45"/>
      <c r="I89" s="46"/>
      <c r="J89" s="46"/>
      <c r="K89" s="44"/>
      <c r="L89" s="44"/>
      <c r="M89" s="44"/>
      <c r="N89" s="44"/>
      <c r="O89" s="261">
        <f>LOOKUP($B87, CEFF!$C$163:$C$330, CEFF!G$163:G$330)</f>
        <v>0.45455000000000001</v>
      </c>
      <c r="P89" s="261">
        <f>LOOKUP($B87, CEFF!$C$163:$C$330, CEFF!H$163:H$330)</f>
        <v>0.47847000000000001</v>
      </c>
      <c r="Q89" s="261">
        <f>LOOKUP($B87, CEFF!$C$163:$C$330, CEFF!I$163:I$330)</f>
        <v>0.50251000000000001</v>
      </c>
      <c r="R89" s="261">
        <f>LOOKUP($B87, CEFF!$C$163:$C$330, CEFF!J$163:J$330)</f>
        <v>0.52910000000000001</v>
      </c>
      <c r="S89" s="45"/>
      <c r="T89" s="45"/>
      <c r="U89" s="45"/>
      <c r="V89" s="46"/>
      <c r="W89" s="64"/>
      <c r="X89" s="45"/>
      <c r="Y89" s="45"/>
      <c r="Z89" s="45"/>
      <c r="AA89" s="45"/>
      <c r="AB89" s="45"/>
      <c r="AC89" s="45"/>
      <c r="AD89" s="45"/>
    </row>
    <row r="90" spans="2:30" s="39" customFormat="1" x14ac:dyDescent="0.3">
      <c r="B90" s="211" t="s">
        <v>611</v>
      </c>
      <c r="C90" s="210" t="str">
        <f>LOOKUP(B90, TRA_COMM_PRO!$C$17:$C$199, TRA_COMM_PRO!$D$17:$D$199)</f>
        <v>Truck.Light.MTH.City.01.</v>
      </c>
      <c r="D90" s="211" t="s">
        <v>599</v>
      </c>
      <c r="E90" s="211"/>
      <c r="F90" s="211"/>
      <c r="G90" s="10">
        <f>$G$54</f>
        <v>2020</v>
      </c>
      <c r="H90" s="40">
        <v>15</v>
      </c>
      <c r="I90" s="65">
        <f>$I$6</f>
        <v>1E-3</v>
      </c>
      <c r="J90" s="41">
        <f>$J$55</f>
        <v>0.3</v>
      </c>
      <c r="K90" s="42"/>
      <c r="L90" s="42"/>
      <c r="M90" s="42"/>
      <c r="N90" s="42"/>
      <c r="O90" s="165"/>
      <c r="P90" s="165"/>
      <c r="Q90" s="165"/>
      <c r="R90" s="165"/>
      <c r="S90" s="40"/>
      <c r="T90" s="40"/>
      <c r="U90" s="40"/>
      <c r="V90" s="41"/>
      <c r="W90" s="62">
        <f>LOOKUP(B90, FIXOM_VAROM!$C$8:$C$190, FIXOM_VAROM!$D$8:$D$190)</f>
        <v>0.05</v>
      </c>
      <c r="X90" s="40">
        <f>LOOKUP($B90, INVCOST!$C$8:$C$193, INVCOST!E$8:E$193)</f>
        <v>19.452000000000002</v>
      </c>
      <c r="Y90" s="40">
        <f>LOOKUP($B90, INVCOST!$C$8:$C$193, INVCOST!F$8:F$193)</f>
        <v>19.43</v>
      </c>
      <c r="Z90" s="40">
        <f>LOOKUP($B90, INVCOST!$C$8:$C$193, INVCOST!G$8:G$193)</f>
        <v>19.414999999999999</v>
      </c>
      <c r="AA90" s="40">
        <f>LOOKUP($B90, INVCOST!$C$8:$C$193, INVCOST!H$8:H$193)</f>
        <v>19.402999999999999</v>
      </c>
      <c r="AB90" s="40">
        <f>LOOKUP($B90, INVCOST!$C$8:$C$193, INVCOST!I$8:I$193)</f>
        <v>19.393000000000001</v>
      </c>
      <c r="AC90" s="40">
        <f>LOOKUP($B90, INVCOST!$C$8:$C$193, INVCOST!J$8:J$193)</f>
        <v>19.385000000000002</v>
      </c>
      <c r="AD90" s="40">
        <f>LOOKUP($B90, INVCOST!$C$8:$C$193, INVCOST!K$8:K$193)</f>
        <v>19.378</v>
      </c>
    </row>
    <row r="91" spans="2:30" s="39" customFormat="1" x14ac:dyDescent="0.3">
      <c r="B91" s="211"/>
      <c r="C91" s="211"/>
      <c r="D91" s="211"/>
      <c r="E91" s="211"/>
      <c r="F91" s="211" t="s">
        <v>494</v>
      </c>
      <c r="G91" s="50"/>
      <c r="H91" s="40"/>
      <c r="I91" s="41"/>
      <c r="J91" s="41"/>
      <c r="K91" s="42"/>
      <c r="L91" s="42"/>
      <c r="M91" s="42"/>
      <c r="N91" s="42"/>
      <c r="O91" s="166">
        <f>LOOKUP($B90, CEFF!$C$8:$C$156, CEFF!G$8:G$156)</f>
        <v>0.55249000000000004</v>
      </c>
      <c r="P91" s="166">
        <f>LOOKUP($B90, CEFF!$C$8:$C$156, CEFF!H$8:H$156)</f>
        <v>0.58140000000000003</v>
      </c>
      <c r="Q91" s="166">
        <f>LOOKUP($B90, CEFF!$C$8:$C$156, CEFF!I$8:I$156)</f>
        <v>0.61350000000000005</v>
      </c>
      <c r="R91" s="166">
        <f>LOOKUP($B90, CEFF!$C$8:$C$156, CEFF!J$8:J$156)</f>
        <v>0.64515999999999996</v>
      </c>
      <c r="S91" s="40"/>
      <c r="T91" s="40"/>
      <c r="U91" s="40"/>
      <c r="V91" s="41"/>
      <c r="W91" s="60"/>
      <c r="X91" s="40"/>
      <c r="Y91" s="40"/>
      <c r="Z91" s="40"/>
      <c r="AA91" s="40"/>
      <c r="AB91" s="40"/>
      <c r="AC91" s="40"/>
      <c r="AD91" s="40"/>
    </row>
    <row r="92" spans="2:30" s="39" customFormat="1" x14ac:dyDescent="0.3">
      <c r="B92" s="212"/>
      <c r="C92" s="212"/>
      <c r="D92" s="212"/>
      <c r="E92" s="212"/>
      <c r="F92" s="212" t="s">
        <v>493</v>
      </c>
      <c r="G92" s="51"/>
      <c r="H92" s="45"/>
      <c r="I92" s="46"/>
      <c r="J92" s="46"/>
      <c r="K92" s="44"/>
      <c r="L92" s="44"/>
      <c r="M92" s="44"/>
      <c r="N92" s="44"/>
      <c r="O92" s="261">
        <f>LOOKUP($B90, CEFF!$C$163:$C$330, CEFF!G$163:G$330)</f>
        <v>0.45455000000000001</v>
      </c>
      <c r="P92" s="261">
        <f>LOOKUP($B90, CEFF!$C$163:$C$330, CEFF!H$163:H$330)</f>
        <v>0.47847000000000001</v>
      </c>
      <c r="Q92" s="261">
        <f>LOOKUP($B90, CEFF!$C$163:$C$330, CEFF!I$163:I$330)</f>
        <v>0.50251000000000001</v>
      </c>
      <c r="R92" s="261">
        <f>LOOKUP($B90, CEFF!$C$163:$C$330, CEFF!J$163:J$330)</f>
        <v>0.52910000000000001</v>
      </c>
      <c r="S92" s="45"/>
      <c r="T92" s="45"/>
      <c r="U92" s="45"/>
      <c r="V92" s="46"/>
      <c r="W92" s="64"/>
      <c r="X92" s="156"/>
      <c r="Y92" s="156"/>
      <c r="Z92" s="156"/>
      <c r="AA92" s="156"/>
      <c r="AB92" s="156"/>
      <c r="AC92" s="156"/>
      <c r="AD92" s="156"/>
    </row>
    <row r="93" spans="2:30" s="39" customFormat="1" x14ac:dyDescent="0.3">
      <c r="B93" s="214" t="s">
        <v>313</v>
      </c>
      <c r="C93" s="210" t="str">
        <f>LOOKUP(B93, TRA_COMM_PRO!$C$17:$C$199, TRA_COMM_PRO!$D$17:$D$199)</f>
        <v>Truck.Light.Plugin-Hybrid.DST.City.01.</v>
      </c>
      <c r="D93" s="211" t="s">
        <v>712</v>
      </c>
      <c r="E93" s="214"/>
      <c r="F93" s="214"/>
      <c r="G93" s="10">
        <f>$G$54</f>
        <v>2020</v>
      </c>
      <c r="H93" s="54">
        <v>15</v>
      </c>
      <c r="I93" s="65">
        <f>$I$6</f>
        <v>1E-3</v>
      </c>
      <c r="J93" s="41">
        <f>$J$55</f>
        <v>0.3</v>
      </c>
      <c r="K93" s="42"/>
      <c r="L93" s="42"/>
      <c r="M93" s="42"/>
      <c r="N93" s="42"/>
      <c r="O93" s="166"/>
      <c r="P93" s="166"/>
      <c r="Q93" s="166"/>
      <c r="R93" s="166"/>
      <c r="S93" s="40"/>
      <c r="T93" s="40"/>
      <c r="U93" s="40"/>
      <c r="V93" s="41"/>
      <c r="W93" s="62">
        <f>LOOKUP(B93, FIXOM_VAROM!$C$8:$C$190, FIXOM_VAROM!$D$8:$D$190)</f>
        <v>0.05</v>
      </c>
      <c r="X93" s="40">
        <f>LOOKUP($B93, INVCOST!$C$8:$C$193, INVCOST!E$8:E$193)</f>
        <v>29.478999999999999</v>
      </c>
      <c r="Y93" s="40">
        <f>LOOKUP($B93, INVCOST!$C$8:$C$193, INVCOST!F$8:F$193)</f>
        <v>27.831</v>
      </c>
      <c r="Z93" s="40">
        <f>LOOKUP($B93, INVCOST!$C$8:$C$193, INVCOST!G$8:G$193)</f>
        <v>26.962</v>
      </c>
      <c r="AA93" s="40">
        <f>LOOKUP($B93, INVCOST!$C$8:$C$193, INVCOST!H$8:H$193)</f>
        <v>26.277000000000001</v>
      </c>
      <c r="AB93" s="40">
        <f>LOOKUP($B93, INVCOST!$C$8:$C$193, INVCOST!I$8:I$193)</f>
        <v>25.709</v>
      </c>
      <c r="AC93" s="40">
        <f>LOOKUP($B93, INVCOST!$C$8:$C$193, INVCOST!J$8:J$193)</f>
        <v>25.244</v>
      </c>
      <c r="AD93" s="40">
        <f>LOOKUP($B93, INVCOST!$C$8:$C$193, INVCOST!K$8:K$193)</f>
        <v>24.864000000000001</v>
      </c>
    </row>
    <row r="94" spans="2:30" s="39" customFormat="1" x14ac:dyDescent="0.3">
      <c r="B94" s="211"/>
      <c r="C94" s="211"/>
      <c r="D94" s="211"/>
      <c r="E94" s="211"/>
      <c r="F94" s="211" t="s">
        <v>494</v>
      </c>
      <c r="G94" s="50"/>
      <c r="H94" s="40"/>
      <c r="I94" s="41"/>
      <c r="J94" s="41"/>
      <c r="K94" s="42"/>
      <c r="L94" s="42"/>
      <c r="M94" s="42"/>
      <c r="N94" s="42"/>
      <c r="O94" s="166">
        <f>LOOKUP($B93, CEFF!$C$8:$C$156, CEFF!G$8:G$156)</f>
        <v>0.85470000000000002</v>
      </c>
      <c r="P94" s="166">
        <f>LOOKUP($B93, CEFF!$C$8:$C$156, CEFF!H$8:H$156)</f>
        <v>0.94340000000000002</v>
      </c>
      <c r="Q94" s="166">
        <f>LOOKUP($B93, CEFF!$C$8:$C$156, CEFF!I$8:I$156)</f>
        <v>1.0416700000000001</v>
      </c>
      <c r="R94" s="166">
        <f>LOOKUP($B93, CEFF!$C$8:$C$156, CEFF!J$8:J$156)</f>
        <v>1.16279</v>
      </c>
      <c r="S94" s="40"/>
      <c r="T94" s="40"/>
      <c r="U94" s="40"/>
      <c r="V94" s="42"/>
      <c r="W94" s="60"/>
      <c r="X94" s="40"/>
      <c r="Y94" s="40"/>
      <c r="Z94" s="40"/>
      <c r="AA94" s="40"/>
      <c r="AB94" s="40"/>
      <c r="AC94" s="40"/>
      <c r="AD94" s="40"/>
    </row>
    <row r="95" spans="2:30" s="39" customFormat="1" x14ac:dyDescent="0.3">
      <c r="B95" s="212"/>
      <c r="C95" s="212"/>
      <c r="D95" s="212"/>
      <c r="E95" s="212"/>
      <c r="F95" s="212" t="s">
        <v>493</v>
      </c>
      <c r="G95" s="51"/>
      <c r="H95" s="45"/>
      <c r="I95" s="46"/>
      <c r="J95" s="46"/>
      <c r="K95" s="44"/>
      <c r="L95" s="44"/>
      <c r="M95" s="44"/>
      <c r="N95" s="44"/>
      <c r="O95" s="261">
        <f>LOOKUP($B93, CEFF!$C$163:$C$330, CEFF!G$163:G$330)</f>
        <v>1.0638300000000001</v>
      </c>
      <c r="P95" s="261">
        <f>LOOKUP($B93, CEFF!$C$163:$C$330, CEFF!H$163:H$330)</f>
        <v>1.13636</v>
      </c>
      <c r="Q95" s="261">
        <f>LOOKUP($B93, CEFF!$C$163:$C$330, CEFF!I$163:I$330)</f>
        <v>1.2195100000000001</v>
      </c>
      <c r="R95" s="261">
        <f>LOOKUP($B93, CEFF!$C$163:$C$330, CEFF!J$163:J$330)</f>
        <v>1.31579</v>
      </c>
      <c r="S95" s="45"/>
      <c r="T95" s="45"/>
      <c r="U95" s="45"/>
      <c r="V95" s="44"/>
      <c r="W95" s="64"/>
      <c r="X95" s="45"/>
      <c r="Y95" s="45"/>
      <c r="Z95" s="45"/>
      <c r="AA95" s="45"/>
      <c r="AB95" s="45"/>
      <c r="AC95" s="45"/>
      <c r="AD95" s="45"/>
    </row>
    <row r="96" spans="2:30" s="39" customFormat="1" x14ac:dyDescent="0.3">
      <c r="B96" s="211" t="s">
        <v>314</v>
      </c>
      <c r="C96" s="210" t="str">
        <f>LOOKUP(B96, TRA_COMM_PRO!$C$17:$C$199, TRA_COMM_PRO!$D$17:$D$199)</f>
        <v>Truck.Light.Plugin-Hybrid.GSL.City.01.</v>
      </c>
      <c r="D96" s="214" t="s">
        <v>713</v>
      </c>
      <c r="E96" s="211"/>
      <c r="F96" s="211"/>
      <c r="G96" s="10">
        <f>$G$54</f>
        <v>2020</v>
      </c>
      <c r="H96" s="54">
        <v>15</v>
      </c>
      <c r="I96" s="65">
        <f>$I$6</f>
        <v>1E-3</v>
      </c>
      <c r="J96" s="41">
        <f>$J$55</f>
        <v>0.3</v>
      </c>
      <c r="K96" s="42"/>
      <c r="L96" s="42"/>
      <c r="M96" s="42"/>
      <c r="N96" s="42"/>
      <c r="O96" s="166"/>
      <c r="P96" s="166"/>
      <c r="Q96" s="166"/>
      <c r="R96" s="166"/>
      <c r="S96" s="40"/>
      <c r="T96" s="40"/>
      <c r="U96" s="40"/>
      <c r="V96" s="41"/>
      <c r="W96" s="62">
        <f>LOOKUP(B96, FIXOM_VAROM!$C$8:$C$190, FIXOM_VAROM!$D$8:$D$190)</f>
        <v>0.05</v>
      </c>
      <c r="X96" s="40">
        <f>LOOKUP($B96, INVCOST!$C$8:$C$193, INVCOST!E$8:E$193)</f>
        <v>28.067</v>
      </c>
      <c r="Y96" s="40">
        <f>LOOKUP($B96, INVCOST!$C$8:$C$193, INVCOST!F$8:F$193)</f>
        <v>26.41</v>
      </c>
      <c r="Z96" s="40">
        <f>LOOKUP($B96, INVCOST!$C$8:$C$193, INVCOST!G$8:G$193)</f>
        <v>25.536000000000001</v>
      </c>
      <c r="AA96" s="40">
        <f>LOOKUP($B96, INVCOST!$C$8:$C$193, INVCOST!H$8:H$193)</f>
        <v>24.844999999999999</v>
      </c>
      <c r="AB96" s="40">
        <f>LOOKUP($B96, INVCOST!$C$8:$C$193, INVCOST!I$8:I$193)</f>
        <v>24.273</v>
      </c>
      <c r="AC96" s="40">
        <f>LOOKUP($B96, INVCOST!$C$8:$C$193, INVCOST!J$8:J$193)</f>
        <v>23.803000000000001</v>
      </c>
      <c r="AD96" s="40">
        <f>LOOKUP($B96, INVCOST!$C$8:$C$193, INVCOST!K$8:K$193)</f>
        <v>23.42</v>
      </c>
    </row>
    <row r="97" spans="2:30" s="39" customFormat="1" x14ac:dyDescent="0.3">
      <c r="B97" s="211"/>
      <c r="C97" s="211"/>
      <c r="D97" s="211"/>
      <c r="E97" s="211"/>
      <c r="F97" s="211" t="s">
        <v>494</v>
      </c>
      <c r="G97" s="50"/>
      <c r="H97" s="40"/>
      <c r="I97" s="41"/>
      <c r="J97" s="41"/>
      <c r="K97" s="42"/>
      <c r="L97" s="42"/>
      <c r="M97" s="42"/>
      <c r="N97" s="42"/>
      <c r="O97" s="166">
        <f>LOOKUP($B96, CEFF!$C$8:$C$156, CEFF!G$8:G$156)</f>
        <v>0.90908999999999995</v>
      </c>
      <c r="P97" s="166">
        <f>LOOKUP($B96, CEFF!$C$8:$C$156, CEFF!H$8:H$156)</f>
        <v>1.0101</v>
      </c>
      <c r="Q97" s="166">
        <f>LOOKUP($B96, CEFF!$C$8:$C$156, CEFF!I$8:I$156)</f>
        <v>1.11111</v>
      </c>
      <c r="R97" s="166">
        <f>LOOKUP($B96, CEFF!$C$8:$C$156, CEFF!J$8:J$156)</f>
        <v>1.2345699999999999</v>
      </c>
      <c r="S97" s="40"/>
      <c r="T97" s="40"/>
      <c r="U97" s="40"/>
      <c r="V97" s="42"/>
      <c r="W97" s="41"/>
      <c r="X97" s="41"/>
      <c r="Y97" s="41"/>
      <c r="Z97" s="41"/>
      <c r="AA97" s="41"/>
      <c r="AB97" s="41"/>
      <c r="AC97" s="41"/>
      <c r="AD97" s="41"/>
    </row>
    <row r="98" spans="2:30" s="39" customFormat="1" x14ac:dyDescent="0.3">
      <c r="B98" s="215"/>
      <c r="C98" s="215"/>
      <c r="D98" s="215"/>
      <c r="E98" s="215"/>
      <c r="F98" s="215" t="s">
        <v>493</v>
      </c>
      <c r="G98" s="182"/>
      <c r="H98" s="183"/>
      <c r="I98" s="181"/>
      <c r="J98" s="181"/>
      <c r="K98" s="179"/>
      <c r="L98" s="179"/>
      <c r="M98" s="179"/>
      <c r="N98" s="179"/>
      <c r="O98" s="264">
        <f>LOOKUP($B96, CEFF!$C$163:$C$330, CEFF!G$163:G$330)</f>
        <v>0.99009999999999998</v>
      </c>
      <c r="P98" s="264">
        <f>LOOKUP($B96, CEFF!$C$163:$C$330, CEFF!H$163:H$330)</f>
        <v>1.05263</v>
      </c>
      <c r="Q98" s="264">
        <f>LOOKUP($B96, CEFF!$C$163:$C$330, CEFF!I$163:I$330)</f>
        <v>1.1235999999999999</v>
      </c>
      <c r="R98" s="264">
        <f>LOOKUP($B96, CEFF!$C$163:$C$330, CEFF!J$163:J$330)</f>
        <v>1.19048</v>
      </c>
      <c r="S98" s="183"/>
      <c r="T98" s="183"/>
      <c r="U98" s="183"/>
      <c r="V98" s="179"/>
      <c r="W98" s="181"/>
      <c r="X98" s="181"/>
      <c r="Y98" s="181"/>
      <c r="Z98" s="181"/>
      <c r="AA98" s="181"/>
      <c r="AB98" s="181"/>
      <c r="AC98" s="181"/>
      <c r="AD98" s="181"/>
    </row>
    <row r="99" spans="2:30" s="39" customFormat="1" x14ac:dyDescent="0.3">
      <c r="H99" s="36"/>
      <c r="I99" s="37"/>
      <c r="J99" s="38"/>
      <c r="K99" s="58"/>
      <c r="L99" s="58"/>
      <c r="M99" s="58"/>
      <c r="N99" s="58"/>
      <c r="O99" s="58"/>
      <c r="P99" s="58"/>
      <c r="Q99" s="58"/>
      <c r="R99" s="58"/>
      <c r="S99" s="36"/>
      <c r="T99" s="36"/>
      <c r="U99" s="36"/>
      <c r="V99" s="38"/>
      <c r="W99" s="38"/>
      <c r="X99" s="38"/>
      <c r="Y99" s="38"/>
      <c r="Z99" s="38"/>
      <c r="AA99" s="38"/>
      <c r="AB99" s="38"/>
      <c r="AC99" s="38"/>
      <c r="AD99" s="38"/>
    </row>
    <row r="100" spans="2:30" s="39" customFormat="1" x14ac:dyDescent="0.3">
      <c r="H100" s="36"/>
      <c r="I100" s="37"/>
      <c r="J100" s="38"/>
      <c r="K100" s="58"/>
      <c r="L100" s="58"/>
      <c r="M100" s="58"/>
      <c r="N100" s="58"/>
      <c r="O100" s="58"/>
      <c r="P100" s="58"/>
      <c r="Q100" s="58"/>
      <c r="R100" s="58"/>
      <c r="S100" s="36"/>
      <c r="T100" s="36"/>
      <c r="U100" s="36"/>
      <c r="V100" s="38"/>
      <c r="W100" s="38"/>
      <c r="X100" s="38"/>
      <c r="Y100" s="38"/>
      <c r="Z100" s="38"/>
      <c r="AA100" s="38"/>
      <c r="AB100" s="38"/>
      <c r="AC100" s="38"/>
      <c r="AD100" s="38"/>
    </row>
    <row r="101" spans="2:30" x14ac:dyDescent="0.3">
      <c r="B101" s="6" t="s">
        <v>563</v>
      </c>
      <c r="C101" s="6"/>
      <c r="D101" s="8"/>
      <c r="E101" s="8"/>
      <c r="F101" s="9" t="s">
        <v>722</v>
      </c>
      <c r="G101" s="4"/>
    </row>
    <row r="102" spans="2:30" ht="28.8" x14ac:dyDescent="0.3">
      <c r="B102" s="201" t="s">
        <v>2</v>
      </c>
      <c r="C102" s="201" t="s">
        <v>3</v>
      </c>
      <c r="D102" s="201" t="s">
        <v>4</v>
      </c>
      <c r="E102" s="201" t="s">
        <v>5</v>
      </c>
      <c r="F102" s="202" t="s">
        <v>6</v>
      </c>
      <c r="G102" s="202" t="s">
        <v>187</v>
      </c>
      <c r="H102" s="203" t="s">
        <v>186</v>
      </c>
      <c r="I102" s="203" t="s">
        <v>11</v>
      </c>
      <c r="J102" s="202" t="s">
        <v>12</v>
      </c>
      <c r="K102" s="203" t="str">
        <f>K53</f>
        <v>Share~UP~2020</v>
      </c>
      <c r="L102" s="203" t="str">
        <f>L53</f>
        <v>Share~UP~2030</v>
      </c>
      <c r="M102" s="203" t="str">
        <f>M53</f>
        <v>Share~UP~2040</v>
      </c>
      <c r="N102" s="203" t="str">
        <f>N53</f>
        <v>Share~UP~2050</v>
      </c>
      <c r="O102" s="203" t="s">
        <v>335</v>
      </c>
      <c r="P102" s="203" t="s">
        <v>336</v>
      </c>
      <c r="Q102" s="203" t="s">
        <v>9</v>
      </c>
      <c r="R102" s="203" t="s">
        <v>10</v>
      </c>
      <c r="S102" s="203" t="s">
        <v>465</v>
      </c>
      <c r="T102" s="203" t="s">
        <v>13</v>
      </c>
      <c r="U102" s="203" t="s">
        <v>398</v>
      </c>
      <c r="V102" s="203" t="s">
        <v>42</v>
      </c>
      <c r="W102" s="203" t="s">
        <v>14</v>
      </c>
      <c r="X102" s="203" t="s">
        <v>15</v>
      </c>
      <c r="Y102" s="203" t="s">
        <v>16</v>
      </c>
      <c r="Z102" s="203" t="s">
        <v>17</v>
      </c>
      <c r="AA102" s="203" t="s">
        <v>18</v>
      </c>
      <c r="AB102" s="203" t="s">
        <v>19</v>
      </c>
      <c r="AC102" s="203" t="s">
        <v>20</v>
      </c>
      <c r="AD102" s="203" t="s">
        <v>21</v>
      </c>
    </row>
    <row r="103" spans="2:30" ht="33.75" customHeight="1" thickBot="1" x14ac:dyDescent="0.35">
      <c r="B103" s="204" t="s">
        <v>22</v>
      </c>
      <c r="C103" s="204"/>
      <c r="D103" s="204"/>
      <c r="E103" s="204"/>
      <c r="F103" s="205" t="s">
        <v>23</v>
      </c>
      <c r="G103" s="205">
        <v>2020</v>
      </c>
      <c r="H103" s="206" t="s">
        <v>26</v>
      </c>
      <c r="I103" s="206" t="s">
        <v>658</v>
      </c>
      <c r="J103" s="206" t="s">
        <v>127</v>
      </c>
      <c r="K103" s="205"/>
      <c r="L103" s="205"/>
      <c r="M103" s="205"/>
      <c r="N103" s="205"/>
      <c r="O103" s="207" t="s">
        <v>671</v>
      </c>
      <c r="P103" s="207" t="s">
        <v>671</v>
      </c>
      <c r="Q103" s="207" t="s">
        <v>671</v>
      </c>
      <c r="R103" s="207" t="s">
        <v>671</v>
      </c>
      <c r="S103" s="206" t="s">
        <v>676</v>
      </c>
      <c r="T103" s="206" t="s">
        <v>676</v>
      </c>
      <c r="U103" s="206" t="s">
        <v>676</v>
      </c>
      <c r="V103" s="208" t="s">
        <v>679</v>
      </c>
      <c r="W103" s="208" t="s">
        <v>678</v>
      </c>
      <c r="X103" s="208" t="s">
        <v>675</v>
      </c>
      <c r="Y103" s="208" t="s">
        <v>675</v>
      </c>
      <c r="Z103" s="208" t="s">
        <v>675</v>
      </c>
      <c r="AA103" s="208" t="s">
        <v>675</v>
      </c>
      <c r="AB103" s="208" t="s">
        <v>675</v>
      </c>
      <c r="AC103" s="208" t="s">
        <v>675</v>
      </c>
      <c r="AD103" s="208" t="s">
        <v>675</v>
      </c>
    </row>
    <row r="104" spans="2:30" s="39" customFormat="1" x14ac:dyDescent="0.3">
      <c r="B104" s="209" t="s">
        <v>359</v>
      </c>
      <c r="C104" s="210" t="str">
        <f>LOOKUP(B104, TRA_COMM_PRO!$C$17:$C$199, TRA_COMM_PRO!$D$17:$D$199)</f>
        <v>Truck.Medium.BDL.01.</v>
      </c>
      <c r="D104" s="209" t="s">
        <v>44</v>
      </c>
      <c r="E104" s="209"/>
      <c r="F104" s="209"/>
      <c r="G104" s="10">
        <f>$G$103</f>
        <v>2020</v>
      </c>
      <c r="H104" s="71">
        <v>15</v>
      </c>
      <c r="I104" s="158">
        <f>10^-3</f>
        <v>1E-3</v>
      </c>
      <c r="J104" s="72">
        <v>2.7</v>
      </c>
      <c r="K104" s="73"/>
      <c r="L104" s="73"/>
      <c r="M104" s="73"/>
      <c r="N104" s="73"/>
      <c r="O104" s="43"/>
      <c r="P104" s="43"/>
      <c r="Q104" s="43"/>
      <c r="R104" s="43"/>
      <c r="S104" s="71"/>
      <c r="T104" s="71"/>
      <c r="U104" s="71"/>
      <c r="V104" s="72"/>
      <c r="W104" s="62">
        <f>LOOKUP(B104, FIXOM_VAROM!$C$8:$C$190, FIXOM_VAROM!$D$8:$D$190)</f>
        <v>0.1</v>
      </c>
      <c r="X104" s="40">
        <f>LOOKUP($B104, INVCOST!$C$8:$C$193, INVCOST!E$8:E$193)</f>
        <v>141</v>
      </c>
      <c r="Y104" s="40">
        <f>LOOKUP($B104, INVCOST!$C$8:$C$193, INVCOST!F$8:F$193)</f>
        <v>141</v>
      </c>
      <c r="Z104" s="40">
        <f>LOOKUP($B104, INVCOST!$C$8:$C$193, INVCOST!G$8:G$193)</f>
        <v>141</v>
      </c>
      <c r="AA104" s="40">
        <f>LOOKUP($B104, INVCOST!$C$8:$C$193, INVCOST!H$8:H$193)</f>
        <v>141</v>
      </c>
      <c r="AB104" s="40">
        <f>LOOKUP($B104, INVCOST!$C$8:$C$193, INVCOST!I$8:I$193)</f>
        <v>141</v>
      </c>
      <c r="AC104" s="40">
        <f>LOOKUP($B104, INVCOST!$C$8:$C$193, INVCOST!J$8:J$193)</f>
        <v>141</v>
      </c>
      <c r="AD104" s="40">
        <f>LOOKUP($B104, INVCOST!$C$8:$C$193, INVCOST!K$8:K$193)</f>
        <v>141</v>
      </c>
    </row>
    <row r="105" spans="2:30" s="39" customFormat="1" x14ac:dyDescent="0.3">
      <c r="B105" s="211"/>
      <c r="C105" s="211"/>
      <c r="D105" s="211"/>
      <c r="E105" s="211"/>
      <c r="F105" s="211" t="s">
        <v>378</v>
      </c>
      <c r="G105" s="50"/>
      <c r="H105" s="40"/>
      <c r="I105" s="41"/>
      <c r="J105" s="41"/>
      <c r="K105" s="42"/>
      <c r="L105" s="42"/>
      <c r="M105" s="42"/>
      <c r="N105" s="42"/>
      <c r="O105" s="265">
        <f>LOOKUP($B104, CEFF!$C$8:$C$156, CEFF!G$8:G$156)</f>
        <v>0.10377</v>
      </c>
      <c r="P105" s="265">
        <f>LOOKUP($B104, CEFF!$C$8:$C$156, CEFF!H$8:H$156)</f>
        <v>0.10680000000000001</v>
      </c>
      <c r="Q105" s="265">
        <f>LOOKUP($B104, CEFF!$C$8:$C$156, CEFF!I$8:I$156)</f>
        <v>0.10945000000000001</v>
      </c>
      <c r="R105" s="265">
        <f>LOOKUP($B104, CEFF!$C$8:$C$156, CEFF!J$8:J$156)</f>
        <v>0.11224000000000001</v>
      </c>
      <c r="S105" s="40"/>
      <c r="T105" s="40"/>
      <c r="U105" s="40"/>
      <c r="V105" s="41"/>
      <c r="W105" s="60"/>
      <c r="X105" s="40"/>
      <c r="Y105" s="40"/>
      <c r="Z105" s="40"/>
      <c r="AA105" s="40"/>
      <c r="AB105" s="40"/>
      <c r="AC105" s="40"/>
      <c r="AD105" s="40"/>
    </row>
    <row r="106" spans="2:30" s="39" customFormat="1" x14ac:dyDescent="0.3">
      <c r="B106" s="212"/>
      <c r="C106" s="212"/>
      <c r="D106" s="212"/>
      <c r="E106" s="212"/>
      <c r="F106" s="212" t="s">
        <v>379</v>
      </c>
      <c r="G106" s="51"/>
      <c r="H106" s="45"/>
      <c r="I106" s="46"/>
      <c r="J106" s="46"/>
      <c r="K106" s="44"/>
      <c r="L106" s="44"/>
      <c r="M106" s="44"/>
      <c r="N106" s="44"/>
      <c r="O106" s="266">
        <f>LOOKUP($B104, CEFF!$C$163:$C$330, CEFF!G$163:G$330)</f>
        <v>7.5469999999999995E-2</v>
      </c>
      <c r="P106" s="266">
        <f>LOOKUP($B104, CEFF!$C$163:$C$330, CEFF!H$163:H$330)</f>
        <v>7.7670000000000003E-2</v>
      </c>
      <c r="Q106" s="266">
        <f>LOOKUP($B104, CEFF!$C$163:$C$330, CEFF!I$163:I$330)</f>
        <v>7.9600000000000004E-2</v>
      </c>
      <c r="R106" s="266">
        <f>LOOKUP($B104, CEFF!$C$163:$C$330, CEFF!J$163:J$330)</f>
        <v>8.1629999999999994E-2</v>
      </c>
      <c r="S106" s="45"/>
      <c r="T106" s="45"/>
      <c r="U106" s="45"/>
      <c r="V106" s="46"/>
      <c r="W106" s="64"/>
      <c r="X106" s="45"/>
      <c r="Y106" s="45"/>
      <c r="Z106" s="45"/>
      <c r="AA106" s="45"/>
      <c r="AB106" s="45"/>
      <c r="AC106" s="45"/>
      <c r="AD106" s="45"/>
    </row>
    <row r="107" spans="2:30" s="39" customFormat="1" x14ac:dyDescent="0.3">
      <c r="B107" s="211" t="s">
        <v>360</v>
      </c>
      <c r="C107" s="210" t="str">
        <f>LOOKUP(B107, TRA_COMM_PRO!$C$17:$C$199, TRA_COMM_PRO!$D$17:$D$199)</f>
        <v>Truck.Medium.DME.01.</v>
      </c>
      <c r="D107" s="211" t="s">
        <v>71</v>
      </c>
      <c r="E107" s="211"/>
      <c r="F107" s="211"/>
      <c r="G107" s="10">
        <f>$G$103</f>
        <v>2020</v>
      </c>
      <c r="H107" s="40">
        <v>15</v>
      </c>
      <c r="I107" s="65">
        <f>$I$104</f>
        <v>1E-3</v>
      </c>
      <c r="J107" s="41">
        <f>J104</f>
        <v>2.7</v>
      </c>
      <c r="K107" s="42"/>
      <c r="L107" s="42"/>
      <c r="M107" s="42"/>
      <c r="N107" s="42"/>
      <c r="O107" s="265"/>
      <c r="P107" s="265"/>
      <c r="Q107" s="265"/>
      <c r="R107" s="265"/>
      <c r="S107" s="40"/>
      <c r="T107" s="40"/>
      <c r="U107" s="40"/>
      <c r="V107" s="41"/>
      <c r="W107" s="62">
        <f>LOOKUP(B107, FIXOM_VAROM!$C$8:$C$190, FIXOM_VAROM!$D$8:$D$190)</f>
        <v>0.1</v>
      </c>
      <c r="X107" s="40">
        <f>LOOKUP($B107, INVCOST!$C$8:$C$193, INVCOST!E$8:E$193)</f>
        <v>169</v>
      </c>
      <c r="Y107" s="40">
        <f>LOOKUP($B107, INVCOST!$C$8:$C$193, INVCOST!F$8:F$193)</f>
        <v>169</v>
      </c>
      <c r="Z107" s="40">
        <f>LOOKUP($B107, INVCOST!$C$8:$C$193, INVCOST!G$8:G$193)</f>
        <v>169</v>
      </c>
      <c r="AA107" s="40">
        <f>LOOKUP($B107, INVCOST!$C$8:$C$193, INVCOST!H$8:H$193)</f>
        <v>169</v>
      </c>
      <c r="AB107" s="40">
        <f>LOOKUP($B107, INVCOST!$C$8:$C$193, INVCOST!I$8:I$193)</f>
        <v>169</v>
      </c>
      <c r="AC107" s="40">
        <f>LOOKUP($B107, INVCOST!$C$8:$C$193, INVCOST!J$8:J$193)</f>
        <v>169</v>
      </c>
      <c r="AD107" s="40">
        <f>LOOKUP($B107, INVCOST!$C$8:$C$193, INVCOST!K$8:K$193)</f>
        <v>169</v>
      </c>
    </row>
    <row r="108" spans="2:30" s="39" customFormat="1" x14ac:dyDescent="0.3">
      <c r="B108" s="211"/>
      <c r="C108" s="213"/>
      <c r="D108" s="211"/>
      <c r="E108" s="211"/>
      <c r="F108" s="211" t="s">
        <v>378</v>
      </c>
      <c r="G108" s="50"/>
      <c r="H108" s="40"/>
      <c r="I108" s="41"/>
      <c r="J108" s="41"/>
      <c r="K108" s="42"/>
      <c r="L108" s="42"/>
      <c r="M108" s="42"/>
      <c r="N108" s="42"/>
      <c r="O108" s="265">
        <f>LOOKUP($B107, CEFF!$C$8:$C$156, CEFF!G$8:G$156)</f>
        <v>0.10377</v>
      </c>
      <c r="P108" s="265">
        <f>LOOKUP($B107, CEFF!$C$8:$C$156, CEFF!H$8:H$156)</f>
        <v>0.10680000000000001</v>
      </c>
      <c r="Q108" s="265">
        <f>LOOKUP($B107, CEFF!$C$8:$C$156, CEFF!I$8:I$156)</f>
        <v>0.10945000000000001</v>
      </c>
      <c r="R108" s="265">
        <f>LOOKUP($B107, CEFF!$C$8:$C$156, CEFF!J$8:J$156)</f>
        <v>0.11224000000000001</v>
      </c>
      <c r="S108" s="40"/>
      <c r="T108" s="40"/>
      <c r="U108" s="40"/>
      <c r="V108" s="41"/>
      <c r="W108" s="60"/>
      <c r="X108" s="40"/>
      <c r="Y108" s="40"/>
      <c r="Z108" s="40"/>
      <c r="AA108" s="40"/>
      <c r="AB108" s="40"/>
      <c r="AC108" s="40"/>
      <c r="AD108" s="40"/>
    </row>
    <row r="109" spans="2:30" s="39" customFormat="1" x14ac:dyDescent="0.3">
      <c r="B109" s="212"/>
      <c r="C109" s="212"/>
      <c r="D109" s="212"/>
      <c r="E109" s="212"/>
      <c r="F109" s="212" t="s">
        <v>379</v>
      </c>
      <c r="G109" s="51"/>
      <c r="H109" s="45"/>
      <c r="I109" s="46"/>
      <c r="J109" s="46"/>
      <c r="K109" s="44"/>
      <c r="L109" s="44"/>
      <c r="M109" s="44"/>
      <c r="N109" s="44"/>
      <c r="O109" s="266">
        <f>LOOKUP($B107, CEFF!$C$163:$C$330, CEFF!G$163:G$330)</f>
        <v>7.5469999999999995E-2</v>
      </c>
      <c r="P109" s="266">
        <f>LOOKUP($B107, CEFF!$C$163:$C$330, CEFF!H$163:H$330)</f>
        <v>7.7670000000000003E-2</v>
      </c>
      <c r="Q109" s="266">
        <f>LOOKUP($B107, CEFF!$C$163:$C$330, CEFF!I$163:I$330)</f>
        <v>7.9600000000000004E-2</v>
      </c>
      <c r="R109" s="266">
        <f>LOOKUP($B107, CEFF!$C$163:$C$330, CEFF!J$163:J$330)</f>
        <v>8.1629999999999994E-2</v>
      </c>
      <c r="S109" s="45"/>
      <c r="T109" s="45"/>
      <c r="U109" s="45"/>
      <c r="V109" s="46"/>
      <c r="W109" s="64"/>
      <c r="X109" s="45"/>
      <c r="Y109" s="45"/>
      <c r="Z109" s="45"/>
      <c r="AA109" s="45"/>
      <c r="AB109" s="45"/>
      <c r="AC109" s="45"/>
      <c r="AD109" s="45"/>
    </row>
    <row r="110" spans="2:30" s="39" customFormat="1" x14ac:dyDescent="0.3">
      <c r="B110" s="211" t="s">
        <v>361</v>
      </c>
      <c r="C110" s="210" t="str">
        <f>LOOKUP(B110, TRA_COMM_PRO!$C$17:$C$199, TRA_COMM_PRO!$D$17:$D$199)</f>
        <v>Truck.Medium.DST.01.</v>
      </c>
      <c r="D110" s="211" t="s">
        <v>712</v>
      </c>
      <c r="E110" s="211"/>
      <c r="F110" s="211"/>
      <c r="G110" s="10">
        <f>$G$103</f>
        <v>2020</v>
      </c>
      <c r="H110" s="40">
        <v>15</v>
      </c>
      <c r="I110" s="65">
        <f>$I$104</f>
        <v>1E-3</v>
      </c>
      <c r="J110" s="41">
        <f>J107</f>
        <v>2.7</v>
      </c>
      <c r="K110" s="42"/>
      <c r="L110" s="42"/>
      <c r="M110" s="42"/>
      <c r="N110" s="42"/>
      <c r="O110" s="265"/>
      <c r="P110" s="265"/>
      <c r="Q110" s="265"/>
      <c r="R110" s="265"/>
      <c r="S110" s="40"/>
      <c r="T110" s="40"/>
      <c r="U110" s="40"/>
      <c r="V110" s="41"/>
      <c r="W110" s="62">
        <f>LOOKUP(B110, FIXOM_VAROM!$C$8:$C$190, FIXOM_VAROM!$D$8:$D$190)</f>
        <v>0.1</v>
      </c>
      <c r="X110" s="40">
        <f>LOOKUP($B110, INVCOST!$C$8:$C$193, INVCOST!E$8:E$193)</f>
        <v>141</v>
      </c>
      <c r="Y110" s="40">
        <f>LOOKUP($B110, INVCOST!$C$8:$C$193, INVCOST!F$8:F$193)</f>
        <v>141</v>
      </c>
      <c r="Z110" s="40">
        <f>LOOKUP($B110, INVCOST!$C$8:$C$193, INVCOST!G$8:G$193)</f>
        <v>141</v>
      </c>
      <c r="AA110" s="40">
        <f>LOOKUP($B110, INVCOST!$C$8:$C$193, INVCOST!H$8:H$193)</f>
        <v>141</v>
      </c>
      <c r="AB110" s="40">
        <f>LOOKUP($B110, INVCOST!$C$8:$C$193, INVCOST!I$8:I$193)</f>
        <v>141</v>
      </c>
      <c r="AC110" s="40">
        <f>LOOKUP($B110, INVCOST!$C$8:$C$193, INVCOST!J$8:J$193)</f>
        <v>141</v>
      </c>
      <c r="AD110" s="40">
        <f>LOOKUP($B110, INVCOST!$C$8:$C$193, INVCOST!K$8:K$193)</f>
        <v>141</v>
      </c>
    </row>
    <row r="111" spans="2:30" s="39" customFormat="1" x14ac:dyDescent="0.3">
      <c r="B111" s="211"/>
      <c r="C111" s="211"/>
      <c r="D111" s="211"/>
      <c r="E111" s="211"/>
      <c r="F111" s="211" t="s">
        <v>378</v>
      </c>
      <c r="G111" s="50"/>
      <c r="H111" s="40"/>
      <c r="I111" s="41"/>
      <c r="J111" s="41"/>
      <c r="K111" s="42"/>
      <c r="L111" s="42"/>
      <c r="M111" s="42"/>
      <c r="N111" s="42"/>
      <c r="O111" s="265">
        <f>LOOKUP($B110, CEFF!$C$8:$C$156, CEFF!G$8:G$156)</f>
        <v>0.10377</v>
      </c>
      <c r="P111" s="265">
        <f>LOOKUP($B110, CEFF!$C$8:$C$156, CEFF!H$8:H$156)</f>
        <v>0.10680000000000001</v>
      </c>
      <c r="Q111" s="265">
        <f>LOOKUP($B110, CEFF!$C$8:$C$156, CEFF!I$8:I$156)</f>
        <v>0.10945000000000001</v>
      </c>
      <c r="R111" s="265">
        <f>LOOKUP($B110, CEFF!$C$8:$C$156, CEFF!J$8:J$156)</f>
        <v>0.11224000000000001</v>
      </c>
      <c r="S111" s="40"/>
      <c r="T111" s="40"/>
      <c r="U111" s="40"/>
      <c r="V111" s="41"/>
      <c r="W111" s="60"/>
      <c r="X111" s="40"/>
      <c r="Y111" s="40"/>
      <c r="Z111" s="40"/>
      <c r="AA111" s="40"/>
      <c r="AB111" s="40"/>
      <c r="AC111" s="40"/>
      <c r="AD111" s="40"/>
    </row>
    <row r="112" spans="2:30" s="39" customFormat="1" x14ac:dyDescent="0.3">
      <c r="B112" s="211"/>
      <c r="C112" s="211"/>
      <c r="D112" s="211"/>
      <c r="E112" s="211"/>
      <c r="F112" s="212" t="s">
        <v>379</v>
      </c>
      <c r="G112" s="51"/>
      <c r="H112" s="40"/>
      <c r="I112" s="46"/>
      <c r="J112" s="46"/>
      <c r="K112" s="42"/>
      <c r="L112" s="42"/>
      <c r="M112" s="42"/>
      <c r="N112" s="42"/>
      <c r="O112" s="266">
        <f>LOOKUP($B110, CEFF!$C$163:$C$330, CEFF!G$163:G$330)</f>
        <v>7.5469999999999995E-2</v>
      </c>
      <c r="P112" s="266">
        <f>LOOKUP($B110, CEFF!$C$163:$C$330, CEFF!H$163:H$330)</f>
        <v>7.7670000000000003E-2</v>
      </c>
      <c r="Q112" s="266">
        <f>LOOKUP($B110, CEFF!$C$163:$C$330, CEFF!I$163:I$330)</f>
        <v>7.9600000000000004E-2</v>
      </c>
      <c r="R112" s="266">
        <f>LOOKUP($B110, CEFF!$C$163:$C$330, CEFF!J$163:J$330)</f>
        <v>8.1629999999999994E-2</v>
      </c>
      <c r="S112" s="40"/>
      <c r="T112" s="40"/>
      <c r="U112" s="40"/>
      <c r="V112" s="41"/>
      <c r="W112" s="60"/>
      <c r="X112" s="45"/>
      <c r="Y112" s="45"/>
      <c r="Z112" s="45"/>
      <c r="AA112" s="45"/>
      <c r="AB112" s="45"/>
      <c r="AC112" s="45"/>
      <c r="AD112" s="45"/>
    </row>
    <row r="113" spans="2:30" s="74" customFormat="1" x14ac:dyDescent="0.3">
      <c r="B113" s="214" t="s">
        <v>362</v>
      </c>
      <c r="C113" s="214" t="str">
        <f>LOOKUP(B113, TRA_COMM_PRO!$C$17:$C$199, TRA_COMM_PRO!$D$17:$D$199)</f>
        <v>Truck.Medium.ELC.01.</v>
      </c>
      <c r="D113" s="214" t="s">
        <v>27</v>
      </c>
      <c r="E113" s="214"/>
      <c r="F113" s="214"/>
      <c r="G113" s="10">
        <f>$G$103</f>
        <v>2020</v>
      </c>
      <c r="H113" s="54">
        <v>8</v>
      </c>
      <c r="I113" s="65">
        <f>$I$104</f>
        <v>1E-3</v>
      </c>
      <c r="J113" s="41">
        <f>J110</f>
        <v>2.7</v>
      </c>
      <c r="K113" s="56"/>
      <c r="L113" s="56"/>
      <c r="M113" s="56"/>
      <c r="N113" s="56"/>
      <c r="O113" s="265"/>
      <c r="P113" s="265"/>
      <c r="Q113" s="265"/>
      <c r="R113" s="265"/>
      <c r="S113" s="54"/>
      <c r="T113" s="54">
        <v>45</v>
      </c>
      <c r="U113" s="54"/>
      <c r="V113" s="55"/>
      <c r="W113" s="62">
        <f>LOOKUP(B113, FIXOM_VAROM!$C$8:$C$190, FIXOM_VAROM!$D$8:$D$190)</f>
        <v>8.0000000000000016E-2</v>
      </c>
      <c r="X113" s="40">
        <f>LOOKUP($B113, INVCOST!$C$8:$C$193, INVCOST!E$8:E$193)</f>
        <v>216</v>
      </c>
      <c r="Y113" s="40">
        <f>LOOKUP($B113, INVCOST!$C$8:$C$193, INVCOST!F$8:F$193)</f>
        <v>213</v>
      </c>
      <c r="Z113" s="40">
        <f>LOOKUP($B113, INVCOST!$C$8:$C$193, INVCOST!G$8:G$193)</f>
        <v>210</v>
      </c>
      <c r="AA113" s="40">
        <f>LOOKUP($B113, INVCOST!$C$8:$C$193, INVCOST!H$8:H$193)</f>
        <v>206</v>
      </c>
      <c r="AB113" s="40">
        <f>LOOKUP($B113, INVCOST!$C$8:$C$193, INVCOST!I$8:I$193)</f>
        <v>203</v>
      </c>
      <c r="AC113" s="40">
        <f>LOOKUP($B113, INVCOST!$C$8:$C$193, INVCOST!J$8:J$193)</f>
        <v>200</v>
      </c>
      <c r="AD113" s="40">
        <f>LOOKUP($B113, INVCOST!$C$8:$C$193, INVCOST!K$8:K$193)</f>
        <v>197</v>
      </c>
    </row>
    <row r="114" spans="2:30" s="39" customFormat="1" x14ac:dyDescent="0.3">
      <c r="B114" s="211"/>
      <c r="C114" s="211"/>
      <c r="D114" s="211"/>
      <c r="E114" s="211"/>
      <c r="F114" s="211" t="s">
        <v>378</v>
      </c>
      <c r="G114" s="10"/>
      <c r="H114" s="40"/>
      <c r="I114" s="41"/>
      <c r="J114" s="41"/>
      <c r="K114" s="42"/>
      <c r="L114" s="42"/>
      <c r="M114" s="42"/>
      <c r="N114" s="42"/>
      <c r="O114" s="265">
        <f>LOOKUP($B113, CEFF!$C$8:$C$156, CEFF!G$8:G$156)</f>
        <v>90.909090000000006</v>
      </c>
      <c r="P114" s="265">
        <f>LOOKUP($B113, CEFF!$C$8:$C$156, CEFF!H$8:H$156)</f>
        <v>90.909090000000006</v>
      </c>
      <c r="Q114" s="265">
        <f>LOOKUP($B113, CEFF!$C$8:$C$156, CEFF!I$8:I$156)</f>
        <v>90.909090000000006</v>
      </c>
      <c r="R114" s="265">
        <f>LOOKUP($B113, CEFF!$C$8:$C$156, CEFF!J$8:J$156)</f>
        <v>90.909090000000006</v>
      </c>
      <c r="S114" s="40"/>
      <c r="T114" s="40"/>
      <c r="U114" s="40"/>
      <c r="V114" s="41"/>
      <c r="W114" s="60"/>
      <c r="X114" s="40"/>
      <c r="Y114" s="40"/>
      <c r="Z114" s="40"/>
      <c r="AA114" s="40"/>
      <c r="AB114" s="40"/>
      <c r="AC114" s="40"/>
      <c r="AD114" s="40"/>
    </row>
    <row r="115" spans="2:30" s="75" customFormat="1" x14ac:dyDescent="0.3">
      <c r="B115" s="212"/>
      <c r="C115" s="212"/>
      <c r="D115" s="212"/>
      <c r="E115" s="212"/>
      <c r="F115" s="212" t="s">
        <v>379</v>
      </c>
      <c r="G115" s="51"/>
      <c r="H115" s="45"/>
      <c r="I115" s="46"/>
      <c r="J115" s="46"/>
      <c r="K115" s="44"/>
      <c r="L115" s="44"/>
      <c r="M115" s="44"/>
      <c r="N115" s="44"/>
      <c r="O115" s="266">
        <f>LOOKUP($B113, CEFF!$C$163:$C$330, CEFF!G$163:G$330)</f>
        <v>0.17985999999999999</v>
      </c>
      <c r="P115" s="266">
        <f>LOOKUP($B113, CEFF!$C$163:$C$330, CEFF!H$163:H$330)</f>
        <v>0.18970999999999999</v>
      </c>
      <c r="Q115" s="266">
        <f>LOOKUP($B113, CEFF!$C$163:$C$330, CEFF!I$163:I$330)</f>
        <v>0.19783999999999999</v>
      </c>
      <c r="R115" s="266">
        <f>LOOKUP($B113, CEFF!$C$163:$C$330, CEFF!J$163:J$330)</f>
        <v>0.20982999999999999</v>
      </c>
      <c r="S115" s="45"/>
      <c r="T115" s="45"/>
      <c r="U115" s="45"/>
      <c r="V115" s="46"/>
      <c r="W115" s="64"/>
      <c r="X115" s="45"/>
      <c r="Y115" s="45"/>
      <c r="Z115" s="45"/>
      <c r="AA115" s="45"/>
      <c r="AB115" s="45"/>
      <c r="AC115" s="45"/>
      <c r="AD115" s="45"/>
    </row>
    <row r="116" spans="2:30" s="39" customFormat="1" x14ac:dyDescent="0.3">
      <c r="B116" s="211" t="s">
        <v>363</v>
      </c>
      <c r="C116" s="210" t="str">
        <f>LOOKUP(B116, TRA_COMM_PRO!$C$17:$C$199, TRA_COMM_PRO!$D$17:$D$199)</f>
        <v>Truck.Medium.ETH.01.</v>
      </c>
      <c r="D116" s="211" t="s">
        <v>51</v>
      </c>
      <c r="E116" s="211"/>
      <c r="F116" s="211"/>
      <c r="G116" s="10">
        <f>$G$103</f>
        <v>2020</v>
      </c>
      <c r="H116" s="40">
        <v>15</v>
      </c>
      <c r="I116" s="65">
        <f>$I$104</f>
        <v>1E-3</v>
      </c>
      <c r="J116" s="41">
        <f>J113</f>
        <v>2.7</v>
      </c>
      <c r="K116" s="42"/>
      <c r="L116" s="42"/>
      <c r="M116" s="42"/>
      <c r="N116" s="42"/>
      <c r="O116" s="265"/>
      <c r="P116" s="265"/>
      <c r="Q116" s="265"/>
      <c r="R116" s="265"/>
      <c r="S116" s="40"/>
      <c r="T116" s="40"/>
      <c r="U116" s="40"/>
      <c r="V116" s="41"/>
      <c r="W116" s="62">
        <f>LOOKUP(B116, FIXOM_VAROM!$C$8:$C$190, FIXOM_VAROM!$D$8:$D$190)</f>
        <v>0.1</v>
      </c>
      <c r="X116" s="40">
        <f>LOOKUP($B116, INVCOST!$C$8:$C$193, INVCOST!E$8:E$193)</f>
        <v>169</v>
      </c>
      <c r="Y116" s="40">
        <f>LOOKUP($B116, INVCOST!$C$8:$C$193, INVCOST!F$8:F$193)</f>
        <v>169</v>
      </c>
      <c r="Z116" s="40">
        <f>LOOKUP($B116, INVCOST!$C$8:$C$193, INVCOST!G$8:G$193)</f>
        <v>169</v>
      </c>
      <c r="AA116" s="40">
        <f>LOOKUP($B116, INVCOST!$C$8:$C$193, INVCOST!H$8:H$193)</f>
        <v>169</v>
      </c>
      <c r="AB116" s="40">
        <f>LOOKUP($B116, INVCOST!$C$8:$C$193, INVCOST!I$8:I$193)</f>
        <v>169</v>
      </c>
      <c r="AC116" s="40">
        <f>LOOKUP($B116, INVCOST!$C$8:$C$193, INVCOST!J$8:J$193)</f>
        <v>169</v>
      </c>
      <c r="AD116" s="40">
        <f>LOOKUP($B116, INVCOST!$C$8:$C$193, INVCOST!K$8:K$193)</f>
        <v>169</v>
      </c>
    </row>
    <row r="117" spans="2:30" s="39" customFormat="1" x14ac:dyDescent="0.3">
      <c r="B117" s="211"/>
      <c r="C117" s="211"/>
      <c r="D117" s="211"/>
      <c r="E117" s="211"/>
      <c r="F117" s="211" t="s">
        <v>378</v>
      </c>
      <c r="G117" s="50"/>
      <c r="H117" s="40"/>
      <c r="I117" s="41"/>
      <c r="J117" s="41"/>
      <c r="K117" s="42"/>
      <c r="L117" s="42"/>
      <c r="M117" s="42"/>
      <c r="N117" s="42"/>
      <c r="O117" s="265">
        <f>LOOKUP($B116, CEFF!$C$8:$C$156, CEFF!G$8:G$156)</f>
        <v>0.10377</v>
      </c>
      <c r="P117" s="265">
        <f>LOOKUP($B116, CEFF!$C$8:$C$156, CEFF!H$8:H$156)</f>
        <v>0.10680000000000001</v>
      </c>
      <c r="Q117" s="265">
        <f>LOOKUP($B116, CEFF!$C$8:$C$156, CEFF!I$8:I$156)</f>
        <v>0.10945000000000001</v>
      </c>
      <c r="R117" s="265">
        <f>LOOKUP($B116, CEFF!$C$8:$C$156, CEFF!J$8:J$156)</f>
        <v>0.11224000000000001</v>
      </c>
      <c r="S117" s="40"/>
      <c r="T117" s="40"/>
      <c r="U117" s="40"/>
      <c r="V117" s="41"/>
      <c r="W117" s="60"/>
      <c r="X117" s="40"/>
      <c r="Y117" s="40"/>
      <c r="Z117" s="40"/>
      <c r="AA117" s="40"/>
      <c r="AB117" s="40"/>
      <c r="AC117" s="40"/>
      <c r="AD117" s="40"/>
    </row>
    <row r="118" spans="2:30" s="39" customFormat="1" x14ac:dyDescent="0.3">
      <c r="B118" s="212"/>
      <c r="C118" s="212"/>
      <c r="D118" s="212"/>
      <c r="E118" s="212"/>
      <c r="F118" s="212" t="s">
        <v>379</v>
      </c>
      <c r="G118" s="51"/>
      <c r="H118" s="45"/>
      <c r="I118" s="46"/>
      <c r="J118" s="46"/>
      <c r="K118" s="44"/>
      <c r="L118" s="44"/>
      <c r="M118" s="44"/>
      <c r="N118" s="44"/>
      <c r="O118" s="266">
        <f>LOOKUP($B116, CEFF!$C$163:$C$330, CEFF!G$163:G$330)</f>
        <v>7.5469999999999995E-2</v>
      </c>
      <c r="P118" s="266">
        <f>LOOKUP($B116, CEFF!$C$163:$C$330, CEFF!H$163:H$330)</f>
        <v>7.7670000000000003E-2</v>
      </c>
      <c r="Q118" s="266">
        <f>LOOKUP($B116, CEFF!$C$163:$C$330, CEFF!I$163:I$330)</f>
        <v>7.9600000000000004E-2</v>
      </c>
      <c r="R118" s="266">
        <f>LOOKUP($B116, CEFF!$C$163:$C$330, CEFF!J$163:J$330)</f>
        <v>8.1629999999999994E-2</v>
      </c>
      <c r="S118" s="45"/>
      <c r="T118" s="45"/>
      <c r="U118" s="45"/>
      <c r="V118" s="46"/>
      <c r="W118" s="64"/>
      <c r="X118" s="45"/>
      <c r="Y118" s="45"/>
      <c r="Z118" s="45"/>
      <c r="AA118" s="45"/>
      <c r="AB118" s="45"/>
      <c r="AC118" s="45"/>
      <c r="AD118" s="45"/>
    </row>
    <row r="119" spans="2:30" s="39" customFormat="1" x14ac:dyDescent="0.3">
      <c r="B119" s="211" t="s">
        <v>364</v>
      </c>
      <c r="C119" s="210" t="str">
        <f>LOOKUP(B119, TRA_COMM_PRO!$C$17:$C$199, TRA_COMM_PRO!$D$17:$D$199)</f>
        <v>Truck.Medium.GAS.01.</v>
      </c>
      <c r="D119" s="211" t="s">
        <v>715</v>
      </c>
      <c r="E119" s="211"/>
      <c r="F119" s="211"/>
      <c r="G119" s="10">
        <f>$G$103</f>
        <v>2020</v>
      </c>
      <c r="H119" s="40">
        <v>15</v>
      </c>
      <c r="I119" s="65">
        <f>$I$104</f>
        <v>1E-3</v>
      </c>
      <c r="J119" s="41">
        <f>J116</f>
        <v>2.7</v>
      </c>
      <c r="K119" s="42"/>
      <c r="L119" s="42"/>
      <c r="M119" s="42"/>
      <c r="N119" s="42"/>
      <c r="O119" s="265"/>
      <c r="P119" s="265"/>
      <c r="Q119" s="265"/>
      <c r="R119" s="265"/>
      <c r="S119" s="40"/>
      <c r="T119" s="40"/>
      <c r="U119" s="40"/>
      <c r="V119" s="41"/>
      <c r="W119" s="62">
        <f>LOOKUP(B119, FIXOM_VAROM!$C$8:$C$190, FIXOM_VAROM!$D$8:$D$190)</f>
        <v>0.1</v>
      </c>
      <c r="X119" s="40">
        <f>LOOKUP($B119, INVCOST!$C$8:$C$193, INVCOST!E$8:E$193)</f>
        <v>169</v>
      </c>
      <c r="Y119" s="40">
        <f>LOOKUP($B119, INVCOST!$C$8:$C$193, INVCOST!F$8:F$193)</f>
        <v>169</v>
      </c>
      <c r="Z119" s="40">
        <f>LOOKUP($B119, INVCOST!$C$8:$C$193, INVCOST!G$8:G$193)</f>
        <v>169</v>
      </c>
      <c r="AA119" s="40">
        <f>LOOKUP($B119, INVCOST!$C$8:$C$193, INVCOST!H$8:H$193)</f>
        <v>169</v>
      </c>
      <c r="AB119" s="40">
        <f>LOOKUP($B119, INVCOST!$C$8:$C$193, INVCOST!I$8:I$193)</f>
        <v>169</v>
      </c>
      <c r="AC119" s="40">
        <f>LOOKUP($B119, INVCOST!$C$8:$C$193, INVCOST!J$8:J$193)</f>
        <v>169</v>
      </c>
      <c r="AD119" s="40">
        <f>LOOKUP($B119, INVCOST!$C$8:$C$193, INVCOST!K$8:K$193)</f>
        <v>169</v>
      </c>
    </row>
    <row r="120" spans="2:30" s="39" customFormat="1" x14ac:dyDescent="0.3">
      <c r="B120" s="211"/>
      <c r="C120" s="211"/>
      <c r="D120" s="211"/>
      <c r="E120" s="211"/>
      <c r="F120" s="211" t="s">
        <v>378</v>
      </c>
      <c r="G120" s="50"/>
      <c r="H120" s="40"/>
      <c r="I120" s="41"/>
      <c r="J120" s="41"/>
      <c r="K120" s="42"/>
      <c r="L120" s="42"/>
      <c r="M120" s="42"/>
      <c r="N120" s="42"/>
      <c r="O120" s="265">
        <f>LOOKUP($B119, CEFF!$C$8:$C$156, CEFF!G$8:G$156)</f>
        <v>9.3619999999999995E-2</v>
      </c>
      <c r="P120" s="265">
        <f>LOOKUP($B119, CEFF!$C$8:$C$156, CEFF!H$8:H$156)</f>
        <v>9.7350000000000006E-2</v>
      </c>
      <c r="Q120" s="265">
        <f>LOOKUP($B119, CEFF!$C$8:$C$156, CEFF!I$8:I$156)</f>
        <v>0.1</v>
      </c>
      <c r="R120" s="265">
        <f>LOOKUP($B119, CEFF!$C$8:$C$156, CEFF!J$8:J$156)</f>
        <v>0.1028</v>
      </c>
      <c r="S120" s="40"/>
      <c r="T120" s="40"/>
      <c r="U120" s="40"/>
      <c r="V120" s="41"/>
      <c r="W120" s="60"/>
      <c r="X120" s="40"/>
      <c r="Y120" s="40"/>
      <c r="Z120" s="40"/>
      <c r="AA120" s="40"/>
      <c r="AB120" s="40"/>
      <c r="AC120" s="40"/>
      <c r="AD120" s="40"/>
    </row>
    <row r="121" spans="2:30" s="39" customFormat="1" x14ac:dyDescent="0.3">
      <c r="B121" s="212"/>
      <c r="C121" s="212"/>
      <c r="D121" s="212"/>
      <c r="E121" s="212"/>
      <c r="F121" s="212" t="s">
        <v>379</v>
      </c>
      <c r="G121" s="51"/>
      <c r="H121" s="45"/>
      <c r="I121" s="46"/>
      <c r="J121" s="46"/>
      <c r="K121" s="44"/>
      <c r="L121" s="44"/>
      <c r="M121" s="44"/>
      <c r="N121" s="44"/>
      <c r="O121" s="266">
        <f>LOOKUP($B119, CEFF!$C$163:$C$330, CEFF!G$163:G$330)</f>
        <v>6.8089999999999998E-2</v>
      </c>
      <c r="P121" s="266">
        <f>LOOKUP($B119, CEFF!$C$163:$C$330, CEFF!H$163:H$330)</f>
        <v>7.0800000000000002E-2</v>
      </c>
      <c r="Q121" s="266">
        <f>LOOKUP($B119, CEFF!$C$163:$C$330, CEFF!I$163:I$330)</f>
        <v>7.2730000000000003E-2</v>
      </c>
      <c r="R121" s="266">
        <f>LOOKUP($B119, CEFF!$C$163:$C$330, CEFF!J$163:J$330)</f>
        <v>7.4770000000000003E-2</v>
      </c>
      <c r="S121" s="45"/>
      <c r="T121" s="45"/>
      <c r="U121" s="45"/>
      <c r="V121" s="46"/>
      <c r="W121" s="64"/>
      <c r="X121" s="45"/>
      <c r="Y121" s="45"/>
      <c r="Z121" s="45"/>
      <c r="AA121" s="45"/>
      <c r="AB121" s="45"/>
      <c r="AC121" s="45"/>
      <c r="AD121" s="45"/>
    </row>
    <row r="122" spans="2:30" s="39" customFormat="1" x14ac:dyDescent="0.3">
      <c r="B122" s="214" t="s">
        <v>365</v>
      </c>
      <c r="C122" s="210" t="str">
        <f>LOOKUP(B122, TRA_COMM_PRO!$C$17:$C$199, TRA_COMM_PRO!$D$17:$D$199)</f>
        <v>Truck.Medium.GSL.01.</v>
      </c>
      <c r="D122" s="214" t="s">
        <v>713</v>
      </c>
      <c r="E122" s="214"/>
      <c r="F122" s="214"/>
      <c r="G122" s="10">
        <f>$G$103</f>
        <v>2020</v>
      </c>
      <c r="H122" s="40">
        <v>15</v>
      </c>
      <c r="I122" s="65">
        <f>$I$104</f>
        <v>1E-3</v>
      </c>
      <c r="J122" s="41">
        <f>J119</f>
        <v>2.7</v>
      </c>
      <c r="K122" s="77"/>
      <c r="L122" s="77"/>
      <c r="M122" s="77"/>
      <c r="N122" s="77"/>
      <c r="O122" s="265"/>
      <c r="P122" s="265"/>
      <c r="Q122" s="265"/>
      <c r="R122" s="265"/>
      <c r="S122" s="40"/>
      <c r="T122" s="40"/>
      <c r="U122" s="40"/>
      <c r="V122" s="41"/>
      <c r="W122" s="62">
        <f>LOOKUP(B122, FIXOM_VAROM!$C$8:$C$190, FIXOM_VAROM!$D$8:$D$190)</f>
        <v>0.1</v>
      </c>
      <c r="X122" s="40">
        <f>LOOKUP($B122, INVCOST!$C$8:$C$193, INVCOST!E$8:E$193)</f>
        <v>141</v>
      </c>
      <c r="Y122" s="40">
        <f>LOOKUP($B122, INVCOST!$C$8:$C$193, INVCOST!F$8:F$193)</f>
        <v>141</v>
      </c>
      <c r="Z122" s="40">
        <f>LOOKUP($B122, INVCOST!$C$8:$C$193, INVCOST!G$8:G$193)</f>
        <v>141</v>
      </c>
      <c r="AA122" s="40">
        <f>LOOKUP($B122, INVCOST!$C$8:$C$193, INVCOST!H$8:H$193)</f>
        <v>141</v>
      </c>
      <c r="AB122" s="40">
        <f>LOOKUP($B122, INVCOST!$C$8:$C$193, INVCOST!I$8:I$193)</f>
        <v>141</v>
      </c>
      <c r="AC122" s="40">
        <f>LOOKUP($B122, INVCOST!$C$8:$C$193, INVCOST!J$8:J$193)</f>
        <v>141</v>
      </c>
      <c r="AD122" s="40">
        <f>LOOKUP($B122, INVCOST!$C$8:$C$193, INVCOST!K$8:K$193)</f>
        <v>141</v>
      </c>
    </row>
    <row r="123" spans="2:30" s="39" customFormat="1" x14ac:dyDescent="0.3">
      <c r="B123" s="211"/>
      <c r="C123" s="211"/>
      <c r="D123" s="211"/>
      <c r="E123" s="211"/>
      <c r="F123" s="211" t="s">
        <v>378</v>
      </c>
      <c r="G123" s="50"/>
      <c r="H123" s="40"/>
      <c r="I123" s="41"/>
      <c r="J123" s="40"/>
      <c r="K123" s="78"/>
      <c r="L123" s="78"/>
      <c r="M123" s="78"/>
      <c r="N123" s="78"/>
      <c r="O123" s="265">
        <f>LOOKUP($B122, CEFF!$C$8:$C$156, CEFF!G$8:G$156)</f>
        <v>9.3619999999999995E-2</v>
      </c>
      <c r="P123" s="265">
        <f>LOOKUP($B122, CEFF!$C$8:$C$156, CEFF!H$8:H$156)</f>
        <v>9.7350000000000006E-2</v>
      </c>
      <c r="Q123" s="265">
        <f>LOOKUP($B122, CEFF!$C$8:$C$156, CEFF!I$8:I$156)</f>
        <v>0.1</v>
      </c>
      <c r="R123" s="265">
        <f>LOOKUP($B122, CEFF!$C$8:$C$156, CEFF!J$8:J$156)</f>
        <v>0.1028</v>
      </c>
      <c r="S123" s="40"/>
      <c r="T123" s="40"/>
      <c r="U123" s="40"/>
      <c r="V123" s="41"/>
      <c r="W123" s="60"/>
      <c r="X123" s="40"/>
      <c r="Y123" s="40"/>
      <c r="Z123" s="40"/>
      <c r="AA123" s="40"/>
      <c r="AB123" s="40"/>
      <c r="AC123" s="40"/>
      <c r="AD123" s="40"/>
    </row>
    <row r="124" spans="2:30" s="39" customFormat="1" x14ac:dyDescent="0.3">
      <c r="B124" s="212"/>
      <c r="C124" s="212"/>
      <c r="D124" s="212"/>
      <c r="E124" s="212"/>
      <c r="F124" s="212" t="s">
        <v>379</v>
      </c>
      <c r="G124" s="51"/>
      <c r="H124" s="45"/>
      <c r="I124" s="46"/>
      <c r="J124" s="45"/>
      <c r="K124" s="79"/>
      <c r="L124" s="79"/>
      <c r="M124" s="79"/>
      <c r="N124" s="79"/>
      <c r="O124" s="266">
        <f>LOOKUP($B122, CEFF!$C$163:$C$330, CEFF!G$163:G$330)</f>
        <v>6.8089999999999998E-2</v>
      </c>
      <c r="P124" s="266">
        <f>LOOKUP($B122, CEFF!$C$163:$C$330, CEFF!H$163:H$330)</f>
        <v>7.0800000000000002E-2</v>
      </c>
      <c r="Q124" s="266">
        <f>LOOKUP($B122, CEFF!$C$163:$C$330, CEFF!I$163:I$330)</f>
        <v>7.2730000000000003E-2</v>
      </c>
      <c r="R124" s="266">
        <f>LOOKUP($B122, CEFF!$C$163:$C$330, CEFF!J$163:J$330)</f>
        <v>7.4770000000000003E-2</v>
      </c>
      <c r="S124" s="45"/>
      <c r="T124" s="45"/>
      <c r="U124" s="45"/>
      <c r="V124" s="46"/>
      <c r="W124" s="64"/>
      <c r="X124" s="45"/>
      <c r="Y124" s="45"/>
      <c r="Z124" s="45"/>
      <c r="AA124" s="45"/>
      <c r="AB124" s="45"/>
      <c r="AC124" s="45"/>
      <c r="AD124" s="45"/>
    </row>
    <row r="125" spans="2:30" s="39" customFormat="1" x14ac:dyDescent="0.3">
      <c r="B125" s="211" t="s">
        <v>367</v>
      </c>
      <c r="C125" s="210" t="str">
        <f>LOOKUP(B125, TRA_COMM_PRO!$C$17:$C$199, TRA_COMM_PRO!$D$17:$D$199)</f>
        <v>Truck.Medium.H2G.01.</v>
      </c>
      <c r="D125" s="211" t="s">
        <v>57</v>
      </c>
      <c r="E125" s="211"/>
      <c r="F125" s="211"/>
      <c r="G125" s="10">
        <f>$G$103</f>
        <v>2020</v>
      </c>
      <c r="H125" s="40">
        <v>15</v>
      </c>
      <c r="I125" s="65">
        <f>$I$104</f>
        <v>1E-3</v>
      </c>
      <c r="J125" s="41">
        <f>J122</f>
        <v>2.7</v>
      </c>
      <c r="K125" s="42"/>
      <c r="L125" s="42"/>
      <c r="M125" s="42"/>
      <c r="N125" s="42"/>
      <c r="O125" s="265"/>
      <c r="P125" s="265"/>
      <c r="Q125" s="265"/>
      <c r="R125" s="265"/>
      <c r="S125" s="40"/>
      <c r="T125" s="40"/>
      <c r="U125" s="40"/>
      <c r="V125" s="41"/>
      <c r="W125" s="62">
        <f>LOOKUP(B125, FIXOM_VAROM!$C$8:$C$190, FIXOM_VAROM!$D$8:$D$190)</f>
        <v>8.0000000000000016E-2</v>
      </c>
      <c r="X125" s="40">
        <f>LOOKUP($B125, INVCOST!$C$8:$C$193, INVCOST!E$8:E$193)</f>
        <v>216</v>
      </c>
      <c r="Y125" s="40">
        <f>LOOKUP($B125, INVCOST!$C$8:$C$193, INVCOST!F$8:F$193)</f>
        <v>213</v>
      </c>
      <c r="Z125" s="40">
        <f>LOOKUP($B125, INVCOST!$C$8:$C$193, INVCOST!G$8:G$193)</f>
        <v>210</v>
      </c>
      <c r="AA125" s="40">
        <f>LOOKUP($B125, INVCOST!$C$8:$C$193, INVCOST!H$8:H$193)</f>
        <v>206</v>
      </c>
      <c r="AB125" s="40">
        <f>LOOKUP($B125, INVCOST!$C$8:$C$193, INVCOST!I$8:I$193)</f>
        <v>203</v>
      </c>
      <c r="AC125" s="40">
        <f>LOOKUP($B125, INVCOST!$C$8:$C$193, INVCOST!J$8:J$193)</f>
        <v>200</v>
      </c>
      <c r="AD125" s="40">
        <f>LOOKUP($B125, INVCOST!$C$8:$C$193, INVCOST!K$8:K$193)</f>
        <v>197</v>
      </c>
    </row>
    <row r="126" spans="2:30" s="39" customFormat="1" x14ac:dyDescent="0.3">
      <c r="B126" s="211"/>
      <c r="C126" s="211"/>
      <c r="D126" s="211"/>
      <c r="E126" s="211"/>
      <c r="F126" s="211" t="s">
        <v>378</v>
      </c>
      <c r="G126" s="50"/>
      <c r="H126" s="40"/>
      <c r="I126" s="41"/>
      <c r="J126" s="41"/>
      <c r="K126" s="42"/>
      <c r="L126" s="42"/>
      <c r="M126" s="42"/>
      <c r="N126" s="42"/>
      <c r="O126" s="265">
        <f>LOOKUP($B125, CEFF!$C$8:$C$156, CEFF!G$8:G$156)</f>
        <v>0.17188000000000001</v>
      </c>
      <c r="P126" s="265">
        <f>LOOKUP($B125, CEFF!$C$8:$C$156, CEFF!H$8:H$156)</f>
        <v>0.18032999999999999</v>
      </c>
      <c r="Q126" s="265">
        <f>LOOKUP($B125, CEFF!$C$8:$C$156, CEFF!I$8:I$156)</f>
        <v>0.18487000000000001</v>
      </c>
      <c r="R126" s="265">
        <f>LOOKUP($B125, CEFF!$C$8:$C$156, CEFF!J$8:J$156)</f>
        <v>0.18966</v>
      </c>
      <c r="S126" s="40"/>
      <c r="T126" s="40"/>
      <c r="U126" s="40"/>
      <c r="V126" s="41"/>
      <c r="W126" s="60"/>
      <c r="X126" s="60"/>
      <c r="Y126" s="60"/>
      <c r="Z126" s="60"/>
      <c r="AA126" s="60"/>
      <c r="AB126" s="60"/>
      <c r="AC126" s="60"/>
      <c r="AD126" s="60"/>
    </row>
    <row r="127" spans="2:30" s="39" customFormat="1" x14ac:dyDescent="0.3">
      <c r="B127" s="212"/>
      <c r="C127" s="212"/>
      <c r="D127" s="212"/>
      <c r="E127" s="212"/>
      <c r="F127" s="212" t="s">
        <v>379</v>
      </c>
      <c r="G127" s="51"/>
      <c r="H127" s="45"/>
      <c r="I127" s="46"/>
      <c r="J127" s="45"/>
      <c r="K127" s="79"/>
      <c r="L127" s="79"/>
      <c r="M127" s="79"/>
      <c r="N127" s="79"/>
      <c r="O127" s="266">
        <f>LOOKUP($B125, CEFF!$C$163:$C$330, CEFF!G$163:G$330)</f>
        <v>0.125</v>
      </c>
      <c r="P127" s="266">
        <f>LOOKUP($B125, CEFF!$C$163:$C$330, CEFF!H$163:H$330)</f>
        <v>0.13114999999999999</v>
      </c>
      <c r="Q127" s="266">
        <f>LOOKUP($B125, CEFF!$C$163:$C$330, CEFF!I$163:I$330)</f>
        <v>0.13444999999999999</v>
      </c>
      <c r="R127" s="266">
        <f>LOOKUP($B125, CEFF!$C$163:$C$330, CEFF!J$163:J$330)</f>
        <v>0.13793</v>
      </c>
      <c r="S127" s="45"/>
      <c r="T127" s="45"/>
      <c r="U127" s="45"/>
      <c r="V127" s="46"/>
      <c r="W127" s="64"/>
      <c r="X127" s="45"/>
      <c r="Y127" s="45"/>
      <c r="Z127" s="45"/>
      <c r="AA127" s="45"/>
      <c r="AB127" s="45"/>
      <c r="AC127" s="45"/>
      <c r="AD127" s="45"/>
    </row>
    <row r="128" spans="2:30" s="39" customFormat="1" x14ac:dyDescent="0.3">
      <c r="B128" s="211" t="s">
        <v>366</v>
      </c>
      <c r="C128" s="210" t="str">
        <f>LOOKUP(B128, TRA_COMM_PRO!$C$17:$C$199, TRA_COMM_PRO!$D$17:$D$199)</f>
        <v>Truck.Medium.Hybrid.DST.01.</v>
      </c>
      <c r="D128" s="211" t="s">
        <v>712</v>
      </c>
      <c r="E128" s="211"/>
      <c r="F128" s="211"/>
      <c r="G128" s="10">
        <f>$G$103</f>
        <v>2020</v>
      </c>
      <c r="H128" s="40">
        <v>15</v>
      </c>
      <c r="I128" s="65">
        <f>$I$104</f>
        <v>1E-3</v>
      </c>
      <c r="J128" s="41">
        <f>J125</f>
        <v>2.7</v>
      </c>
      <c r="K128" s="42"/>
      <c r="L128" s="42"/>
      <c r="M128" s="42"/>
      <c r="N128" s="42"/>
      <c r="O128" s="265"/>
      <c r="P128" s="265"/>
      <c r="Q128" s="265"/>
      <c r="R128" s="265"/>
      <c r="S128" s="40"/>
      <c r="T128" s="40"/>
      <c r="U128" s="40"/>
      <c r="V128" s="41"/>
      <c r="W128" s="62">
        <f>LOOKUP(B128, FIXOM_VAROM!$C$8:$C$190, FIXOM_VAROM!$D$8:$D$190)</f>
        <v>0.1</v>
      </c>
      <c r="X128" s="40">
        <f>LOOKUP($B128, INVCOST!$C$8:$C$193, INVCOST!E$8:E$193)</f>
        <v>169</v>
      </c>
      <c r="Y128" s="40">
        <f>LOOKUP($B128, INVCOST!$C$8:$C$193, INVCOST!F$8:F$193)</f>
        <v>169</v>
      </c>
      <c r="Z128" s="40">
        <f>LOOKUP($B128, INVCOST!$C$8:$C$193, INVCOST!G$8:G$193)</f>
        <v>169</v>
      </c>
      <c r="AA128" s="40">
        <f>LOOKUP($B128, INVCOST!$C$8:$C$193, INVCOST!H$8:H$193)</f>
        <v>169</v>
      </c>
      <c r="AB128" s="40">
        <f>LOOKUP($B128, INVCOST!$C$8:$C$193, INVCOST!I$8:I$193)</f>
        <v>169</v>
      </c>
      <c r="AC128" s="40">
        <f>LOOKUP($B128, INVCOST!$C$8:$C$193, INVCOST!J$8:J$193)</f>
        <v>169</v>
      </c>
      <c r="AD128" s="40">
        <f>LOOKUP($B128, INVCOST!$C$8:$C$193, INVCOST!K$8:K$193)</f>
        <v>169</v>
      </c>
    </row>
    <row r="129" spans="2:30" s="39" customFormat="1" x14ac:dyDescent="0.3">
      <c r="B129" s="211"/>
      <c r="C129" s="211"/>
      <c r="D129" s="211"/>
      <c r="E129" s="211"/>
      <c r="F129" s="211" t="s">
        <v>378</v>
      </c>
      <c r="G129" s="50"/>
      <c r="H129" s="40"/>
      <c r="I129" s="41"/>
      <c r="J129" s="41"/>
      <c r="K129" s="42"/>
      <c r="L129" s="42"/>
      <c r="M129" s="42"/>
      <c r="N129" s="42"/>
      <c r="O129" s="265">
        <f>LOOKUP($B128, CEFF!$C$8:$C$156, CEFF!G$8:G$156)</f>
        <v>0.11579</v>
      </c>
      <c r="P129" s="265">
        <f>LOOKUP($B128, CEFF!$C$8:$C$156, CEFF!H$8:H$156)</f>
        <v>0.11957</v>
      </c>
      <c r="Q129" s="265">
        <f>LOOKUP($B128, CEFF!$C$8:$C$156, CEFF!I$8:I$156)</f>
        <v>0.12222</v>
      </c>
      <c r="R129" s="265">
        <f>LOOKUP($B128, CEFF!$C$8:$C$156, CEFF!J$8:J$156)</f>
        <v>0.125</v>
      </c>
      <c r="S129" s="40"/>
      <c r="T129" s="40"/>
      <c r="U129" s="40"/>
      <c r="V129" s="41"/>
      <c r="W129" s="60"/>
      <c r="X129" s="40"/>
      <c r="Y129" s="40"/>
      <c r="Z129" s="40"/>
      <c r="AA129" s="40"/>
      <c r="AB129" s="40"/>
      <c r="AC129" s="40"/>
      <c r="AD129" s="40"/>
    </row>
    <row r="130" spans="2:30" s="39" customFormat="1" x14ac:dyDescent="0.3">
      <c r="B130" s="212"/>
      <c r="C130" s="212"/>
      <c r="D130" s="212"/>
      <c r="E130" s="212"/>
      <c r="F130" s="212" t="s">
        <v>379</v>
      </c>
      <c r="G130" s="51"/>
      <c r="H130" s="45"/>
      <c r="I130" s="46"/>
      <c r="J130" s="46"/>
      <c r="K130" s="44"/>
      <c r="L130" s="44"/>
      <c r="M130" s="44"/>
      <c r="N130" s="44"/>
      <c r="O130" s="266">
        <f>LOOKUP($B128, CEFF!$C$163:$C$330, CEFF!G$163:G$330)</f>
        <v>8.4209999999999993E-2</v>
      </c>
      <c r="P130" s="266">
        <f>LOOKUP($B128, CEFF!$C$163:$C$330, CEFF!H$163:H$330)</f>
        <v>8.6959999999999996E-2</v>
      </c>
      <c r="Q130" s="266">
        <f>LOOKUP($B128, CEFF!$C$163:$C$330, CEFF!I$163:I$330)</f>
        <v>8.8889999999999997E-2</v>
      </c>
      <c r="R130" s="266">
        <f>LOOKUP($B128, CEFF!$C$163:$C$330, CEFF!J$163:J$330)</f>
        <v>9.0910000000000005E-2</v>
      </c>
      <c r="S130" s="45"/>
      <c r="T130" s="45"/>
      <c r="U130" s="45"/>
      <c r="V130" s="46"/>
      <c r="W130" s="64"/>
      <c r="X130" s="45"/>
      <c r="Y130" s="45"/>
      <c r="Z130" s="45"/>
      <c r="AA130" s="45"/>
      <c r="AB130" s="45"/>
      <c r="AC130" s="45"/>
      <c r="AD130" s="45"/>
    </row>
    <row r="131" spans="2:30" s="39" customFormat="1" x14ac:dyDescent="0.3">
      <c r="B131" s="211" t="s">
        <v>425</v>
      </c>
      <c r="C131" s="210" t="str">
        <f>LOOKUP(B131, TRA_COMM_PRO!$C$17:$C$199, TRA_COMM_PRO!$D$17:$D$199)</f>
        <v>Truck.Medium.Hybrid.GSL.01.</v>
      </c>
      <c r="D131" s="214" t="s">
        <v>713</v>
      </c>
      <c r="E131" s="211"/>
      <c r="F131" s="211"/>
      <c r="G131" s="10">
        <f>$G$103</f>
        <v>2020</v>
      </c>
      <c r="H131" s="40">
        <v>15</v>
      </c>
      <c r="I131" s="65">
        <f>$I$104</f>
        <v>1E-3</v>
      </c>
      <c r="J131" s="41">
        <f>J128</f>
        <v>2.7</v>
      </c>
      <c r="K131" s="42"/>
      <c r="L131" s="42"/>
      <c r="M131" s="42"/>
      <c r="N131" s="42"/>
      <c r="O131" s="265"/>
      <c r="P131" s="265"/>
      <c r="Q131" s="265"/>
      <c r="R131" s="265"/>
      <c r="S131" s="40"/>
      <c r="T131" s="40"/>
      <c r="U131" s="40"/>
      <c r="V131" s="41"/>
      <c r="W131" s="62">
        <f>LOOKUP(B131, FIXOM_VAROM!$C$8:$C$190, FIXOM_VAROM!$D$8:$D$190)</f>
        <v>0.1</v>
      </c>
      <c r="X131" s="40">
        <f>LOOKUP($B131, INVCOST!$C$8:$C$193, INVCOST!E$8:E$193)</f>
        <v>169</v>
      </c>
      <c r="Y131" s="40">
        <f>LOOKUP($B131, INVCOST!$C$8:$C$193, INVCOST!F$8:F$193)</f>
        <v>169</v>
      </c>
      <c r="Z131" s="40">
        <f>LOOKUP($B131, INVCOST!$C$8:$C$193, INVCOST!G$8:G$193)</f>
        <v>169</v>
      </c>
      <c r="AA131" s="40">
        <f>LOOKUP($B131, INVCOST!$C$8:$C$193, INVCOST!H$8:H$193)</f>
        <v>169</v>
      </c>
      <c r="AB131" s="40">
        <f>LOOKUP($B131, INVCOST!$C$8:$C$193, INVCOST!I$8:I$193)</f>
        <v>169</v>
      </c>
      <c r="AC131" s="40">
        <f>LOOKUP($B131, INVCOST!$C$8:$C$193, INVCOST!J$8:J$193)</f>
        <v>169</v>
      </c>
      <c r="AD131" s="40">
        <f>LOOKUP($B131, INVCOST!$C$8:$C$193, INVCOST!K$8:K$193)</f>
        <v>169</v>
      </c>
    </row>
    <row r="132" spans="2:30" s="39" customFormat="1" x14ac:dyDescent="0.3">
      <c r="B132" s="211"/>
      <c r="C132" s="211"/>
      <c r="D132" s="211"/>
      <c r="E132" s="211"/>
      <c r="F132" s="211" t="s">
        <v>378</v>
      </c>
      <c r="G132" s="50"/>
      <c r="H132" s="40"/>
      <c r="I132" s="41"/>
      <c r="J132" s="41"/>
      <c r="K132" s="42"/>
      <c r="L132" s="42"/>
      <c r="M132" s="42"/>
      <c r="N132" s="42"/>
      <c r="O132" s="265">
        <f>LOOKUP($B131, CEFF!$C$8:$C$156, CEFF!G$8:G$156)</f>
        <v>0.10446</v>
      </c>
      <c r="P132" s="265">
        <f>LOOKUP($B131, CEFF!$C$8:$C$156, CEFF!H$8:H$156)</f>
        <v>0.10897999999999999</v>
      </c>
      <c r="Q132" s="265">
        <f>LOOKUP($B131, CEFF!$C$8:$C$156, CEFF!I$8:I$156)</f>
        <v>0.11167000000000001</v>
      </c>
      <c r="R132" s="265">
        <f>LOOKUP($B131, CEFF!$C$8:$C$156, CEFF!J$8:J$156)</f>
        <v>0.11448999999999999</v>
      </c>
      <c r="S132" s="40"/>
      <c r="T132" s="40"/>
      <c r="U132" s="40"/>
      <c r="V132" s="41"/>
      <c r="W132" s="60"/>
      <c r="X132" s="40"/>
      <c r="Y132" s="40"/>
      <c r="Z132" s="40"/>
      <c r="AA132" s="40"/>
      <c r="AB132" s="40"/>
      <c r="AC132" s="40"/>
      <c r="AD132" s="40"/>
    </row>
    <row r="133" spans="2:30" s="39" customFormat="1" x14ac:dyDescent="0.3">
      <c r="B133" s="212"/>
      <c r="C133" s="212"/>
      <c r="D133" s="212"/>
      <c r="E133" s="212"/>
      <c r="F133" s="212" t="s">
        <v>379</v>
      </c>
      <c r="G133" s="51"/>
      <c r="H133" s="45"/>
      <c r="I133" s="46"/>
      <c r="J133" s="46"/>
      <c r="K133" s="44"/>
      <c r="L133" s="44"/>
      <c r="M133" s="44"/>
      <c r="N133" s="44"/>
      <c r="O133" s="266">
        <f>LOOKUP($B131, CEFF!$C$163:$C$330, CEFF!G$163:G$330)</f>
        <v>0.11277</v>
      </c>
      <c r="P133" s="266">
        <f>LOOKUP($B131, CEFF!$C$163:$C$330, CEFF!H$163:H$330)</f>
        <v>0.11953999999999999</v>
      </c>
      <c r="Q133" s="266">
        <f>LOOKUP($B131, CEFF!$C$163:$C$330, CEFF!I$163:I$330)</f>
        <v>0.12284</v>
      </c>
      <c r="R133" s="266">
        <f>LOOKUP($B131, CEFF!$C$163:$C$330, CEFF!J$163:J$330)</f>
        <v>0.12633</v>
      </c>
      <c r="S133" s="45"/>
      <c r="T133" s="45"/>
      <c r="U133" s="45"/>
      <c r="V133" s="46"/>
      <c r="W133" s="64"/>
      <c r="X133" s="45"/>
      <c r="Y133" s="45"/>
      <c r="Z133" s="45"/>
      <c r="AA133" s="45"/>
      <c r="AB133" s="45"/>
      <c r="AC133" s="45"/>
      <c r="AD133" s="45"/>
    </row>
    <row r="134" spans="2:30" s="39" customFormat="1" x14ac:dyDescent="0.3">
      <c r="B134" s="211" t="s">
        <v>612</v>
      </c>
      <c r="C134" s="210" t="str">
        <f>LOOKUP(B134, TRA_COMM_PRO!$C$17:$C$199, TRA_COMM_PRO!$D$17:$D$199)</f>
        <v>Truck.Medium.MTH.01.</v>
      </c>
      <c r="D134" s="211" t="s">
        <v>599</v>
      </c>
      <c r="E134" s="211"/>
      <c r="F134" s="211"/>
      <c r="G134" s="10">
        <f>$G$103</f>
        <v>2020</v>
      </c>
      <c r="H134" s="40">
        <v>15</v>
      </c>
      <c r="I134" s="65">
        <f>$I$104</f>
        <v>1E-3</v>
      </c>
      <c r="J134" s="41">
        <f>J131</f>
        <v>2.7</v>
      </c>
      <c r="K134" s="42"/>
      <c r="L134" s="42"/>
      <c r="M134" s="42"/>
      <c r="N134" s="42"/>
      <c r="O134" s="265"/>
      <c r="P134" s="265"/>
      <c r="Q134" s="265"/>
      <c r="R134" s="265"/>
      <c r="S134" s="40"/>
      <c r="T134" s="40"/>
      <c r="U134" s="40"/>
      <c r="V134" s="41"/>
      <c r="W134" s="62">
        <f>LOOKUP(B134, FIXOM_VAROM!$C$8:$C$190, FIXOM_VAROM!$D$8:$D$190)</f>
        <v>0.1</v>
      </c>
      <c r="X134" s="40">
        <f>LOOKUP($B134, INVCOST!$C$8:$C$193, INVCOST!E$8:E$193)</f>
        <v>169</v>
      </c>
      <c r="Y134" s="40">
        <f>LOOKUP($B134, INVCOST!$C$8:$C$193, INVCOST!F$8:F$193)</f>
        <v>169</v>
      </c>
      <c r="Z134" s="40">
        <f>LOOKUP($B134, INVCOST!$C$8:$C$193, INVCOST!G$8:G$193)</f>
        <v>169</v>
      </c>
      <c r="AA134" s="40">
        <f>LOOKUP($B134, INVCOST!$C$8:$C$193, INVCOST!H$8:H$193)</f>
        <v>169</v>
      </c>
      <c r="AB134" s="40">
        <f>LOOKUP($B134, INVCOST!$C$8:$C$193, INVCOST!I$8:I$193)</f>
        <v>169</v>
      </c>
      <c r="AC134" s="40">
        <f>LOOKUP($B134, INVCOST!$C$8:$C$193, INVCOST!J$8:J$193)</f>
        <v>169</v>
      </c>
      <c r="AD134" s="40">
        <f>LOOKUP($B134, INVCOST!$C$8:$C$193, INVCOST!K$8:K$193)</f>
        <v>169</v>
      </c>
    </row>
    <row r="135" spans="2:30" s="39" customFormat="1" x14ac:dyDescent="0.3">
      <c r="B135" s="211"/>
      <c r="C135" s="211"/>
      <c r="D135" s="211"/>
      <c r="E135" s="211"/>
      <c r="F135" s="211" t="s">
        <v>378</v>
      </c>
      <c r="G135" s="50"/>
      <c r="H135" s="40"/>
      <c r="I135" s="41"/>
      <c r="J135" s="41"/>
      <c r="K135" s="42"/>
      <c r="L135" s="42"/>
      <c r="M135" s="42"/>
      <c r="N135" s="42"/>
      <c r="O135" s="265">
        <f>LOOKUP($B134, CEFF!$C$8:$C$156, CEFF!G$8:G$156)</f>
        <v>9.3619999999999995E-2</v>
      </c>
      <c r="P135" s="265">
        <f>LOOKUP($B134, CEFF!$C$8:$C$156, CEFF!H$8:H$156)</f>
        <v>9.7350000000000006E-2</v>
      </c>
      <c r="Q135" s="265">
        <f>LOOKUP($B134, CEFF!$C$8:$C$156, CEFF!I$8:I$156)</f>
        <v>0.1</v>
      </c>
      <c r="R135" s="265">
        <f>LOOKUP($B134, CEFF!$C$8:$C$156, CEFF!J$8:J$156)</f>
        <v>0.1028</v>
      </c>
      <c r="S135" s="40"/>
      <c r="T135" s="40"/>
      <c r="U135" s="40"/>
      <c r="V135" s="41"/>
      <c r="W135" s="60"/>
      <c r="X135" s="40"/>
      <c r="Y135" s="40"/>
      <c r="Z135" s="40"/>
      <c r="AA135" s="40"/>
      <c r="AB135" s="40"/>
      <c r="AC135" s="40"/>
      <c r="AD135" s="40"/>
    </row>
    <row r="136" spans="2:30" s="39" customFormat="1" x14ac:dyDescent="0.3">
      <c r="B136" s="212"/>
      <c r="C136" s="212"/>
      <c r="D136" s="212"/>
      <c r="E136" s="212"/>
      <c r="F136" s="212" t="s">
        <v>379</v>
      </c>
      <c r="G136" s="51"/>
      <c r="H136" s="45"/>
      <c r="I136" s="46"/>
      <c r="J136" s="46"/>
      <c r="K136" s="44"/>
      <c r="L136" s="44"/>
      <c r="M136" s="44"/>
      <c r="N136" s="44"/>
      <c r="O136" s="266">
        <f>LOOKUP($B134, CEFF!$C$163:$C$330, CEFF!G$163:G$330)</f>
        <v>6.8089999999999998E-2</v>
      </c>
      <c r="P136" s="266">
        <f>LOOKUP($B134, CEFF!$C$163:$C$330, CEFF!H$163:H$330)</f>
        <v>7.0800000000000002E-2</v>
      </c>
      <c r="Q136" s="266">
        <f>LOOKUP($B134, CEFF!$C$163:$C$330, CEFF!I$163:I$330)</f>
        <v>7.2730000000000003E-2</v>
      </c>
      <c r="R136" s="266">
        <f>LOOKUP($B134, CEFF!$C$163:$C$330, CEFF!J$163:J$330)</f>
        <v>7.4770000000000003E-2</v>
      </c>
      <c r="S136" s="45"/>
      <c r="T136" s="45"/>
      <c r="U136" s="45"/>
      <c r="V136" s="46"/>
      <c r="W136" s="64"/>
      <c r="X136" s="45"/>
      <c r="Y136" s="45"/>
      <c r="Z136" s="45"/>
      <c r="AA136" s="45"/>
      <c r="AB136" s="45"/>
      <c r="AC136" s="45"/>
      <c r="AD136" s="45"/>
    </row>
    <row r="137" spans="2:30" s="39" customFormat="1" x14ac:dyDescent="0.3">
      <c r="B137" s="211" t="s">
        <v>427</v>
      </c>
      <c r="C137" s="210" t="str">
        <f>LOOKUP(B137, TRA_COMM_PRO!$C$17:$C$199, TRA_COMM_PRO!$D$17:$D$199)</f>
        <v>Truck.Medium.LPG.01.</v>
      </c>
      <c r="D137" s="211" t="s">
        <v>62</v>
      </c>
      <c r="E137" s="211"/>
      <c r="F137" s="211"/>
      <c r="G137" s="10">
        <f>$G$103</f>
        <v>2020</v>
      </c>
      <c r="H137" s="40">
        <v>15</v>
      </c>
      <c r="I137" s="65">
        <f>$I$104</f>
        <v>1E-3</v>
      </c>
      <c r="J137" s="41">
        <f>J134</f>
        <v>2.7</v>
      </c>
      <c r="K137" s="42"/>
      <c r="L137" s="42"/>
      <c r="M137" s="42"/>
      <c r="N137" s="42"/>
      <c r="O137" s="265"/>
      <c r="P137" s="265"/>
      <c r="Q137" s="265"/>
      <c r="R137" s="265"/>
      <c r="S137" s="40"/>
      <c r="T137" s="40"/>
      <c r="U137" s="40"/>
      <c r="V137" s="41"/>
      <c r="W137" s="62">
        <f>LOOKUP(B137, FIXOM_VAROM!$C$8:$C$190, FIXOM_VAROM!$D$8:$D$190)</f>
        <v>0.1</v>
      </c>
      <c r="X137" s="40">
        <f>LOOKUP($B137, INVCOST!$C$8:$C$193, INVCOST!E$8:E$193)</f>
        <v>169</v>
      </c>
      <c r="Y137" s="40">
        <f>LOOKUP($B137, INVCOST!$C$8:$C$193, INVCOST!F$8:F$193)</f>
        <v>169</v>
      </c>
      <c r="Z137" s="40">
        <f>LOOKUP($B137, INVCOST!$C$8:$C$193, INVCOST!G$8:G$193)</f>
        <v>169</v>
      </c>
      <c r="AA137" s="40">
        <f>LOOKUP($B137, INVCOST!$C$8:$C$193, INVCOST!H$8:H$193)</f>
        <v>169</v>
      </c>
      <c r="AB137" s="40">
        <f>LOOKUP($B137, INVCOST!$C$8:$C$193, INVCOST!I$8:I$193)</f>
        <v>169</v>
      </c>
      <c r="AC137" s="40">
        <f>LOOKUP($B137, INVCOST!$C$8:$C$193, INVCOST!J$8:J$193)</f>
        <v>169</v>
      </c>
      <c r="AD137" s="40">
        <f>LOOKUP($B137, INVCOST!$C$8:$C$193, INVCOST!K$8:K$193)</f>
        <v>169</v>
      </c>
    </row>
    <row r="138" spans="2:30" s="39" customFormat="1" x14ac:dyDescent="0.3">
      <c r="B138" s="211"/>
      <c r="C138" s="211"/>
      <c r="D138" s="211"/>
      <c r="E138" s="211"/>
      <c r="F138" s="211" t="s">
        <v>378</v>
      </c>
      <c r="G138" s="50"/>
      <c r="H138" s="40"/>
      <c r="I138" s="41"/>
      <c r="J138" s="41"/>
      <c r="K138" s="42"/>
      <c r="L138" s="42"/>
      <c r="M138" s="42"/>
      <c r="N138" s="42"/>
      <c r="O138" s="265">
        <f>LOOKUP($B137, CEFF!$C$8:$C$156, CEFF!G$8:G$156)</f>
        <v>9.3619999999999995E-2</v>
      </c>
      <c r="P138" s="265">
        <f>LOOKUP($B137, CEFF!$C$8:$C$156, CEFF!H$8:H$156)</f>
        <v>9.7350000000000006E-2</v>
      </c>
      <c r="Q138" s="265">
        <f>LOOKUP($B137, CEFF!$C$8:$C$156, CEFF!I$8:I$156)</f>
        <v>0.1</v>
      </c>
      <c r="R138" s="265">
        <f>LOOKUP($B137, CEFF!$C$8:$C$156, CEFF!J$8:J$156)</f>
        <v>0.1028</v>
      </c>
      <c r="S138" s="40"/>
      <c r="T138" s="40"/>
      <c r="U138" s="40"/>
      <c r="V138" s="41"/>
      <c r="W138" s="60"/>
      <c r="X138" s="40"/>
      <c r="Y138" s="40"/>
      <c r="Z138" s="40"/>
      <c r="AA138" s="40"/>
      <c r="AB138" s="40"/>
      <c r="AC138" s="40"/>
      <c r="AD138" s="40"/>
    </row>
    <row r="139" spans="2:30" s="39" customFormat="1" x14ac:dyDescent="0.3">
      <c r="B139" s="212"/>
      <c r="C139" s="212"/>
      <c r="D139" s="212"/>
      <c r="E139" s="212"/>
      <c r="F139" s="212" t="s">
        <v>379</v>
      </c>
      <c r="G139" s="51"/>
      <c r="H139" s="45"/>
      <c r="I139" s="46"/>
      <c r="J139" s="46"/>
      <c r="K139" s="44"/>
      <c r="L139" s="44"/>
      <c r="M139" s="44"/>
      <c r="N139" s="44"/>
      <c r="O139" s="266">
        <f>LOOKUP($B137, CEFF!$C$163:$C$330, CEFF!G$163:G$330)</f>
        <v>6.8089999999999998E-2</v>
      </c>
      <c r="P139" s="266">
        <f>LOOKUP($B137, CEFF!$C$163:$C$330, CEFF!H$163:H$330)</f>
        <v>7.0800000000000002E-2</v>
      </c>
      <c r="Q139" s="266">
        <f>LOOKUP($B137, CEFF!$C$163:$C$330, CEFF!I$163:I$330)</f>
        <v>7.2730000000000003E-2</v>
      </c>
      <c r="R139" s="266">
        <f>LOOKUP($B137, CEFF!$C$163:$C$330, CEFF!J$163:J$330)</f>
        <v>7.4770000000000003E-2</v>
      </c>
      <c r="S139" s="45"/>
      <c r="T139" s="45"/>
      <c r="U139" s="45"/>
      <c r="V139" s="46"/>
      <c r="W139" s="64"/>
      <c r="X139" s="45"/>
      <c r="Y139" s="45"/>
      <c r="Z139" s="45"/>
      <c r="AA139" s="45"/>
      <c r="AB139" s="45"/>
      <c r="AC139" s="45"/>
      <c r="AD139" s="45"/>
    </row>
    <row r="140" spans="2:30" s="39" customFormat="1" x14ac:dyDescent="0.3">
      <c r="B140" s="211" t="s">
        <v>424</v>
      </c>
      <c r="C140" s="210" t="str">
        <f>LOOKUP(B140, TRA_COMM_PRO!$C$17:$C$199, TRA_COMM_PRO!$D$17:$D$199)</f>
        <v>Truck.Medium.Plugin-Hybrid.DST.01.</v>
      </c>
      <c r="D140" s="211" t="s">
        <v>712</v>
      </c>
      <c r="E140" s="211"/>
      <c r="F140" s="211"/>
      <c r="G140" s="10">
        <f>$G$103</f>
        <v>2020</v>
      </c>
      <c r="H140" s="40">
        <v>15</v>
      </c>
      <c r="I140" s="65">
        <f>$I$104</f>
        <v>1E-3</v>
      </c>
      <c r="J140" s="41">
        <f>J137</f>
        <v>2.7</v>
      </c>
      <c r="K140" s="42"/>
      <c r="L140" s="42"/>
      <c r="M140" s="42"/>
      <c r="N140" s="42"/>
      <c r="O140" s="265"/>
      <c r="P140" s="265"/>
      <c r="Q140" s="265"/>
      <c r="R140" s="265"/>
      <c r="S140" s="40"/>
      <c r="T140" s="40"/>
      <c r="U140" s="40"/>
      <c r="V140" s="41"/>
      <c r="W140" s="62">
        <f>LOOKUP(B140, FIXOM_VAROM!$C$8:$C$190, FIXOM_VAROM!$D$8:$D$190)</f>
        <v>0.1</v>
      </c>
      <c r="X140" s="40">
        <f>LOOKUP($B140, INVCOST!$C$8:$C$193, INVCOST!E$8:E$193)</f>
        <v>202.79999999999998</v>
      </c>
      <c r="Y140" s="40">
        <f>LOOKUP($B140, INVCOST!$C$8:$C$193, INVCOST!F$8:F$193)</f>
        <v>202.79999999999998</v>
      </c>
      <c r="Z140" s="40">
        <f>LOOKUP($B140, INVCOST!$C$8:$C$193, INVCOST!G$8:G$193)</f>
        <v>202.79999999999998</v>
      </c>
      <c r="AA140" s="40">
        <f>LOOKUP($B140, INVCOST!$C$8:$C$193, INVCOST!H$8:H$193)</f>
        <v>202.79999999999998</v>
      </c>
      <c r="AB140" s="40">
        <f>LOOKUP($B140, INVCOST!$C$8:$C$193, INVCOST!I$8:I$193)</f>
        <v>202.79999999999998</v>
      </c>
      <c r="AC140" s="40">
        <f>LOOKUP($B140, INVCOST!$C$8:$C$193, INVCOST!J$8:J$193)</f>
        <v>202.79999999999998</v>
      </c>
      <c r="AD140" s="40">
        <f>LOOKUP($B140, INVCOST!$C$8:$C$193, INVCOST!K$8:K$193)</f>
        <v>202.79999999999998</v>
      </c>
    </row>
    <row r="141" spans="2:30" s="39" customFormat="1" x14ac:dyDescent="0.3">
      <c r="B141" s="211"/>
      <c r="C141" s="211"/>
      <c r="D141" s="211"/>
      <c r="E141" s="211"/>
      <c r="F141" s="211" t="s">
        <v>378</v>
      </c>
      <c r="G141" s="50"/>
      <c r="H141" s="40"/>
      <c r="I141" s="41"/>
      <c r="J141" s="41"/>
      <c r="K141" s="42"/>
      <c r="L141" s="42"/>
      <c r="M141" s="42"/>
      <c r="N141" s="42"/>
      <c r="O141" s="265">
        <f>LOOKUP($B140, CEFF!$C$8:$C$156, CEFF!G$8:G$156)</f>
        <v>0.10377</v>
      </c>
      <c r="P141" s="265">
        <f>LOOKUP($B140, CEFF!$C$8:$C$156, CEFF!H$8:H$156)</f>
        <v>0.10680000000000001</v>
      </c>
      <c r="Q141" s="265">
        <f>LOOKUP($B140, CEFF!$C$8:$C$156, CEFF!I$8:I$156)</f>
        <v>0.10945000000000001</v>
      </c>
      <c r="R141" s="265">
        <f>LOOKUP($B140, CEFF!$C$8:$C$156, CEFF!J$8:J$156)</f>
        <v>0.11224000000000001</v>
      </c>
      <c r="S141" s="40"/>
      <c r="T141" s="40"/>
      <c r="U141" s="40"/>
      <c r="V141" s="41"/>
      <c r="W141" s="60"/>
      <c r="X141" s="40"/>
      <c r="Y141" s="40"/>
      <c r="Z141" s="40"/>
      <c r="AA141" s="40"/>
      <c r="AB141" s="40"/>
      <c r="AC141" s="40"/>
      <c r="AD141" s="40"/>
    </row>
    <row r="142" spans="2:30" s="39" customFormat="1" x14ac:dyDescent="0.3">
      <c r="B142" s="212"/>
      <c r="C142" s="212"/>
      <c r="D142" s="212"/>
      <c r="E142" s="212"/>
      <c r="F142" s="212" t="s">
        <v>379</v>
      </c>
      <c r="G142" s="51"/>
      <c r="H142" s="45"/>
      <c r="I142" s="46"/>
      <c r="J142" s="46"/>
      <c r="K142" s="44"/>
      <c r="L142" s="44"/>
      <c r="M142" s="44"/>
      <c r="N142" s="44"/>
      <c r="O142" s="266">
        <f>LOOKUP($B140, CEFF!$C$163:$C$330, CEFF!G$163:G$330)</f>
        <v>7.5469999999999995E-2</v>
      </c>
      <c r="P142" s="266">
        <f>LOOKUP($B140, CEFF!$C$163:$C$330, CEFF!H$163:H$330)</f>
        <v>7.7670000000000003E-2</v>
      </c>
      <c r="Q142" s="266">
        <f>LOOKUP($B140, CEFF!$C$163:$C$330, CEFF!I$163:I$330)</f>
        <v>7.9600000000000004E-2</v>
      </c>
      <c r="R142" s="266">
        <f>LOOKUP($B140, CEFF!$C$163:$C$330, CEFF!J$163:J$330)</f>
        <v>8.1629999999999994E-2</v>
      </c>
      <c r="S142" s="45"/>
      <c r="T142" s="45"/>
      <c r="U142" s="45"/>
      <c r="V142" s="46"/>
      <c r="W142" s="64"/>
      <c r="X142" s="45"/>
      <c r="Y142" s="45"/>
      <c r="Z142" s="45"/>
      <c r="AA142" s="45"/>
      <c r="AB142" s="45"/>
      <c r="AC142" s="45"/>
      <c r="AD142" s="45"/>
    </row>
    <row r="143" spans="2:30" s="39" customFormat="1" x14ac:dyDescent="0.3">
      <c r="B143" s="211" t="s">
        <v>426</v>
      </c>
      <c r="C143" s="210" t="str">
        <f>LOOKUP(B143, TRA_COMM_PRO!$C$17:$C$199, TRA_COMM_PRO!$D$17:$D$199)</f>
        <v>Truck.Medium.Plugin-Hybrid.GSL.01.</v>
      </c>
      <c r="D143" s="214" t="s">
        <v>713</v>
      </c>
      <c r="E143" s="211"/>
      <c r="F143" s="211"/>
      <c r="G143" s="10">
        <f>$G$103</f>
        <v>2020</v>
      </c>
      <c r="H143" s="40">
        <v>15</v>
      </c>
      <c r="I143" s="65">
        <f>$I$104</f>
        <v>1E-3</v>
      </c>
      <c r="J143" s="41">
        <f>J140</f>
        <v>2.7</v>
      </c>
      <c r="K143" s="42"/>
      <c r="L143" s="42"/>
      <c r="M143" s="42"/>
      <c r="N143" s="42"/>
      <c r="O143" s="265"/>
      <c r="P143" s="265"/>
      <c r="Q143" s="265"/>
      <c r="R143" s="265"/>
      <c r="S143" s="40"/>
      <c r="T143" s="40"/>
      <c r="U143" s="40"/>
      <c r="V143" s="41"/>
      <c r="W143" s="62">
        <f>LOOKUP(B143, FIXOM_VAROM!$C$8:$C$190, FIXOM_VAROM!$D$8:$D$190)</f>
        <v>0.1</v>
      </c>
      <c r="X143" s="40">
        <f>LOOKUP($B143, INVCOST!$C$8:$C$193, INVCOST!E$8:E$193)</f>
        <v>202.79999999999998</v>
      </c>
      <c r="Y143" s="40">
        <f>LOOKUP($B143, INVCOST!$C$8:$C$193, INVCOST!F$8:F$193)</f>
        <v>202.79999999999998</v>
      </c>
      <c r="Z143" s="40">
        <f>LOOKUP($B143, INVCOST!$C$8:$C$193, INVCOST!G$8:G$193)</f>
        <v>202.79999999999998</v>
      </c>
      <c r="AA143" s="40">
        <f>LOOKUP($B143, INVCOST!$C$8:$C$193, INVCOST!H$8:H$193)</f>
        <v>202.79999999999998</v>
      </c>
      <c r="AB143" s="40">
        <f>LOOKUP($B143, INVCOST!$C$8:$C$193, INVCOST!I$8:I$193)</f>
        <v>202.79999999999998</v>
      </c>
      <c r="AC143" s="40">
        <f>LOOKUP($B143, INVCOST!$C$8:$C$193, INVCOST!J$8:J$193)</f>
        <v>202.79999999999998</v>
      </c>
      <c r="AD143" s="40">
        <f>LOOKUP($B143, INVCOST!$C$8:$C$193, INVCOST!K$8:K$193)</f>
        <v>202.79999999999998</v>
      </c>
    </row>
    <row r="144" spans="2:30" s="39" customFormat="1" x14ac:dyDescent="0.3">
      <c r="B144" s="211"/>
      <c r="C144" s="211"/>
      <c r="D144" s="211"/>
      <c r="E144" s="211"/>
      <c r="F144" s="211" t="s">
        <v>378</v>
      </c>
      <c r="G144" s="50"/>
      <c r="H144" s="40"/>
      <c r="I144" s="41"/>
      <c r="J144" s="41"/>
      <c r="K144" s="42"/>
      <c r="L144" s="42"/>
      <c r="M144" s="42"/>
      <c r="N144" s="42"/>
      <c r="O144" s="265">
        <f>LOOKUP($B143, CEFF!$C$8:$C$156, CEFF!G$8:G$156)</f>
        <v>9.3619999999999995E-2</v>
      </c>
      <c r="P144" s="265">
        <f>LOOKUP($B143, CEFF!$C$8:$C$156, CEFF!H$8:H$156)</f>
        <v>9.7350000000000006E-2</v>
      </c>
      <c r="Q144" s="265">
        <f>LOOKUP($B143, CEFF!$C$8:$C$156, CEFF!I$8:I$156)</f>
        <v>0.1</v>
      </c>
      <c r="R144" s="265">
        <f>LOOKUP($B143, CEFF!$C$8:$C$156, CEFF!J$8:J$156)</f>
        <v>0.1028</v>
      </c>
      <c r="S144" s="40"/>
      <c r="T144" s="40"/>
      <c r="U144" s="40"/>
      <c r="V144" s="41"/>
      <c r="W144" s="41"/>
      <c r="X144" s="40"/>
      <c r="Y144" s="40"/>
      <c r="Z144" s="40"/>
      <c r="AA144" s="40"/>
      <c r="AB144" s="40"/>
      <c r="AC144" s="40"/>
      <c r="AD144" s="40"/>
    </row>
    <row r="145" spans="2:30" s="39" customFormat="1" x14ac:dyDescent="0.3">
      <c r="B145" s="215"/>
      <c r="C145" s="215"/>
      <c r="D145" s="215"/>
      <c r="E145" s="215"/>
      <c r="F145" s="215" t="s">
        <v>379</v>
      </c>
      <c r="G145" s="182"/>
      <c r="H145" s="183"/>
      <c r="I145" s="181"/>
      <c r="J145" s="181"/>
      <c r="K145" s="179"/>
      <c r="L145" s="179"/>
      <c r="M145" s="179"/>
      <c r="N145" s="179"/>
      <c r="O145" s="267">
        <f>LOOKUP($B143, CEFF!$C$163:$C$330, CEFF!G$163:G$330)</f>
        <v>6.8089999999999998E-2</v>
      </c>
      <c r="P145" s="267">
        <f>LOOKUP($B143, CEFF!$C$163:$C$330, CEFF!H$163:H$330)</f>
        <v>7.0800000000000002E-2</v>
      </c>
      <c r="Q145" s="267">
        <f>LOOKUP($B143, CEFF!$C$163:$C$330, CEFF!I$163:I$330)</f>
        <v>7.2730000000000003E-2</v>
      </c>
      <c r="R145" s="267">
        <f>LOOKUP($B143, CEFF!$C$163:$C$330, CEFF!J$163:J$330)</f>
        <v>7.4770000000000003E-2</v>
      </c>
      <c r="S145" s="183"/>
      <c r="T145" s="183"/>
      <c r="U145" s="183"/>
      <c r="V145" s="181"/>
      <c r="W145" s="181"/>
      <c r="X145" s="183"/>
      <c r="Y145" s="183"/>
      <c r="Z145" s="183"/>
      <c r="AA145" s="183"/>
      <c r="AB145" s="183"/>
      <c r="AC145" s="183"/>
      <c r="AD145" s="183"/>
    </row>
    <row r="146" spans="2:30" s="39" customFormat="1" x14ac:dyDescent="0.3">
      <c r="H146" s="36"/>
      <c r="I146" s="37"/>
      <c r="J146" s="38"/>
      <c r="K146" s="47"/>
      <c r="L146" s="47"/>
      <c r="M146" s="47"/>
      <c r="N146" s="47"/>
      <c r="O146" s="38"/>
      <c r="P146" s="38"/>
      <c r="Q146" s="38"/>
      <c r="R146" s="38"/>
      <c r="S146" s="36"/>
      <c r="T146" s="36"/>
      <c r="U146" s="36"/>
      <c r="V146" s="38"/>
      <c r="W146" s="38"/>
      <c r="X146" s="58"/>
      <c r="Y146" s="58"/>
      <c r="Z146" s="58"/>
      <c r="AA146" s="58"/>
      <c r="AB146" s="58"/>
      <c r="AC146" s="58"/>
      <c r="AD146" s="58"/>
    </row>
    <row r="147" spans="2:30" s="39" customFormat="1" x14ac:dyDescent="0.3">
      <c r="H147" s="36"/>
      <c r="I147" s="37"/>
      <c r="J147" s="38"/>
      <c r="K147" s="58"/>
      <c r="L147" s="58"/>
      <c r="M147" s="58"/>
      <c r="N147" s="58"/>
      <c r="O147" s="58"/>
      <c r="P147" s="58"/>
      <c r="Q147" s="58"/>
      <c r="R147" s="58"/>
      <c r="S147" s="36"/>
      <c r="T147" s="36"/>
      <c r="U147" s="36"/>
      <c r="V147" s="38"/>
      <c r="W147" s="38"/>
      <c r="X147" s="38"/>
      <c r="Y147" s="38"/>
      <c r="Z147" s="38"/>
      <c r="AA147" s="38"/>
      <c r="AB147" s="38"/>
      <c r="AC147" s="38"/>
      <c r="AD147" s="38"/>
    </row>
    <row r="148" spans="2:30" x14ac:dyDescent="0.3">
      <c r="B148" s="6" t="s">
        <v>564</v>
      </c>
      <c r="C148" s="6"/>
      <c r="D148" s="8"/>
      <c r="E148" s="8"/>
      <c r="F148" s="9" t="s">
        <v>722</v>
      </c>
      <c r="G148" s="4"/>
    </row>
    <row r="149" spans="2:30" ht="28.8" x14ac:dyDescent="0.3">
      <c r="B149" s="201" t="s">
        <v>2</v>
      </c>
      <c r="C149" s="201" t="s">
        <v>3</v>
      </c>
      <c r="D149" s="201" t="s">
        <v>4</v>
      </c>
      <c r="E149" s="201" t="s">
        <v>5</v>
      </c>
      <c r="F149" s="202" t="s">
        <v>6</v>
      </c>
      <c r="G149" s="202" t="s">
        <v>187</v>
      </c>
      <c r="H149" s="203" t="s">
        <v>186</v>
      </c>
      <c r="I149" s="203" t="s">
        <v>11</v>
      </c>
      <c r="J149" s="202" t="s">
        <v>12</v>
      </c>
      <c r="K149" s="203" t="str">
        <f>K102</f>
        <v>Share~UP~2020</v>
      </c>
      <c r="L149" s="203" t="str">
        <f>L102</f>
        <v>Share~UP~2030</v>
      </c>
      <c r="M149" s="203" t="str">
        <f>M102</f>
        <v>Share~UP~2040</v>
      </c>
      <c r="N149" s="203" t="str">
        <f>N102</f>
        <v>Share~UP~2050</v>
      </c>
      <c r="O149" s="203" t="s">
        <v>335</v>
      </c>
      <c r="P149" s="203" t="s">
        <v>336</v>
      </c>
      <c r="Q149" s="203" t="s">
        <v>9</v>
      </c>
      <c r="R149" s="203" t="s">
        <v>10</v>
      </c>
      <c r="S149" s="203" t="s">
        <v>465</v>
      </c>
      <c r="T149" s="203" t="s">
        <v>13</v>
      </c>
      <c r="U149" s="203" t="s">
        <v>398</v>
      </c>
      <c r="V149" s="203" t="s">
        <v>42</v>
      </c>
      <c r="W149" s="203" t="s">
        <v>14</v>
      </c>
      <c r="X149" s="203" t="s">
        <v>15</v>
      </c>
      <c r="Y149" s="203" t="s">
        <v>16</v>
      </c>
      <c r="Z149" s="203" t="s">
        <v>17</v>
      </c>
      <c r="AA149" s="203" t="s">
        <v>18</v>
      </c>
      <c r="AB149" s="203" t="s">
        <v>19</v>
      </c>
      <c r="AC149" s="203" t="s">
        <v>20</v>
      </c>
      <c r="AD149" s="203" t="s">
        <v>21</v>
      </c>
    </row>
    <row r="150" spans="2:30" ht="33.75" customHeight="1" thickBot="1" x14ac:dyDescent="0.35">
      <c r="B150" s="204" t="s">
        <v>22</v>
      </c>
      <c r="C150" s="204"/>
      <c r="D150" s="204"/>
      <c r="E150" s="204"/>
      <c r="F150" s="205" t="s">
        <v>23</v>
      </c>
      <c r="G150" s="205">
        <v>2020</v>
      </c>
      <c r="H150" s="206" t="s">
        <v>26</v>
      </c>
      <c r="I150" s="206" t="s">
        <v>658</v>
      </c>
      <c r="J150" s="206" t="s">
        <v>127</v>
      </c>
      <c r="K150" s="205"/>
      <c r="L150" s="205"/>
      <c r="M150" s="205"/>
      <c r="N150" s="205"/>
      <c r="O150" s="207" t="s">
        <v>671</v>
      </c>
      <c r="P150" s="207" t="s">
        <v>671</v>
      </c>
      <c r="Q150" s="207" t="s">
        <v>671</v>
      </c>
      <c r="R150" s="207" t="s">
        <v>671</v>
      </c>
      <c r="S150" s="206" t="s">
        <v>676</v>
      </c>
      <c r="T150" s="206" t="s">
        <v>676</v>
      </c>
      <c r="U150" s="206" t="s">
        <v>676</v>
      </c>
      <c r="V150" s="208" t="s">
        <v>679</v>
      </c>
      <c r="W150" s="208" t="s">
        <v>678</v>
      </c>
      <c r="X150" s="208" t="s">
        <v>675</v>
      </c>
      <c r="Y150" s="208" t="s">
        <v>675</v>
      </c>
      <c r="Z150" s="208" t="s">
        <v>675</v>
      </c>
      <c r="AA150" s="208" t="s">
        <v>675</v>
      </c>
      <c r="AB150" s="208" t="s">
        <v>675</v>
      </c>
      <c r="AC150" s="208" t="s">
        <v>675</v>
      </c>
      <c r="AD150" s="208" t="s">
        <v>675</v>
      </c>
    </row>
    <row r="151" spans="2:30" s="39" customFormat="1" x14ac:dyDescent="0.3">
      <c r="B151" s="209" t="s">
        <v>444</v>
      </c>
      <c r="C151" s="210" t="str">
        <f>LOOKUP(B151, TRA_COMM_PRO!$C$17:$C$199, TRA_COMM_PRO!$D$17:$D$199)</f>
        <v>Truck.Medium.BDL.City.01.</v>
      </c>
      <c r="D151" s="209" t="s">
        <v>44</v>
      </c>
      <c r="E151" s="209"/>
      <c r="F151" s="209"/>
      <c r="G151" s="10">
        <f>$G$150</f>
        <v>2020</v>
      </c>
      <c r="H151" s="71">
        <v>15</v>
      </c>
      <c r="I151" s="158">
        <f>10^-3</f>
        <v>1E-3</v>
      </c>
      <c r="J151" s="72">
        <v>2.7</v>
      </c>
      <c r="K151" s="73"/>
      <c r="L151" s="73"/>
      <c r="M151" s="73"/>
      <c r="N151" s="73"/>
      <c r="O151" s="43"/>
      <c r="P151" s="43"/>
      <c r="Q151" s="43"/>
      <c r="R151" s="43"/>
      <c r="S151" s="71"/>
      <c r="T151" s="71"/>
      <c r="U151" s="71"/>
      <c r="V151" s="72"/>
      <c r="W151" s="62">
        <f>LOOKUP(B151, FIXOM_VAROM!$C$8:$C$190, FIXOM_VAROM!$D$8:$D$190)</f>
        <v>0.1</v>
      </c>
      <c r="X151" s="40">
        <f>LOOKUP($B151, INVCOST!$C$8:$C$193, INVCOST!E$8:E$193)</f>
        <v>141</v>
      </c>
      <c r="Y151" s="40">
        <f>LOOKUP($B151, INVCOST!$C$8:$C$193, INVCOST!F$8:F$193)</f>
        <v>141</v>
      </c>
      <c r="Z151" s="40">
        <f>LOOKUP($B151, INVCOST!$C$8:$C$193, INVCOST!G$8:G$193)</f>
        <v>141</v>
      </c>
      <c r="AA151" s="40">
        <f>LOOKUP($B151, INVCOST!$C$8:$C$193, INVCOST!H$8:H$193)</f>
        <v>141</v>
      </c>
      <c r="AB151" s="40">
        <f>LOOKUP($B151, INVCOST!$C$8:$C$193, INVCOST!I$8:I$193)</f>
        <v>141</v>
      </c>
      <c r="AC151" s="40">
        <f>LOOKUP($B151, INVCOST!$C$8:$C$193, INVCOST!J$8:J$193)</f>
        <v>141</v>
      </c>
      <c r="AD151" s="40">
        <f>LOOKUP($B151, INVCOST!$C$8:$C$193, INVCOST!K$8:K$193)</f>
        <v>141</v>
      </c>
    </row>
    <row r="152" spans="2:30" s="39" customFormat="1" x14ac:dyDescent="0.3">
      <c r="B152" s="211"/>
      <c r="C152" s="211"/>
      <c r="D152" s="211"/>
      <c r="E152" s="211"/>
      <c r="F152" s="211" t="s">
        <v>495</v>
      </c>
      <c r="G152" s="50"/>
      <c r="H152" s="40"/>
      <c r="I152" s="41"/>
      <c r="J152" s="41"/>
      <c r="K152" s="42"/>
      <c r="L152" s="42"/>
      <c r="M152" s="42"/>
      <c r="N152" s="42"/>
      <c r="O152" s="265">
        <f>LOOKUP($B151, CEFF!$C$8:$C$156, CEFF!G$8:G$156)</f>
        <v>0.10377</v>
      </c>
      <c r="P152" s="265">
        <f>LOOKUP($B151, CEFF!$C$8:$C$156, CEFF!H$8:H$156)</f>
        <v>0.10680000000000001</v>
      </c>
      <c r="Q152" s="265">
        <f>LOOKUP($B151, CEFF!$C$8:$C$156, CEFF!I$8:I$156)</f>
        <v>0.10945000000000001</v>
      </c>
      <c r="R152" s="265">
        <f>LOOKUP($B151, CEFF!$C$8:$C$156, CEFF!J$8:J$156)</f>
        <v>0.11224000000000001</v>
      </c>
      <c r="S152" s="40"/>
      <c r="T152" s="40"/>
      <c r="U152" s="40"/>
      <c r="V152" s="41"/>
      <c r="W152" s="60"/>
      <c r="X152" s="40"/>
      <c r="Y152" s="40"/>
      <c r="Z152" s="40"/>
      <c r="AA152" s="40"/>
      <c r="AB152" s="40"/>
      <c r="AC152" s="40"/>
      <c r="AD152" s="40"/>
    </row>
    <row r="153" spans="2:30" s="39" customFormat="1" x14ac:dyDescent="0.3">
      <c r="B153" s="212"/>
      <c r="C153" s="212"/>
      <c r="D153" s="212"/>
      <c r="E153" s="212"/>
      <c r="F153" s="212" t="s">
        <v>503</v>
      </c>
      <c r="G153" s="51"/>
      <c r="H153" s="45"/>
      <c r="I153" s="46"/>
      <c r="J153" s="46"/>
      <c r="K153" s="44"/>
      <c r="L153" s="44"/>
      <c r="M153" s="44"/>
      <c r="N153" s="44"/>
      <c r="O153" s="266">
        <f>LOOKUP($B151, CEFF!$C$163:$C$330, CEFF!G$163:G$330)</f>
        <v>7.5469999999999995E-2</v>
      </c>
      <c r="P153" s="266">
        <f>LOOKUP($B151, CEFF!$C$163:$C$330, CEFF!H$163:H$330)</f>
        <v>7.7670000000000003E-2</v>
      </c>
      <c r="Q153" s="266">
        <f>LOOKUP($B151, CEFF!$C$163:$C$330, CEFF!I$163:I$330)</f>
        <v>7.9600000000000004E-2</v>
      </c>
      <c r="R153" s="266">
        <f>LOOKUP($B151, CEFF!$C$163:$C$330, CEFF!J$163:J$330)</f>
        <v>8.1629999999999994E-2</v>
      </c>
      <c r="S153" s="45"/>
      <c r="T153" s="45"/>
      <c r="U153" s="45"/>
      <c r="V153" s="46"/>
      <c r="W153" s="64"/>
      <c r="X153" s="45"/>
      <c r="Y153" s="45"/>
      <c r="Z153" s="45"/>
      <c r="AA153" s="45"/>
      <c r="AB153" s="45"/>
      <c r="AC153" s="45"/>
      <c r="AD153" s="45"/>
    </row>
    <row r="154" spans="2:30" s="39" customFormat="1" x14ac:dyDescent="0.3">
      <c r="B154" s="211" t="s">
        <v>445</v>
      </c>
      <c r="C154" s="210" t="str">
        <f>LOOKUP(B154, TRA_COMM_PRO!$C$17:$C$199, TRA_COMM_PRO!$D$17:$D$199)</f>
        <v>Truck.Medium.DME.City.01.</v>
      </c>
      <c r="D154" s="211" t="s">
        <v>71</v>
      </c>
      <c r="E154" s="211"/>
      <c r="F154" s="211"/>
      <c r="G154" s="10">
        <f>$G$150</f>
        <v>2020</v>
      </c>
      <c r="H154" s="40">
        <v>15</v>
      </c>
      <c r="I154" s="65">
        <f>$I$104</f>
        <v>1E-3</v>
      </c>
      <c r="J154" s="41">
        <f>J151</f>
        <v>2.7</v>
      </c>
      <c r="K154" s="42"/>
      <c r="L154" s="42"/>
      <c r="M154" s="42"/>
      <c r="N154" s="42"/>
      <c r="O154" s="265"/>
      <c r="P154" s="265"/>
      <c r="Q154" s="265"/>
      <c r="R154" s="265"/>
      <c r="S154" s="40"/>
      <c r="T154" s="40"/>
      <c r="U154" s="40"/>
      <c r="V154" s="41"/>
      <c r="W154" s="62">
        <f>LOOKUP(B154, FIXOM_VAROM!$C$8:$C$190, FIXOM_VAROM!$D$8:$D$190)</f>
        <v>0.1</v>
      </c>
      <c r="X154" s="40">
        <f>LOOKUP($B154, INVCOST!$C$8:$C$193, INVCOST!E$8:E$193)</f>
        <v>169</v>
      </c>
      <c r="Y154" s="40">
        <f>LOOKUP($B154, INVCOST!$C$8:$C$193, INVCOST!F$8:F$193)</f>
        <v>169</v>
      </c>
      <c r="Z154" s="40">
        <f>LOOKUP($B154, INVCOST!$C$8:$C$193, INVCOST!G$8:G$193)</f>
        <v>169</v>
      </c>
      <c r="AA154" s="40">
        <f>LOOKUP($B154, INVCOST!$C$8:$C$193, INVCOST!H$8:H$193)</f>
        <v>169</v>
      </c>
      <c r="AB154" s="40">
        <f>LOOKUP($B154, INVCOST!$C$8:$C$193, INVCOST!I$8:I$193)</f>
        <v>169</v>
      </c>
      <c r="AC154" s="40">
        <f>LOOKUP($B154, INVCOST!$C$8:$C$193, INVCOST!J$8:J$193)</f>
        <v>169</v>
      </c>
      <c r="AD154" s="40">
        <f>LOOKUP($B154, INVCOST!$C$8:$C$193, INVCOST!K$8:K$193)</f>
        <v>169</v>
      </c>
    </row>
    <row r="155" spans="2:30" s="39" customFormat="1" x14ac:dyDescent="0.3">
      <c r="B155" s="211"/>
      <c r="C155" s="213"/>
      <c r="D155" s="211"/>
      <c r="E155" s="211"/>
      <c r="F155" s="211" t="s">
        <v>495</v>
      </c>
      <c r="G155" s="50"/>
      <c r="H155" s="40"/>
      <c r="I155" s="41"/>
      <c r="J155" s="41"/>
      <c r="K155" s="42"/>
      <c r="L155" s="42"/>
      <c r="M155" s="42"/>
      <c r="N155" s="42"/>
      <c r="O155" s="265">
        <f>LOOKUP($B154, CEFF!$C$8:$C$156, CEFF!G$8:G$156)</f>
        <v>0.10377</v>
      </c>
      <c r="P155" s="265">
        <f>LOOKUP($B154, CEFF!$C$8:$C$156, CEFF!H$8:H$156)</f>
        <v>0.10680000000000001</v>
      </c>
      <c r="Q155" s="265">
        <f>LOOKUP($B154, CEFF!$C$8:$C$156, CEFF!I$8:I$156)</f>
        <v>0.10945000000000001</v>
      </c>
      <c r="R155" s="265">
        <f>LOOKUP($B154, CEFF!$C$8:$C$156, CEFF!J$8:J$156)</f>
        <v>0.11224000000000001</v>
      </c>
      <c r="S155" s="40"/>
      <c r="T155" s="40"/>
      <c r="U155" s="40"/>
      <c r="V155" s="41"/>
      <c r="W155" s="60"/>
      <c r="X155" s="40"/>
      <c r="Y155" s="40"/>
      <c r="Z155" s="40"/>
      <c r="AA155" s="40"/>
      <c r="AB155" s="40"/>
      <c r="AC155" s="40"/>
      <c r="AD155" s="40"/>
    </row>
    <row r="156" spans="2:30" s="39" customFormat="1" x14ac:dyDescent="0.3">
      <c r="B156" s="212"/>
      <c r="C156" s="212"/>
      <c r="D156" s="212"/>
      <c r="E156" s="212"/>
      <c r="F156" s="212" t="s">
        <v>503</v>
      </c>
      <c r="G156" s="51"/>
      <c r="H156" s="45"/>
      <c r="I156" s="46"/>
      <c r="J156" s="46"/>
      <c r="K156" s="44"/>
      <c r="L156" s="44"/>
      <c r="M156" s="44"/>
      <c r="N156" s="44"/>
      <c r="O156" s="266">
        <f>LOOKUP($B154, CEFF!$C$163:$C$330, CEFF!G$163:G$330)</f>
        <v>7.5469999999999995E-2</v>
      </c>
      <c r="P156" s="266">
        <f>LOOKUP($B154, CEFF!$C$163:$C$330, CEFF!H$163:H$330)</f>
        <v>7.7670000000000003E-2</v>
      </c>
      <c r="Q156" s="266">
        <f>LOOKUP($B154, CEFF!$C$163:$C$330, CEFF!I$163:I$330)</f>
        <v>7.9600000000000004E-2</v>
      </c>
      <c r="R156" s="266">
        <f>LOOKUP($B154, CEFF!$C$163:$C$330, CEFF!J$163:J$330)</f>
        <v>8.1629999999999994E-2</v>
      </c>
      <c r="S156" s="45"/>
      <c r="T156" s="45"/>
      <c r="U156" s="45"/>
      <c r="V156" s="46"/>
      <c r="W156" s="64"/>
      <c r="X156" s="45"/>
      <c r="Y156" s="45"/>
      <c r="Z156" s="45"/>
      <c r="AA156" s="45"/>
      <c r="AB156" s="45"/>
      <c r="AC156" s="45"/>
      <c r="AD156" s="45"/>
    </row>
    <row r="157" spans="2:30" s="39" customFormat="1" x14ac:dyDescent="0.3">
      <c r="B157" s="211" t="s">
        <v>446</v>
      </c>
      <c r="C157" s="210" t="str">
        <f>LOOKUP(B157, TRA_COMM_PRO!$C$17:$C$199, TRA_COMM_PRO!$D$17:$D$199)</f>
        <v>Truck.Medium.DST.City.01.</v>
      </c>
      <c r="D157" s="211" t="s">
        <v>712</v>
      </c>
      <c r="E157" s="211"/>
      <c r="F157" s="211"/>
      <c r="G157" s="10">
        <f>$G$150</f>
        <v>2020</v>
      </c>
      <c r="H157" s="40">
        <v>15</v>
      </c>
      <c r="I157" s="65">
        <f>$I$104</f>
        <v>1E-3</v>
      </c>
      <c r="J157" s="41">
        <f>J154</f>
        <v>2.7</v>
      </c>
      <c r="K157" s="42"/>
      <c r="L157" s="42"/>
      <c r="M157" s="42"/>
      <c r="N157" s="42"/>
      <c r="O157" s="265"/>
      <c r="P157" s="265"/>
      <c r="Q157" s="265"/>
      <c r="R157" s="265"/>
      <c r="S157" s="40"/>
      <c r="T157" s="40"/>
      <c r="U157" s="40"/>
      <c r="V157" s="41"/>
      <c r="W157" s="62">
        <f>LOOKUP(B157, FIXOM_VAROM!$C$8:$C$190, FIXOM_VAROM!$D$8:$D$190)</f>
        <v>0.1</v>
      </c>
      <c r="X157" s="40">
        <f>LOOKUP($B157, INVCOST!$C$8:$C$193, INVCOST!E$8:E$193)</f>
        <v>141</v>
      </c>
      <c r="Y157" s="40">
        <f>LOOKUP($B157, INVCOST!$C$8:$C$193, INVCOST!F$8:F$193)</f>
        <v>141</v>
      </c>
      <c r="Z157" s="40">
        <f>LOOKUP($B157, INVCOST!$C$8:$C$193, INVCOST!G$8:G$193)</f>
        <v>141</v>
      </c>
      <c r="AA157" s="40">
        <f>LOOKUP($B157, INVCOST!$C$8:$C$193, INVCOST!H$8:H$193)</f>
        <v>141</v>
      </c>
      <c r="AB157" s="40">
        <f>LOOKUP($B157, INVCOST!$C$8:$C$193, INVCOST!I$8:I$193)</f>
        <v>141</v>
      </c>
      <c r="AC157" s="40">
        <f>LOOKUP($B157, INVCOST!$C$8:$C$193, INVCOST!J$8:J$193)</f>
        <v>141</v>
      </c>
      <c r="AD157" s="40">
        <f>LOOKUP($B157, INVCOST!$C$8:$C$193, INVCOST!K$8:K$193)</f>
        <v>141</v>
      </c>
    </row>
    <row r="158" spans="2:30" s="39" customFormat="1" x14ac:dyDescent="0.3">
      <c r="B158" s="211"/>
      <c r="C158" s="211"/>
      <c r="D158" s="211"/>
      <c r="E158" s="211"/>
      <c r="F158" s="211" t="s">
        <v>495</v>
      </c>
      <c r="G158" s="50"/>
      <c r="H158" s="40"/>
      <c r="I158" s="41"/>
      <c r="J158" s="41"/>
      <c r="K158" s="42"/>
      <c r="L158" s="42"/>
      <c r="M158" s="42"/>
      <c r="N158" s="42"/>
      <c r="O158" s="265">
        <f>LOOKUP($B157, CEFF!$C$8:$C$156, CEFF!G$8:G$156)</f>
        <v>0.10377</v>
      </c>
      <c r="P158" s="265">
        <f>LOOKUP($B157, CEFF!$C$8:$C$156, CEFF!H$8:H$156)</f>
        <v>0.10680000000000001</v>
      </c>
      <c r="Q158" s="265">
        <f>LOOKUP($B157, CEFF!$C$8:$C$156, CEFF!I$8:I$156)</f>
        <v>0.10945000000000001</v>
      </c>
      <c r="R158" s="265">
        <f>LOOKUP($B157, CEFF!$C$8:$C$156, CEFF!J$8:J$156)</f>
        <v>0.11224000000000001</v>
      </c>
      <c r="S158" s="40"/>
      <c r="T158" s="40"/>
      <c r="U158" s="40"/>
      <c r="V158" s="41"/>
      <c r="W158" s="60"/>
      <c r="X158" s="40"/>
      <c r="Y158" s="40"/>
      <c r="Z158" s="40"/>
      <c r="AA158" s="40"/>
      <c r="AB158" s="40"/>
      <c r="AC158" s="40"/>
      <c r="AD158" s="40"/>
    </row>
    <row r="159" spans="2:30" s="39" customFormat="1" x14ac:dyDescent="0.3">
      <c r="B159" s="211"/>
      <c r="C159" s="211"/>
      <c r="D159" s="211"/>
      <c r="E159" s="211"/>
      <c r="F159" s="212" t="s">
        <v>503</v>
      </c>
      <c r="G159" s="51"/>
      <c r="H159" s="40"/>
      <c r="I159" s="46"/>
      <c r="J159" s="46"/>
      <c r="K159" s="42"/>
      <c r="L159" s="42"/>
      <c r="M159" s="42"/>
      <c r="N159" s="42"/>
      <c r="O159" s="266">
        <f>LOOKUP($B157, CEFF!$C$163:$C$330, CEFF!G$163:G$330)</f>
        <v>7.5469999999999995E-2</v>
      </c>
      <c r="P159" s="266">
        <f>LOOKUP($B157, CEFF!$C$163:$C$330, CEFF!H$163:H$330)</f>
        <v>7.7670000000000003E-2</v>
      </c>
      <c r="Q159" s="266">
        <f>LOOKUP($B157, CEFF!$C$163:$C$330, CEFF!I$163:I$330)</f>
        <v>7.9600000000000004E-2</v>
      </c>
      <c r="R159" s="266">
        <f>LOOKUP($B157, CEFF!$C$163:$C$330, CEFF!J$163:J$330)</f>
        <v>8.1629999999999994E-2</v>
      </c>
      <c r="S159" s="40"/>
      <c r="T159" s="40"/>
      <c r="U159" s="40"/>
      <c r="V159" s="41"/>
      <c r="W159" s="60"/>
      <c r="X159" s="45"/>
      <c r="Y159" s="45"/>
      <c r="Z159" s="45"/>
      <c r="AA159" s="45"/>
      <c r="AB159" s="45"/>
      <c r="AC159" s="45"/>
      <c r="AD159" s="45"/>
    </row>
    <row r="160" spans="2:30" s="74" customFormat="1" x14ac:dyDescent="0.3">
      <c r="B160" s="214" t="s">
        <v>447</v>
      </c>
      <c r="C160" s="214" t="str">
        <f>LOOKUP(B160, TRA_COMM_PRO!$C$17:$C$199, TRA_COMM_PRO!$D$17:$D$199)</f>
        <v>Truck.Medium.ELC.City.01.</v>
      </c>
      <c r="D160" s="214" t="s">
        <v>27</v>
      </c>
      <c r="E160" s="214"/>
      <c r="F160" s="214"/>
      <c r="G160" s="10">
        <f>$G$150</f>
        <v>2020</v>
      </c>
      <c r="H160" s="54">
        <v>8</v>
      </c>
      <c r="I160" s="65">
        <f>$I$104</f>
        <v>1E-3</v>
      </c>
      <c r="J160" s="41">
        <f>J157</f>
        <v>2.7</v>
      </c>
      <c r="K160" s="56"/>
      <c r="L160" s="56"/>
      <c r="M160" s="56"/>
      <c r="N160" s="56"/>
      <c r="O160" s="265"/>
      <c r="P160" s="265"/>
      <c r="Q160" s="265"/>
      <c r="R160" s="265"/>
      <c r="S160" s="54"/>
      <c r="T160" s="54"/>
      <c r="U160" s="54"/>
      <c r="V160" s="55"/>
      <c r="W160" s="62">
        <f>LOOKUP(B160, FIXOM_VAROM!$C$8:$C$190, FIXOM_VAROM!$D$8:$D$190)</f>
        <v>8.0000000000000016E-2</v>
      </c>
      <c r="X160" s="40">
        <f>LOOKUP($B160, INVCOST!$C$8:$C$193, INVCOST!E$8:E$193)</f>
        <v>216</v>
      </c>
      <c r="Y160" s="40">
        <f>LOOKUP($B160, INVCOST!$C$8:$C$193, INVCOST!F$8:F$193)</f>
        <v>213</v>
      </c>
      <c r="Z160" s="40">
        <f>LOOKUP($B160, INVCOST!$C$8:$C$193, INVCOST!G$8:G$193)</f>
        <v>210</v>
      </c>
      <c r="AA160" s="40">
        <f>LOOKUP($B160, INVCOST!$C$8:$C$193, INVCOST!H$8:H$193)</f>
        <v>206</v>
      </c>
      <c r="AB160" s="40">
        <f>LOOKUP($B160, INVCOST!$C$8:$C$193, INVCOST!I$8:I$193)</f>
        <v>203</v>
      </c>
      <c r="AC160" s="40">
        <f>LOOKUP($B160, INVCOST!$C$8:$C$193, INVCOST!J$8:J$193)</f>
        <v>200</v>
      </c>
      <c r="AD160" s="40">
        <f>LOOKUP($B160, INVCOST!$C$8:$C$193, INVCOST!K$8:K$193)</f>
        <v>197</v>
      </c>
    </row>
    <row r="161" spans="2:30" s="39" customFormat="1" x14ac:dyDescent="0.3">
      <c r="B161" s="211"/>
      <c r="C161" s="211"/>
      <c r="D161" s="211"/>
      <c r="E161" s="211"/>
      <c r="F161" s="211" t="s">
        <v>495</v>
      </c>
      <c r="G161" s="10"/>
      <c r="H161" s="40"/>
      <c r="I161" s="41"/>
      <c r="J161" s="41"/>
      <c r="K161" s="42"/>
      <c r="L161" s="42"/>
      <c r="M161" s="42"/>
      <c r="N161" s="42"/>
      <c r="O161" s="265">
        <f>LOOKUP($B160, CEFF!$C$8:$C$156, CEFF!G$8:G$156)</f>
        <v>90.909090000000006</v>
      </c>
      <c r="P161" s="265">
        <f>LOOKUP($B160, CEFF!$C$8:$C$156, CEFF!H$8:H$156)</f>
        <v>90.909090000000006</v>
      </c>
      <c r="Q161" s="265">
        <f>LOOKUP($B160, CEFF!$C$8:$C$156, CEFF!I$8:I$156)</f>
        <v>90.909090000000006</v>
      </c>
      <c r="R161" s="265">
        <f>LOOKUP($B160, CEFF!$C$8:$C$156, CEFF!J$8:J$156)</f>
        <v>90.909090000000006</v>
      </c>
      <c r="S161" s="40"/>
      <c r="T161" s="40"/>
      <c r="U161" s="40"/>
      <c r="V161" s="41"/>
      <c r="W161" s="60"/>
      <c r="X161" s="40"/>
      <c r="Y161" s="40"/>
      <c r="Z161" s="40"/>
      <c r="AA161" s="40"/>
      <c r="AB161" s="40"/>
      <c r="AC161" s="40"/>
      <c r="AD161" s="40"/>
    </row>
    <row r="162" spans="2:30" s="75" customFormat="1" x14ac:dyDescent="0.3">
      <c r="B162" s="212"/>
      <c r="C162" s="212"/>
      <c r="D162" s="212"/>
      <c r="E162" s="212"/>
      <c r="F162" s="212" t="s">
        <v>503</v>
      </c>
      <c r="G162" s="51"/>
      <c r="H162" s="45"/>
      <c r="I162" s="46"/>
      <c r="J162" s="46"/>
      <c r="K162" s="44"/>
      <c r="L162" s="44"/>
      <c r="M162" s="44"/>
      <c r="N162" s="44"/>
      <c r="O162" s="266">
        <f>LOOKUP($B160, CEFF!$C$163:$C$330, CEFF!G$163:G$330)</f>
        <v>0.17985999999999999</v>
      </c>
      <c r="P162" s="266">
        <f>LOOKUP($B160, CEFF!$C$163:$C$330, CEFF!H$163:H$330)</f>
        <v>0.18970999999999999</v>
      </c>
      <c r="Q162" s="266">
        <f>LOOKUP($B160, CEFF!$C$163:$C$330, CEFF!I$163:I$330)</f>
        <v>0.19783999999999999</v>
      </c>
      <c r="R162" s="266">
        <f>LOOKUP($B160, CEFF!$C$163:$C$330, CEFF!J$163:J$330)</f>
        <v>0.20982999999999999</v>
      </c>
      <c r="S162" s="45"/>
      <c r="T162" s="45"/>
      <c r="U162" s="45"/>
      <c r="V162" s="46"/>
      <c r="W162" s="64"/>
      <c r="X162" s="45"/>
      <c r="Y162" s="45"/>
      <c r="Z162" s="45"/>
      <c r="AA162" s="45"/>
      <c r="AB162" s="45"/>
      <c r="AC162" s="45"/>
      <c r="AD162" s="45"/>
    </row>
    <row r="163" spans="2:30" s="39" customFormat="1" x14ac:dyDescent="0.3">
      <c r="B163" s="211" t="s">
        <v>448</v>
      </c>
      <c r="C163" s="210" t="str">
        <f>LOOKUP(B163, TRA_COMM_PRO!$C$17:$C$199, TRA_COMM_PRO!$D$17:$D$199)</f>
        <v>Truck.Medium.ETH.City.01.</v>
      </c>
      <c r="D163" s="211" t="s">
        <v>51</v>
      </c>
      <c r="E163" s="211"/>
      <c r="F163" s="211"/>
      <c r="G163" s="10">
        <f>$G$150</f>
        <v>2020</v>
      </c>
      <c r="H163" s="40">
        <v>15</v>
      </c>
      <c r="I163" s="65">
        <f>$I$104</f>
        <v>1E-3</v>
      </c>
      <c r="J163" s="41">
        <f>J160</f>
        <v>2.7</v>
      </c>
      <c r="K163" s="42"/>
      <c r="L163" s="42"/>
      <c r="M163" s="42"/>
      <c r="N163" s="42"/>
      <c r="O163" s="265"/>
      <c r="P163" s="265"/>
      <c r="Q163" s="265"/>
      <c r="R163" s="265"/>
      <c r="S163" s="40"/>
      <c r="T163" s="40"/>
      <c r="U163" s="40"/>
      <c r="V163" s="41"/>
      <c r="W163" s="62">
        <f>LOOKUP(B163, FIXOM_VAROM!$C$8:$C$190, FIXOM_VAROM!$D$8:$D$190)</f>
        <v>0.1</v>
      </c>
      <c r="X163" s="40">
        <f>LOOKUP($B163, INVCOST!$C$8:$C$193, INVCOST!E$8:E$193)</f>
        <v>169</v>
      </c>
      <c r="Y163" s="40">
        <f>LOOKUP($B163, INVCOST!$C$8:$C$193, INVCOST!F$8:F$193)</f>
        <v>169</v>
      </c>
      <c r="Z163" s="40">
        <f>LOOKUP($B163, INVCOST!$C$8:$C$193, INVCOST!G$8:G$193)</f>
        <v>169</v>
      </c>
      <c r="AA163" s="40">
        <f>LOOKUP($B163, INVCOST!$C$8:$C$193, INVCOST!H$8:H$193)</f>
        <v>169</v>
      </c>
      <c r="AB163" s="40">
        <f>LOOKUP($B163, INVCOST!$C$8:$C$193, INVCOST!I$8:I$193)</f>
        <v>169</v>
      </c>
      <c r="AC163" s="40">
        <f>LOOKUP($B163, INVCOST!$C$8:$C$193, INVCOST!J$8:J$193)</f>
        <v>169</v>
      </c>
      <c r="AD163" s="40">
        <f>LOOKUP($B163, INVCOST!$C$8:$C$193, INVCOST!K$8:K$193)</f>
        <v>169</v>
      </c>
    </row>
    <row r="164" spans="2:30" s="39" customFormat="1" x14ac:dyDescent="0.3">
      <c r="B164" s="211"/>
      <c r="C164" s="211"/>
      <c r="D164" s="211"/>
      <c r="E164" s="211"/>
      <c r="F164" s="211" t="s">
        <v>495</v>
      </c>
      <c r="G164" s="50"/>
      <c r="H164" s="40"/>
      <c r="I164" s="41"/>
      <c r="J164" s="41"/>
      <c r="K164" s="42"/>
      <c r="L164" s="42"/>
      <c r="M164" s="42"/>
      <c r="N164" s="42"/>
      <c r="O164" s="265">
        <f>LOOKUP($B163, CEFF!$C$8:$C$156, CEFF!G$8:G$156)</f>
        <v>0.10377</v>
      </c>
      <c r="P164" s="265">
        <f>LOOKUP($B163, CEFF!$C$8:$C$156, CEFF!H$8:H$156)</f>
        <v>0.10680000000000001</v>
      </c>
      <c r="Q164" s="265">
        <f>LOOKUP($B163, CEFF!$C$8:$C$156, CEFF!I$8:I$156)</f>
        <v>0.10945000000000001</v>
      </c>
      <c r="R164" s="265">
        <f>LOOKUP($B163, CEFF!$C$8:$C$156, CEFF!J$8:J$156)</f>
        <v>0.11224000000000001</v>
      </c>
      <c r="S164" s="40"/>
      <c r="T164" s="40"/>
      <c r="U164" s="40"/>
      <c r="V164" s="41"/>
      <c r="W164" s="60"/>
      <c r="X164" s="40"/>
      <c r="Y164" s="40"/>
      <c r="Z164" s="40"/>
      <c r="AA164" s="40"/>
      <c r="AB164" s="40"/>
      <c r="AC164" s="40"/>
      <c r="AD164" s="40"/>
    </row>
    <row r="165" spans="2:30" s="39" customFormat="1" x14ac:dyDescent="0.3">
      <c r="B165" s="212"/>
      <c r="C165" s="212"/>
      <c r="D165" s="212"/>
      <c r="E165" s="212"/>
      <c r="F165" s="212" t="s">
        <v>503</v>
      </c>
      <c r="G165" s="51"/>
      <c r="H165" s="45"/>
      <c r="I165" s="46"/>
      <c r="J165" s="46"/>
      <c r="K165" s="44"/>
      <c r="L165" s="44"/>
      <c r="M165" s="44"/>
      <c r="N165" s="44"/>
      <c r="O165" s="266">
        <f>LOOKUP($B163, CEFF!$C$163:$C$330, CEFF!G$163:G$330)</f>
        <v>7.5469999999999995E-2</v>
      </c>
      <c r="P165" s="266">
        <f>LOOKUP($B163, CEFF!$C$163:$C$330, CEFF!H$163:H$330)</f>
        <v>7.7670000000000003E-2</v>
      </c>
      <c r="Q165" s="266">
        <f>LOOKUP($B163, CEFF!$C$163:$C$330, CEFF!I$163:I$330)</f>
        <v>7.9600000000000004E-2</v>
      </c>
      <c r="R165" s="266">
        <f>LOOKUP($B163, CEFF!$C$163:$C$330, CEFF!J$163:J$330)</f>
        <v>8.1629999999999994E-2</v>
      </c>
      <c r="S165" s="45"/>
      <c r="T165" s="45"/>
      <c r="U165" s="45"/>
      <c r="V165" s="46"/>
      <c r="W165" s="64"/>
      <c r="X165" s="45"/>
      <c r="Y165" s="45"/>
      <c r="Z165" s="45"/>
      <c r="AA165" s="45"/>
      <c r="AB165" s="45"/>
      <c r="AC165" s="45"/>
      <c r="AD165" s="45"/>
    </row>
    <row r="166" spans="2:30" s="39" customFormat="1" x14ac:dyDescent="0.3">
      <c r="B166" s="211" t="s">
        <v>449</v>
      </c>
      <c r="C166" s="210" t="str">
        <f>LOOKUP(B166, TRA_COMM_PRO!$C$17:$C$199, TRA_COMM_PRO!$D$17:$D$199)</f>
        <v>Truck.Medium.GAS.City.01.</v>
      </c>
      <c r="D166" s="211" t="s">
        <v>715</v>
      </c>
      <c r="E166" s="211"/>
      <c r="F166" s="211"/>
      <c r="G166" s="10">
        <f>$G$150</f>
        <v>2020</v>
      </c>
      <c r="H166" s="40">
        <v>15</v>
      </c>
      <c r="I166" s="65">
        <f>$I$104</f>
        <v>1E-3</v>
      </c>
      <c r="J166" s="41">
        <f>J163</f>
        <v>2.7</v>
      </c>
      <c r="K166" s="42"/>
      <c r="L166" s="42"/>
      <c r="M166" s="42"/>
      <c r="N166" s="42"/>
      <c r="O166" s="265"/>
      <c r="P166" s="265"/>
      <c r="Q166" s="265"/>
      <c r="R166" s="265"/>
      <c r="S166" s="40"/>
      <c r="T166" s="40"/>
      <c r="U166" s="40"/>
      <c r="V166" s="41"/>
      <c r="W166" s="62">
        <f>LOOKUP(B166, FIXOM_VAROM!$C$8:$C$190, FIXOM_VAROM!$D$8:$D$190)</f>
        <v>0.1</v>
      </c>
      <c r="X166" s="40">
        <f>LOOKUP($B166, INVCOST!$C$8:$C$193, INVCOST!E$8:E$193)</f>
        <v>169</v>
      </c>
      <c r="Y166" s="40">
        <f>LOOKUP($B166, INVCOST!$C$8:$C$193, INVCOST!F$8:F$193)</f>
        <v>169</v>
      </c>
      <c r="Z166" s="40">
        <f>LOOKUP($B166, INVCOST!$C$8:$C$193, INVCOST!G$8:G$193)</f>
        <v>169</v>
      </c>
      <c r="AA166" s="40">
        <f>LOOKUP($B166, INVCOST!$C$8:$C$193, INVCOST!H$8:H$193)</f>
        <v>169</v>
      </c>
      <c r="AB166" s="40">
        <f>LOOKUP($B166, INVCOST!$C$8:$C$193, INVCOST!I$8:I$193)</f>
        <v>169</v>
      </c>
      <c r="AC166" s="40">
        <f>LOOKUP($B166, INVCOST!$C$8:$C$193, INVCOST!J$8:J$193)</f>
        <v>169</v>
      </c>
      <c r="AD166" s="40">
        <f>LOOKUP($B166, INVCOST!$C$8:$C$193, INVCOST!K$8:K$193)</f>
        <v>169</v>
      </c>
    </row>
    <row r="167" spans="2:30" s="39" customFormat="1" x14ac:dyDescent="0.3">
      <c r="B167" s="211"/>
      <c r="C167" s="211"/>
      <c r="D167" s="211"/>
      <c r="E167" s="211"/>
      <c r="F167" s="211" t="s">
        <v>495</v>
      </c>
      <c r="G167" s="50"/>
      <c r="H167" s="40"/>
      <c r="I167" s="41"/>
      <c r="J167" s="41"/>
      <c r="K167" s="42"/>
      <c r="L167" s="42"/>
      <c r="M167" s="42"/>
      <c r="N167" s="42"/>
      <c r="O167" s="265">
        <f>LOOKUP($B166, CEFF!$C$8:$C$156, CEFF!G$8:G$156)</f>
        <v>9.3619999999999995E-2</v>
      </c>
      <c r="P167" s="265">
        <f>LOOKUP($B166, CEFF!$C$8:$C$156, CEFF!H$8:H$156)</f>
        <v>9.7350000000000006E-2</v>
      </c>
      <c r="Q167" s="265">
        <f>LOOKUP($B166, CEFF!$C$8:$C$156, CEFF!I$8:I$156)</f>
        <v>0.1</v>
      </c>
      <c r="R167" s="265">
        <f>LOOKUP($B166, CEFF!$C$8:$C$156, CEFF!J$8:J$156)</f>
        <v>0.1028</v>
      </c>
      <c r="S167" s="40"/>
      <c r="T167" s="40"/>
      <c r="U167" s="40"/>
      <c r="V167" s="41"/>
      <c r="W167" s="60"/>
      <c r="X167" s="40"/>
      <c r="Y167" s="40"/>
      <c r="Z167" s="40"/>
      <c r="AA167" s="40"/>
      <c r="AB167" s="40"/>
      <c r="AC167" s="40"/>
      <c r="AD167" s="40"/>
    </row>
    <row r="168" spans="2:30" s="39" customFormat="1" x14ac:dyDescent="0.3">
      <c r="B168" s="212"/>
      <c r="C168" s="212"/>
      <c r="D168" s="212"/>
      <c r="E168" s="212"/>
      <c r="F168" s="212" t="s">
        <v>503</v>
      </c>
      <c r="G168" s="51"/>
      <c r="H168" s="45"/>
      <c r="I168" s="46"/>
      <c r="J168" s="46"/>
      <c r="K168" s="44"/>
      <c r="L168" s="44"/>
      <c r="M168" s="44"/>
      <c r="N168" s="44"/>
      <c r="O168" s="266">
        <f>LOOKUP($B166, CEFF!$C$163:$C$330, CEFF!G$163:G$330)</f>
        <v>6.8089999999999998E-2</v>
      </c>
      <c r="P168" s="266">
        <f>LOOKUP($B166, CEFF!$C$163:$C$330, CEFF!H$163:H$330)</f>
        <v>7.0800000000000002E-2</v>
      </c>
      <c r="Q168" s="266">
        <f>LOOKUP($B166, CEFF!$C$163:$C$330, CEFF!I$163:I$330)</f>
        <v>7.2730000000000003E-2</v>
      </c>
      <c r="R168" s="266">
        <f>LOOKUP($B166, CEFF!$C$163:$C$330, CEFF!J$163:J$330)</f>
        <v>7.4770000000000003E-2</v>
      </c>
      <c r="S168" s="45"/>
      <c r="T168" s="45"/>
      <c r="U168" s="45"/>
      <c r="V168" s="46"/>
      <c r="W168" s="64"/>
      <c r="X168" s="45"/>
      <c r="Y168" s="45"/>
      <c r="Z168" s="45"/>
      <c r="AA168" s="45"/>
      <c r="AB168" s="45"/>
      <c r="AC168" s="45"/>
      <c r="AD168" s="45"/>
    </row>
    <row r="169" spans="2:30" s="39" customFormat="1" x14ac:dyDescent="0.3">
      <c r="B169" s="214" t="s">
        <v>450</v>
      </c>
      <c r="C169" s="210" t="str">
        <f>LOOKUP(B169, TRA_COMM_PRO!$C$17:$C$199, TRA_COMM_PRO!$D$17:$D$199)</f>
        <v>Truck.Medium.GSL.City.01.</v>
      </c>
      <c r="D169" s="214" t="s">
        <v>713</v>
      </c>
      <c r="E169" s="214"/>
      <c r="F169" s="214"/>
      <c r="G169" s="10">
        <f>$G$150</f>
        <v>2020</v>
      </c>
      <c r="H169" s="40">
        <v>15</v>
      </c>
      <c r="I169" s="65">
        <f>$I$104</f>
        <v>1E-3</v>
      </c>
      <c r="J169" s="41">
        <f>J166</f>
        <v>2.7</v>
      </c>
      <c r="K169" s="77"/>
      <c r="L169" s="77"/>
      <c r="M169" s="77"/>
      <c r="N169" s="77"/>
      <c r="O169" s="265"/>
      <c r="P169" s="265"/>
      <c r="Q169" s="265"/>
      <c r="R169" s="265"/>
      <c r="S169" s="40"/>
      <c r="T169" s="40"/>
      <c r="U169" s="40"/>
      <c r="V169" s="41"/>
      <c r="W169" s="62">
        <f>LOOKUP(B169, FIXOM_VAROM!$C$8:$C$190, FIXOM_VAROM!$D$8:$D$190)</f>
        <v>0.1</v>
      </c>
      <c r="X169" s="40">
        <f>LOOKUP($B169, INVCOST!$C$8:$C$193, INVCOST!E$8:E$193)</f>
        <v>141</v>
      </c>
      <c r="Y169" s="40">
        <f>LOOKUP($B169, INVCOST!$C$8:$C$193, INVCOST!F$8:F$193)</f>
        <v>141</v>
      </c>
      <c r="Z169" s="40">
        <f>LOOKUP($B169, INVCOST!$C$8:$C$193, INVCOST!G$8:G$193)</f>
        <v>141</v>
      </c>
      <c r="AA169" s="40">
        <f>LOOKUP($B169, INVCOST!$C$8:$C$193, INVCOST!H$8:H$193)</f>
        <v>141</v>
      </c>
      <c r="AB169" s="40">
        <f>LOOKUP($B169, INVCOST!$C$8:$C$193, INVCOST!I$8:I$193)</f>
        <v>141</v>
      </c>
      <c r="AC169" s="40">
        <f>LOOKUP($B169, INVCOST!$C$8:$C$193, INVCOST!J$8:J$193)</f>
        <v>141</v>
      </c>
      <c r="AD169" s="40">
        <f>LOOKUP($B169, INVCOST!$C$8:$C$193, INVCOST!K$8:K$193)</f>
        <v>141</v>
      </c>
    </row>
    <row r="170" spans="2:30" s="39" customFormat="1" x14ac:dyDescent="0.3">
      <c r="B170" s="211"/>
      <c r="C170" s="211"/>
      <c r="D170" s="211"/>
      <c r="E170" s="211"/>
      <c r="F170" s="211" t="s">
        <v>495</v>
      </c>
      <c r="G170" s="50"/>
      <c r="H170" s="40"/>
      <c r="I170" s="41"/>
      <c r="J170" s="40"/>
      <c r="K170" s="78"/>
      <c r="L170" s="78"/>
      <c r="M170" s="78"/>
      <c r="N170" s="78"/>
      <c r="O170" s="265">
        <f>LOOKUP($B169, CEFF!$C$8:$C$156, CEFF!G$8:G$156)</f>
        <v>9.3619999999999995E-2</v>
      </c>
      <c r="P170" s="265">
        <f>LOOKUP($B169, CEFF!$C$8:$C$156, CEFF!H$8:H$156)</f>
        <v>9.7350000000000006E-2</v>
      </c>
      <c r="Q170" s="265">
        <f>LOOKUP($B169, CEFF!$C$8:$C$156, CEFF!I$8:I$156)</f>
        <v>0.1</v>
      </c>
      <c r="R170" s="265">
        <f>LOOKUP($B169, CEFF!$C$8:$C$156, CEFF!J$8:J$156)</f>
        <v>0.1028</v>
      </c>
      <c r="S170" s="40"/>
      <c r="T170" s="40"/>
      <c r="U170" s="40"/>
      <c r="V170" s="41"/>
      <c r="W170" s="60"/>
      <c r="X170" s="40"/>
      <c r="Y170" s="40"/>
      <c r="Z170" s="40"/>
      <c r="AA170" s="40"/>
      <c r="AB170" s="40"/>
      <c r="AC170" s="40"/>
      <c r="AD170" s="40"/>
    </row>
    <row r="171" spans="2:30" s="39" customFormat="1" x14ac:dyDescent="0.3">
      <c r="B171" s="212"/>
      <c r="C171" s="212"/>
      <c r="D171" s="212"/>
      <c r="E171" s="212"/>
      <c r="F171" s="212" t="s">
        <v>503</v>
      </c>
      <c r="G171" s="51"/>
      <c r="H171" s="45"/>
      <c r="I171" s="46"/>
      <c r="J171" s="45"/>
      <c r="K171" s="79"/>
      <c r="L171" s="79"/>
      <c r="M171" s="79"/>
      <c r="N171" s="79"/>
      <c r="O171" s="266">
        <f>LOOKUP($B169, CEFF!$C$163:$C$330, CEFF!G$163:G$330)</f>
        <v>6.8089999999999998E-2</v>
      </c>
      <c r="P171" s="266">
        <f>LOOKUP($B169, CEFF!$C$163:$C$330, CEFF!H$163:H$330)</f>
        <v>7.0800000000000002E-2</v>
      </c>
      <c r="Q171" s="266">
        <f>LOOKUP($B169, CEFF!$C$163:$C$330, CEFF!I$163:I$330)</f>
        <v>7.2730000000000003E-2</v>
      </c>
      <c r="R171" s="266">
        <f>LOOKUP($B169, CEFF!$C$163:$C$330, CEFF!J$163:J$330)</f>
        <v>7.4770000000000003E-2</v>
      </c>
      <c r="S171" s="45"/>
      <c r="T171" s="45"/>
      <c r="U171" s="45"/>
      <c r="V171" s="46"/>
      <c r="W171" s="64"/>
      <c r="X171" s="45"/>
      <c r="Y171" s="45"/>
      <c r="Z171" s="45"/>
      <c r="AA171" s="45"/>
      <c r="AB171" s="45"/>
      <c r="AC171" s="45"/>
      <c r="AD171" s="45"/>
    </row>
    <row r="172" spans="2:30" s="39" customFormat="1" x14ac:dyDescent="0.3">
      <c r="B172" s="211" t="s">
        <v>453</v>
      </c>
      <c r="C172" s="210" t="str">
        <f>LOOKUP(B172, TRA_COMM_PRO!$C$17:$C$199, TRA_COMM_PRO!$D$17:$D$199)</f>
        <v>Truck.Medium.H2G.City.01.</v>
      </c>
      <c r="D172" s="211" t="s">
        <v>57</v>
      </c>
      <c r="E172" s="211"/>
      <c r="F172" s="211"/>
      <c r="G172" s="10">
        <f>$G$150</f>
        <v>2020</v>
      </c>
      <c r="H172" s="40">
        <v>15</v>
      </c>
      <c r="I172" s="65">
        <f>$I$104</f>
        <v>1E-3</v>
      </c>
      <c r="J172" s="41">
        <f>J169</f>
        <v>2.7</v>
      </c>
      <c r="K172" s="42"/>
      <c r="L172" s="42"/>
      <c r="M172" s="42"/>
      <c r="N172" s="42"/>
      <c r="O172" s="265"/>
      <c r="P172" s="265"/>
      <c r="Q172" s="265"/>
      <c r="R172" s="265"/>
      <c r="S172" s="40"/>
      <c r="T172" s="40"/>
      <c r="U172" s="40"/>
      <c r="V172" s="41"/>
      <c r="W172" s="62">
        <f>LOOKUP(B172, FIXOM_VAROM!$C$8:$C$190, FIXOM_VAROM!$D$8:$D$190)</f>
        <v>8.0000000000000016E-2</v>
      </c>
      <c r="X172" s="40">
        <f>LOOKUP($B172, INVCOST!$C$8:$C$193, INVCOST!E$8:E$193)</f>
        <v>216</v>
      </c>
      <c r="Y172" s="40">
        <f>LOOKUP($B172, INVCOST!$C$8:$C$193, INVCOST!F$8:F$193)</f>
        <v>213</v>
      </c>
      <c r="Z172" s="40">
        <f>LOOKUP($B172, INVCOST!$C$8:$C$193, INVCOST!G$8:G$193)</f>
        <v>210</v>
      </c>
      <c r="AA172" s="40">
        <f>LOOKUP($B172, INVCOST!$C$8:$C$193, INVCOST!H$8:H$193)</f>
        <v>206</v>
      </c>
      <c r="AB172" s="40">
        <f>LOOKUP($B172, INVCOST!$C$8:$C$193, INVCOST!I$8:I$193)</f>
        <v>203</v>
      </c>
      <c r="AC172" s="40">
        <f>LOOKUP($B172, INVCOST!$C$8:$C$193, INVCOST!J$8:J$193)</f>
        <v>200</v>
      </c>
      <c r="AD172" s="40">
        <f>LOOKUP($B172, INVCOST!$C$8:$C$193, INVCOST!K$8:K$193)</f>
        <v>197</v>
      </c>
    </row>
    <row r="173" spans="2:30" s="39" customFormat="1" x14ac:dyDescent="0.3">
      <c r="B173" s="211"/>
      <c r="C173" s="211"/>
      <c r="D173" s="211"/>
      <c r="E173" s="211"/>
      <c r="F173" s="211" t="s">
        <v>495</v>
      </c>
      <c r="G173" s="50"/>
      <c r="H173" s="40"/>
      <c r="I173" s="41"/>
      <c r="J173" s="41"/>
      <c r="K173" s="42"/>
      <c r="L173" s="42"/>
      <c r="M173" s="42"/>
      <c r="N173" s="42"/>
      <c r="O173" s="265">
        <f>LOOKUP($B172, CEFF!$C$8:$C$156, CEFF!G$8:G$156)</f>
        <v>0.17188000000000001</v>
      </c>
      <c r="P173" s="265">
        <f>LOOKUP($B172, CEFF!$C$8:$C$156, CEFF!H$8:H$156)</f>
        <v>0.18032999999999999</v>
      </c>
      <c r="Q173" s="265">
        <f>LOOKUP($B172, CEFF!$C$8:$C$156, CEFF!I$8:I$156)</f>
        <v>0.18487000000000001</v>
      </c>
      <c r="R173" s="265">
        <f>LOOKUP($B172, CEFF!$C$8:$C$156, CEFF!J$8:J$156)</f>
        <v>0.18966</v>
      </c>
      <c r="S173" s="40"/>
      <c r="T173" s="40"/>
      <c r="U173" s="40"/>
      <c r="V173" s="41"/>
      <c r="W173" s="60"/>
      <c r="X173" s="60"/>
      <c r="Y173" s="60"/>
      <c r="Z173" s="60"/>
      <c r="AA173" s="60"/>
      <c r="AB173" s="60"/>
      <c r="AC173" s="60"/>
      <c r="AD173" s="60"/>
    </row>
    <row r="174" spans="2:30" s="39" customFormat="1" x14ac:dyDescent="0.3">
      <c r="B174" s="212"/>
      <c r="C174" s="212"/>
      <c r="D174" s="212"/>
      <c r="E174" s="212"/>
      <c r="F174" s="212" t="s">
        <v>503</v>
      </c>
      <c r="G174" s="51"/>
      <c r="H174" s="45"/>
      <c r="I174" s="46"/>
      <c r="J174" s="45"/>
      <c r="K174" s="79"/>
      <c r="L174" s="79"/>
      <c r="M174" s="79"/>
      <c r="N174" s="79"/>
      <c r="O174" s="266">
        <f>LOOKUP($B172, CEFF!$C$163:$C$330, CEFF!G$163:G$330)</f>
        <v>0.125</v>
      </c>
      <c r="P174" s="266">
        <f>LOOKUP($B172, CEFF!$C$163:$C$330, CEFF!H$163:H$330)</f>
        <v>0.13114999999999999</v>
      </c>
      <c r="Q174" s="266">
        <f>LOOKUP($B172, CEFF!$C$163:$C$330, CEFF!I$163:I$330)</f>
        <v>0.13444999999999999</v>
      </c>
      <c r="R174" s="266">
        <f>LOOKUP($B172, CEFF!$C$163:$C$330, CEFF!J$163:J$330)</f>
        <v>0.13793</v>
      </c>
      <c r="S174" s="45"/>
      <c r="T174" s="45"/>
      <c r="U174" s="45"/>
      <c r="V174" s="46"/>
      <c r="W174" s="64"/>
      <c r="X174" s="45"/>
      <c r="Y174" s="45"/>
      <c r="Z174" s="45"/>
      <c r="AA174" s="45"/>
      <c r="AB174" s="45"/>
      <c r="AC174" s="45"/>
      <c r="AD174" s="45"/>
    </row>
    <row r="175" spans="2:30" s="39" customFormat="1" x14ac:dyDescent="0.3">
      <c r="B175" s="211" t="s">
        <v>451</v>
      </c>
      <c r="C175" s="210" t="str">
        <f>LOOKUP(B175, TRA_COMM_PRO!$C$17:$C$199, TRA_COMM_PRO!$D$17:$D$199)</f>
        <v>Truck.Medium.Hybrid.DST.City.01.</v>
      </c>
      <c r="D175" s="211" t="s">
        <v>712</v>
      </c>
      <c r="E175" s="211"/>
      <c r="F175" s="211"/>
      <c r="G175" s="10">
        <f>$G$150</f>
        <v>2020</v>
      </c>
      <c r="H175" s="40">
        <v>15</v>
      </c>
      <c r="I175" s="65">
        <f>$I$104</f>
        <v>1E-3</v>
      </c>
      <c r="J175" s="41">
        <f>J172</f>
        <v>2.7</v>
      </c>
      <c r="K175" s="42"/>
      <c r="L175" s="42"/>
      <c r="M175" s="42"/>
      <c r="N175" s="42"/>
      <c r="O175" s="265"/>
      <c r="P175" s="265"/>
      <c r="Q175" s="265"/>
      <c r="R175" s="265"/>
      <c r="S175" s="40"/>
      <c r="T175" s="40"/>
      <c r="U175" s="40"/>
      <c r="V175" s="41"/>
      <c r="W175" s="62">
        <f>LOOKUP(B175, FIXOM_VAROM!$C$8:$C$190, FIXOM_VAROM!$D$8:$D$190)</f>
        <v>0.1</v>
      </c>
      <c r="X175" s="40">
        <f>LOOKUP($B175, INVCOST!$C$8:$C$193, INVCOST!E$8:E$193)</f>
        <v>169</v>
      </c>
      <c r="Y175" s="40">
        <f>LOOKUP($B175, INVCOST!$C$8:$C$193, INVCOST!F$8:F$193)</f>
        <v>169</v>
      </c>
      <c r="Z175" s="40">
        <f>LOOKUP($B175, INVCOST!$C$8:$C$193, INVCOST!G$8:G$193)</f>
        <v>169</v>
      </c>
      <c r="AA175" s="40">
        <f>LOOKUP($B175, INVCOST!$C$8:$C$193, INVCOST!H$8:H$193)</f>
        <v>169</v>
      </c>
      <c r="AB175" s="40">
        <f>LOOKUP($B175, INVCOST!$C$8:$C$193, INVCOST!I$8:I$193)</f>
        <v>169</v>
      </c>
      <c r="AC175" s="40">
        <f>LOOKUP($B175, INVCOST!$C$8:$C$193, INVCOST!J$8:J$193)</f>
        <v>169</v>
      </c>
      <c r="AD175" s="40">
        <f>LOOKUP($B175, INVCOST!$C$8:$C$193, INVCOST!K$8:K$193)</f>
        <v>169</v>
      </c>
    </row>
    <row r="176" spans="2:30" s="39" customFormat="1" x14ac:dyDescent="0.3">
      <c r="B176" s="211"/>
      <c r="C176" s="211"/>
      <c r="D176" s="211"/>
      <c r="E176" s="211"/>
      <c r="F176" s="211" t="s">
        <v>495</v>
      </c>
      <c r="G176" s="50"/>
      <c r="H176" s="40"/>
      <c r="I176" s="41"/>
      <c r="J176" s="41"/>
      <c r="K176" s="42"/>
      <c r="L176" s="42"/>
      <c r="M176" s="42"/>
      <c r="N176" s="42"/>
      <c r="O176" s="265">
        <f>LOOKUP($B175, CEFF!$C$8:$C$156, CEFF!G$8:G$156)</f>
        <v>0.11579</v>
      </c>
      <c r="P176" s="265">
        <f>LOOKUP($B175, CEFF!$C$8:$C$156, CEFF!H$8:H$156)</f>
        <v>0.11957</v>
      </c>
      <c r="Q176" s="265">
        <f>LOOKUP($B175, CEFF!$C$8:$C$156, CEFF!I$8:I$156)</f>
        <v>0.12222</v>
      </c>
      <c r="R176" s="265">
        <f>LOOKUP($B175, CEFF!$C$8:$C$156, CEFF!J$8:J$156)</f>
        <v>0.125</v>
      </c>
      <c r="S176" s="40"/>
      <c r="T176" s="40"/>
      <c r="U176" s="40"/>
      <c r="V176" s="41"/>
      <c r="W176" s="60"/>
      <c r="X176" s="40"/>
      <c r="Y176" s="40"/>
      <c r="Z176" s="40"/>
      <c r="AA176" s="40"/>
      <c r="AB176" s="40"/>
      <c r="AC176" s="40"/>
      <c r="AD176" s="40"/>
    </row>
    <row r="177" spans="2:30" s="39" customFormat="1" x14ac:dyDescent="0.3">
      <c r="B177" s="212"/>
      <c r="C177" s="212"/>
      <c r="D177" s="212"/>
      <c r="E177" s="212"/>
      <c r="F177" s="212" t="s">
        <v>503</v>
      </c>
      <c r="G177" s="51"/>
      <c r="H177" s="45"/>
      <c r="I177" s="46"/>
      <c r="J177" s="46"/>
      <c r="K177" s="44"/>
      <c r="L177" s="44"/>
      <c r="M177" s="44"/>
      <c r="N177" s="44"/>
      <c r="O177" s="266">
        <f>LOOKUP($B175, CEFF!$C$163:$C$330, CEFF!G$163:G$330)</f>
        <v>8.4209999999999993E-2</v>
      </c>
      <c r="P177" s="266">
        <f>LOOKUP($B175, CEFF!$C$163:$C$330, CEFF!H$163:H$330)</f>
        <v>8.6959999999999996E-2</v>
      </c>
      <c r="Q177" s="266">
        <f>LOOKUP($B175, CEFF!$C$163:$C$330, CEFF!I$163:I$330)</f>
        <v>8.8889999999999997E-2</v>
      </c>
      <c r="R177" s="266">
        <f>LOOKUP($B175, CEFF!$C$163:$C$330, CEFF!J$163:J$330)</f>
        <v>9.0910000000000005E-2</v>
      </c>
      <c r="S177" s="45"/>
      <c r="T177" s="45"/>
      <c r="U177" s="45"/>
      <c r="V177" s="46"/>
      <c r="W177" s="64"/>
      <c r="X177" s="45"/>
      <c r="Y177" s="45"/>
      <c r="Z177" s="45"/>
      <c r="AA177" s="45"/>
      <c r="AB177" s="45"/>
      <c r="AC177" s="45"/>
      <c r="AD177" s="45"/>
    </row>
    <row r="178" spans="2:30" s="39" customFormat="1" x14ac:dyDescent="0.3">
      <c r="B178" s="211" t="s">
        <v>452</v>
      </c>
      <c r="C178" s="210" t="str">
        <f>LOOKUP(B178, TRA_COMM_PRO!$C$17:$C$199, TRA_COMM_PRO!$D$17:$D$199)</f>
        <v>Truck.Medium.Hybrid.GSL.City.01.</v>
      </c>
      <c r="D178" s="214" t="s">
        <v>713</v>
      </c>
      <c r="E178" s="211"/>
      <c r="F178" s="211"/>
      <c r="G178" s="10">
        <f>$G$150</f>
        <v>2020</v>
      </c>
      <c r="H178" s="40">
        <v>15</v>
      </c>
      <c r="I178" s="65">
        <f>$I$104</f>
        <v>1E-3</v>
      </c>
      <c r="J178" s="41">
        <f>J175</f>
        <v>2.7</v>
      </c>
      <c r="K178" s="42"/>
      <c r="L178" s="42"/>
      <c r="M178" s="42"/>
      <c r="N178" s="42"/>
      <c r="O178" s="265"/>
      <c r="P178" s="265"/>
      <c r="Q178" s="265"/>
      <c r="R178" s="265"/>
      <c r="S178" s="40"/>
      <c r="T178" s="40"/>
      <c r="U178" s="40"/>
      <c r="V178" s="41"/>
      <c r="W178" s="62">
        <f>LOOKUP(B178, FIXOM_VAROM!$C$8:$C$190, FIXOM_VAROM!$D$8:$D$190)</f>
        <v>0.1</v>
      </c>
      <c r="X178" s="40">
        <f>LOOKUP($B178, INVCOST!$C$8:$C$193, INVCOST!E$8:E$193)</f>
        <v>169</v>
      </c>
      <c r="Y178" s="40">
        <f>LOOKUP($B178, INVCOST!$C$8:$C$193, INVCOST!F$8:F$193)</f>
        <v>169</v>
      </c>
      <c r="Z178" s="40">
        <f>LOOKUP($B178, INVCOST!$C$8:$C$193, INVCOST!G$8:G$193)</f>
        <v>169</v>
      </c>
      <c r="AA178" s="40">
        <f>LOOKUP($B178, INVCOST!$C$8:$C$193, INVCOST!H$8:H$193)</f>
        <v>169</v>
      </c>
      <c r="AB178" s="40">
        <f>LOOKUP($B178, INVCOST!$C$8:$C$193, INVCOST!I$8:I$193)</f>
        <v>169</v>
      </c>
      <c r="AC178" s="40">
        <f>LOOKUP($B178, INVCOST!$C$8:$C$193, INVCOST!J$8:J$193)</f>
        <v>169</v>
      </c>
      <c r="AD178" s="40">
        <f>LOOKUP($B178, INVCOST!$C$8:$C$193, INVCOST!K$8:K$193)</f>
        <v>169</v>
      </c>
    </row>
    <row r="179" spans="2:30" s="39" customFormat="1" x14ac:dyDescent="0.3">
      <c r="B179" s="211"/>
      <c r="C179" s="211"/>
      <c r="D179" s="211"/>
      <c r="E179" s="211"/>
      <c r="F179" s="211" t="s">
        <v>495</v>
      </c>
      <c r="G179" s="50"/>
      <c r="H179" s="40"/>
      <c r="I179" s="41"/>
      <c r="J179" s="41"/>
      <c r="K179" s="42"/>
      <c r="L179" s="42"/>
      <c r="M179" s="42"/>
      <c r="N179" s="42"/>
      <c r="O179" s="265">
        <f>LOOKUP($B178, CEFF!$C$8:$C$156, CEFF!G$8:G$156)</f>
        <v>0.10446</v>
      </c>
      <c r="P179" s="265">
        <f>LOOKUP($B178, CEFF!$C$8:$C$156, CEFF!H$8:H$156)</f>
        <v>0.10897999999999999</v>
      </c>
      <c r="Q179" s="265">
        <f>LOOKUP($B178, CEFF!$C$8:$C$156, CEFF!I$8:I$156)</f>
        <v>0.11167000000000001</v>
      </c>
      <c r="R179" s="265">
        <f>LOOKUP($B178, CEFF!$C$8:$C$156, CEFF!J$8:J$156)</f>
        <v>0.11448999999999999</v>
      </c>
      <c r="S179" s="40"/>
      <c r="T179" s="40"/>
      <c r="U179" s="40"/>
      <c r="V179" s="41"/>
      <c r="W179" s="60"/>
      <c r="X179" s="40"/>
      <c r="Y179" s="40"/>
      <c r="Z179" s="40"/>
      <c r="AA179" s="40"/>
      <c r="AB179" s="40"/>
      <c r="AC179" s="40"/>
      <c r="AD179" s="40"/>
    </row>
    <row r="180" spans="2:30" s="39" customFormat="1" x14ac:dyDescent="0.3">
      <c r="B180" s="212"/>
      <c r="C180" s="212"/>
      <c r="D180" s="212"/>
      <c r="E180" s="212"/>
      <c r="F180" s="212" t="s">
        <v>503</v>
      </c>
      <c r="G180" s="51"/>
      <c r="H180" s="45"/>
      <c r="I180" s="46"/>
      <c r="J180" s="46"/>
      <c r="K180" s="44"/>
      <c r="L180" s="44"/>
      <c r="M180" s="44"/>
      <c r="N180" s="44"/>
      <c r="O180" s="266">
        <f>LOOKUP($B178, CEFF!$C$163:$C$330, CEFF!G$163:G$330)</f>
        <v>0.11277</v>
      </c>
      <c r="P180" s="266">
        <f>LOOKUP($B178, CEFF!$C$163:$C$330, CEFF!H$163:H$330)</f>
        <v>0.11953999999999999</v>
      </c>
      <c r="Q180" s="266">
        <f>LOOKUP($B178, CEFF!$C$163:$C$330, CEFF!I$163:I$330)</f>
        <v>0.12284</v>
      </c>
      <c r="R180" s="266">
        <f>LOOKUP($B178, CEFF!$C$163:$C$330, CEFF!J$163:J$330)</f>
        <v>0.12633</v>
      </c>
      <c r="S180" s="45"/>
      <c r="T180" s="45"/>
      <c r="U180" s="45"/>
      <c r="V180" s="46"/>
      <c r="W180" s="64"/>
      <c r="X180" s="45"/>
      <c r="Y180" s="45"/>
      <c r="Z180" s="45"/>
      <c r="AA180" s="45"/>
      <c r="AB180" s="45"/>
      <c r="AC180" s="45"/>
      <c r="AD180" s="45"/>
    </row>
    <row r="181" spans="2:30" s="39" customFormat="1" x14ac:dyDescent="0.3">
      <c r="B181" s="211" t="s">
        <v>607</v>
      </c>
      <c r="C181" s="210" t="str">
        <f>LOOKUP(B181, TRA_COMM_PRO!$C$17:$C$199, TRA_COMM_PRO!$D$17:$D$199)</f>
        <v>Truck.Medium.MTH.City.01.</v>
      </c>
      <c r="D181" s="211" t="s">
        <v>599</v>
      </c>
      <c r="E181" s="211"/>
      <c r="F181" s="211"/>
      <c r="G181" s="10">
        <f>$G$150</f>
        <v>2020</v>
      </c>
      <c r="H181" s="40">
        <v>15</v>
      </c>
      <c r="I181" s="65">
        <f>$I$104</f>
        <v>1E-3</v>
      </c>
      <c r="J181" s="41">
        <f>J178</f>
        <v>2.7</v>
      </c>
      <c r="K181" s="42"/>
      <c r="L181" s="42"/>
      <c r="M181" s="42"/>
      <c r="N181" s="42"/>
      <c r="O181" s="265"/>
      <c r="P181" s="265"/>
      <c r="Q181" s="265"/>
      <c r="R181" s="265"/>
      <c r="S181" s="40"/>
      <c r="T181" s="40"/>
      <c r="U181" s="40"/>
      <c r="V181" s="41"/>
      <c r="W181" s="62">
        <f>LOOKUP(B181, FIXOM_VAROM!$C$8:$C$190, FIXOM_VAROM!$D$8:$D$190)</f>
        <v>0.1</v>
      </c>
      <c r="X181" s="40">
        <f>LOOKUP($B181, INVCOST!$C$8:$C$193, INVCOST!E$8:E$193)</f>
        <v>169</v>
      </c>
      <c r="Y181" s="40">
        <f>LOOKUP($B181, INVCOST!$C$8:$C$193, INVCOST!F$8:F$193)</f>
        <v>169</v>
      </c>
      <c r="Z181" s="40">
        <f>LOOKUP($B181, INVCOST!$C$8:$C$193, INVCOST!G$8:G$193)</f>
        <v>169</v>
      </c>
      <c r="AA181" s="40">
        <f>LOOKUP($B181, INVCOST!$C$8:$C$193, INVCOST!H$8:H$193)</f>
        <v>169</v>
      </c>
      <c r="AB181" s="40">
        <f>LOOKUP($B181, INVCOST!$C$8:$C$193, INVCOST!I$8:I$193)</f>
        <v>169</v>
      </c>
      <c r="AC181" s="40">
        <f>LOOKUP($B181, INVCOST!$C$8:$C$193, INVCOST!J$8:J$193)</f>
        <v>169</v>
      </c>
      <c r="AD181" s="40">
        <f>LOOKUP($B181, INVCOST!$C$8:$C$193, INVCOST!K$8:K$193)</f>
        <v>169</v>
      </c>
    </row>
    <row r="182" spans="2:30" s="39" customFormat="1" x14ac:dyDescent="0.3">
      <c r="B182" s="211"/>
      <c r="C182" s="211"/>
      <c r="D182" s="211"/>
      <c r="E182" s="211"/>
      <c r="F182" s="211" t="s">
        <v>495</v>
      </c>
      <c r="G182" s="50"/>
      <c r="H182" s="40"/>
      <c r="I182" s="41"/>
      <c r="J182" s="41"/>
      <c r="K182" s="42"/>
      <c r="L182" s="42"/>
      <c r="M182" s="42"/>
      <c r="N182" s="42"/>
      <c r="O182" s="265">
        <f>LOOKUP($B181, CEFF!$C$8:$C$156, CEFF!G$8:G$156)</f>
        <v>9.3619999999999995E-2</v>
      </c>
      <c r="P182" s="265">
        <f>LOOKUP($B181, CEFF!$C$8:$C$156, CEFF!H$8:H$156)</f>
        <v>9.7350000000000006E-2</v>
      </c>
      <c r="Q182" s="265">
        <f>LOOKUP($B181, CEFF!$C$8:$C$156, CEFF!I$8:I$156)</f>
        <v>0.1</v>
      </c>
      <c r="R182" s="265">
        <f>LOOKUP($B181, CEFF!$C$8:$C$156, CEFF!J$8:J$156)</f>
        <v>0.1028</v>
      </c>
      <c r="S182" s="40"/>
      <c r="T182" s="40"/>
      <c r="U182" s="40"/>
      <c r="V182" s="41"/>
      <c r="W182" s="60"/>
      <c r="X182" s="40"/>
      <c r="Y182" s="40"/>
      <c r="Z182" s="40"/>
      <c r="AA182" s="40"/>
      <c r="AB182" s="40"/>
      <c r="AC182" s="40"/>
      <c r="AD182" s="40"/>
    </row>
    <row r="183" spans="2:30" s="39" customFormat="1" x14ac:dyDescent="0.3">
      <c r="B183" s="212"/>
      <c r="C183" s="212"/>
      <c r="D183" s="212"/>
      <c r="E183" s="212"/>
      <c r="F183" s="212" t="s">
        <v>503</v>
      </c>
      <c r="G183" s="51"/>
      <c r="H183" s="45"/>
      <c r="I183" s="46"/>
      <c r="J183" s="46"/>
      <c r="K183" s="44"/>
      <c r="L183" s="44"/>
      <c r="M183" s="44"/>
      <c r="N183" s="44"/>
      <c r="O183" s="266">
        <f>LOOKUP($B181, CEFF!$C$163:$C$330, CEFF!G$163:G$330)</f>
        <v>6.8089999999999998E-2</v>
      </c>
      <c r="P183" s="266">
        <f>LOOKUP($B181, CEFF!$C$163:$C$330, CEFF!H$163:H$330)</f>
        <v>7.0800000000000002E-2</v>
      </c>
      <c r="Q183" s="266">
        <f>LOOKUP($B181, CEFF!$C$163:$C$330, CEFF!I$163:I$330)</f>
        <v>7.2730000000000003E-2</v>
      </c>
      <c r="R183" s="266">
        <f>LOOKUP($B181, CEFF!$C$163:$C$330, CEFF!J$163:J$330)</f>
        <v>7.4770000000000003E-2</v>
      </c>
      <c r="S183" s="45"/>
      <c r="T183" s="45"/>
      <c r="U183" s="45"/>
      <c r="V183" s="46"/>
      <c r="W183" s="64"/>
      <c r="X183" s="45"/>
      <c r="Y183" s="45"/>
      <c r="Z183" s="45"/>
      <c r="AA183" s="45"/>
      <c r="AB183" s="45"/>
      <c r="AC183" s="45"/>
      <c r="AD183" s="45"/>
    </row>
    <row r="184" spans="2:30" s="39" customFormat="1" x14ac:dyDescent="0.3">
      <c r="B184" s="211" t="s">
        <v>454</v>
      </c>
      <c r="C184" s="210" t="str">
        <f>LOOKUP(B184, TRA_COMM_PRO!$C$17:$C$199, TRA_COMM_PRO!$D$17:$D$199)</f>
        <v>Truck.Medium.LPG.City.01.</v>
      </c>
      <c r="D184" s="211" t="s">
        <v>62</v>
      </c>
      <c r="E184" s="211"/>
      <c r="F184" s="211"/>
      <c r="G184" s="10">
        <f>$G$150</f>
        <v>2020</v>
      </c>
      <c r="H184" s="40">
        <v>15</v>
      </c>
      <c r="I184" s="65">
        <f>$I$104</f>
        <v>1E-3</v>
      </c>
      <c r="J184" s="41">
        <f>J181</f>
        <v>2.7</v>
      </c>
      <c r="K184" s="42"/>
      <c r="L184" s="42"/>
      <c r="M184" s="42"/>
      <c r="N184" s="42"/>
      <c r="O184" s="265"/>
      <c r="P184" s="265"/>
      <c r="Q184" s="265"/>
      <c r="R184" s="265"/>
      <c r="S184" s="40"/>
      <c r="T184" s="40"/>
      <c r="U184" s="40"/>
      <c r="V184" s="41"/>
      <c r="W184" s="62">
        <f>LOOKUP(B184, FIXOM_VAROM!$C$8:$C$190, FIXOM_VAROM!$D$8:$D$190)</f>
        <v>0.1</v>
      </c>
      <c r="X184" s="40">
        <f>LOOKUP($B184, INVCOST!$C$8:$C$193, INVCOST!E$8:E$193)</f>
        <v>169</v>
      </c>
      <c r="Y184" s="40">
        <f>LOOKUP($B184, INVCOST!$C$8:$C$193, INVCOST!F$8:F$193)</f>
        <v>169</v>
      </c>
      <c r="Z184" s="40">
        <f>LOOKUP($B184, INVCOST!$C$8:$C$193, INVCOST!G$8:G$193)</f>
        <v>169</v>
      </c>
      <c r="AA184" s="40">
        <f>LOOKUP($B184, INVCOST!$C$8:$C$193, INVCOST!H$8:H$193)</f>
        <v>169</v>
      </c>
      <c r="AB184" s="40">
        <f>LOOKUP($B184, INVCOST!$C$8:$C$193, INVCOST!I$8:I$193)</f>
        <v>169</v>
      </c>
      <c r="AC184" s="40">
        <f>LOOKUP($B184, INVCOST!$C$8:$C$193, INVCOST!J$8:J$193)</f>
        <v>169</v>
      </c>
      <c r="AD184" s="40">
        <f>LOOKUP($B184, INVCOST!$C$8:$C$193, INVCOST!K$8:K$193)</f>
        <v>169</v>
      </c>
    </row>
    <row r="185" spans="2:30" s="39" customFormat="1" x14ac:dyDescent="0.3">
      <c r="B185" s="211"/>
      <c r="C185" s="211"/>
      <c r="D185" s="211"/>
      <c r="E185" s="211"/>
      <c r="F185" s="211" t="s">
        <v>495</v>
      </c>
      <c r="G185" s="50"/>
      <c r="H185" s="40"/>
      <c r="I185" s="41"/>
      <c r="J185" s="41"/>
      <c r="K185" s="42"/>
      <c r="L185" s="42"/>
      <c r="M185" s="42"/>
      <c r="N185" s="42"/>
      <c r="O185" s="265">
        <f>LOOKUP($B184, CEFF!$C$8:$C$156, CEFF!G$8:G$156)</f>
        <v>9.3619999999999995E-2</v>
      </c>
      <c r="P185" s="265">
        <f>LOOKUP($B184, CEFF!$C$8:$C$156, CEFF!H$8:H$156)</f>
        <v>9.7350000000000006E-2</v>
      </c>
      <c r="Q185" s="265">
        <f>LOOKUP($B184, CEFF!$C$8:$C$156, CEFF!I$8:I$156)</f>
        <v>0.1</v>
      </c>
      <c r="R185" s="265">
        <f>LOOKUP($B184, CEFF!$C$8:$C$156, CEFF!J$8:J$156)</f>
        <v>0.1028</v>
      </c>
      <c r="S185" s="40"/>
      <c r="T185" s="40"/>
      <c r="U185" s="40"/>
      <c r="V185" s="41"/>
      <c r="W185" s="60"/>
      <c r="X185" s="40"/>
      <c r="Y185" s="40"/>
      <c r="Z185" s="40"/>
      <c r="AA185" s="40"/>
      <c r="AB185" s="40"/>
      <c r="AC185" s="40"/>
      <c r="AD185" s="40"/>
    </row>
    <row r="186" spans="2:30" s="39" customFormat="1" x14ac:dyDescent="0.3">
      <c r="B186" s="212"/>
      <c r="C186" s="212"/>
      <c r="D186" s="212"/>
      <c r="E186" s="212"/>
      <c r="F186" s="212" t="s">
        <v>503</v>
      </c>
      <c r="G186" s="51"/>
      <c r="H186" s="45"/>
      <c r="I186" s="46"/>
      <c r="J186" s="46"/>
      <c r="K186" s="44"/>
      <c r="L186" s="44"/>
      <c r="M186" s="44"/>
      <c r="N186" s="44"/>
      <c r="O186" s="266">
        <f>LOOKUP($B184, CEFF!$C$163:$C$330, CEFF!G$163:G$330)</f>
        <v>6.8089999999999998E-2</v>
      </c>
      <c r="P186" s="266">
        <f>LOOKUP($B184, CEFF!$C$163:$C$330, CEFF!H$163:H$330)</f>
        <v>7.0800000000000002E-2</v>
      </c>
      <c r="Q186" s="266">
        <f>LOOKUP($B184, CEFF!$C$163:$C$330, CEFF!I$163:I$330)</f>
        <v>7.2730000000000003E-2</v>
      </c>
      <c r="R186" s="266">
        <f>LOOKUP($B184, CEFF!$C$163:$C$330, CEFF!J$163:J$330)</f>
        <v>7.4770000000000003E-2</v>
      </c>
      <c r="S186" s="45"/>
      <c r="T186" s="45"/>
      <c r="U186" s="45"/>
      <c r="V186" s="46"/>
      <c r="W186" s="64"/>
      <c r="X186" s="45"/>
      <c r="Y186" s="45"/>
      <c r="Z186" s="45"/>
      <c r="AA186" s="45"/>
      <c r="AB186" s="45"/>
      <c r="AC186" s="45"/>
      <c r="AD186" s="45"/>
    </row>
    <row r="187" spans="2:30" s="39" customFormat="1" x14ac:dyDescent="0.3">
      <c r="B187" s="211" t="s">
        <v>456</v>
      </c>
      <c r="C187" s="210" t="str">
        <f>LOOKUP(B187, TRA_COMM_PRO!$C$17:$C$199, TRA_COMM_PRO!$D$17:$D$199)</f>
        <v>Truck.Medium.Plugin-Hybrid.DST.City.01.</v>
      </c>
      <c r="D187" s="211" t="s">
        <v>712</v>
      </c>
      <c r="E187" s="211"/>
      <c r="F187" s="211"/>
      <c r="G187" s="10">
        <f>$G$150</f>
        <v>2020</v>
      </c>
      <c r="H187" s="40">
        <v>15</v>
      </c>
      <c r="I187" s="65">
        <f>$I$104</f>
        <v>1E-3</v>
      </c>
      <c r="J187" s="41">
        <f>J184</f>
        <v>2.7</v>
      </c>
      <c r="K187" s="42"/>
      <c r="L187" s="42"/>
      <c r="M187" s="42"/>
      <c r="N187" s="42"/>
      <c r="O187" s="265"/>
      <c r="P187" s="265"/>
      <c r="Q187" s="265"/>
      <c r="R187" s="265"/>
      <c r="S187" s="40"/>
      <c r="T187" s="40"/>
      <c r="U187" s="40"/>
      <c r="V187" s="41"/>
      <c r="W187" s="62">
        <f>LOOKUP(B187, FIXOM_VAROM!$C$8:$C$190, FIXOM_VAROM!$D$8:$D$190)</f>
        <v>0.1</v>
      </c>
      <c r="X187" s="40">
        <f>LOOKUP($B187, INVCOST!$C$8:$C$193, INVCOST!E$8:E$193)</f>
        <v>202.79999999999998</v>
      </c>
      <c r="Y187" s="40">
        <f>LOOKUP($B187, INVCOST!$C$8:$C$193, INVCOST!F$8:F$193)</f>
        <v>202.79999999999998</v>
      </c>
      <c r="Z187" s="40">
        <f>LOOKUP($B187, INVCOST!$C$8:$C$193, INVCOST!G$8:G$193)</f>
        <v>202.79999999999998</v>
      </c>
      <c r="AA187" s="40">
        <f>LOOKUP($B187, INVCOST!$C$8:$C$193, INVCOST!H$8:H$193)</f>
        <v>202.79999999999998</v>
      </c>
      <c r="AB187" s="40">
        <f>LOOKUP($B187, INVCOST!$C$8:$C$193, INVCOST!I$8:I$193)</f>
        <v>202.79999999999998</v>
      </c>
      <c r="AC187" s="40">
        <f>LOOKUP($B187, INVCOST!$C$8:$C$193, INVCOST!J$8:J$193)</f>
        <v>202.79999999999998</v>
      </c>
      <c r="AD187" s="40">
        <f>LOOKUP($B187, INVCOST!$C$8:$C$193, INVCOST!K$8:K$193)</f>
        <v>202.79999999999998</v>
      </c>
    </row>
    <row r="188" spans="2:30" s="39" customFormat="1" x14ac:dyDescent="0.3">
      <c r="B188" s="211"/>
      <c r="C188" s="211"/>
      <c r="D188" s="211"/>
      <c r="E188" s="211"/>
      <c r="F188" s="211" t="s">
        <v>495</v>
      </c>
      <c r="G188" s="50"/>
      <c r="H188" s="40"/>
      <c r="I188" s="41"/>
      <c r="J188" s="41"/>
      <c r="K188" s="42"/>
      <c r="L188" s="42"/>
      <c r="M188" s="42"/>
      <c r="N188" s="42"/>
      <c r="O188" s="265">
        <f>LOOKUP($B187, CEFF!$C$8:$C$156, CEFF!G$8:G$156)</f>
        <v>0.10377</v>
      </c>
      <c r="P188" s="265">
        <f>LOOKUP($B187, CEFF!$C$8:$C$156, CEFF!H$8:H$156)</f>
        <v>0.10680000000000001</v>
      </c>
      <c r="Q188" s="265">
        <f>LOOKUP($B187, CEFF!$C$8:$C$156, CEFF!I$8:I$156)</f>
        <v>0.10945000000000001</v>
      </c>
      <c r="R188" s="265">
        <f>LOOKUP($B187, CEFF!$C$8:$C$156, CEFF!J$8:J$156)</f>
        <v>0.11224000000000001</v>
      </c>
      <c r="S188" s="40"/>
      <c r="T188" s="40"/>
      <c r="U188" s="40"/>
      <c r="V188" s="41"/>
      <c r="W188" s="60"/>
      <c r="X188" s="40"/>
      <c r="Y188" s="40"/>
      <c r="Z188" s="40"/>
      <c r="AA188" s="40"/>
      <c r="AB188" s="40"/>
      <c r="AC188" s="40"/>
      <c r="AD188" s="40"/>
    </row>
    <row r="189" spans="2:30" s="39" customFormat="1" x14ac:dyDescent="0.3">
      <c r="B189" s="212"/>
      <c r="C189" s="212"/>
      <c r="D189" s="212"/>
      <c r="E189" s="212"/>
      <c r="F189" s="212" t="s">
        <v>503</v>
      </c>
      <c r="G189" s="51"/>
      <c r="H189" s="45"/>
      <c r="I189" s="46"/>
      <c r="J189" s="46"/>
      <c r="K189" s="44"/>
      <c r="L189" s="44"/>
      <c r="M189" s="44"/>
      <c r="N189" s="44"/>
      <c r="O189" s="266">
        <f>LOOKUP($B187, CEFF!$C$163:$C$330, CEFF!G$163:G$330)</f>
        <v>7.5469999999999995E-2</v>
      </c>
      <c r="P189" s="266">
        <f>LOOKUP($B187, CEFF!$C$163:$C$330, CEFF!H$163:H$330)</f>
        <v>7.7670000000000003E-2</v>
      </c>
      <c r="Q189" s="266">
        <f>LOOKUP($B187, CEFF!$C$163:$C$330, CEFF!I$163:I$330)</f>
        <v>7.9600000000000004E-2</v>
      </c>
      <c r="R189" s="266">
        <f>LOOKUP($B187, CEFF!$C$163:$C$330, CEFF!J$163:J$330)</f>
        <v>8.1629999999999994E-2</v>
      </c>
      <c r="S189" s="45"/>
      <c r="T189" s="45"/>
      <c r="U189" s="45"/>
      <c r="V189" s="46"/>
      <c r="W189" s="64"/>
      <c r="X189" s="45"/>
      <c r="Y189" s="45"/>
      <c r="Z189" s="45"/>
      <c r="AA189" s="45"/>
      <c r="AB189" s="45"/>
      <c r="AC189" s="45"/>
      <c r="AD189" s="45"/>
    </row>
    <row r="190" spans="2:30" s="39" customFormat="1" x14ac:dyDescent="0.3">
      <c r="B190" s="211" t="s">
        <v>457</v>
      </c>
      <c r="C190" s="210" t="str">
        <f>LOOKUP(B190, TRA_COMM_PRO!$C$17:$C$199, TRA_COMM_PRO!$D$17:$D$199)</f>
        <v>Truck.Medium.Plugin-Hybrid.GSL.City.01.</v>
      </c>
      <c r="D190" s="214" t="s">
        <v>713</v>
      </c>
      <c r="E190" s="211"/>
      <c r="F190" s="211"/>
      <c r="G190" s="10">
        <f>$G$150</f>
        <v>2020</v>
      </c>
      <c r="H190" s="40">
        <v>15</v>
      </c>
      <c r="I190" s="65">
        <f>$I$104</f>
        <v>1E-3</v>
      </c>
      <c r="J190" s="41">
        <f>J187</f>
        <v>2.7</v>
      </c>
      <c r="K190" s="42"/>
      <c r="L190" s="42"/>
      <c r="M190" s="42"/>
      <c r="N190" s="42"/>
      <c r="O190" s="265"/>
      <c r="P190" s="265"/>
      <c r="Q190" s="265"/>
      <c r="R190" s="265"/>
      <c r="S190" s="40"/>
      <c r="T190" s="40"/>
      <c r="U190" s="40"/>
      <c r="V190" s="41"/>
      <c r="W190" s="62">
        <f>LOOKUP(B190, FIXOM_VAROM!$C$8:$C$190, FIXOM_VAROM!$D$8:$D$190)</f>
        <v>0.1</v>
      </c>
      <c r="X190" s="40">
        <f>LOOKUP($B190, INVCOST!$C$8:$C$193, INVCOST!E$8:E$193)</f>
        <v>202.79999999999998</v>
      </c>
      <c r="Y190" s="40">
        <f>LOOKUP($B190, INVCOST!$C$8:$C$193, INVCOST!F$8:F$193)</f>
        <v>202.79999999999998</v>
      </c>
      <c r="Z190" s="40">
        <f>LOOKUP($B190, INVCOST!$C$8:$C$193, INVCOST!G$8:G$193)</f>
        <v>202.79999999999998</v>
      </c>
      <c r="AA190" s="40">
        <f>LOOKUP($B190, INVCOST!$C$8:$C$193, INVCOST!H$8:H$193)</f>
        <v>202.79999999999998</v>
      </c>
      <c r="AB190" s="40">
        <f>LOOKUP($B190, INVCOST!$C$8:$C$193, INVCOST!I$8:I$193)</f>
        <v>202.79999999999998</v>
      </c>
      <c r="AC190" s="40">
        <f>LOOKUP($B190, INVCOST!$C$8:$C$193, INVCOST!J$8:J$193)</f>
        <v>202.79999999999998</v>
      </c>
      <c r="AD190" s="40">
        <f>LOOKUP($B190, INVCOST!$C$8:$C$193, INVCOST!K$8:K$193)</f>
        <v>202.79999999999998</v>
      </c>
    </row>
    <row r="191" spans="2:30" s="39" customFormat="1" x14ac:dyDescent="0.3">
      <c r="B191" s="211"/>
      <c r="C191" s="211"/>
      <c r="D191" s="211"/>
      <c r="E191" s="211"/>
      <c r="F191" s="211" t="s">
        <v>495</v>
      </c>
      <c r="G191" s="50"/>
      <c r="H191" s="40"/>
      <c r="I191" s="41"/>
      <c r="J191" s="41"/>
      <c r="K191" s="42"/>
      <c r="L191" s="42"/>
      <c r="M191" s="42"/>
      <c r="N191" s="42"/>
      <c r="O191" s="265">
        <f>LOOKUP($B190, CEFF!$C$8:$C$156, CEFF!G$8:G$156)</f>
        <v>9.3619999999999995E-2</v>
      </c>
      <c r="P191" s="265">
        <f>LOOKUP($B190, CEFF!$C$8:$C$156, CEFF!H$8:H$156)</f>
        <v>9.7350000000000006E-2</v>
      </c>
      <c r="Q191" s="265">
        <f>LOOKUP($B190, CEFF!$C$8:$C$156, CEFF!I$8:I$156)</f>
        <v>0.1</v>
      </c>
      <c r="R191" s="265">
        <f>LOOKUP($B190, CEFF!$C$8:$C$156, CEFF!J$8:J$156)</f>
        <v>0.1028</v>
      </c>
      <c r="S191" s="40"/>
      <c r="T191" s="40"/>
      <c r="U191" s="40"/>
      <c r="V191" s="41"/>
      <c r="W191" s="41"/>
      <c r="X191" s="40"/>
      <c r="Y191" s="40"/>
      <c r="Z191" s="40"/>
      <c r="AA191" s="40"/>
      <c r="AB191" s="40"/>
      <c r="AC191" s="40"/>
      <c r="AD191" s="40"/>
    </row>
    <row r="192" spans="2:30" s="39" customFormat="1" x14ac:dyDescent="0.3">
      <c r="B192" s="215"/>
      <c r="C192" s="215"/>
      <c r="D192" s="215"/>
      <c r="E192" s="215"/>
      <c r="F192" s="215" t="s">
        <v>503</v>
      </c>
      <c r="G192" s="182"/>
      <c r="H192" s="183"/>
      <c r="I192" s="181"/>
      <c r="J192" s="181"/>
      <c r="K192" s="179"/>
      <c r="L192" s="179"/>
      <c r="M192" s="179"/>
      <c r="N192" s="179"/>
      <c r="O192" s="267">
        <f>LOOKUP($B190, CEFF!$C$163:$C$330, CEFF!G$163:G$330)</f>
        <v>6.8089999999999998E-2</v>
      </c>
      <c r="P192" s="267">
        <f>LOOKUP($B190, CEFF!$C$163:$C$330, CEFF!H$163:H$330)</f>
        <v>7.0800000000000002E-2</v>
      </c>
      <c r="Q192" s="267">
        <f>LOOKUP($B190, CEFF!$C$163:$C$330, CEFF!I$163:I$330)</f>
        <v>7.2730000000000003E-2</v>
      </c>
      <c r="R192" s="267">
        <f>LOOKUP($B190, CEFF!$C$163:$C$330, CEFF!J$163:J$330)</f>
        <v>7.4770000000000003E-2</v>
      </c>
      <c r="S192" s="183"/>
      <c r="T192" s="183"/>
      <c r="U192" s="183"/>
      <c r="V192" s="181"/>
      <c r="W192" s="181"/>
      <c r="X192" s="183"/>
      <c r="Y192" s="183"/>
      <c r="Z192" s="183"/>
      <c r="AA192" s="183"/>
      <c r="AB192" s="183"/>
      <c r="AC192" s="183"/>
      <c r="AD192" s="183"/>
    </row>
    <row r="193" spans="2:30" s="39" customFormat="1" x14ac:dyDescent="0.3">
      <c r="H193" s="36"/>
      <c r="I193" s="37"/>
      <c r="J193" s="38"/>
      <c r="K193" s="47"/>
      <c r="L193" s="47"/>
      <c r="M193" s="47"/>
      <c r="N193" s="47"/>
      <c r="O193" s="38"/>
      <c r="P193" s="38"/>
      <c r="Q193" s="38"/>
      <c r="R193" s="38"/>
      <c r="S193" s="36"/>
      <c r="T193" s="36"/>
      <c r="U193" s="36"/>
      <c r="V193" s="38"/>
      <c r="W193" s="38"/>
      <c r="X193" s="58"/>
      <c r="Y193" s="58"/>
      <c r="Z193" s="58"/>
      <c r="AA193" s="58"/>
      <c r="AB193" s="58"/>
      <c r="AC193" s="58"/>
      <c r="AD193" s="58"/>
    </row>
    <row r="194" spans="2:30" s="39" customFormat="1" x14ac:dyDescent="0.3">
      <c r="H194" s="36"/>
      <c r="I194" s="37"/>
      <c r="J194" s="38"/>
      <c r="K194" s="58"/>
      <c r="L194" s="58"/>
      <c r="M194" s="58"/>
      <c r="N194" s="58"/>
      <c r="O194" s="58"/>
      <c r="P194" s="58"/>
      <c r="Q194" s="58"/>
      <c r="R194" s="58"/>
      <c r="S194" s="36"/>
      <c r="T194" s="36"/>
      <c r="U194" s="36"/>
      <c r="V194" s="38"/>
      <c r="W194" s="38"/>
      <c r="X194" s="38"/>
      <c r="Y194" s="38"/>
      <c r="Z194" s="38"/>
      <c r="AA194" s="38"/>
      <c r="AB194" s="38"/>
      <c r="AC194" s="38"/>
      <c r="AD194" s="38"/>
    </row>
    <row r="195" spans="2:30" x14ac:dyDescent="0.3">
      <c r="B195" s="6" t="s">
        <v>565</v>
      </c>
      <c r="C195" s="7"/>
      <c r="D195" s="8"/>
      <c r="E195" s="8"/>
      <c r="F195" s="9" t="s">
        <v>1</v>
      </c>
      <c r="G195" s="4"/>
    </row>
    <row r="196" spans="2:30" ht="28.8" x14ac:dyDescent="0.3">
      <c r="B196" s="201" t="s">
        <v>2</v>
      </c>
      <c r="C196" s="201" t="s">
        <v>3</v>
      </c>
      <c r="D196" s="201" t="s">
        <v>4</v>
      </c>
      <c r="E196" s="201" t="s">
        <v>5</v>
      </c>
      <c r="F196" s="202" t="s">
        <v>6</v>
      </c>
      <c r="G196" s="202" t="s">
        <v>187</v>
      </c>
      <c r="H196" s="203" t="s">
        <v>186</v>
      </c>
      <c r="I196" s="203" t="s">
        <v>11</v>
      </c>
      <c r="J196" s="202" t="s">
        <v>12</v>
      </c>
      <c r="K196" s="203" t="str">
        <f>K149</f>
        <v>Share~UP~2020</v>
      </c>
      <c r="L196" s="203" t="str">
        <f>L149</f>
        <v>Share~UP~2030</v>
      </c>
      <c r="M196" s="203" t="str">
        <f>M149</f>
        <v>Share~UP~2040</v>
      </c>
      <c r="N196" s="203" t="str">
        <f>N149</f>
        <v>Share~UP~2050</v>
      </c>
      <c r="O196" s="203" t="s">
        <v>335</v>
      </c>
      <c r="P196" s="203" t="s">
        <v>336</v>
      </c>
      <c r="Q196" s="203" t="s">
        <v>9</v>
      </c>
      <c r="R196" s="203" t="s">
        <v>10</v>
      </c>
      <c r="S196" s="203" t="s">
        <v>465</v>
      </c>
      <c r="T196" s="203" t="s">
        <v>13</v>
      </c>
      <c r="U196" s="203" t="s">
        <v>398</v>
      </c>
      <c r="V196" s="203" t="s">
        <v>42</v>
      </c>
      <c r="W196" s="203" t="s">
        <v>14</v>
      </c>
      <c r="X196" s="203" t="s">
        <v>15</v>
      </c>
      <c r="Y196" s="203" t="s">
        <v>16</v>
      </c>
      <c r="Z196" s="203" t="s">
        <v>17</v>
      </c>
      <c r="AA196" s="203" t="s">
        <v>18</v>
      </c>
      <c r="AB196" s="203" t="s">
        <v>19</v>
      </c>
      <c r="AC196" s="203" t="s">
        <v>20</v>
      </c>
      <c r="AD196" s="203" t="s">
        <v>21</v>
      </c>
    </row>
    <row r="197" spans="2:30" ht="33.75" customHeight="1" thickBot="1" x14ac:dyDescent="0.35">
      <c r="B197" s="204" t="s">
        <v>22</v>
      </c>
      <c r="C197" s="204"/>
      <c r="D197" s="204"/>
      <c r="E197" s="204"/>
      <c r="F197" s="205" t="s">
        <v>23</v>
      </c>
      <c r="G197" s="205">
        <v>2020</v>
      </c>
      <c r="H197" s="206" t="s">
        <v>26</v>
      </c>
      <c r="I197" s="206" t="s">
        <v>126</v>
      </c>
      <c r="J197" s="206" t="s">
        <v>127</v>
      </c>
      <c r="K197" s="205"/>
      <c r="L197" s="205"/>
      <c r="M197" s="205"/>
      <c r="N197" s="205"/>
      <c r="O197" s="207" t="s">
        <v>671</v>
      </c>
      <c r="P197" s="207" t="s">
        <v>671</v>
      </c>
      <c r="Q197" s="207" t="s">
        <v>671</v>
      </c>
      <c r="R197" s="207" t="s">
        <v>671</v>
      </c>
      <c r="S197" s="206" t="s">
        <v>676</v>
      </c>
      <c r="T197" s="206" t="s">
        <v>676</v>
      </c>
      <c r="U197" s="206" t="s">
        <v>676</v>
      </c>
      <c r="V197" s="208" t="s">
        <v>679</v>
      </c>
      <c r="W197" s="208" t="s">
        <v>678</v>
      </c>
      <c r="X197" s="208" t="s">
        <v>675</v>
      </c>
      <c r="Y197" s="208" t="s">
        <v>675</v>
      </c>
      <c r="Z197" s="208" t="s">
        <v>675</v>
      </c>
      <c r="AA197" s="208" t="s">
        <v>675</v>
      </c>
      <c r="AB197" s="208" t="s">
        <v>675</v>
      </c>
      <c r="AC197" s="208" t="s">
        <v>675</v>
      </c>
      <c r="AD197" s="208" t="s">
        <v>675</v>
      </c>
    </row>
    <row r="198" spans="2:30" s="39" customFormat="1" x14ac:dyDescent="0.3">
      <c r="B198" s="209" t="s">
        <v>156</v>
      </c>
      <c r="C198" s="210" t="str">
        <f>LOOKUP(B198, TRA_COMM_PRO!$C$17:$C$199, TRA_COMM_PRO!$D$17:$D$199)</f>
        <v>Truck.Heavy.BDL.01.</v>
      </c>
      <c r="D198" s="209" t="s">
        <v>44</v>
      </c>
      <c r="E198" s="209"/>
      <c r="F198" s="209"/>
      <c r="G198" s="10">
        <f>$G$197</f>
        <v>2020</v>
      </c>
      <c r="H198" s="71">
        <v>15</v>
      </c>
      <c r="I198" s="158">
        <f>10^-3</f>
        <v>1E-3</v>
      </c>
      <c r="J198" s="72">
        <v>7.7</v>
      </c>
      <c r="K198" s="73"/>
      <c r="L198" s="73"/>
      <c r="M198" s="73"/>
      <c r="N198" s="73"/>
      <c r="O198" s="43"/>
      <c r="P198" s="43"/>
      <c r="Q198" s="43"/>
      <c r="R198" s="43"/>
      <c r="S198" s="71"/>
      <c r="T198" s="71"/>
      <c r="U198" s="71"/>
      <c r="V198" s="72"/>
      <c r="W198" s="62">
        <f>LOOKUP(B198, FIXOM_VAROM!$C$8:$C$190, FIXOM_VAROM!$D$8:$D$190)</f>
        <v>0.1</v>
      </c>
      <c r="X198" s="40">
        <f>LOOKUP($B198, INVCOST!$C$8:$C$193, INVCOST!E$8:E$193)</f>
        <v>141</v>
      </c>
      <c r="Y198" s="40">
        <f>LOOKUP($B198, INVCOST!$C$8:$C$193, INVCOST!F$8:F$193)</f>
        <v>141</v>
      </c>
      <c r="Z198" s="40">
        <f>LOOKUP($B198, INVCOST!$C$8:$C$193, INVCOST!G$8:G$193)</f>
        <v>141</v>
      </c>
      <c r="AA198" s="40">
        <f>LOOKUP($B198, INVCOST!$C$8:$C$193, INVCOST!H$8:H$193)</f>
        <v>141</v>
      </c>
      <c r="AB198" s="40">
        <f>LOOKUP($B198, INVCOST!$C$8:$C$193, INVCOST!I$8:I$193)</f>
        <v>141</v>
      </c>
      <c r="AC198" s="40">
        <f>LOOKUP($B198, INVCOST!$C$8:$C$193, INVCOST!J$8:J$193)</f>
        <v>141</v>
      </c>
      <c r="AD198" s="40">
        <f>LOOKUP($B198, INVCOST!$C$8:$C$193, INVCOST!K$8:K$193)</f>
        <v>141</v>
      </c>
    </row>
    <row r="199" spans="2:30" s="39" customFormat="1" x14ac:dyDescent="0.3">
      <c r="B199" s="211"/>
      <c r="C199" s="211"/>
      <c r="D199" s="211"/>
      <c r="E199" s="211"/>
      <c r="F199" s="211" t="s">
        <v>348</v>
      </c>
      <c r="G199" s="50"/>
      <c r="H199" s="40"/>
      <c r="I199" s="41"/>
      <c r="J199" s="41"/>
      <c r="K199" s="42"/>
      <c r="L199" s="42"/>
      <c r="M199" s="42"/>
      <c r="N199" s="42"/>
      <c r="O199" s="265">
        <f>LOOKUP($B198, CEFF!$C$8:$C$156, CEFF!G$8:G$156)</f>
        <v>9.4339999999999993E-2</v>
      </c>
      <c r="P199" s="265">
        <f>LOOKUP($B198, CEFF!$C$8:$C$156, CEFF!H$8:H$156)</f>
        <v>9.7089999999999996E-2</v>
      </c>
      <c r="Q199" s="265">
        <f>LOOKUP($B198, CEFF!$C$8:$C$156, CEFF!I$8:I$156)</f>
        <v>9.9500000000000005E-2</v>
      </c>
      <c r="R199" s="265">
        <f>LOOKUP($B198, CEFF!$C$8:$C$156, CEFF!J$8:J$156)</f>
        <v>0.10204000000000001</v>
      </c>
      <c r="S199" s="40"/>
      <c r="T199" s="40"/>
      <c r="U199" s="40"/>
      <c r="V199" s="41"/>
      <c r="W199" s="60"/>
      <c r="X199" s="60"/>
      <c r="Y199" s="60"/>
      <c r="Z199" s="60"/>
      <c r="AA199" s="60"/>
      <c r="AB199" s="60"/>
      <c r="AC199" s="60"/>
      <c r="AD199" s="60"/>
    </row>
    <row r="200" spans="2:30" s="39" customFormat="1" x14ac:dyDescent="0.3">
      <c r="B200" s="212"/>
      <c r="C200" s="212"/>
      <c r="D200" s="212"/>
      <c r="E200" s="212"/>
      <c r="F200" s="212" t="s">
        <v>350</v>
      </c>
      <c r="G200" s="51"/>
      <c r="H200" s="45"/>
      <c r="I200" s="46"/>
      <c r="J200" s="46"/>
      <c r="K200" s="44"/>
      <c r="L200" s="44"/>
      <c r="M200" s="44"/>
      <c r="N200" s="44"/>
      <c r="O200" s="266">
        <f>LOOKUP($B198, CEFF!$C$163:$C$330, CEFF!G$163:G$330)</f>
        <v>7.5469999999999995E-2</v>
      </c>
      <c r="P200" s="266">
        <f>LOOKUP($B198, CEFF!$C$163:$C$330, CEFF!H$163:H$330)</f>
        <v>7.7670000000000003E-2</v>
      </c>
      <c r="Q200" s="266">
        <f>LOOKUP($B198, CEFF!$C$163:$C$330, CEFF!I$163:I$330)</f>
        <v>7.9600000000000004E-2</v>
      </c>
      <c r="R200" s="266">
        <f>LOOKUP($B198, CEFF!$C$163:$C$330, CEFF!J$163:J$330)</f>
        <v>8.1629999999999994E-2</v>
      </c>
      <c r="S200" s="45"/>
      <c r="T200" s="45"/>
      <c r="U200" s="45"/>
      <c r="V200" s="46"/>
      <c r="W200" s="64"/>
      <c r="X200" s="64"/>
      <c r="Y200" s="64"/>
      <c r="Z200" s="64"/>
      <c r="AA200" s="64"/>
      <c r="AB200" s="64"/>
      <c r="AC200" s="64"/>
      <c r="AD200" s="64"/>
    </row>
    <row r="201" spans="2:30" s="39" customFormat="1" x14ac:dyDescent="0.3">
      <c r="B201" s="211" t="s">
        <v>158</v>
      </c>
      <c r="C201" s="210" t="str">
        <f>LOOKUP(B201, TRA_COMM_PRO!$C$17:$C$199, TRA_COMM_PRO!$D$17:$D$199)</f>
        <v>Truck.Heavy.DME.01.</v>
      </c>
      <c r="D201" s="211" t="s">
        <v>71</v>
      </c>
      <c r="E201" s="211"/>
      <c r="F201" s="211"/>
      <c r="G201" s="10">
        <f>$G$197</f>
        <v>2020</v>
      </c>
      <c r="H201" s="40">
        <v>15</v>
      </c>
      <c r="I201" s="65">
        <f>$I$198</f>
        <v>1E-3</v>
      </c>
      <c r="J201" s="41">
        <v>7.7</v>
      </c>
      <c r="K201" s="42"/>
      <c r="L201" s="42"/>
      <c r="M201" s="42"/>
      <c r="N201" s="42"/>
      <c r="O201" s="265"/>
      <c r="P201" s="265"/>
      <c r="Q201" s="265"/>
      <c r="R201" s="265"/>
      <c r="S201" s="40"/>
      <c r="T201" s="40"/>
      <c r="U201" s="40"/>
      <c r="V201" s="41"/>
      <c r="W201" s="62">
        <f>LOOKUP(B201, FIXOM_VAROM!$C$8:$C$190, FIXOM_VAROM!$D$8:$D$190)</f>
        <v>0.1</v>
      </c>
      <c r="X201" s="40">
        <f>LOOKUP($B201, INVCOST!$C$8:$C$193, INVCOST!E$8:E$193)</f>
        <v>169</v>
      </c>
      <c r="Y201" s="40">
        <f>LOOKUP($B201, INVCOST!$C$8:$C$193, INVCOST!F$8:F$193)</f>
        <v>169</v>
      </c>
      <c r="Z201" s="40">
        <f>LOOKUP($B201, INVCOST!$C$8:$C$193, INVCOST!G$8:G$193)</f>
        <v>169</v>
      </c>
      <c r="AA201" s="40">
        <f>LOOKUP($B201, INVCOST!$C$8:$C$193, INVCOST!H$8:H$193)</f>
        <v>169</v>
      </c>
      <c r="AB201" s="40">
        <f>LOOKUP($B201, INVCOST!$C$8:$C$193, INVCOST!I$8:I$193)</f>
        <v>169</v>
      </c>
      <c r="AC201" s="40">
        <f>LOOKUP($B201, INVCOST!$C$8:$C$193, INVCOST!J$8:J$193)</f>
        <v>169</v>
      </c>
      <c r="AD201" s="40">
        <f>LOOKUP($B201, INVCOST!$C$8:$C$193, INVCOST!K$8:K$193)</f>
        <v>169</v>
      </c>
    </row>
    <row r="202" spans="2:30" s="39" customFormat="1" x14ac:dyDescent="0.3">
      <c r="B202" s="211"/>
      <c r="C202" s="213"/>
      <c r="D202" s="211"/>
      <c r="E202" s="211"/>
      <c r="F202" s="211" t="s">
        <v>348</v>
      </c>
      <c r="G202" s="50"/>
      <c r="H202" s="40"/>
      <c r="I202" s="41"/>
      <c r="J202" s="41"/>
      <c r="K202" s="42"/>
      <c r="L202" s="42"/>
      <c r="M202" s="42"/>
      <c r="N202" s="42"/>
      <c r="O202" s="265">
        <f>LOOKUP($B201, CEFF!$C$8:$C$156, CEFF!G$8:G$156)</f>
        <v>9.4339999999999993E-2</v>
      </c>
      <c r="P202" s="265">
        <f>LOOKUP($B201, CEFF!$C$8:$C$156, CEFF!H$8:H$156)</f>
        <v>9.7089999999999996E-2</v>
      </c>
      <c r="Q202" s="265">
        <f>LOOKUP($B201, CEFF!$C$8:$C$156, CEFF!I$8:I$156)</f>
        <v>9.9500000000000005E-2</v>
      </c>
      <c r="R202" s="265">
        <f>LOOKUP($B201, CEFF!$C$8:$C$156, CEFF!J$8:J$156)</f>
        <v>0.10204000000000001</v>
      </c>
      <c r="S202" s="40"/>
      <c r="T202" s="40"/>
      <c r="U202" s="40"/>
      <c r="V202" s="41"/>
      <c r="W202" s="60"/>
      <c r="X202" s="60"/>
      <c r="Y202" s="60"/>
      <c r="Z202" s="60"/>
      <c r="AA202" s="60"/>
      <c r="AB202" s="60"/>
      <c r="AC202" s="60"/>
      <c r="AD202" s="60"/>
    </row>
    <row r="203" spans="2:30" s="39" customFormat="1" x14ac:dyDescent="0.3">
      <c r="B203" s="212"/>
      <c r="C203" s="212"/>
      <c r="D203" s="212"/>
      <c r="E203" s="212"/>
      <c r="F203" s="212" t="s">
        <v>350</v>
      </c>
      <c r="G203" s="51"/>
      <c r="H203" s="45"/>
      <c r="I203" s="46"/>
      <c r="J203" s="46"/>
      <c r="K203" s="44"/>
      <c r="L203" s="44"/>
      <c r="M203" s="44"/>
      <c r="N203" s="44"/>
      <c r="O203" s="266">
        <f>LOOKUP($B201, CEFF!$C$163:$C$330, CEFF!G$163:G$330)</f>
        <v>7.5469999999999995E-2</v>
      </c>
      <c r="P203" s="266">
        <f>LOOKUP($B201, CEFF!$C$163:$C$330, CEFF!H$163:H$330)</f>
        <v>7.7670000000000003E-2</v>
      </c>
      <c r="Q203" s="266">
        <f>LOOKUP($B201, CEFF!$C$163:$C$330, CEFF!I$163:I$330)</f>
        <v>7.9600000000000004E-2</v>
      </c>
      <c r="R203" s="266">
        <f>LOOKUP($B201, CEFF!$C$163:$C$330, CEFF!J$163:J$330)</f>
        <v>8.1629999999999994E-2</v>
      </c>
      <c r="S203" s="45"/>
      <c r="T203" s="45"/>
      <c r="U203" s="45"/>
      <c r="V203" s="46"/>
      <c r="W203" s="64"/>
      <c r="X203" s="64"/>
      <c r="Y203" s="64"/>
      <c r="Z203" s="64"/>
      <c r="AA203" s="64"/>
      <c r="AB203" s="64"/>
      <c r="AC203" s="64"/>
      <c r="AD203" s="64"/>
    </row>
    <row r="204" spans="2:30" s="39" customFormat="1" x14ac:dyDescent="0.3">
      <c r="B204" s="211" t="s">
        <v>160</v>
      </c>
      <c r="C204" s="210" t="str">
        <f>LOOKUP(B204, TRA_COMM_PRO!$C$17:$C$199, TRA_COMM_PRO!$D$17:$D$199)</f>
        <v>Truck.Heavy.DST.01.</v>
      </c>
      <c r="D204" s="211" t="s">
        <v>712</v>
      </c>
      <c r="E204" s="211"/>
      <c r="F204" s="211"/>
      <c r="G204" s="10">
        <f>$G$197</f>
        <v>2020</v>
      </c>
      <c r="H204" s="40">
        <v>15</v>
      </c>
      <c r="I204" s="65">
        <f>$I$198</f>
        <v>1E-3</v>
      </c>
      <c r="J204" s="41">
        <v>7.7</v>
      </c>
      <c r="K204" s="42"/>
      <c r="L204" s="42"/>
      <c r="M204" s="42"/>
      <c r="N204" s="42"/>
      <c r="O204" s="265"/>
      <c r="P204" s="265"/>
      <c r="Q204" s="265"/>
      <c r="R204" s="265"/>
      <c r="S204" s="40"/>
      <c r="T204" s="40"/>
      <c r="U204" s="40"/>
      <c r="V204" s="41"/>
      <c r="W204" s="62">
        <f>LOOKUP(B204, FIXOM_VAROM!$C$8:$C$190, FIXOM_VAROM!$D$8:$D$190)</f>
        <v>0.1</v>
      </c>
      <c r="X204" s="40">
        <f>LOOKUP($B204, INVCOST!$C$8:$C$193, INVCOST!E$8:E$193)</f>
        <v>141</v>
      </c>
      <c r="Y204" s="40">
        <f>LOOKUP($B204, INVCOST!$C$8:$C$193, INVCOST!F$8:F$193)</f>
        <v>141</v>
      </c>
      <c r="Z204" s="40">
        <f>LOOKUP($B204, INVCOST!$C$8:$C$193, INVCOST!G$8:G$193)</f>
        <v>141</v>
      </c>
      <c r="AA204" s="40">
        <f>LOOKUP($B204, INVCOST!$C$8:$C$193, INVCOST!H$8:H$193)</f>
        <v>141</v>
      </c>
      <c r="AB204" s="40">
        <f>LOOKUP($B204, INVCOST!$C$8:$C$193, INVCOST!I$8:I$193)</f>
        <v>141</v>
      </c>
      <c r="AC204" s="40">
        <f>LOOKUP($B204, INVCOST!$C$8:$C$193, INVCOST!J$8:J$193)</f>
        <v>141</v>
      </c>
      <c r="AD204" s="40">
        <f>LOOKUP($B204, INVCOST!$C$8:$C$193, INVCOST!K$8:K$193)</f>
        <v>141</v>
      </c>
    </row>
    <row r="205" spans="2:30" s="39" customFormat="1" x14ac:dyDescent="0.3">
      <c r="B205" s="211"/>
      <c r="C205" s="211"/>
      <c r="D205" s="211"/>
      <c r="E205" s="211"/>
      <c r="F205" s="211" t="s">
        <v>348</v>
      </c>
      <c r="G205" s="50"/>
      <c r="H205" s="40"/>
      <c r="I205" s="41"/>
      <c r="J205" s="41"/>
      <c r="K205" s="42"/>
      <c r="L205" s="42"/>
      <c r="M205" s="42"/>
      <c r="N205" s="42"/>
      <c r="O205" s="265">
        <f>LOOKUP($B204, CEFF!$C$8:$C$156, CEFF!G$8:G$156)</f>
        <v>9.4339999999999993E-2</v>
      </c>
      <c r="P205" s="265">
        <f>LOOKUP($B204, CEFF!$C$8:$C$156, CEFF!H$8:H$156)</f>
        <v>9.7089999999999996E-2</v>
      </c>
      <c r="Q205" s="265">
        <f>LOOKUP($B204, CEFF!$C$8:$C$156, CEFF!I$8:I$156)</f>
        <v>9.9500000000000005E-2</v>
      </c>
      <c r="R205" s="265">
        <f>LOOKUP($B204, CEFF!$C$8:$C$156, CEFF!J$8:J$156)</f>
        <v>0.10204000000000001</v>
      </c>
      <c r="S205" s="40"/>
      <c r="T205" s="40"/>
      <c r="U205" s="40"/>
      <c r="V205" s="41"/>
      <c r="W205" s="60"/>
      <c r="X205" s="60"/>
      <c r="Y205" s="60"/>
      <c r="Z205" s="60"/>
      <c r="AA205" s="60"/>
      <c r="AB205" s="60"/>
      <c r="AC205" s="60"/>
      <c r="AD205" s="60"/>
    </row>
    <row r="206" spans="2:30" s="39" customFormat="1" x14ac:dyDescent="0.3">
      <c r="B206" s="212"/>
      <c r="C206" s="212"/>
      <c r="D206" s="212"/>
      <c r="E206" s="212"/>
      <c r="F206" s="212" t="s">
        <v>350</v>
      </c>
      <c r="G206" s="51"/>
      <c r="H206" s="45"/>
      <c r="I206" s="46"/>
      <c r="J206" s="46"/>
      <c r="K206" s="44"/>
      <c r="L206" s="44"/>
      <c r="M206" s="44"/>
      <c r="N206" s="44"/>
      <c r="O206" s="266">
        <f>LOOKUP($B204, CEFF!$C$163:$C$330, CEFF!G$163:G$330)</f>
        <v>7.5469999999999995E-2</v>
      </c>
      <c r="P206" s="266">
        <f>LOOKUP($B204, CEFF!$C$163:$C$330, CEFF!H$163:H$330)</f>
        <v>7.7670000000000003E-2</v>
      </c>
      <c r="Q206" s="266">
        <f>LOOKUP($B204, CEFF!$C$163:$C$330, CEFF!I$163:I$330)</f>
        <v>7.9600000000000004E-2</v>
      </c>
      <c r="R206" s="266">
        <f>LOOKUP($B204, CEFF!$C$163:$C$330, CEFF!J$163:J$330)</f>
        <v>8.1629999999999994E-2</v>
      </c>
      <c r="S206" s="45"/>
      <c r="T206" s="45"/>
      <c r="U206" s="45"/>
      <c r="V206" s="139"/>
      <c r="W206" s="64"/>
      <c r="X206" s="64"/>
      <c r="Y206" s="64"/>
      <c r="Z206" s="64"/>
      <c r="AA206" s="64"/>
      <c r="AB206" s="64"/>
      <c r="AC206" s="64"/>
      <c r="AD206" s="64"/>
    </row>
    <row r="207" spans="2:30" s="39" customFormat="1" x14ac:dyDescent="0.3">
      <c r="B207" s="211" t="s">
        <v>163</v>
      </c>
      <c r="C207" s="210" t="str">
        <f>LOOKUP(B207, TRA_COMM_PRO!$C$17:$C$199, TRA_COMM_PRO!$D$17:$D$199)</f>
        <v>Truck.Heavy.ETH.01.</v>
      </c>
      <c r="D207" s="211" t="s">
        <v>51</v>
      </c>
      <c r="E207" s="211"/>
      <c r="F207" s="211"/>
      <c r="G207" s="10">
        <f>$G$197</f>
        <v>2020</v>
      </c>
      <c r="H207" s="40">
        <v>15</v>
      </c>
      <c r="I207" s="65">
        <f>$I$198</f>
        <v>1E-3</v>
      </c>
      <c r="J207" s="41">
        <v>7.7</v>
      </c>
      <c r="K207" s="42"/>
      <c r="L207" s="42"/>
      <c r="M207" s="42"/>
      <c r="N207" s="42"/>
      <c r="O207" s="265"/>
      <c r="P207" s="265"/>
      <c r="Q207" s="265"/>
      <c r="R207" s="265"/>
      <c r="S207" s="40"/>
      <c r="T207" s="40"/>
      <c r="U207" s="40"/>
      <c r="V207" s="41"/>
      <c r="W207" s="62">
        <f>LOOKUP(B207, FIXOM_VAROM!$C$8:$C$190, FIXOM_VAROM!$D$8:$D$190)</f>
        <v>0.1</v>
      </c>
      <c r="X207" s="40">
        <f>LOOKUP($B207, INVCOST!$C$8:$C$193, INVCOST!E$8:E$193)</f>
        <v>169</v>
      </c>
      <c r="Y207" s="40">
        <f>LOOKUP($B207, INVCOST!$C$8:$C$193, INVCOST!F$8:F$193)</f>
        <v>169</v>
      </c>
      <c r="Z207" s="40">
        <f>LOOKUP($B207, INVCOST!$C$8:$C$193, INVCOST!G$8:G$193)</f>
        <v>169</v>
      </c>
      <c r="AA207" s="40">
        <f>LOOKUP($B207, INVCOST!$C$8:$C$193, INVCOST!H$8:H$193)</f>
        <v>169</v>
      </c>
      <c r="AB207" s="40">
        <f>LOOKUP($B207, INVCOST!$C$8:$C$193, INVCOST!I$8:I$193)</f>
        <v>169</v>
      </c>
      <c r="AC207" s="40">
        <f>LOOKUP($B207, INVCOST!$C$8:$C$193, INVCOST!J$8:J$193)</f>
        <v>169</v>
      </c>
      <c r="AD207" s="40">
        <f>LOOKUP($B207, INVCOST!$C$8:$C$193, INVCOST!K$8:K$193)</f>
        <v>169</v>
      </c>
    </row>
    <row r="208" spans="2:30" s="39" customFormat="1" x14ac:dyDescent="0.3">
      <c r="B208" s="211"/>
      <c r="C208" s="211"/>
      <c r="D208" s="211"/>
      <c r="E208" s="211"/>
      <c r="F208" s="211" t="s">
        <v>348</v>
      </c>
      <c r="G208" s="50"/>
      <c r="H208" s="40"/>
      <c r="I208" s="41"/>
      <c r="J208" s="41"/>
      <c r="K208" s="42"/>
      <c r="L208" s="42"/>
      <c r="M208" s="42"/>
      <c r="N208" s="42"/>
      <c r="O208" s="265">
        <f>LOOKUP($B207, CEFF!$C$8:$C$156, CEFF!G$8:G$156)</f>
        <v>9.4339999999999993E-2</v>
      </c>
      <c r="P208" s="265">
        <f>LOOKUP($B207, CEFF!$C$8:$C$156, CEFF!H$8:H$156)</f>
        <v>9.7089999999999996E-2</v>
      </c>
      <c r="Q208" s="265">
        <f>LOOKUP($B207, CEFF!$C$8:$C$156, CEFF!I$8:I$156)</f>
        <v>9.9500000000000005E-2</v>
      </c>
      <c r="R208" s="265">
        <f>LOOKUP($B207, CEFF!$C$8:$C$156, CEFF!J$8:J$156)</f>
        <v>0.10204000000000001</v>
      </c>
      <c r="S208" s="40"/>
      <c r="T208" s="40"/>
      <c r="U208" s="40"/>
      <c r="V208" s="41"/>
      <c r="W208" s="60"/>
      <c r="X208" s="60"/>
      <c r="Y208" s="60"/>
      <c r="Z208" s="60"/>
      <c r="AA208" s="60"/>
      <c r="AB208" s="60"/>
      <c r="AC208" s="60"/>
      <c r="AD208" s="60"/>
    </row>
    <row r="209" spans="2:30" s="39" customFormat="1" x14ac:dyDescent="0.3">
      <c r="B209" s="212"/>
      <c r="C209" s="212"/>
      <c r="D209" s="212"/>
      <c r="E209" s="212"/>
      <c r="F209" s="212" t="s">
        <v>350</v>
      </c>
      <c r="G209" s="51"/>
      <c r="H209" s="45"/>
      <c r="I209" s="46"/>
      <c r="J209" s="46"/>
      <c r="K209" s="44"/>
      <c r="L209" s="44"/>
      <c r="M209" s="44"/>
      <c r="N209" s="44"/>
      <c r="O209" s="266">
        <f>LOOKUP($B207, CEFF!$C$163:$C$330, CEFF!G$163:G$330)</f>
        <v>7.5469999999999995E-2</v>
      </c>
      <c r="P209" s="266">
        <f>LOOKUP($B207, CEFF!$C$163:$C$330, CEFF!H$163:H$330)</f>
        <v>7.7670000000000003E-2</v>
      </c>
      <c r="Q209" s="266">
        <f>LOOKUP($B207, CEFF!$C$163:$C$330, CEFF!I$163:I$330)</f>
        <v>7.9600000000000004E-2</v>
      </c>
      <c r="R209" s="266">
        <f>LOOKUP($B207, CEFF!$C$163:$C$330, CEFF!J$163:J$330)</f>
        <v>8.1629999999999994E-2</v>
      </c>
      <c r="S209" s="45"/>
      <c r="T209" s="45"/>
      <c r="U209" s="45"/>
      <c r="V209" s="46"/>
      <c r="W209" s="64"/>
      <c r="X209" s="64"/>
      <c r="Y209" s="64"/>
      <c r="Z209" s="64"/>
      <c r="AA209" s="64"/>
      <c r="AB209" s="64"/>
      <c r="AC209" s="64"/>
      <c r="AD209" s="64"/>
    </row>
    <row r="210" spans="2:30" s="39" customFormat="1" x14ac:dyDescent="0.3">
      <c r="B210" s="211" t="s">
        <v>165</v>
      </c>
      <c r="C210" s="210" t="str">
        <f>LOOKUP(B210, TRA_COMM_PRO!$C$17:$C$199, TRA_COMM_PRO!$D$17:$D$199)</f>
        <v>Truck.Heavy.GAS.01.</v>
      </c>
      <c r="D210" s="211" t="s">
        <v>715</v>
      </c>
      <c r="E210" s="211"/>
      <c r="F210" s="211"/>
      <c r="G210" s="10">
        <f>$G$197</f>
        <v>2020</v>
      </c>
      <c r="H210" s="40">
        <v>15</v>
      </c>
      <c r="I210" s="65">
        <f>$I$198</f>
        <v>1E-3</v>
      </c>
      <c r="J210" s="41">
        <v>7.7</v>
      </c>
      <c r="K210" s="42"/>
      <c r="L210" s="42"/>
      <c r="M210" s="42"/>
      <c r="N210" s="42"/>
      <c r="O210" s="265"/>
      <c r="P210" s="265"/>
      <c r="Q210" s="265"/>
      <c r="R210" s="265"/>
      <c r="S210" s="40"/>
      <c r="T210" s="40"/>
      <c r="U210" s="40"/>
      <c r="V210" s="41"/>
      <c r="W210" s="62">
        <f>LOOKUP(B210, FIXOM_VAROM!$C$8:$C$190, FIXOM_VAROM!$D$8:$D$190)</f>
        <v>0.1</v>
      </c>
      <c r="X210" s="40">
        <f>LOOKUP($B210, INVCOST!$C$8:$C$193, INVCOST!E$8:E$193)</f>
        <v>169</v>
      </c>
      <c r="Y210" s="40">
        <f>LOOKUP($B210, INVCOST!$C$8:$C$193, INVCOST!F$8:F$193)</f>
        <v>169</v>
      </c>
      <c r="Z210" s="40">
        <f>LOOKUP($B210, INVCOST!$C$8:$C$193, INVCOST!G$8:G$193)</f>
        <v>169</v>
      </c>
      <c r="AA210" s="40">
        <f>LOOKUP($B210, INVCOST!$C$8:$C$193, INVCOST!H$8:H$193)</f>
        <v>169</v>
      </c>
      <c r="AB210" s="40">
        <f>LOOKUP($B210, INVCOST!$C$8:$C$193, INVCOST!I$8:I$193)</f>
        <v>169</v>
      </c>
      <c r="AC210" s="40">
        <f>LOOKUP($B210, INVCOST!$C$8:$C$193, INVCOST!J$8:J$193)</f>
        <v>169</v>
      </c>
      <c r="AD210" s="40">
        <f>LOOKUP($B210, INVCOST!$C$8:$C$193, INVCOST!K$8:K$193)</f>
        <v>169</v>
      </c>
    </row>
    <row r="211" spans="2:30" s="39" customFormat="1" x14ac:dyDescent="0.3">
      <c r="B211" s="211"/>
      <c r="C211" s="211"/>
      <c r="D211" s="211"/>
      <c r="E211" s="211"/>
      <c r="F211" s="211" t="s">
        <v>348</v>
      </c>
      <c r="G211" s="50"/>
      <c r="H211" s="40"/>
      <c r="I211" s="41"/>
      <c r="J211" s="41"/>
      <c r="K211" s="42"/>
      <c r="L211" s="42"/>
      <c r="M211" s="42"/>
      <c r="N211" s="42"/>
      <c r="O211" s="265">
        <f>LOOKUP($B210, CEFF!$C$8:$C$156, CEFF!G$8:G$156)</f>
        <v>8.5110000000000005E-2</v>
      </c>
      <c r="P211" s="265">
        <f>LOOKUP($B210, CEFF!$C$8:$C$156, CEFF!H$8:H$156)</f>
        <v>8.8499999999999995E-2</v>
      </c>
      <c r="Q211" s="265">
        <f>LOOKUP($B210, CEFF!$C$8:$C$156, CEFF!I$8:I$156)</f>
        <v>9.0910000000000005E-2</v>
      </c>
      <c r="R211" s="265">
        <f>LOOKUP($B210, CEFF!$C$8:$C$156, CEFF!J$8:J$156)</f>
        <v>9.3460000000000001E-2</v>
      </c>
      <c r="S211" s="40"/>
      <c r="T211" s="40"/>
      <c r="U211" s="40"/>
      <c r="V211" s="41"/>
      <c r="W211" s="60"/>
      <c r="X211" s="60"/>
      <c r="Y211" s="60"/>
      <c r="Z211" s="60"/>
      <c r="AA211" s="60"/>
      <c r="AB211" s="60"/>
      <c r="AC211" s="60"/>
      <c r="AD211" s="60"/>
    </row>
    <row r="212" spans="2:30" s="39" customFormat="1" x14ac:dyDescent="0.3">
      <c r="B212" s="212"/>
      <c r="C212" s="212"/>
      <c r="D212" s="212"/>
      <c r="E212" s="212"/>
      <c r="F212" s="212" t="s">
        <v>350</v>
      </c>
      <c r="G212" s="51"/>
      <c r="H212" s="45"/>
      <c r="I212" s="46"/>
      <c r="J212" s="46"/>
      <c r="K212" s="44"/>
      <c r="L212" s="44"/>
      <c r="M212" s="44"/>
      <c r="N212" s="44"/>
      <c r="O212" s="266">
        <f>LOOKUP($B210, CEFF!$C$163:$C$330, CEFF!G$163:G$330)</f>
        <v>6.8089999999999998E-2</v>
      </c>
      <c r="P212" s="266">
        <f>LOOKUP($B210, CEFF!$C$163:$C$330, CEFF!H$163:H$330)</f>
        <v>7.0800000000000002E-2</v>
      </c>
      <c r="Q212" s="266">
        <f>LOOKUP($B210, CEFF!$C$163:$C$330, CEFF!I$163:I$330)</f>
        <v>7.2730000000000003E-2</v>
      </c>
      <c r="R212" s="266">
        <f>LOOKUP($B210, CEFF!$C$163:$C$330, CEFF!J$163:J$330)</f>
        <v>7.4770000000000003E-2</v>
      </c>
      <c r="S212" s="45"/>
      <c r="T212" s="45"/>
      <c r="U212" s="45"/>
      <c r="V212" s="46"/>
      <c r="W212" s="64"/>
      <c r="X212" s="64"/>
      <c r="Y212" s="64"/>
      <c r="Z212" s="64"/>
      <c r="AA212" s="64"/>
      <c r="AB212" s="64"/>
      <c r="AC212" s="64"/>
      <c r="AD212" s="64"/>
    </row>
    <row r="213" spans="2:30" s="39" customFormat="1" x14ac:dyDescent="0.3">
      <c r="B213" s="214" t="s">
        <v>167</v>
      </c>
      <c r="C213" s="210" t="str">
        <f>LOOKUP(B213, TRA_COMM_PRO!$C$17:$C$199, TRA_COMM_PRO!$D$17:$D$199)</f>
        <v>Truck.Heavy.GSL.01.</v>
      </c>
      <c r="D213" s="214" t="s">
        <v>713</v>
      </c>
      <c r="E213" s="214"/>
      <c r="F213" s="214"/>
      <c r="G213" s="10">
        <f>$G$197</f>
        <v>2020</v>
      </c>
      <c r="H213" s="40">
        <v>15</v>
      </c>
      <c r="I213" s="65">
        <f>$I$198</f>
        <v>1E-3</v>
      </c>
      <c r="J213" s="76">
        <v>7.7</v>
      </c>
      <c r="K213" s="77"/>
      <c r="L213" s="77"/>
      <c r="M213" s="77"/>
      <c r="N213" s="77"/>
      <c r="O213" s="265"/>
      <c r="P213" s="265"/>
      <c r="Q213" s="265"/>
      <c r="R213" s="265"/>
      <c r="S213" s="40"/>
      <c r="T213" s="40"/>
      <c r="U213" s="40"/>
      <c r="V213" s="41"/>
      <c r="W213" s="62">
        <f>LOOKUP(B213, FIXOM_VAROM!$C$8:$C$190, FIXOM_VAROM!$D$8:$D$190)</f>
        <v>0.1</v>
      </c>
      <c r="X213" s="40">
        <f>LOOKUP($B213, INVCOST!$C$8:$C$193, INVCOST!E$8:E$193)</f>
        <v>141</v>
      </c>
      <c r="Y213" s="40">
        <f>LOOKUP($B213, INVCOST!$C$8:$C$193, INVCOST!F$8:F$193)</f>
        <v>141</v>
      </c>
      <c r="Z213" s="40">
        <f>LOOKUP($B213, INVCOST!$C$8:$C$193, INVCOST!G$8:G$193)</f>
        <v>141</v>
      </c>
      <c r="AA213" s="40">
        <f>LOOKUP($B213, INVCOST!$C$8:$C$193, INVCOST!H$8:H$193)</f>
        <v>141</v>
      </c>
      <c r="AB213" s="40">
        <f>LOOKUP($B213, INVCOST!$C$8:$C$193, INVCOST!I$8:I$193)</f>
        <v>141</v>
      </c>
      <c r="AC213" s="40">
        <f>LOOKUP($B213, INVCOST!$C$8:$C$193, INVCOST!J$8:J$193)</f>
        <v>141</v>
      </c>
      <c r="AD213" s="40">
        <f>LOOKUP($B213, INVCOST!$C$8:$C$193, INVCOST!K$8:K$193)</f>
        <v>141</v>
      </c>
    </row>
    <row r="214" spans="2:30" s="39" customFormat="1" x14ac:dyDescent="0.3">
      <c r="B214" s="211"/>
      <c r="C214" s="211"/>
      <c r="D214" s="211"/>
      <c r="E214" s="211"/>
      <c r="F214" s="211" t="s">
        <v>348</v>
      </c>
      <c r="G214" s="50"/>
      <c r="H214" s="40"/>
      <c r="I214" s="41"/>
      <c r="J214" s="40"/>
      <c r="K214" s="78"/>
      <c r="L214" s="78"/>
      <c r="M214" s="78"/>
      <c r="N214" s="78"/>
      <c r="O214" s="265">
        <f>LOOKUP($B213, CEFF!$C$8:$C$156, CEFF!G$8:G$156)</f>
        <v>8.5110000000000005E-2</v>
      </c>
      <c r="P214" s="265">
        <f>LOOKUP($B213, CEFF!$C$8:$C$156, CEFF!H$8:H$156)</f>
        <v>8.8499999999999995E-2</v>
      </c>
      <c r="Q214" s="265">
        <f>LOOKUP($B213, CEFF!$C$8:$C$156, CEFF!I$8:I$156)</f>
        <v>9.0910000000000005E-2</v>
      </c>
      <c r="R214" s="265">
        <f>LOOKUP($B213, CEFF!$C$8:$C$156, CEFF!J$8:J$156)</f>
        <v>9.3460000000000001E-2</v>
      </c>
      <c r="S214" s="40"/>
      <c r="T214" s="40"/>
      <c r="U214" s="40"/>
      <c r="V214" s="41"/>
      <c r="W214" s="60"/>
      <c r="X214" s="60"/>
      <c r="Y214" s="60"/>
      <c r="Z214" s="60"/>
      <c r="AA214" s="60"/>
      <c r="AB214" s="60"/>
      <c r="AC214" s="60"/>
      <c r="AD214" s="60"/>
    </row>
    <row r="215" spans="2:30" s="39" customFormat="1" x14ac:dyDescent="0.3">
      <c r="B215" s="212"/>
      <c r="C215" s="212"/>
      <c r="D215" s="212"/>
      <c r="E215" s="212"/>
      <c r="F215" s="212" t="s">
        <v>350</v>
      </c>
      <c r="G215" s="51"/>
      <c r="H215" s="45"/>
      <c r="I215" s="46"/>
      <c r="J215" s="45"/>
      <c r="K215" s="79"/>
      <c r="L215" s="79"/>
      <c r="M215" s="79"/>
      <c r="N215" s="79"/>
      <c r="O215" s="266">
        <f>LOOKUP($B213, CEFF!$C$163:$C$330, CEFF!G$163:G$330)</f>
        <v>6.8089999999999998E-2</v>
      </c>
      <c r="P215" s="266">
        <f>LOOKUP($B213, CEFF!$C$163:$C$330, CEFF!H$163:H$330)</f>
        <v>7.0800000000000002E-2</v>
      </c>
      <c r="Q215" s="266">
        <f>LOOKUP($B213, CEFF!$C$163:$C$330, CEFF!I$163:I$330)</f>
        <v>7.2730000000000003E-2</v>
      </c>
      <c r="R215" s="266">
        <f>LOOKUP($B213, CEFF!$C$163:$C$330, CEFF!J$163:J$330)</f>
        <v>7.4770000000000003E-2</v>
      </c>
      <c r="S215" s="45"/>
      <c r="T215" s="45"/>
      <c r="U215" s="45"/>
      <c r="V215" s="46"/>
      <c r="W215" s="64"/>
      <c r="X215" s="64"/>
      <c r="Y215" s="64"/>
      <c r="Z215" s="64"/>
      <c r="AA215" s="64"/>
      <c r="AB215" s="64"/>
      <c r="AC215" s="64"/>
      <c r="AD215" s="64"/>
    </row>
    <row r="216" spans="2:30" s="39" customFormat="1" x14ac:dyDescent="0.3">
      <c r="B216" s="211" t="s">
        <v>169</v>
      </c>
      <c r="C216" s="210" t="str">
        <f>LOOKUP(B216, TRA_COMM_PRO!$C$17:$C$199, TRA_COMM_PRO!$D$17:$D$199)</f>
        <v>Truck.Heavy.H2G.01.</v>
      </c>
      <c r="D216" s="211" t="s">
        <v>57</v>
      </c>
      <c r="E216" s="211"/>
      <c r="F216" s="211"/>
      <c r="G216" s="10">
        <f>$G$197</f>
        <v>2020</v>
      </c>
      <c r="H216" s="40">
        <v>15</v>
      </c>
      <c r="I216" s="65">
        <f>$I$198</f>
        <v>1E-3</v>
      </c>
      <c r="J216" s="41">
        <v>7.7</v>
      </c>
      <c r="K216" s="42"/>
      <c r="L216" s="42"/>
      <c r="M216" s="42"/>
      <c r="N216" s="42"/>
      <c r="O216" s="265"/>
      <c r="P216" s="265"/>
      <c r="Q216" s="265"/>
      <c r="R216" s="265"/>
      <c r="S216" s="40"/>
      <c r="T216" s="40"/>
      <c r="U216" s="40"/>
      <c r="V216" s="41"/>
      <c r="W216" s="62">
        <f>LOOKUP(B216, FIXOM_VAROM!$C$8:$C$190, FIXOM_VAROM!$D$8:$D$190)</f>
        <v>8.0000000000000016E-2</v>
      </c>
      <c r="X216" s="40">
        <f>LOOKUP($B216, INVCOST!$C$8:$C$193, INVCOST!E$8:E$193)</f>
        <v>324</v>
      </c>
      <c r="Y216" s="40">
        <f>LOOKUP($B216, INVCOST!$C$8:$C$193, INVCOST!F$8:F$193)</f>
        <v>319.5</v>
      </c>
      <c r="Z216" s="40">
        <f>LOOKUP($B216, INVCOST!$C$8:$C$193, INVCOST!G$8:G$193)</f>
        <v>315</v>
      </c>
      <c r="AA216" s="40">
        <f>LOOKUP($B216, INVCOST!$C$8:$C$193, INVCOST!H$8:H$193)</f>
        <v>309</v>
      </c>
      <c r="AB216" s="40">
        <f>LOOKUP($B216, INVCOST!$C$8:$C$193, INVCOST!I$8:I$193)</f>
        <v>304.5</v>
      </c>
      <c r="AC216" s="40">
        <f>LOOKUP($B216, INVCOST!$C$8:$C$193, INVCOST!J$8:J$193)</f>
        <v>300</v>
      </c>
      <c r="AD216" s="40">
        <f>LOOKUP($B216, INVCOST!$C$8:$C$193, INVCOST!K$8:K$193)</f>
        <v>295.5</v>
      </c>
    </row>
    <row r="217" spans="2:30" s="39" customFormat="1" x14ac:dyDescent="0.3">
      <c r="B217" s="211"/>
      <c r="C217" s="211"/>
      <c r="D217" s="211"/>
      <c r="E217" s="211"/>
      <c r="F217" s="211" t="s">
        <v>348</v>
      </c>
      <c r="G217" s="50"/>
      <c r="H217" s="40"/>
      <c r="I217" s="41"/>
      <c r="J217" s="41"/>
      <c r="K217" s="42"/>
      <c r="L217" s="42"/>
      <c r="M217" s="42"/>
      <c r="N217" s="42"/>
      <c r="O217" s="265">
        <f>LOOKUP($B216, CEFF!$C$8:$C$156, CEFF!G$8:G$156)</f>
        <v>0.15625</v>
      </c>
      <c r="P217" s="265">
        <f>LOOKUP($B216, CEFF!$C$8:$C$156, CEFF!H$8:H$156)</f>
        <v>0.16392999999999999</v>
      </c>
      <c r="Q217" s="265">
        <f>LOOKUP($B216, CEFF!$C$8:$C$156, CEFF!I$8:I$156)</f>
        <v>0.16807</v>
      </c>
      <c r="R217" s="265">
        <f>LOOKUP($B216, CEFF!$C$8:$C$156, CEFF!J$8:J$156)</f>
        <v>0.17241000000000001</v>
      </c>
      <c r="S217" s="40"/>
      <c r="T217" s="40"/>
      <c r="U217" s="40"/>
      <c r="V217" s="41"/>
      <c r="W217" s="60"/>
      <c r="X217" s="60"/>
      <c r="Y217" s="60"/>
      <c r="Z217" s="60"/>
      <c r="AA217" s="60"/>
      <c r="AB217" s="60"/>
      <c r="AC217" s="60"/>
      <c r="AD217" s="60"/>
    </row>
    <row r="218" spans="2:30" s="39" customFormat="1" x14ac:dyDescent="0.3">
      <c r="B218" s="212"/>
      <c r="C218" s="212"/>
      <c r="D218" s="212"/>
      <c r="E218" s="212"/>
      <c r="F218" s="212" t="s">
        <v>350</v>
      </c>
      <c r="G218" s="51"/>
      <c r="H218" s="45"/>
      <c r="I218" s="46"/>
      <c r="J218" s="46"/>
      <c r="K218" s="79"/>
      <c r="L218" s="79"/>
      <c r="M218" s="79"/>
      <c r="N218" s="79"/>
      <c r="O218" s="266">
        <f>LOOKUP($B216, CEFF!$C$163:$C$330, CEFF!G$163:G$330)</f>
        <v>0.125</v>
      </c>
      <c r="P218" s="266">
        <f>LOOKUP($B216, CEFF!$C$163:$C$330, CEFF!H$163:H$330)</f>
        <v>0.13114999999999999</v>
      </c>
      <c r="Q218" s="266">
        <f>LOOKUP($B216, CEFF!$C$163:$C$330, CEFF!I$163:I$330)</f>
        <v>0.13444999999999999</v>
      </c>
      <c r="R218" s="266">
        <f>LOOKUP($B216, CEFF!$C$163:$C$330, CEFF!J$163:J$330)</f>
        <v>0.13793</v>
      </c>
      <c r="S218" s="45"/>
      <c r="T218" s="45"/>
      <c r="U218" s="45"/>
      <c r="V218" s="46"/>
      <c r="W218" s="64"/>
      <c r="X218" s="64"/>
      <c r="Y218" s="64"/>
      <c r="Z218" s="64"/>
      <c r="AA218" s="64"/>
      <c r="AB218" s="64"/>
      <c r="AC218" s="64"/>
      <c r="AD218" s="64"/>
    </row>
    <row r="219" spans="2:30" s="39" customFormat="1" x14ac:dyDescent="0.3">
      <c r="B219" s="211" t="s">
        <v>358</v>
      </c>
      <c r="C219" s="210" t="str">
        <f>LOOKUP(B219, TRA_COMM_PRO!$C$17:$C$199, TRA_COMM_PRO!$D$17:$D$199)</f>
        <v>Truck.Heavy.Hybrid.DST.01.</v>
      </c>
      <c r="D219" s="211" t="s">
        <v>712</v>
      </c>
      <c r="E219" s="211"/>
      <c r="F219" s="211"/>
      <c r="G219" s="10">
        <f>$G$197</f>
        <v>2020</v>
      </c>
      <c r="H219" s="40">
        <v>15</v>
      </c>
      <c r="I219" s="65">
        <f>$I$198</f>
        <v>1E-3</v>
      </c>
      <c r="J219" s="41">
        <v>7.7</v>
      </c>
      <c r="K219" s="42"/>
      <c r="L219" s="42"/>
      <c r="M219" s="42"/>
      <c r="N219" s="42"/>
      <c r="O219" s="265"/>
      <c r="P219" s="265"/>
      <c r="Q219" s="265"/>
      <c r="R219" s="265"/>
      <c r="S219" s="40"/>
      <c r="T219" s="40"/>
      <c r="U219" s="40"/>
      <c r="V219" s="41"/>
      <c r="W219" s="62">
        <f>LOOKUP(B219, FIXOM_VAROM!$C$8:$C$190, FIXOM_VAROM!$D$8:$D$190)</f>
        <v>0.1</v>
      </c>
      <c r="X219" s="40">
        <f>LOOKUP($B219, INVCOST!$C$8:$C$193, INVCOST!E$8:E$193)</f>
        <v>169</v>
      </c>
      <c r="Y219" s="40">
        <f>LOOKUP($B219, INVCOST!$C$8:$C$193, INVCOST!F$8:F$193)</f>
        <v>169</v>
      </c>
      <c r="Z219" s="40">
        <f>LOOKUP($B219, INVCOST!$C$8:$C$193, INVCOST!G$8:G$193)</f>
        <v>169</v>
      </c>
      <c r="AA219" s="40">
        <f>LOOKUP($B219, INVCOST!$C$8:$C$193, INVCOST!H$8:H$193)</f>
        <v>169</v>
      </c>
      <c r="AB219" s="40">
        <f>LOOKUP($B219, INVCOST!$C$8:$C$193, INVCOST!I$8:I$193)</f>
        <v>169</v>
      </c>
      <c r="AC219" s="40">
        <f>LOOKUP($B219, INVCOST!$C$8:$C$193, INVCOST!J$8:J$193)</f>
        <v>169</v>
      </c>
      <c r="AD219" s="40">
        <f>LOOKUP($B219, INVCOST!$C$8:$C$193, INVCOST!K$8:K$193)</f>
        <v>169</v>
      </c>
    </row>
    <row r="220" spans="2:30" s="39" customFormat="1" x14ac:dyDescent="0.3">
      <c r="B220" s="211"/>
      <c r="C220" s="211"/>
      <c r="D220" s="211"/>
      <c r="E220" s="211"/>
      <c r="F220" s="211" t="s">
        <v>348</v>
      </c>
      <c r="G220" s="50"/>
      <c r="H220" s="40"/>
      <c r="I220" s="41"/>
      <c r="J220" s="41"/>
      <c r="K220" s="42"/>
      <c r="L220" s="42"/>
      <c r="M220" s="42"/>
      <c r="N220" s="42"/>
      <c r="O220" s="265">
        <f>LOOKUP($B219, CEFF!$C$8:$C$156, CEFF!G$8:G$156)</f>
        <v>0.10526000000000001</v>
      </c>
      <c r="P220" s="265">
        <f>LOOKUP($B219, CEFF!$C$8:$C$156, CEFF!H$8:H$156)</f>
        <v>0.1087</v>
      </c>
      <c r="Q220" s="265">
        <f>LOOKUP($B219, CEFF!$C$8:$C$156, CEFF!I$8:I$156)</f>
        <v>0.11111</v>
      </c>
      <c r="R220" s="265">
        <f>LOOKUP($B219, CEFF!$C$8:$C$156, CEFF!J$8:J$156)</f>
        <v>0.11364</v>
      </c>
      <c r="S220" s="40"/>
      <c r="T220" s="40"/>
      <c r="U220" s="40"/>
      <c r="V220" s="41"/>
      <c r="W220" s="60"/>
      <c r="X220" s="60"/>
      <c r="Y220" s="60"/>
      <c r="Z220" s="60"/>
      <c r="AA220" s="60"/>
      <c r="AB220" s="60"/>
      <c r="AC220" s="60"/>
      <c r="AD220" s="60"/>
    </row>
    <row r="221" spans="2:30" s="39" customFormat="1" x14ac:dyDescent="0.3">
      <c r="B221" s="212"/>
      <c r="C221" s="212"/>
      <c r="D221" s="212"/>
      <c r="E221" s="212"/>
      <c r="F221" s="212" t="s">
        <v>350</v>
      </c>
      <c r="G221" s="51"/>
      <c r="H221" s="45"/>
      <c r="I221" s="46"/>
      <c r="J221" s="46"/>
      <c r="K221" s="44"/>
      <c r="L221" s="44"/>
      <c r="M221" s="44"/>
      <c r="N221" s="44"/>
      <c r="O221" s="266">
        <f>LOOKUP($B219, CEFF!$C$163:$C$330, CEFF!G$163:G$330)</f>
        <v>8.4209999999999993E-2</v>
      </c>
      <c r="P221" s="266">
        <f>LOOKUP($B219, CEFF!$C$163:$C$330, CEFF!H$163:H$330)</f>
        <v>8.6959999999999996E-2</v>
      </c>
      <c r="Q221" s="266">
        <f>LOOKUP($B219, CEFF!$C$163:$C$330, CEFF!I$163:I$330)</f>
        <v>8.8889999999999997E-2</v>
      </c>
      <c r="R221" s="266">
        <f>LOOKUP($B219, CEFF!$C$163:$C$330, CEFF!J$163:J$330)</f>
        <v>9.0910000000000005E-2</v>
      </c>
      <c r="S221" s="45"/>
      <c r="T221" s="45"/>
      <c r="U221" s="45"/>
      <c r="V221" s="46"/>
      <c r="W221" s="64"/>
      <c r="X221" s="64"/>
      <c r="Y221" s="64"/>
      <c r="Z221" s="64"/>
      <c r="AA221" s="64"/>
      <c r="AB221" s="64"/>
      <c r="AC221" s="64"/>
      <c r="AD221" s="64"/>
    </row>
    <row r="222" spans="2:30" s="39" customFormat="1" x14ac:dyDescent="0.3">
      <c r="B222" s="211" t="s">
        <v>428</v>
      </c>
      <c r="C222" s="210" t="str">
        <f>LOOKUP(B222, TRA_COMM_PRO!$C$17:$C$199, TRA_COMM_PRO!$D$17:$D$199)</f>
        <v>Truck.Heavy.Hybrid.GSL.01.</v>
      </c>
      <c r="D222" s="214" t="s">
        <v>713</v>
      </c>
      <c r="E222" s="211"/>
      <c r="F222" s="211"/>
      <c r="G222" s="10">
        <f>$G$197</f>
        <v>2020</v>
      </c>
      <c r="H222" s="40">
        <v>15</v>
      </c>
      <c r="I222" s="65">
        <f>$I$198</f>
        <v>1E-3</v>
      </c>
      <c r="J222" s="41">
        <v>7.7</v>
      </c>
      <c r="K222" s="42"/>
      <c r="L222" s="42"/>
      <c r="M222" s="42"/>
      <c r="N222" s="42"/>
      <c r="O222" s="265"/>
      <c r="P222" s="265"/>
      <c r="Q222" s="265"/>
      <c r="R222" s="265"/>
      <c r="S222" s="40"/>
      <c r="T222" s="40"/>
      <c r="U222" s="40"/>
      <c r="V222" s="41"/>
      <c r="W222" s="62">
        <f>LOOKUP(B222, FIXOM_VAROM!$C$8:$C$190, FIXOM_VAROM!$D$8:$D$190)</f>
        <v>0.1</v>
      </c>
      <c r="X222" s="40">
        <f>LOOKUP($B222, INVCOST!$C$8:$C$193, INVCOST!E$8:E$193)</f>
        <v>169</v>
      </c>
      <c r="Y222" s="40">
        <f>LOOKUP($B222, INVCOST!$C$8:$C$193, INVCOST!F$8:F$193)</f>
        <v>169</v>
      </c>
      <c r="Z222" s="40">
        <f>LOOKUP($B222, INVCOST!$C$8:$C$193, INVCOST!G$8:G$193)</f>
        <v>169</v>
      </c>
      <c r="AA222" s="40">
        <f>LOOKUP($B222, INVCOST!$C$8:$C$193, INVCOST!H$8:H$193)</f>
        <v>169</v>
      </c>
      <c r="AB222" s="40">
        <f>LOOKUP($B222, INVCOST!$C$8:$C$193, INVCOST!I$8:I$193)</f>
        <v>169</v>
      </c>
      <c r="AC222" s="40">
        <f>LOOKUP($B222, INVCOST!$C$8:$C$193, INVCOST!J$8:J$193)</f>
        <v>169</v>
      </c>
      <c r="AD222" s="40">
        <f>LOOKUP($B222, INVCOST!$C$8:$C$193, INVCOST!K$8:K$193)</f>
        <v>169</v>
      </c>
    </row>
    <row r="223" spans="2:30" s="39" customFormat="1" x14ac:dyDescent="0.3">
      <c r="B223" s="211"/>
      <c r="C223" s="211"/>
      <c r="D223" s="211"/>
      <c r="E223" s="211"/>
      <c r="F223" s="211" t="s">
        <v>348</v>
      </c>
      <c r="G223" s="50"/>
      <c r="H223" s="40"/>
      <c r="I223" s="41"/>
      <c r="J223" s="41"/>
      <c r="K223" s="42"/>
      <c r="L223" s="42"/>
      <c r="M223" s="42"/>
      <c r="N223" s="42"/>
      <c r="O223" s="265">
        <f>LOOKUP($B222, CEFF!$C$8:$C$156, CEFF!G$8:G$156)</f>
        <v>9.4960000000000003E-2</v>
      </c>
      <c r="P223" s="265">
        <f>LOOKUP($B222, CEFF!$C$8:$C$156, CEFF!H$8:H$156)</f>
        <v>9.9080000000000001E-2</v>
      </c>
      <c r="Q223" s="265">
        <f>LOOKUP($B222, CEFF!$C$8:$C$156, CEFF!I$8:I$156)</f>
        <v>0.10152</v>
      </c>
      <c r="R223" s="265">
        <f>LOOKUP($B222, CEFF!$C$8:$C$156, CEFF!J$8:J$156)</f>
        <v>0.10408000000000001</v>
      </c>
      <c r="S223" s="40"/>
      <c r="T223" s="40"/>
      <c r="U223" s="40"/>
      <c r="V223" s="41"/>
      <c r="W223" s="60"/>
      <c r="X223" s="60"/>
      <c r="Y223" s="60"/>
      <c r="Z223" s="60"/>
      <c r="AA223" s="60"/>
      <c r="AB223" s="60"/>
      <c r="AC223" s="60"/>
      <c r="AD223" s="60"/>
    </row>
    <row r="224" spans="2:30" s="39" customFormat="1" x14ac:dyDescent="0.3">
      <c r="B224" s="212"/>
      <c r="C224" s="212"/>
      <c r="D224" s="212"/>
      <c r="E224" s="212"/>
      <c r="F224" s="212" t="s">
        <v>350</v>
      </c>
      <c r="G224" s="51"/>
      <c r="H224" s="45"/>
      <c r="I224" s="46"/>
      <c r="J224" s="46"/>
      <c r="K224" s="44"/>
      <c r="L224" s="44"/>
      <c r="M224" s="44"/>
      <c r="N224" s="44"/>
      <c r="O224" s="266">
        <f>LOOKUP($B222, CEFF!$C$163:$C$330, CEFF!G$163:G$330)</f>
        <v>0.11277</v>
      </c>
      <c r="P224" s="266">
        <f>LOOKUP($B222, CEFF!$C$163:$C$330, CEFF!H$163:H$330)</f>
        <v>0.11953999999999999</v>
      </c>
      <c r="Q224" s="266">
        <f>LOOKUP($B222, CEFF!$C$163:$C$330, CEFF!I$163:I$330)</f>
        <v>0.12284</v>
      </c>
      <c r="R224" s="266">
        <f>LOOKUP($B222, CEFF!$C$163:$C$330, CEFF!J$163:J$330)</f>
        <v>0.12633</v>
      </c>
      <c r="S224" s="45"/>
      <c r="T224" s="45"/>
      <c r="U224" s="45"/>
      <c r="V224" s="46"/>
      <c r="W224" s="64"/>
      <c r="X224" s="64"/>
      <c r="Y224" s="64"/>
      <c r="Z224" s="64"/>
      <c r="AA224" s="64"/>
      <c r="AB224" s="64"/>
      <c r="AC224" s="64"/>
      <c r="AD224" s="64"/>
    </row>
    <row r="225" spans="2:30" s="39" customFormat="1" x14ac:dyDescent="0.3">
      <c r="B225" s="211" t="s">
        <v>429</v>
      </c>
      <c r="C225" s="210" t="str">
        <f>LOOKUP(B225, TRA_COMM_PRO!$C$17:$C$199, TRA_COMM_PRO!$D$17:$D$199)</f>
        <v>Truck.Heavy.LPG.01.</v>
      </c>
      <c r="D225" s="211" t="s">
        <v>62</v>
      </c>
      <c r="E225" s="211"/>
      <c r="F225" s="211"/>
      <c r="G225" s="10">
        <f>$G$197</f>
        <v>2020</v>
      </c>
      <c r="H225" s="40">
        <v>15</v>
      </c>
      <c r="I225" s="65">
        <f>$I$198</f>
        <v>1E-3</v>
      </c>
      <c r="J225" s="41">
        <v>7.7</v>
      </c>
      <c r="K225" s="42"/>
      <c r="L225" s="42"/>
      <c r="M225" s="42"/>
      <c r="N225" s="42"/>
      <c r="O225" s="265"/>
      <c r="P225" s="265"/>
      <c r="Q225" s="265"/>
      <c r="R225" s="265"/>
      <c r="S225" s="40"/>
      <c r="T225" s="40"/>
      <c r="U225" s="40"/>
      <c r="V225" s="41"/>
      <c r="W225" s="62">
        <f>LOOKUP(B225, FIXOM_VAROM!$C$8:$C$190, FIXOM_VAROM!$D$8:$D$190)</f>
        <v>0.1</v>
      </c>
      <c r="X225" s="40">
        <f>LOOKUP($B225, INVCOST!$C$8:$C$193, INVCOST!E$8:E$193)</f>
        <v>169</v>
      </c>
      <c r="Y225" s="40">
        <f>LOOKUP($B225, INVCOST!$C$8:$C$193, INVCOST!F$8:F$193)</f>
        <v>169</v>
      </c>
      <c r="Z225" s="40">
        <f>LOOKUP($B225, INVCOST!$C$8:$C$193, INVCOST!G$8:G$193)</f>
        <v>169</v>
      </c>
      <c r="AA225" s="40">
        <f>LOOKUP($B225, INVCOST!$C$8:$C$193, INVCOST!H$8:H$193)</f>
        <v>169</v>
      </c>
      <c r="AB225" s="40">
        <f>LOOKUP($B225, INVCOST!$C$8:$C$193, INVCOST!I$8:I$193)</f>
        <v>169</v>
      </c>
      <c r="AC225" s="40">
        <f>LOOKUP($B225, INVCOST!$C$8:$C$193, INVCOST!J$8:J$193)</f>
        <v>169</v>
      </c>
      <c r="AD225" s="40">
        <f>LOOKUP($B225, INVCOST!$C$8:$C$193, INVCOST!K$8:K$193)</f>
        <v>169</v>
      </c>
    </row>
    <row r="226" spans="2:30" s="39" customFormat="1" x14ac:dyDescent="0.3">
      <c r="B226" s="211"/>
      <c r="C226" s="211"/>
      <c r="D226" s="211"/>
      <c r="E226" s="211"/>
      <c r="F226" s="211" t="s">
        <v>348</v>
      </c>
      <c r="G226" s="50"/>
      <c r="H226" s="40"/>
      <c r="I226" s="41"/>
      <c r="J226" s="41"/>
      <c r="K226" s="42"/>
      <c r="L226" s="42"/>
      <c r="M226" s="42"/>
      <c r="N226" s="42"/>
      <c r="O226" s="265">
        <f>LOOKUP($B225, CEFF!$C$8:$C$156, CEFF!G$8:G$156)</f>
        <v>8.5110000000000005E-2</v>
      </c>
      <c r="P226" s="265">
        <f>LOOKUP($B225, CEFF!$C$8:$C$156, CEFF!H$8:H$156)</f>
        <v>8.8499999999999995E-2</v>
      </c>
      <c r="Q226" s="265">
        <f>LOOKUP($B225, CEFF!$C$8:$C$156, CEFF!I$8:I$156)</f>
        <v>9.0910000000000005E-2</v>
      </c>
      <c r="R226" s="265">
        <f>LOOKUP($B225, CEFF!$C$8:$C$156, CEFF!J$8:J$156)</f>
        <v>9.3460000000000001E-2</v>
      </c>
      <c r="S226" s="40"/>
      <c r="T226" s="40"/>
      <c r="U226" s="40"/>
      <c r="V226" s="41"/>
      <c r="W226" s="60"/>
      <c r="X226" s="60"/>
      <c r="Y226" s="60"/>
      <c r="Z226" s="60"/>
      <c r="AA226" s="60"/>
      <c r="AB226" s="60"/>
      <c r="AC226" s="60"/>
      <c r="AD226" s="60"/>
    </row>
    <row r="227" spans="2:30" s="39" customFormat="1" x14ac:dyDescent="0.3">
      <c r="B227" s="212"/>
      <c r="C227" s="212"/>
      <c r="D227" s="212"/>
      <c r="E227" s="212"/>
      <c r="F227" s="212" t="s">
        <v>350</v>
      </c>
      <c r="G227" s="51"/>
      <c r="H227" s="45"/>
      <c r="I227" s="46"/>
      <c r="J227" s="46"/>
      <c r="K227" s="44"/>
      <c r="L227" s="44"/>
      <c r="M227" s="44"/>
      <c r="N227" s="44"/>
      <c r="O227" s="266">
        <f>LOOKUP($B225, CEFF!$C$163:$C$330, CEFF!G$163:G$330)</f>
        <v>6.8089999999999998E-2</v>
      </c>
      <c r="P227" s="266">
        <f>LOOKUP($B225, CEFF!$C$163:$C$330, CEFF!H$163:H$330)</f>
        <v>7.0800000000000002E-2</v>
      </c>
      <c r="Q227" s="266">
        <f>LOOKUP($B225, CEFF!$C$163:$C$330, CEFF!I$163:I$330)</f>
        <v>7.2730000000000003E-2</v>
      </c>
      <c r="R227" s="266">
        <f>LOOKUP($B225, CEFF!$C$163:$C$330, CEFF!J$163:J$330)</f>
        <v>7.4770000000000003E-2</v>
      </c>
      <c r="S227" s="45"/>
      <c r="T227" s="45"/>
      <c r="U227" s="45"/>
      <c r="V227" s="46"/>
      <c r="W227" s="64"/>
      <c r="X227" s="64"/>
      <c r="Y227" s="64"/>
      <c r="Z227" s="64"/>
      <c r="AA227" s="64"/>
      <c r="AB227" s="64"/>
      <c r="AC227" s="64"/>
      <c r="AD227" s="64"/>
    </row>
    <row r="228" spans="2:30" s="39" customFormat="1" x14ac:dyDescent="0.3">
      <c r="B228" s="211" t="s">
        <v>608</v>
      </c>
      <c r="C228" s="210" t="str">
        <f>LOOKUP(B228, TRA_COMM_PRO!$C$17:$C$199, TRA_COMM_PRO!$D$17:$D$199)</f>
        <v>Truck.Heavy.MTH.01.</v>
      </c>
      <c r="D228" s="211" t="s">
        <v>599</v>
      </c>
      <c r="E228" s="211"/>
      <c r="F228" s="211"/>
      <c r="G228" s="10">
        <f>$G$197</f>
        <v>2020</v>
      </c>
      <c r="H228" s="40">
        <v>15</v>
      </c>
      <c r="I228" s="65">
        <f>$I$198</f>
        <v>1E-3</v>
      </c>
      <c r="J228" s="41">
        <v>7.7</v>
      </c>
      <c r="K228" s="42"/>
      <c r="L228" s="42"/>
      <c r="M228" s="42"/>
      <c r="N228" s="42"/>
      <c r="O228" s="265"/>
      <c r="P228" s="265"/>
      <c r="Q228" s="265"/>
      <c r="R228" s="265"/>
      <c r="S228" s="40"/>
      <c r="T228" s="40"/>
      <c r="U228" s="40"/>
      <c r="V228" s="41"/>
      <c r="W228" s="62">
        <f>LOOKUP(B228, FIXOM_VAROM!$C$8:$C$190, FIXOM_VAROM!$D$8:$D$190)</f>
        <v>0.1</v>
      </c>
      <c r="X228" s="40">
        <f>LOOKUP($B228, INVCOST!$C$8:$C$193, INVCOST!E$8:E$193)</f>
        <v>169</v>
      </c>
      <c r="Y228" s="40">
        <f>LOOKUP($B228, INVCOST!$C$8:$C$193, INVCOST!F$8:F$193)</f>
        <v>169</v>
      </c>
      <c r="Z228" s="40">
        <f>LOOKUP($B228, INVCOST!$C$8:$C$193, INVCOST!G$8:G$193)</f>
        <v>169</v>
      </c>
      <c r="AA228" s="40">
        <f>LOOKUP($B228, INVCOST!$C$8:$C$193, INVCOST!H$8:H$193)</f>
        <v>169</v>
      </c>
      <c r="AB228" s="40">
        <f>LOOKUP($B228, INVCOST!$C$8:$C$193, INVCOST!I$8:I$193)</f>
        <v>169</v>
      </c>
      <c r="AC228" s="40">
        <f>LOOKUP($B228, INVCOST!$C$8:$C$193, INVCOST!J$8:J$193)</f>
        <v>169</v>
      </c>
      <c r="AD228" s="40">
        <f>LOOKUP($B228, INVCOST!$C$8:$C$193, INVCOST!K$8:K$193)</f>
        <v>169</v>
      </c>
    </row>
    <row r="229" spans="2:30" s="39" customFormat="1" x14ac:dyDescent="0.3">
      <c r="B229" s="211"/>
      <c r="C229" s="211"/>
      <c r="D229" s="211"/>
      <c r="E229" s="211"/>
      <c r="F229" s="211" t="s">
        <v>348</v>
      </c>
      <c r="G229" s="50"/>
      <c r="H229" s="40"/>
      <c r="I229" s="41"/>
      <c r="J229" s="41"/>
      <c r="K229" s="42"/>
      <c r="L229" s="42"/>
      <c r="M229" s="42"/>
      <c r="N229" s="42"/>
      <c r="O229" s="265">
        <f>LOOKUP($B228, CEFF!$C$8:$C$156, CEFF!G$8:G$156)</f>
        <v>8.5110000000000005E-2</v>
      </c>
      <c r="P229" s="265">
        <f>LOOKUP($B228, CEFF!$C$8:$C$156, CEFF!H$8:H$156)</f>
        <v>8.8499999999999995E-2</v>
      </c>
      <c r="Q229" s="265">
        <f>LOOKUP($B228, CEFF!$C$8:$C$156, CEFF!I$8:I$156)</f>
        <v>9.0910000000000005E-2</v>
      </c>
      <c r="R229" s="265">
        <f>LOOKUP($B228, CEFF!$C$8:$C$156, CEFF!J$8:J$156)</f>
        <v>9.3460000000000001E-2</v>
      </c>
      <c r="S229" s="40"/>
      <c r="T229" s="40"/>
      <c r="U229" s="40"/>
      <c r="V229" s="41"/>
      <c r="W229" s="60"/>
      <c r="X229" s="60"/>
      <c r="Y229" s="60"/>
      <c r="Z229" s="60"/>
      <c r="AA229" s="60"/>
      <c r="AB229" s="60"/>
      <c r="AC229" s="60"/>
      <c r="AD229" s="60"/>
    </row>
    <row r="230" spans="2:30" s="39" customFormat="1" x14ac:dyDescent="0.3">
      <c r="B230" s="212"/>
      <c r="C230" s="212"/>
      <c r="D230" s="212"/>
      <c r="E230" s="212"/>
      <c r="F230" s="212" t="s">
        <v>350</v>
      </c>
      <c r="G230" s="51"/>
      <c r="H230" s="45"/>
      <c r="I230" s="46"/>
      <c r="J230" s="46"/>
      <c r="K230" s="44"/>
      <c r="L230" s="44"/>
      <c r="M230" s="44"/>
      <c r="N230" s="44"/>
      <c r="O230" s="266">
        <f>LOOKUP($B228, CEFF!$C$163:$C$330, CEFF!G$163:G$330)</f>
        <v>6.8089999999999998E-2</v>
      </c>
      <c r="P230" s="266">
        <f>LOOKUP($B228, CEFF!$C$163:$C$330, CEFF!H$163:H$330)</f>
        <v>7.0800000000000002E-2</v>
      </c>
      <c r="Q230" s="266">
        <f>LOOKUP($B228, CEFF!$C$163:$C$330, CEFF!I$163:I$330)</f>
        <v>7.2730000000000003E-2</v>
      </c>
      <c r="R230" s="266">
        <f>LOOKUP($B228, CEFF!$C$163:$C$330, CEFF!J$163:J$330)</f>
        <v>7.4770000000000003E-2</v>
      </c>
      <c r="S230" s="45"/>
      <c r="T230" s="45"/>
      <c r="U230" s="45"/>
      <c r="V230" s="46"/>
      <c r="W230" s="64"/>
      <c r="X230" s="64"/>
      <c r="Y230" s="64"/>
      <c r="Z230" s="64"/>
      <c r="AA230" s="64"/>
      <c r="AB230" s="64"/>
      <c r="AC230" s="64"/>
      <c r="AD230" s="64"/>
    </row>
    <row r="231" spans="2:30" s="39" customFormat="1" x14ac:dyDescent="0.3">
      <c r="B231" s="211" t="s">
        <v>430</v>
      </c>
      <c r="C231" s="210" t="str">
        <f>LOOKUP(B231, TRA_COMM_PRO!$C$17:$C$199, TRA_COMM_PRO!$D$17:$D$199)</f>
        <v>Truck.Heavy.Plugin-Hybrid.DST.01.</v>
      </c>
      <c r="D231" s="211" t="s">
        <v>712</v>
      </c>
      <c r="E231" s="211"/>
      <c r="F231" s="211"/>
      <c r="G231" s="10">
        <f>$G$197</f>
        <v>2020</v>
      </c>
      <c r="H231" s="40">
        <v>15</v>
      </c>
      <c r="I231" s="65">
        <f>$I$198</f>
        <v>1E-3</v>
      </c>
      <c r="J231" s="41">
        <v>7.7</v>
      </c>
      <c r="K231" s="42"/>
      <c r="L231" s="42"/>
      <c r="M231" s="42"/>
      <c r="N231" s="42"/>
      <c r="O231" s="265"/>
      <c r="P231" s="265"/>
      <c r="Q231" s="265"/>
      <c r="R231" s="265"/>
      <c r="S231" s="40"/>
      <c r="T231" s="40"/>
      <c r="U231" s="40"/>
      <c r="V231" s="41"/>
      <c r="W231" s="62">
        <f>LOOKUP(B231, FIXOM_VAROM!$C$8:$C$190, FIXOM_VAROM!$D$8:$D$190)</f>
        <v>0.1</v>
      </c>
      <c r="X231" s="40">
        <f>LOOKUP($B231, INVCOST!$C$8:$C$193, INVCOST!E$8:E$193)</f>
        <v>202.79999999999998</v>
      </c>
      <c r="Y231" s="40">
        <f>LOOKUP($B231, INVCOST!$C$8:$C$193, INVCOST!F$8:F$193)</f>
        <v>202.79999999999998</v>
      </c>
      <c r="Z231" s="40">
        <f>LOOKUP($B231, INVCOST!$C$8:$C$193, INVCOST!G$8:G$193)</f>
        <v>202.79999999999998</v>
      </c>
      <c r="AA231" s="40">
        <f>LOOKUP($B231, INVCOST!$C$8:$C$193, INVCOST!H$8:H$193)</f>
        <v>202.79999999999998</v>
      </c>
      <c r="AB231" s="40">
        <f>LOOKUP($B231, INVCOST!$C$8:$C$193, INVCOST!I$8:I$193)</f>
        <v>202.79999999999998</v>
      </c>
      <c r="AC231" s="40">
        <f>LOOKUP($B231, INVCOST!$C$8:$C$193, INVCOST!J$8:J$193)</f>
        <v>202.79999999999998</v>
      </c>
      <c r="AD231" s="40">
        <f>LOOKUP($B231, INVCOST!$C$8:$C$193, INVCOST!K$8:K$193)</f>
        <v>202.79999999999998</v>
      </c>
    </row>
    <row r="232" spans="2:30" s="39" customFormat="1" x14ac:dyDescent="0.3">
      <c r="B232" s="211"/>
      <c r="C232" s="211"/>
      <c r="D232" s="211"/>
      <c r="E232" s="211"/>
      <c r="F232" s="211" t="s">
        <v>348</v>
      </c>
      <c r="G232" s="50"/>
      <c r="H232" s="40"/>
      <c r="I232" s="41"/>
      <c r="J232" s="41"/>
      <c r="K232" s="42"/>
      <c r="L232" s="42"/>
      <c r="M232" s="42"/>
      <c r="N232" s="42"/>
      <c r="O232" s="265">
        <f>LOOKUP($B231, CEFF!$C$8:$C$156, CEFF!G$8:G$156)</f>
        <v>9.4339999999999993E-2</v>
      </c>
      <c r="P232" s="265">
        <f>LOOKUP($B231, CEFF!$C$8:$C$156, CEFF!H$8:H$156)</f>
        <v>9.7089999999999996E-2</v>
      </c>
      <c r="Q232" s="265">
        <f>LOOKUP($B231, CEFF!$C$8:$C$156, CEFF!I$8:I$156)</f>
        <v>9.9500000000000005E-2</v>
      </c>
      <c r="R232" s="265">
        <f>LOOKUP($B231, CEFF!$C$8:$C$156, CEFF!J$8:J$156)</f>
        <v>0.10204000000000001</v>
      </c>
      <c r="S232" s="40"/>
      <c r="T232" s="40"/>
      <c r="U232" s="40"/>
      <c r="V232" s="41"/>
      <c r="W232" s="60"/>
      <c r="X232" s="60"/>
      <c r="Y232" s="60"/>
      <c r="Z232" s="60"/>
      <c r="AA232" s="60"/>
      <c r="AB232" s="60"/>
      <c r="AC232" s="60"/>
      <c r="AD232" s="60"/>
    </row>
    <row r="233" spans="2:30" s="39" customFormat="1" x14ac:dyDescent="0.3">
      <c r="B233" s="212"/>
      <c r="C233" s="212"/>
      <c r="D233" s="212"/>
      <c r="E233" s="212"/>
      <c r="F233" s="212" t="s">
        <v>350</v>
      </c>
      <c r="G233" s="51"/>
      <c r="H233" s="45"/>
      <c r="I233" s="46"/>
      <c r="J233" s="46"/>
      <c r="K233" s="44"/>
      <c r="L233" s="44"/>
      <c r="M233" s="44"/>
      <c r="N233" s="44"/>
      <c r="O233" s="266">
        <f>LOOKUP($B231, CEFF!$C$163:$C$330, CEFF!G$163:G$330)</f>
        <v>7.5469999999999995E-2</v>
      </c>
      <c r="P233" s="266">
        <f>LOOKUP($B231, CEFF!$C$163:$C$330, CEFF!H$163:H$330)</f>
        <v>7.7670000000000003E-2</v>
      </c>
      <c r="Q233" s="266">
        <f>LOOKUP($B231, CEFF!$C$163:$C$330, CEFF!I$163:I$330)</f>
        <v>7.9600000000000004E-2</v>
      </c>
      <c r="R233" s="266">
        <f>LOOKUP($B231, CEFF!$C$163:$C$330, CEFF!J$163:J$330)</f>
        <v>8.1629999999999994E-2</v>
      </c>
      <c r="S233" s="45"/>
      <c r="T233" s="45"/>
      <c r="U233" s="45"/>
      <c r="V233" s="46"/>
      <c r="W233" s="64"/>
      <c r="X233" s="64"/>
      <c r="Y233" s="64"/>
      <c r="Z233" s="64"/>
      <c r="AA233" s="64"/>
      <c r="AB233" s="64"/>
      <c r="AC233" s="64"/>
      <c r="AD233" s="64"/>
    </row>
    <row r="234" spans="2:30" s="39" customFormat="1" x14ac:dyDescent="0.3">
      <c r="B234" s="211" t="s">
        <v>431</v>
      </c>
      <c r="C234" s="210" t="str">
        <f>LOOKUP(B234, TRA_COMM_PRO!$C$17:$C$199, TRA_COMM_PRO!$D$17:$D$199)</f>
        <v>Truck.Heavy.Plugin-Hybrid.GSL.01.</v>
      </c>
      <c r="D234" s="214" t="s">
        <v>713</v>
      </c>
      <c r="E234" s="211"/>
      <c r="F234" s="211"/>
      <c r="G234" s="10">
        <f>$G$197</f>
        <v>2020</v>
      </c>
      <c r="H234" s="40">
        <v>15</v>
      </c>
      <c r="I234" s="65">
        <f>$I$198</f>
        <v>1E-3</v>
      </c>
      <c r="J234" s="41">
        <v>7.7</v>
      </c>
      <c r="K234" s="42"/>
      <c r="L234" s="42"/>
      <c r="M234" s="42"/>
      <c r="N234" s="42"/>
      <c r="O234" s="265"/>
      <c r="P234" s="265"/>
      <c r="Q234" s="265"/>
      <c r="R234" s="265"/>
      <c r="S234" s="40"/>
      <c r="T234" s="40"/>
      <c r="U234" s="40"/>
      <c r="V234" s="41"/>
      <c r="W234" s="62">
        <f>LOOKUP(B234, FIXOM_VAROM!$C$8:$C$190, FIXOM_VAROM!$D$8:$D$190)</f>
        <v>0.1</v>
      </c>
      <c r="X234" s="40">
        <f>LOOKUP($B234, INVCOST!$C$8:$C$193, INVCOST!E$8:E$193)</f>
        <v>202.79999999999998</v>
      </c>
      <c r="Y234" s="40">
        <f>LOOKUP($B234, INVCOST!$C$8:$C$193, INVCOST!F$8:F$193)</f>
        <v>202.79999999999998</v>
      </c>
      <c r="Z234" s="40">
        <f>LOOKUP($B234, INVCOST!$C$8:$C$193, INVCOST!G$8:G$193)</f>
        <v>202.79999999999998</v>
      </c>
      <c r="AA234" s="40">
        <f>LOOKUP($B234, INVCOST!$C$8:$C$193, INVCOST!H$8:H$193)</f>
        <v>202.79999999999998</v>
      </c>
      <c r="AB234" s="40">
        <f>LOOKUP($B234, INVCOST!$C$8:$C$193, INVCOST!I$8:I$193)</f>
        <v>202.79999999999998</v>
      </c>
      <c r="AC234" s="40">
        <f>LOOKUP($B234, INVCOST!$C$8:$C$193, INVCOST!J$8:J$193)</f>
        <v>202.79999999999998</v>
      </c>
      <c r="AD234" s="40">
        <f>LOOKUP($B234, INVCOST!$C$8:$C$193, INVCOST!K$8:K$193)</f>
        <v>202.79999999999998</v>
      </c>
    </row>
    <row r="235" spans="2:30" s="39" customFormat="1" x14ac:dyDescent="0.3">
      <c r="B235" s="211"/>
      <c r="C235" s="211"/>
      <c r="D235" s="211"/>
      <c r="E235" s="211"/>
      <c r="F235" s="211" t="s">
        <v>348</v>
      </c>
      <c r="G235" s="50"/>
      <c r="H235" s="40"/>
      <c r="I235" s="41"/>
      <c r="J235" s="41"/>
      <c r="K235" s="42"/>
      <c r="L235" s="42"/>
      <c r="M235" s="42"/>
      <c r="N235" s="42"/>
      <c r="O235" s="265">
        <f>LOOKUP($B234, CEFF!$C$8:$C$156, CEFF!G$8:G$156)</f>
        <v>8.5110000000000005E-2</v>
      </c>
      <c r="P235" s="265">
        <f>LOOKUP($B234, CEFF!$C$8:$C$156, CEFF!H$8:H$156)</f>
        <v>8.8499999999999995E-2</v>
      </c>
      <c r="Q235" s="265">
        <f>LOOKUP($B234, CEFF!$C$8:$C$156, CEFF!I$8:I$156)</f>
        <v>9.0910000000000005E-2</v>
      </c>
      <c r="R235" s="265">
        <f>LOOKUP($B234, CEFF!$C$8:$C$156, CEFF!J$8:J$156)</f>
        <v>9.3460000000000001E-2</v>
      </c>
      <c r="S235" s="40"/>
      <c r="T235" s="40"/>
      <c r="U235" s="40"/>
      <c r="V235" s="41"/>
      <c r="W235" s="41"/>
      <c r="X235" s="60"/>
      <c r="Y235" s="60"/>
      <c r="Z235" s="60"/>
      <c r="AA235" s="60"/>
      <c r="AB235" s="60"/>
      <c r="AC235" s="60"/>
      <c r="AD235" s="60"/>
    </row>
    <row r="236" spans="2:30" s="39" customFormat="1" x14ac:dyDescent="0.3">
      <c r="B236" s="215"/>
      <c r="C236" s="215"/>
      <c r="D236" s="215"/>
      <c r="E236" s="215"/>
      <c r="F236" s="215" t="s">
        <v>350</v>
      </c>
      <c r="G236" s="182"/>
      <c r="H236" s="183"/>
      <c r="I236" s="181"/>
      <c r="J236" s="181"/>
      <c r="K236" s="179"/>
      <c r="L236" s="179"/>
      <c r="M236" s="179"/>
      <c r="N236" s="179"/>
      <c r="O236" s="267">
        <f>LOOKUP($B234, CEFF!$C$163:$C$330, CEFF!G$163:G$330)</f>
        <v>6.8089999999999998E-2</v>
      </c>
      <c r="P236" s="267">
        <f>LOOKUP($B234, CEFF!$C$163:$C$330, CEFF!H$163:H$330)</f>
        <v>7.0800000000000002E-2</v>
      </c>
      <c r="Q236" s="267">
        <f>LOOKUP($B234, CEFF!$C$163:$C$330, CEFF!I$163:I$330)</f>
        <v>7.2730000000000003E-2</v>
      </c>
      <c r="R236" s="267">
        <f>LOOKUP($B234, CEFF!$C$163:$C$330, CEFF!J$163:J$330)</f>
        <v>7.4770000000000003E-2</v>
      </c>
      <c r="S236" s="183"/>
      <c r="T236" s="183"/>
      <c r="U236" s="183"/>
      <c r="V236" s="181"/>
      <c r="W236" s="181"/>
      <c r="X236" s="184"/>
      <c r="Y236" s="184"/>
      <c r="Z236" s="184"/>
      <c r="AA236" s="184"/>
      <c r="AB236" s="184"/>
      <c r="AC236" s="184"/>
      <c r="AD236" s="184"/>
    </row>
    <row r="237" spans="2:30" s="39" customFormat="1" x14ac:dyDescent="0.3">
      <c r="H237" s="36"/>
      <c r="I237" s="37"/>
      <c r="J237" s="38"/>
      <c r="K237" s="47"/>
      <c r="L237" s="47"/>
      <c r="M237" s="47"/>
      <c r="N237" s="47"/>
      <c r="O237" s="38"/>
      <c r="P237" s="38"/>
      <c r="Q237" s="38"/>
      <c r="R237" s="38"/>
      <c r="S237" s="36"/>
      <c r="T237" s="36"/>
      <c r="U237" s="36"/>
      <c r="V237" s="38"/>
      <c r="W237" s="38"/>
      <c r="X237" s="58"/>
      <c r="Y237" s="58"/>
      <c r="Z237" s="58"/>
      <c r="AA237" s="58"/>
      <c r="AB237" s="58"/>
      <c r="AC237" s="58"/>
      <c r="AD237" s="58"/>
    </row>
    <row r="238" spans="2:30" s="39" customFormat="1" x14ac:dyDescent="0.3">
      <c r="H238" s="36"/>
      <c r="I238" s="37"/>
      <c r="J238" s="38"/>
      <c r="K238" s="58"/>
      <c r="L238" s="58"/>
      <c r="M238" s="58"/>
      <c r="N238" s="58"/>
      <c r="O238" s="58"/>
      <c r="P238" s="58"/>
      <c r="Q238" s="58"/>
      <c r="R238" s="58"/>
      <c r="S238" s="36"/>
      <c r="T238" s="36"/>
      <c r="U238" s="36"/>
      <c r="V238" s="38"/>
      <c r="W238" s="38"/>
      <c r="X238" s="38"/>
      <c r="Y238" s="38"/>
      <c r="Z238" s="38"/>
      <c r="AA238" s="38"/>
      <c r="AB238" s="38"/>
      <c r="AC238" s="38"/>
      <c r="AD238" s="38"/>
    </row>
    <row r="239" spans="2:30" x14ac:dyDescent="0.3">
      <c r="B239" s="6" t="s">
        <v>568</v>
      </c>
      <c r="C239" s="7"/>
      <c r="D239" s="8"/>
      <c r="E239" s="8"/>
      <c r="F239" s="9" t="s">
        <v>722</v>
      </c>
      <c r="G239" s="4"/>
    </row>
    <row r="240" spans="2:30" ht="28.8" x14ac:dyDescent="0.3">
      <c r="B240" s="201" t="s">
        <v>2</v>
      </c>
      <c r="C240" s="201" t="s">
        <v>3</v>
      </c>
      <c r="D240" s="201" t="s">
        <v>4</v>
      </c>
      <c r="E240" s="201" t="s">
        <v>5</v>
      </c>
      <c r="F240" s="202" t="s">
        <v>6</v>
      </c>
      <c r="G240" s="202" t="s">
        <v>187</v>
      </c>
      <c r="H240" s="203" t="s">
        <v>186</v>
      </c>
      <c r="I240" s="203" t="s">
        <v>11</v>
      </c>
      <c r="J240" s="202" t="s">
        <v>12</v>
      </c>
      <c r="K240" s="203" t="str">
        <f t="shared" ref="K240:N240" si="0">K196</f>
        <v>Share~UP~2020</v>
      </c>
      <c r="L240" s="203" t="str">
        <f t="shared" si="0"/>
        <v>Share~UP~2030</v>
      </c>
      <c r="M240" s="203" t="str">
        <f t="shared" si="0"/>
        <v>Share~UP~2040</v>
      </c>
      <c r="N240" s="203" t="str">
        <f t="shared" si="0"/>
        <v>Share~UP~2050</v>
      </c>
      <c r="O240" s="203" t="s">
        <v>335</v>
      </c>
      <c r="P240" s="203" t="s">
        <v>336</v>
      </c>
      <c r="Q240" s="203" t="s">
        <v>9</v>
      </c>
      <c r="R240" s="203" t="s">
        <v>10</v>
      </c>
      <c r="S240" s="203" t="s">
        <v>465</v>
      </c>
      <c r="T240" s="203" t="s">
        <v>13</v>
      </c>
      <c r="U240" s="203" t="s">
        <v>398</v>
      </c>
      <c r="V240" s="203" t="s">
        <v>42</v>
      </c>
      <c r="W240" s="203" t="s">
        <v>14</v>
      </c>
      <c r="X240" s="203" t="s">
        <v>15</v>
      </c>
      <c r="Y240" s="203" t="s">
        <v>16</v>
      </c>
      <c r="Z240" s="203" t="s">
        <v>17</v>
      </c>
      <c r="AA240" s="203" t="s">
        <v>18</v>
      </c>
      <c r="AB240" s="203" t="s">
        <v>19</v>
      </c>
      <c r="AC240" s="203" t="s">
        <v>20</v>
      </c>
      <c r="AD240" s="203" t="s">
        <v>21</v>
      </c>
    </row>
    <row r="241" spans="2:30" ht="33.75" customHeight="1" thickBot="1" x14ac:dyDescent="0.35">
      <c r="B241" s="204" t="s">
        <v>22</v>
      </c>
      <c r="C241" s="204"/>
      <c r="D241" s="204"/>
      <c r="E241" s="204"/>
      <c r="F241" s="205" t="s">
        <v>23</v>
      </c>
      <c r="G241" s="205">
        <v>2020</v>
      </c>
      <c r="H241" s="206" t="s">
        <v>26</v>
      </c>
      <c r="I241" s="206" t="s">
        <v>126</v>
      </c>
      <c r="J241" s="206" t="s">
        <v>127</v>
      </c>
      <c r="K241" s="205"/>
      <c r="L241" s="205"/>
      <c r="M241" s="205"/>
      <c r="N241" s="205"/>
      <c r="O241" s="207" t="s">
        <v>671</v>
      </c>
      <c r="P241" s="207" t="s">
        <v>671</v>
      </c>
      <c r="Q241" s="207" t="s">
        <v>671</v>
      </c>
      <c r="R241" s="207" t="s">
        <v>671</v>
      </c>
      <c r="S241" s="206" t="s">
        <v>676</v>
      </c>
      <c r="T241" s="206" t="s">
        <v>676</v>
      </c>
      <c r="U241" s="206" t="s">
        <v>676</v>
      </c>
      <c r="V241" s="208" t="s">
        <v>679</v>
      </c>
      <c r="W241" s="208" t="s">
        <v>678</v>
      </c>
      <c r="X241" s="208" t="s">
        <v>675</v>
      </c>
      <c r="Y241" s="208" t="s">
        <v>675</v>
      </c>
      <c r="Z241" s="208" t="s">
        <v>675</v>
      </c>
      <c r="AA241" s="208" t="s">
        <v>675</v>
      </c>
      <c r="AB241" s="208" t="s">
        <v>675</v>
      </c>
      <c r="AC241" s="208" t="s">
        <v>675</v>
      </c>
      <c r="AD241" s="208" t="s">
        <v>675</v>
      </c>
    </row>
    <row r="242" spans="2:30" s="39" customFormat="1" x14ac:dyDescent="0.3">
      <c r="B242" s="209" t="s">
        <v>267</v>
      </c>
      <c r="C242" s="210" t="str">
        <f>LOOKUP(B242, TRA_COMM_PRO!$C$17:$C$199, TRA_COMM_PRO!$D$17:$D$199)</f>
        <v>Truck.Heavy.BDL.City.01.</v>
      </c>
      <c r="D242" s="209" t="s">
        <v>44</v>
      </c>
      <c r="E242" s="209"/>
      <c r="F242" s="209"/>
      <c r="G242" s="10">
        <f>$G$241</f>
        <v>2020</v>
      </c>
      <c r="H242" s="71">
        <v>15</v>
      </c>
      <c r="I242" s="158">
        <f>10^-3</f>
        <v>1E-3</v>
      </c>
      <c r="J242" s="72">
        <v>7.7</v>
      </c>
      <c r="K242" s="73"/>
      <c r="L242" s="73"/>
      <c r="M242" s="73"/>
      <c r="N242" s="73"/>
      <c r="O242" s="43"/>
      <c r="P242" s="43"/>
      <c r="Q242" s="43"/>
      <c r="R242" s="43"/>
      <c r="S242" s="71"/>
      <c r="T242" s="71"/>
      <c r="U242" s="71"/>
      <c r="V242" s="72"/>
      <c r="W242" s="62">
        <f>LOOKUP(B242, FIXOM_VAROM!$C$8:$C$190, FIXOM_VAROM!$D$8:$D$190)</f>
        <v>0.1</v>
      </c>
      <c r="X242" s="40">
        <f>LOOKUP($B242, INVCOST!$C$8:$C$193, INVCOST!E$8:E$193)</f>
        <v>141</v>
      </c>
      <c r="Y242" s="40">
        <f>LOOKUP($B242, INVCOST!$C$8:$C$193, INVCOST!F$8:F$193)</f>
        <v>141</v>
      </c>
      <c r="Z242" s="40">
        <f>LOOKUP($B242, INVCOST!$C$8:$C$193, INVCOST!G$8:G$193)</f>
        <v>141</v>
      </c>
      <c r="AA242" s="40">
        <f>LOOKUP($B242, INVCOST!$C$8:$C$193, INVCOST!H$8:H$193)</f>
        <v>141</v>
      </c>
      <c r="AB242" s="40">
        <f>LOOKUP($B242, INVCOST!$C$8:$C$193, INVCOST!I$8:I$193)</f>
        <v>141</v>
      </c>
      <c r="AC242" s="40">
        <f>LOOKUP($B242, INVCOST!$C$8:$C$193, INVCOST!J$8:J$193)</f>
        <v>141</v>
      </c>
      <c r="AD242" s="40">
        <f>LOOKUP($B242, INVCOST!$C$8:$C$193, INVCOST!K$8:K$193)</f>
        <v>141</v>
      </c>
    </row>
    <row r="243" spans="2:30" s="39" customFormat="1" x14ac:dyDescent="0.3">
      <c r="B243" s="211"/>
      <c r="C243" s="211"/>
      <c r="D243" s="211"/>
      <c r="E243" s="211"/>
      <c r="F243" s="211" t="s">
        <v>496</v>
      </c>
      <c r="G243" s="50"/>
      <c r="H243" s="40"/>
      <c r="I243" s="41"/>
      <c r="J243" s="41"/>
      <c r="K243" s="42"/>
      <c r="L243" s="42"/>
      <c r="M243" s="42"/>
      <c r="N243" s="42"/>
      <c r="O243" s="265">
        <f>LOOKUP($B242, CEFF!$C$8:$C$156, CEFF!G$8:G$156)</f>
        <v>9.4339999999999993E-2</v>
      </c>
      <c r="P243" s="265">
        <f>LOOKUP($B242, CEFF!$C$8:$C$156, CEFF!H$8:H$156)</f>
        <v>9.7089999999999996E-2</v>
      </c>
      <c r="Q243" s="265">
        <f>LOOKUP($B242, CEFF!$C$8:$C$156, CEFF!I$8:I$156)</f>
        <v>9.9500000000000005E-2</v>
      </c>
      <c r="R243" s="265">
        <f>LOOKUP($B242, CEFF!$C$8:$C$156, CEFF!J$8:J$156)</f>
        <v>0.10204000000000001</v>
      </c>
      <c r="S243" s="40"/>
      <c r="T243" s="40"/>
      <c r="U243" s="40"/>
      <c r="V243" s="41"/>
      <c r="W243" s="60"/>
      <c r="X243" s="60"/>
      <c r="Y243" s="60"/>
      <c r="Z243" s="60"/>
      <c r="AA243" s="60"/>
      <c r="AB243" s="60"/>
      <c r="AC243" s="60"/>
      <c r="AD243" s="60"/>
    </row>
    <row r="244" spans="2:30" s="39" customFormat="1" x14ac:dyDescent="0.3">
      <c r="B244" s="212"/>
      <c r="C244" s="212"/>
      <c r="D244" s="212"/>
      <c r="E244" s="212"/>
      <c r="F244" s="212" t="s">
        <v>504</v>
      </c>
      <c r="G244" s="51"/>
      <c r="H244" s="45"/>
      <c r="I244" s="46"/>
      <c r="J244" s="46"/>
      <c r="K244" s="44"/>
      <c r="L244" s="44"/>
      <c r="M244" s="44"/>
      <c r="N244" s="44"/>
      <c r="O244" s="266">
        <f>LOOKUP($B242, CEFF!$C$163:$C$330, CEFF!G$163:G$330)</f>
        <v>7.5469999999999995E-2</v>
      </c>
      <c r="P244" s="266">
        <f>LOOKUP($B242, CEFF!$C$163:$C$330, CEFF!H$163:H$330)</f>
        <v>7.7670000000000003E-2</v>
      </c>
      <c r="Q244" s="266">
        <f>LOOKUP($B242, CEFF!$C$163:$C$330, CEFF!I$163:I$330)</f>
        <v>7.9600000000000004E-2</v>
      </c>
      <c r="R244" s="266">
        <f>LOOKUP($B242, CEFF!$C$163:$C$330, CEFF!J$163:J$330)</f>
        <v>8.1629999999999994E-2</v>
      </c>
      <c r="S244" s="45"/>
      <c r="T244" s="45"/>
      <c r="U244" s="45"/>
      <c r="V244" s="46"/>
      <c r="W244" s="64"/>
      <c r="X244" s="64"/>
      <c r="Y244" s="64"/>
      <c r="Z244" s="64"/>
      <c r="AA244" s="64"/>
      <c r="AB244" s="64"/>
      <c r="AC244" s="64"/>
      <c r="AD244" s="64"/>
    </row>
    <row r="245" spans="2:30" s="39" customFormat="1" x14ac:dyDescent="0.3">
      <c r="B245" s="211" t="s">
        <v>269</v>
      </c>
      <c r="C245" s="210" t="str">
        <f>LOOKUP(B245, TRA_COMM_PRO!$C$17:$C$199, TRA_COMM_PRO!$D$17:$D$199)</f>
        <v>Truck.Heavy.DME.City.01.</v>
      </c>
      <c r="D245" s="211" t="s">
        <v>71</v>
      </c>
      <c r="E245" s="211"/>
      <c r="F245" s="211"/>
      <c r="G245" s="10">
        <f>$G$241</f>
        <v>2020</v>
      </c>
      <c r="H245" s="40">
        <v>15</v>
      </c>
      <c r="I245" s="65">
        <f>$I$198</f>
        <v>1E-3</v>
      </c>
      <c r="J245" s="41">
        <v>7.7</v>
      </c>
      <c r="K245" s="42"/>
      <c r="L245" s="42"/>
      <c r="M245" s="42"/>
      <c r="N245" s="42"/>
      <c r="O245" s="265"/>
      <c r="P245" s="265"/>
      <c r="Q245" s="265"/>
      <c r="R245" s="265"/>
      <c r="S245" s="40"/>
      <c r="T245" s="40"/>
      <c r="U245" s="40"/>
      <c r="V245" s="41"/>
      <c r="W245" s="62">
        <f>LOOKUP(B245, FIXOM_VAROM!$C$8:$C$190, FIXOM_VAROM!$D$8:$D$190)</f>
        <v>0.1</v>
      </c>
      <c r="X245" s="40">
        <f>LOOKUP($B245, INVCOST!$C$8:$C$193, INVCOST!E$8:E$193)</f>
        <v>169</v>
      </c>
      <c r="Y245" s="40">
        <f>LOOKUP($B245, INVCOST!$C$8:$C$193, INVCOST!F$8:F$193)</f>
        <v>169</v>
      </c>
      <c r="Z245" s="40">
        <f>LOOKUP($B245, INVCOST!$C$8:$C$193, INVCOST!G$8:G$193)</f>
        <v>169</v>
      </c>
      <c r="AA245" s="40">
        <f>LOOKUP($B245, INVCOST!$C$8:$C$193, INVCOST!H$8:H$193)</f>
        <v>169</v>
      </c>
      <c r="AB245" s="40">
        <f>LOOKUP($B245, INVCOST!$C$8:$C$193, INVCOST!I$8:I$193)</f>
        <v>169</v>
      </c>
      <c r="AC245" s="40">
        <f>LOOKUP($B245, INVCOST!$C$8:$C$193, INVCOST!J$8:J$193)</f>
        <v>169</v>
      </c>
      <c r="AD245" s="40">
        <f>LOOKUP($B245, INVCOST!$C$8:$C$193, INVCOST!K$8:K$193)</f>
        <v>169</v>
      </c>
    </row>
    <row r="246" spans="2:30" s="39" customFormat="1" x14ac:dyDescent="0.3">
      <c r="B246" s="211"/>
      <c r="C246" s="213"/>
      <c r="D246" s="211"/>
      <c r="E246" s="211"/>
      <c r="F246" s="211" t="s">
        <v>496</v>
      </c>
      <c r="G246" s="50"/>
      <c r="H246" s="40"/>
      <c r="I246" s="41"/>
      <c r="J246" s="41"/>
      <c r="K246" s="42"/>
      <c r="L246" s="42"/>
      <c r="M246" s="42"/>
      <c r="N246" s="42"/>
      <c r="O246" s="265">
        <f>LOOKUP($B245, CEFF!$C$8:$C$156, CEFF!G$8:G$156)</f>
        <v>9.4339999999999993E-2</v>
      </c>
      <c r="P246" s="265">
        <f>LOOKUP($B245, CEFF!$C$8:$C$156, CEFF!H$8:H$156)</f>
        <v>9.7089999999999996E-2</v>
      </c>
      <c r="Q246" s="265">
        <f>LOOKUP($B245, CEFF!$C$8:$C$156, CEFF!I$8:I$156)</f>
        <v>9.9500000000000005E-2</v>
      </c>
      <c r="R246" s="265">
        <f>LOOKUP($B245, CEFF!$C$8:$C$156, CEFF!J$8:J$156)</f>
        <v>0.10204000000000001</v>
      </c>
      <c r="S246" s="40"/>
      <c r="T246" s="40"/>
      <c r="U246" s="40"/>
      <c r="V246" s="41"/>
      <c r="W246" s="60"/>
      <c r="X246" s="60"/>
      <c r="Y246" s="60"/>
      <c r="Z246" s="60"/>
      <c r="AA246" s="60"/>
      <c r="AB246" s="60"/>
      <c r="AC246" s="60"/>
      <c r="AD246" s="60"/>
    </row>
    <row r="247" spans="2:30" s="39" customFormat="1" x14ac:dyDescent="0.3">
      <c r="B247" s="212"/>
      <c r="C247" s="212"/>
      <c r="D247" s="212"/>
      <c r="E247" s="212"/>
      <c r="F247" s="212" t="s">
        <v>504</v>
      </c>
      <c r="G247" s="51"/>
      <c r="H247" s="45"/>
      <c r="I247" s="46"/>
      <c r="J247" s="46"/>
      <c r="K247" s="44"/>
      <c r="L247" s="44"/>
      <c r="M247" s="44"/>
      <c r="N247" s="44"/>
      <c r="O247" s="266">
        <f>LOOKUP($B245, CEFF!$C$163:$C$330, CEFF!G$163:G$330)</f>
        <v>7.5469999999999995E-2</v>
      </c>
      <c r="P247" s="266">
        <f>LOOKUP($B245, CEFF!$C$163:$C$330, CEFF!H$163:H$330)</f>
        <v>7.7670000000000003E-2</v>
      </c>
      <c r="Q247" s="266">
        <f>LOOKUP($B245, CEFF!$C$163:$C$330, CEFF!I$163:I$330)</f>
        <v>7.9600000000000004E-2</v>
      </c>
      <c r="R247" s="266">
        <f>LOOKUP($B245, CEFF!$C$163:$C$330, CEFF!J$163:J$330)</f>
        <v>8.1629999999999994E-2</v>
      </c>
      <c r="S247" s="45"/>
      <c r="T247" s="45"/>
      <c r="U247" s="45"/>
      <c r="V247" s="46"/>
      <c r="W247" s="64"/>
      <c r="X247" s="64"/>
      <c r="Y247" s="64"/>
      <c r="Z247" s="64"/>
      <c r="AA247" s="64"/>
      <c r="AB247" s="64"/>
      <c r="AC247" s="64"/>
      <c r="AD247" s="64"/>
    </row>
    <row r="248" spans="2:30" s="39" customFormat="1" x14ac:dyDescent="0.3">
      <c r="B248" s="211" t="s">
        <v>271</v>
      </c>
      <c r="C248" s="210" t="str">
        <f>LOOKUP(B248, TRA_COMM_PRO!$C$17:$C$199, TRA_COMM_PRO!$D$17:$D$199)</f>
        <v>Truck.Heavy.DST.City.01.</v>
      </c>
      <c r="D248" s="211" t="s">
        <v>712</v>
      </c>
      <c r="E248" s="211"/>
      <c r="F248" s="211"/>
      <c r="G248" s="10">
        <f>$G$241</f>
        <v>2020</v>
      </c>
      <c r="H248" s="40">
        <v>15</v>
      </c>
      <c r="I248" s="65">
        <f>$I$198</f>
        <v>1E-3</v>
      </c>
      <c r="J248" s="41">
        <v>7.7</v>
      </c>
      <c r="K248" s="42"/>
      <c r="L248" s="42"/>
      <c r="M248" s="42"/>
      <c r="N248" s="42"/>
      <c r="O248" s="265"/>
      <c r="P248" s="265"/>
      <c r="Q248" s="265"/>
      <c r="R248" s="265"/>
      <c r="S248" s="40"/>
      <c r="T248" s="40"/>
      <c r="U248" s="40"/>
      <c r="V248" s="41"/>
      <c r="W248" s="62">
        <f>LOOKUP(B248, FIXOM_VAROM!$C$8:$C$190, FIXOM_VAROM!$D$8:$D$190)</f>
        <v>0.1</v>
      </c>
      <c r="X248" s="40">
        <f>LOOKUP($B248, INVCOST!$C$8:$C$193, INVCOST!E$8:E$193)</f>
        <v>141</v>
      </c>
      <c r="Y248" s="40">
        <f>LOOKUP($B248, INVCOST!$C$8:$C$193, INVCOST!F$8:F$193)</f>
        <v>141</v>
      </c>
      <c r="Z248" s="40">
        <f>LOOKUP($B248, INVCOST!$C$8:$C$193, INVCOST!G$8:G$193)</f>
        <v>141</v>
      </c>
      <c r="AA248" s="40">
        <f>LOOKUP($B248, INVCOST!$C$8:$C$193, INVCOST!H$8:H$193)</f>
        <v>141</v>
      </c>
      <c r="AB248" s="40">
        <f>LOOKUP($B248, INVCOST!$C$8:$C$193, INVCOST!I$8:I$193)</f>
        <v>141</v>
      </c>
      <c r="AC248" s="40">
        <f>LOOKUP($B248, INVCOST!$C$8:$C$193, INVCOST!J$8:J$193)</f>
        <v>141</v>
      </c>
      <c r="AD248" s="40">
        <f>LOOKUP($B248, INVCOST!$C$8:$C$193, INVCOST!K$8:K$193)</f>
        <v>141</v>
      </c>
    </row>
    <row r="249" spans="2:30" s="39" customFormat="1" x14ac:dyDescent="0.3">
      <c r="B249" s="211"/>
      <c r="C249" s="211"/>
      <c r="D249" s="211"/>
      <c r="E249" s="211"/>
      <c r="F249" s="211" t="s">
        <v>496</v>
      </c>
      <c r="G249" s="50"/>
      <c r="H249" s="40"/>
      <c r="I249" s="41"/>
      <c r="J249" s="41"/>
      <c r="K249" s="42"/>
      <c r="L249" s="42"/>
      <c r="M249" s="42"/>
      <c r="N249" s="42"/>
      <c r="O249" s="265">
        <f>LOOKUP($B248, CEFF!$C$8:$C$156, CEFF!G$8:G$156)</f>
        <v>9.4339999999999993E-2</v>
      </c>
      <c r="P249" s="265">
        <f>LOOKUP($B248, CEFF!$C$8:$C$156, CEFF!H$8:H$156)</f>
        <v>9.7089999999999996E-2</v>
      </c>
      <c r="Q249" s="265">
        <f>LOOKUP($B248, CEFF!$C$8:$C$156, CEFF!I$8:I$156)</f>
        <v>9.9500000000000005E-2</v>
      </c>
      <c r="R249" s="265">
        <f>LOOKUP($B248, CEFF!$C$8:$C$156, CEFF!J$8:J$156)</f>
        <v>0.10204000000000001</v>
      </c>
      <c r="S249" s="40"/>
      <c r="T249" s="40"/>
      <c r="U249" s="40"/>
      <c r="V249" s="41"/>
      <c r="W249" s="60"/>
      <c r="X249" s="60"/>
      <c r="Y249" s="60"/>
      <c r="Z249" s="60"/>
      <c r="AA249" s="60"/>
      <c r="AB249" s="60"/>
      <c r="AC249" s="60"/>
      <c r="AD249" s="60"/>
    </row>
    <row r="250" spans="2:30" s="39" customFormat="1" x14ac:dyDescent="0.3">
      <c r="B250" s="212"/>
      <c r="C250" s="212"/>
      <c r="D250" s="212"/>
      <c r="E250" s="212"/>
      <c r="F250" s="212" t="s">
        <v>504</v>
      </c>
      <c r="G250" s="51"/>
      <c r="H250" s="45"/>
      <c r="I250" s="46"/>
      <c r="J250" s="46"/>
      <c r="K250" s="44"/>
      <c r="L250" s="44"/>
      <c r="M250" s="44"/>
      <c r="N250" s="44"/>
      <c r="O250" s="266">
        <f>LOOKUP($B248, CEFF!$C$163:$C$330, CEFF!G$163:G$330)</f>
        <v>7.5469999999999995E-2</v>
      </c>
      <c r="P250" s="266">
        <f>LOOKUP($B248, CEFF!$C$163:$C$330, CEFF!H$163:H$330)</f>
        <v>7.7670000000000003E-2</v>
      </c>
      <c r="Q250" s="266">
        <f>LOOKUP($B248, CEFF!$C$163:$C$330, CEFF!I$163:I$330)</f>
        <v>7.9600000000000004E-2</v>
      </c>
      <c r="R250" s="266">
        <f>LOOKUP($B248, CEFF!$C$163:$C$330, CEFF!J$163:J$330)</f>
        <v>8.1629999999999994E-2</v>
      </c>
      <c r="S250" s="45"/>
      <c r="T250" s="45"/>
      <c r="U250" s="45"/>
      <c r="V250" s="139"/>
      <c r="W250" s="64"/>
      <c r="X250" s="64"/>
      <c r="Y250" s="64"/>
      <c r="Z250" s="64"/>
      <c r="AA250" s="64"/>
      <c r="AB250" s="64"/>
      <c r="AC250" s="64"/>
      <c r="AD250" s="64"/>
    </row>
    <row r="251" spans="2:30" s="39" customFormat="1" x14ac:dyDescent="0.3">
      <c r="B251" s="211" t="s">
        <v>274</v>
      </c>
      <c r="C251" s="210" t="str">
        <f>LOOKUP(B251, TRA_COMM_PRO!$C$17:$C$199, TRA_COMM_PRO!$D$17:$D$199)</f>
        <v>Truck.Heavy.ETH.City.01.</v>
      </c>
      <c r="D251" s="211" t="s">
        <v>51</v>
      </c>
      <c r="E251" s="211"/>
      <c r="F251" s="211"/>
      <c r="G251" s="10">
        <f>$G$241</f>
        <v>2020</v>
      </c>
      <c r="H251" s="40">
        <v>15</v>
      </c>
      <c r="I251" s="65">
        <f>$I$198</f>
        <v>1E-3</v>
      </c>
      <c r="J251" s="41">
        <v>7.7</v>
      </c>
      <c r="K251" s="42"/>
      <c r="L251" s="42"/>
      <c r="M251" s="42"/>
      <c r="N251" s="42"/>
      <c r="O251" s="265"/>
      <c r="P251" s="265"/>
      <c r="Q251" s="265"/>
      <c r="R251" s="265"/>
      <c r="S251" s="40"/>
      <c r="T251" s="40"/>
      <c r="U251" s="40"/>
      <c r="V251" s="41"/>
      <c r="W251" s="62">
        <f>LOOKUP(B251, FIXOM_VAROM!$C$8:$C$190, FIXOM_VAROM!$D$8:$D$190)</f>
        <v>0.1</v>
      </c>
      <c r="X251" s="40">
        <f>LOOKUP($B251, INVCOST!$C$8:$C$193, INVCOST!E$8:E$193)</f>
        <v>169</v>
      </c>
      <c r="Y251" s="40">
        <f>LOOKUP($B251, INVCOST!$C$8:$C$193, INVCOST!F$8:F$193)</f>
        <v>169</v>
      </c>
      <c r="Z251" s="40">
        <f>LOOKUP($B251, INVCOST!$C$8:$C$193, INVCOST!G$8:G$193)</f>
        <v>169</v>
      </c>
      <c r="AA251" s="40">
        <f>LOOKUP($B251, INVCOST!$C$8:$C$193, INVCOST!H$8:H$193)</f>
        <v>169</v>
      </c>
      <c r="AB251" s="40">
        <f>LOOKUP($B251, INVCOST!$C$8:$C$193, INVCOST!I$8:I$193)</f>
        <v>169</v>
      </c>
      <c r="AC251" s="40">
        <f>LOOKUP($B251, INVCOST!$C$8:$C$193, INVCOST!J$8:J$193)</f>
        <v>169</v>
      </c>
      <c r="AD251" s="40">
        <f>LOOKUP($B251, INVCOST!$C$8:$C$193, INVCOST!K$8:K$193)</f>
        <v>169</v>
      </c>
    </row>
    <row r="252" spans="2:30" s="39" customFormat="1" x14ac:dyDescent="0.3">
      <c r="B252" s="211"/>
      <c r="C252" s="211"/>
      <c r="D252" s="211"/>
      <c r="E252" s="211"/>
      <c r="F252" s="211" t="s">
        <v>496</v>
      </c>
      <c r="G252" s="50"/>
      <c r="H252" s="40"/>
      <c r="I252" s="41"/>
      <c r="J252" s="41"/>
      <c r="K252" s="42"/>
      <c r="L252" s="42"/>
      <c r="M252" s="42"/>
      <c r="N252" s="42"/>
      <c r="O252" s="265">
        <f>LOOKUP($B251, CEFF!$C$8:$C$156, CEFF!G$8:G$156)</f>
        <v>9.4339999999999993E-2</v>
      </c>
      <c r="P252" s="265">
        <f>LOOKUP($B251, CEFF!$C$8:$C$156, CEFF!H$8:H$156)</f>
        <v>9.7089999999999996E-2</v>
      </c>
      <c r="Q252" s="265">
        <f>LOOKUP($B251, CEFF!$C$8:$C$156, CEFF!I$8:I$156)</f>
        <v>9.9500000000000005E-2</v>
      </c>
      <c r="R252" s="265">
        <f>LOOKUP($B251, CEFF!$C$8:$C$156, CEFF!J$8:J$156)</f>
        <v>0.10204000000000001</v>
      </c>
      <c r="S252" s="40"/>
      <c r="T252" s="40"/>
      <c r="U252" s="40"/>
      <c r="V252" s="41"/>
      <c r="W252" s="60"/>
      <c r="X252" s="60"/>
      <c r="Y252" s="60"/>
      <c r="Z252" s="60"/>
      <c r="AA252" s="60"/>
      <c r="AB252" s="60"/>
      <c r="AC252" s="60"/>
      <c r="AD252" s="60"/>
    </row>
    <row r="253" spans="2:30" s="39" customFormat="1" x14ac:dyDescent="0.3">
      <c r="B253" s="212"/>
      <c r="C253" s="212"/>
      <c r="D253" s="212"/>
      <c r="E253" s="212"/>
      <c r="F253" s="212" t="s">
        <v>504</v>
      </c>
      <c r="G253" s="51"/>
      <c r="H253" s="45"/>
      <c r="I253" s="46"/>
      <c r="J253" s="46"/>
      <c r="K253" s="44"/>
      <c r="L253" s="44"/>
      <c r="M253" s="44"/>
      <c r="N253" s="44"/>
      <c r="O253" s="266">
        <f>LOOKUP($B251, CEFF!$C$163:$C$330, CEFF!G$163:G$330)</f>
        <v>7.5469999999999995E-2</v>
      </c>
      <c r="P253" s="266">
        <f>LOOKUP($B251, CEFF!$C$163:$C$330, CEFF!H$163:H$330)</f>
        <v>7.7670000000000003E-2</v>
      </c>
      <c r="Q253" s="266">
        <f>LOOKUP($B251, CEFF!$C$163:$C$330, CEFF!I$163:I$330)</f>
        <v>7.9600000000000004E-2</v>
      </c>
      <c r="R253" s="266">
        <f>LOOKUP($B251, CEFF!$C$163:$C$330, CEFF!J$163:J$330)</f>
        <v>8.1629999999999994E-2</v>
      </c>
      <c r="S253" s="45"/>
      <c r="T253" s="45"/>
      <c r="U253" s="45"/>
      <c r="V253" s="46"/>
      <c r="W253" s="64"/>
      <c r="X253" s="64"/>
      <c r="Y253" s="64"/>
      <c r="Z253" s="64"/>
      <c r="AA253" s="64"/>
      <c r="AB253" s="64"/>
      <c r="AC253" s="64"/>
      <c r="AD253" s="64"/>
    </row>
    <row r="254" spans="2:30" s="39" customFormat="1" x14ac:dyDescent="0.3">
      <c r="B254" s="211" t="s">
        <v>276</v>
      </c>
      <c r="C254" s="210" t="str">
        <f>LOOKUP(B254, TRA_COMM_PRO!$C$17:$C$199, TRA_COMM_PRO!$D$17:$D$199)</f>
        <v>Truck.Heavy.GAS.City.01.</v>
      </c>
      <c r="D254" s="211" t="s">
        <v>715</v>
      </c>
      <c r="E254" s="211"/>
      <c r="F254" s="211"/>
      <c r="G254" s="10">
        <f>$G$241</f>
        <v>2020</v>
      </c>
      <c r="H254" s="40">
        <v>15</v>
      </c>
      <c r="I254" s="65">
        <f>$I$198</f>
        <v>1E-3</v>
      </c>
      <c r="J254" s="41">
        <v>7.7</v>
      </c>
      <c r="K254" s="42"/>
      <c r="L254" s="42"/>
      <c r="M254" s="42"/>
      <c r="N254" s="42"/>
      <c r="O254" s="265"/>
      <c r="P254" s="265"/>
      <c r="Q254" s="265"/>
      <c r="R254" s="265"/>
      <c r="S254" s="40"/>
      <c r="T254" s="40"/>
      <c r="U254" s="40"/>
      <c r="V254" s="41"/>
      <c r="W254" s="62">
        <f>LOOKUP(B254, FIXOM_VAROM!$C$8:$C$190, FIXOM_VAROM!$D$8:$D$190)</f>
        <v>0.1</v>
      </c>
      <c r="X254" s="40">
        <f>LOOKUP($B254, INVCOST!$C$8:$C$193, INVCOST!E$8:E$193)</f>
        <v>169</v>
      </c>
      <c r="Y254" s="40">
        <f>LOOKUP($B254, INVCOST!$C$8:$C$193, INVCOST!F$8:F$193)</f>
        <v>169</v>
      </c>
      <c r="Z254" s="40">
        <f>LOOKUP($B254, INVCOST!$C$8:$C$193, INVCOST!G$8:G$193)</f>
        <v>169</v>
      </c>
      <c r="AA254" s="40">
        <f>LOOKUP($B254, INVCOST!$C$8:$C$193, INVCOST!H$8:H$193)</f>
        <v>169</v>
      </c>
      <c r="AB254" s="40">
        <f>LOOKUP($B254, INVCOST!$C$8:$C$193, INVCOST!I$8:I$193)</f>
        <v>169</v>
      </c>
      <c r="AC254" s="40">
        <f>LOOKUP($B254, INVCOST!$C$8:$C$193, INVCOST!J$8:J$193)</f>
        <v>169</v>
      </c>
      <c r="AD254" s="40">
        <f>LOOKUP($B254, INVCOST!$C$8:$C$193, INVCOST!K$8:K$193)</f>
        <v>169</v>
      </c>
    </row>
    <row r="255" spans="2:30" s="39" customFormat="1" x14ac:dyDescent="0.3">
      <c r="B255" s="211"/>
      <c r="C255" s="211"/>
      <c r="D255" s="211"/>
      <c r="E255" s="211"/>
      <c r="F255" s="211" t="s">
        <v>496</v>
      </c>
      <c r="G255" s="50"/>
      <c r="H255" s="40"/>
      <c r="I255" s="41"/>
      <c r="J255" s="41"/>
      <c r="K255" s="42"/>
      <c r="L255" s="42"/>
      <c r="M255" s="42"/>
      <c r="N255" s="42"/>
      <c r="O255" s="265">
        <f>LOOKUP($B254, CEFF!$C$8:$C$156, CEFF!G$8:G$156)</f>
        <v>8.5110000000000005E-2</v>
      </c>
      <c r="P255" s="265">
        <f>LOOKUP($B254, CEFF!$C$8:$C$156, CEFF!H$8:H$156)</f>
        <v>8.8499999999999995E-2</v>
      </c>
      <c r="Q255" s="265">
        <f>LOOKUP($B254, CEFF!$C$8:$C$156, CEFF!I$8:I$156)</f>
        <v>9.0910000000000005E-2</v>
      </c>
      <c r="R255" s="265">
        <f>LOOKUP($B254, CEFF!$C$8:$C$156, CEFF!J$8:J$156)</f>
        <v>9.3460000000000001E-2</v>
      </c>
      <c r="S255" s="40"/>
      <c r="T255" s="40"/>
      <c r="U255" s="40"/>
      <c r="V255" s="41"/>
      <c r="W255" s="60"/>
      <c r="X255" s="60"/>
      <c r="Y255" s="60"/>
      <c r="Z255" s="60"/>
      <c r="AA255" s="60"/>
      <c r="AB255" s="60"/>
      <c r="AC255" s="60"/>
      <c r="AD255" s="60"/>
    </row>
    <row r="256" spans="2:30" s="39" customFormat="1" x14ac:dyDescent="0.3">
      <c r="B256" s="212"/>
      <c r="C256" s="212"/>
      <c r="D256" s="212"/>
      <c r="E256" s="212"/>
      <c r="F256" s="212" t="s">
        <v>504</v>
      </c>
      <c r="G256" s="51"/>
      <c r="H256" s="45"/>
      <c r="I256" s="46"/>
      <c r="J256" s="46"/>
      <c r="K256" s="44"/>
      <c r="L256" s="44"/>
      <c r="M256" s="44"/>
      <c r="N256" s="44"/>
      <c r="O256" s="266">
        <f>LOOKUP($B254, CEFF!$C$163:$C$330, CEFF!G$163:G$330)</f>
        <v>6.8089999999999998E-2</v>
      </c>
      <c r="P256" s="266">
        <f>LOOKUP($B254, CEFF!$C$163:$C$330, CEFF!H$163:H$330)</f>
        <v>7.0800000000000002E-2</v>
      </c>
      <c r="Q256" s="266">
        <f>LOOKUP($B254, CEFF!$C$163:$C$330, CEFF!I$163:I$330)</f>
        <v>7.2730000000000003E-2</v>
      </c>
      <c r="R256" s="266">
        <f>LOOKUP($B254, CEFF!$C$163:$C$330, CEFF!J$163:J$330)</f>
        <v>7.4770000000000003E-2</v>
      </c>
      <c r="S256" s="45"/>
      <c r="T256" s="45"/>
      <c r="U256" s="45"/>
      <c r="V256" s="46"/>
      <c r="W256" s="64"/>
      <c r="X256" s="64"/>
      <c r="Y256" s="64"/>
      <c r="Z256" s="64"/>
      <c r="AA256" s="64"/>
      <c r="AB256" s="64"/>
      <c r="AC256" s="64"/>
      <c r="AD256" s="64"/>
    </row>
    <row r="257" spans="2:30" s="39" customFormat="1" x14ac:dyDescent="0.3">
      <c r="B257" s="214" t="s">
        <v>278</v>
      </c>
      <c r="C257" s="210" t="str">
        <f>LOOKUP(B257, TRA_COMM_PRO!$C$17:$C$199, TRA_COMM_PRO!$D$17:$D$199)</f>
        <v>Truck.Heavy.GSL.City.01.</v>
      </c>
      <c r="D257" s="214" t="s">
        <v>713</v>
      </c>
      <c r="E257" s="214"/>
      <c r="F257" s="214"/>
      <c r="G257" s="10">
        <f>$G$241</f>
        <v>2020</v>
      </c>
      <c r="H257" s="40">
        <v>15</v>
      </c>
      <c r="I257" s="65">
        <f>$I$198</f>
        <v>1E-3</v>
      </c>
      <c r="J257" s="76">
        <v>7.7</v>
      </c>
      <c r="K257" s="77"/>
      <c r="L257" s="77"/>
      <c r="M257" s="77"/>
      <c r="N257" s="77"/>
      <c r="O257" s="265"/>
      <c r="P257" s="265"/>
      <c r="Q257" s="265"/>
      <c r="R257" s="265"/>
      <c r="S257" s="40"/>
      <c r="T257" s="40"/>
      <c r="U257" s="40"/>
      <c r="V257" s="41"/>
      <c r="W257" s="62">
        <f>LOOKUP(B257, FIXOM_VAROM!$C$8:$C$190, FIXOM_VAROM!$D$8:$D$190)</f>
        <v>0.1</v>
      </c>
      <c r="X257" s="40">
        <f>LOOKUP($B257, INVCOST!$C$8:$C$193, INVCOST!E$8:E$193)</f>
        <v>141</v>
      </c>
      <c r="Y257" s="40">
        <f>LOOKUP($B257, INVCOST!$C$8:$C$193, INVCOST!F$8:F$193)</f>
        <v>141</v>
      </c>
      <c r="Z257" s="40">
        <f>LOOKUP($B257, INVCOST!$C$8:$C$193, INVCOST!G$8:G$193)</f>
        <v>141</v>
      </c>
      <c r="AA257" s="40">
        <f>LOOKUP($B257, INVCOST!$C$8:$C$193, INVCOST!H$8:H$193)</f>
        <v>141</v>
      </c>
      <c r="AB257" s="40">
        <f>LOOKUP($B257, INVCOST!$C$8:$C$193, INVCOST!I$8:I$193)</f>
        <v>141</v>
      </c>
      <c r="AC257" s="40">
        <f>LOOKUP($B257, INVCOST!$C$8:$C$193, INVCOST!J$8:J$193)</f>
        <v>141</v>
      </c>
      <c r="AD257" s="40">
        <f>LOOKUP($B257, INVCOST!$C$8:$C$193, INVCOST!K$8:K$193)</f>
        <v>141</v>
      </c>
    </row>
    <row r="258" spans="2:30" s="39" customFormat="1" x14ac:dyDescent="0.3">
      <c r="B258" s="211"/>
      <c r="C258" s="211"/>
      <c r="D258" s="211"/>
      <c r="E258" s="211"/>
      <c r="F258" s="211" t="s">
        <v>496</v>
      </c>
      <c r="G258" s="50"/>
      <c r="H258" s="40"/>
      <c r="I258" s="41"/>
      <c r="J258" s="40"/>
      <c r="K258" s="78"/>
      <c r="L258" s="78"/>
      <c r="M258" s="78"/>
      <c r="N258" s="78"/>
      <c r="O258" s="265">
        <f>LOOKUP($B257, CEFF!$C$8:$C$156, CEFF!G$8:G$156)</f>
        <v>8.5110000000000005E-2</v>
      </c>
      <c r="P258" s="265">
        <f>LOOKUP($B257, CEFF!$C$8:$C$156, CEFF!H$8:H$156)</f>
        <v>8.8499999999999995E-2</v>
      </c>
      <c r="Q258" s="265">
        <f>LOOKUP($B257, CEFF!$C$8:$C$156, CEFF!I$8:I$156)</f>
        <v>9.0910000000000005E-2</v>
      </c>
      <c r="R258" s="265">
        <f>LOOKUP($B257, CEFF!$C$8:$C$156, CEFF!J$8:J$156)</f>
        <v>9.3460000000000001E-2</v>
      </c>
      <c r="S258" s="40"/>
      <c r="T258" s="40"/>
      <c r="U258" s="40"/>
      <c r="V258" s="41"/>
      <c r="W258" s="60"/>
      <c r="X258" s="60"/>
      <c r="Y258" s="60"/>
      <c r="Z258" s="60"/>
      <c r="AA258" s="60"/>
      <c r="AB258" s="60"/>
      <c r="AC258" s="60"/>
      <c r="AD258" s="60"/>
    </row>
    <row r="259" spans="2:30" s="39" customFormat="1" x14ac:dyDescent="0.3">
      <c r="B259" s="212"/>
      <c r="C259" s="212"/>
      <c r="D259" s="212"/>
      <c r="E259" s="212"/>
      <c r="F259" s="212" t="s">
        <v>504</v>
      </c>
      <c r="G259" s="51"/>
      <c r="H259" s="45"/>
      <c r="I259" s="46"/>
      <c r="J259" s="45"/>
      <c r="K259" s="79"/>
      <c r="L259" s="79"/>
      <c r="M259" s="79"/>
      <c r="N259" s="79"/>
      <c r="O259" s="266">
        <f>LOOKUP($B257, CEFF!$C$163:$C$330, CEFF!G$163:G$330)</f>
        <v>6.8089999999999998E-2</v>
      </c>
      <c r="P259" s="266">
        <f>LOOKUP($B257, CEFF!$C$163:$C$330, CEFF!H$163:H$330)</f>
        <v>7.0800000000000002E-2</v>
      </c>
      <c r="Q259" s="266">
        <f>LOOKUP($B257, CEFF!$C$163:$C$330, CEFF!I$163:I$330)</f>
        <v>7.2730000000000003E-2</v>
      </c>
      <c r="R259" s="266">
        <f>LOOKUP($B257, CEFF!$C$163:$C$330, CEFF!J$163:J$330)</f>
        <v>7.4770000000000003E-2</v>
      </c>
      <c r="S259" s="45"/>
      <c r="T259" s="45"/>
      <c r="U259" s="45"/>
      <c r="V259" s="46"/>
      <c r="W259" s="64"/>
      <c r="X259" s="64"/>
      <c r="Y259" s="64"/>
      <c r="Z259" s="64"/>
      <c r="AA259" s="64"/>
      <c r="AB259" s="64"/>
      <c r="AC259" s="64"/>
      <c r="AD259" s="64"/>
    </row>
    <row r="260" spans="2:30" s="39" customFormat="1" x14ac:dyDescent="0.3">
      <c r="B260" s="211" t="s">
        <v>280</v>
      </c>
      <c r="C260" s="210" t="str">
        <f>LOOKUP(B260, TRA_COMM_PRO!$C$17:$C$199, TRA_COMM_PRO!$D$17:$D$199)</f>
        <v>Truck.Heavy.H2G.City.01.</v>
      </c>
      <c r="D260" s="211" t="s">
        <v>57</v>
      </c>
      <c r="E260" s="211"/>
      <c r="F260" s="211"/>
      <c r="G260" s="10">
        <f>$G$241</f>
        <v>2020</v>
      </c>
      <c r="H260" s="40">
        <v>15</v>
      </c>
      <c r="I260" s="65">
        <f>$I$198</f>
        <v>1E-3</v>
      </c>
      <c r="J260" s="41">
        <v>7.7</v>
      </c>
      <c r="K260" s="42"/>
      <c r="L260" s="42"/>
      <c r="M260" s="42"/>
      <c r="N260" s="42"/>
      <c r="O260" s="265"/>
      <c r="P260" s="265"/>
      <c r="Q260" s="265"/>
      <c r="R260" s="265"/>
      <c r="S260" s="40"/>
      <c r="T260" s="40"/>
      <c r="U260" s="40"/>
      <c r="V260" s="41"/>
      <c r="W260" s="62">
        <f>LOOKUP(B260, FIXOM_VAROM!$C$8:$C$190, FIXOM_VAROM!$D$8:$D$190)</f>
        <v>8.0000000000000016E-2</v>
      </c>
      <c r="X260" s="40">
        <f>LOOKUP($B260, INVCOST!$C$8:$C$193, INVCOST!E$8:E$193)</f>
        <v>324</v>
      </c>
      <c r="Y260" s="40">
        <f>LOOKUP($B260, INVCOST!$C$8:$C$193, INVCOST!F$8:F$193)</f>
        <v>319.5</v>
      </c>
      <c r="Z260" s="40">
        <f>LOOKUP($B260, INVCOST!$C$8:$C$193, INVCOST!G$8:G$193)</f>
        <v>315</v>
      </c>
      <c r="AA260" s="40">
        <f>LOOKUP($B260, INVCOST!$C$8:$C$193, INVCOST!H$8:H$193)</f>
        <v>309</v>
      </c>
      <c r="AB260" s="40">
        <f>LOOKUP($B260, INVCOST!$C$8:$C$193, INVCOST!I$8:I$193)</f>
        <v>304.5</v>
      </c>
      <c r="AC260" s="40">
        <f>LOOKUP($B260, INVCOST!$C$8:$C$193, INVCOST!J$8:J$193)</f>
        <v>300</v>
      </c>
      <c r="AD260" s="40">
        <f>LOOKUP($B260, INVCOST!$C$8:$C$193, INVCOST!K$8:K$193)</f>
        <v>295.5</v>
      </c>
    </row>
    <row r="261" spans="2:30" s="39" customFormat="1" x14ac:dyDescent="0.3">
      <c r="B261" s="211"/>
      <c r="C261" s="211"/>
      <c r="D261" s="211"/>
      <c r="E261" s="211"/>
      <c r="F261" s="211" t="s">
        <v>496</v>
      </c>
      <c r="G261" s="50"/>
      <c r="H261" s="40"/>
      <c r="I261" s="41"/>
      <c r="J261" s="41"/>
      <c r="K261" s="42"/>
      <c r="L261" s="42"/>
      <c r="M261" s="42"/>
      <c r="N261" s="42"/>
      <c r="O261" s="265">
        <f>LOOKUP($B260, CEFF!$C$8:$C$156, CEFF!G$8:G$156)</f>
        <v>0.15625</v>
      </c>
      <c r="P261" s="265">
        <f>LOOKUP($B260, CEFF!$C$8:$C$156, CEFF!H$8:H$156)</f>
        <v>0.16392999999999999</v>
      </c>
      <c r="Q261" s="265">
        <f>LOOKUP($B260, CEFF!$C$8:$C$156, CEFF!I$8:I$156)</f>
        <v>0.16807</v>
      </c>
      <c r="R261" s="265">
        <f>LOOKUP($B260, CEFF!$C$8:$C$156, CEFF!J$8:J$156)</f>
        <v>0.17241000000000001</v>
      </c>
      <c r="S261" s="40"/>
      <c r="T261" s="40"/>
      <c r="U261" s="40"/>
      <c r="V261" s="41"/>
      <c r="W261" s="60"/>
      <c r="X261" s="60"/>
      <c r="Y261" s="60"/>
      <c r="Z261" s="60"/>
      <c r="AA261" s="60"/>
      <c r="AB261" s="60"/>
      <c r="AC261" s="60"/>
      <c r="AD261" s="60"/>
    </row>
    <row r="262" spans="2:30" s="39" customFormat="1" x14ac:dyDescent="0.3">
      <c r="B262" s="212"/>
      <c r="C262" s="212"/>
      <c r="D262" s="212"/>
      <c r="E262" s="212"/>
      <c r="F262" s="212" t="s">
        <v>504</v>
      </c>
      <c r="G262" s="51"/>
      <c r="H262" s="45"/>
      <c r="I262" s="46"/>
      <c r="J262" s="46"/>
      <c r="K262" s="79"/>
      <c r="L262" s="79"/>
      <c r="M262" s="79"/>
      <c r="N262" s="79"/>
      <c r="O262" s="266">
        <f>LOOKUP($B260, CEFF!$C$163:$C$330, CEFF!G$163:G$330)</f>
        <v>0.125</v>
      </c>
      <c r="P262" s="266">
        <f>LOOKUP($B260, CEFF!$C$163:$C$330, CEFF!H$163:H$330)</f>
        <v>0.13114999999999999</v>
      </c>
      <c r="Q262" s="266">
        <f>LOOKUP($B260, CEFF!$C$163:$C$330, CEFF!I$163:I$330)</f>
        <v>0.13444999999999999</v>
      </c>
      <c r="R262" s="266">
        <f>LOOKUP($B260, CEFF!$C$163:$C$330, CEFF!J$163:J$330)</f>
        <v>0.13793</v>
      </c>
      <c r="S262" s="45"/>
      <c r="T262" s="45"/>
      <c r="U262" s="45"/>
      <c r="V262" s="46"/>
      <c r="W262" s="64"/>
      <c r="X262" s="64"/>
      <c r="Y262" s="64"/>
      <c r="Z262" s="64"/>
      <c r="AA262" s="64"/>
      <c r="AB262" s="64"/>
      <c r="AC262" s="64"/>
      <c r="AD262" s="64"/>
    </row>
    <row r="263" spans="2:30" s="39" customFormat="1" x14ac:dyDescent="0.3">
      <c r="B263" s="211" t="s">
        <v>438</v>
      </c>
      <c r="C263" s="210" t="str">
        <f>LOOKUP(B263, TRA_COMM_PRO!$C$17:$C$199, TRA_COMM_PRO!$D$17:$D$199)</f>
        <v>Truck.Heavy.Hybrid.DST.City.01.</v>
      </c>
      <c r="D263" s="211" t="s">
        <v>712</v>
      </c>
      <c r="E263" s="211"/>
      <c r="F263" s="211"/>
      <c r="G263" s="10">
        <f>$G$241</f>
        <v>2020</v>
      </c>
      <c r="H263" s="40">
        <v>15</v>
      </c>
      <c r="I263" s="65">
        <f>$I$198</f>
        <v>1E-3</v>
      </c>
      <c r="J263" s="41">
        <v>7.7</v>
      </c>
      <c r="K263" s="42"/>
      <c r="L263" s="42"/>
      <c r="M263" s="42"/>
      <c r="N263" s="42"/>
      <c r="O263" s="265"/>
      <c r="P263" s="265"/>
      <c r="Q263" s="265"/>
      <c r="R263" s="265"/>
      <c r="S263" s="40"/>
      <c r="T263" s="40"/>
      <c r="U263" s="40"/>
      <c r="V263" s="41"/>
      <c r="W263" s="62">
        <f>LOOKUP(B263, FIXOM_VAROM!$C$8:$C$190, FIXOM_VAROM!$D$8:$D$190)</f>
        <v>0.1</v>
      </c>
      <c r="X263" s="40">
        <f>LOOKUP($B263, INVCOST!$C$8:$C$193, INVCOST!E$8:E$193)</f>
        <v>169</v>
      </c>
      <c r="Y263" s="40">
        <f>LOOKUP($B263, INVCOST!$C$8:$C$193, INVCOST!F$8:F$193)</f>
        <v>169</v>
      </c>
      <c r="Z263" s="40">
        <f>LOOKUP($B263, INVCOST!$C$8:$C$193, INVCOST!G$8:G$193)</f>
        <v>169</v>
      </c>
      <c r="AA263" s="40">
        <f>LOOKUP($B263, INVCOST!$C$8:$C$193, INVCOST!H$8:H$193)</f>
        <v>169</v>
      </c>
      <c r="AB263" s="40">
        <f>LOOKUP($B263, INVCOST!$C$8:$C$193, INVCOST!I$8:I$193)</f>
        <v>169</v>
      </c>
      <c r="AC263" s="40">
        <f>LOOKUP($B263, INVCOST!$C$8:$C$193, INVCOST!J$8:J$193)</f>
        <v>169</v>
      </c>
      <c r="AD263" s="40">
        <f>LOOKUP($B263, INVCOST!$C$8:$C$193, INVCOST!K$8:K$193)</f>
        <v>169</v>
      </c>
    </row>
    <row r="264" spans="2:30" s="39" customFormat="1" x14ac:dyDescent="0.3">
      <c r="B264" s="211"/>
      <c r="C264" s="211"/>
      <c r="D264" s="211"/>
      <c r="E264" s="211"/>
      <c r="F264" s="211" t="s">
        <v>496</v>
      </c>
      <c r="G264" s="50"/>
      <c r="H264" s="40"/>
      <c r="I264" s="41"/>
      <c r="J264" s="41"/>
      <c r="K264" s="42"/>
      <c r="L264" s="42"/>
      <c r="M264" s="42"/>
      <c r="N264" s="42"/>
      <c r="O264" s="265">
        <f>LOOKUP($B263, CEFF!$C$8:$C$156, CEFF!G$8:G$156)</f>
        <v>0.10526000000000001</v>
      </c>
      <c r="P264" s="265">
        <f>LOOKUP($B263, CEFF!$C$8:$C$156, CEFF!H$8:H$156)</f>
        <v>0.1087</v>
      </c>
      <c r="Q264" s="265">
        <f>LOOKUP($B263, CEFF!$C$8:$C$156, CEFF!I$8:I$156)</f>
        <v>0.11111</v>
      </c>
      <c r="R264" s="265">
        <f>LOOKUP($B263, CEFF!$C$8:$C$156, CEFF!J$8:J$156)</f>
        <v>0.11364</v>
      </c>
      <c r="S264" s="40"/>
      <c r="T264" s="40"/>
      <c r="U264" s="40"/>
      <c r="V264" s="41"/>
      <c r="W264" s="60"/>
      <c r="X264" s="60"/>
      <c r="Y264" s="60"/>
      <c r="Z264" s="60"/>
      <c r="AA264" s="60"/>
      <c r="AB264" s="60"/>
      <c r="AC264" s="60"/>
      <c r="AD264" s="60"/>
    </row>
    <row r="265" spans="2:30" s="39" customFormat="1" x14ac:dyDescent="0.3">
      <c r="B265" s="212"/>
      <c r="C265" s="212"/>
      <c r="D265" s="212"/>
      <c r="E265" s="212"/>
      <c r="F265" s="212" t="s">
        <v>504</v>
      </c>
      <c r="G265" s="51"/>
      <c r="H265" s="45"/>
      <c r="I265" s="46"/>
      <c r="J265" s="46"/>
      <c r="K265" s="44"/>
      <c r="L265" s="44"/>
      <c r="M265" s="44"/>
      <c r="N265" s="44"/>
      <c r="O265" s="266">
        <f>LOOKUP($B263, CEFF!$C$163:$C$330, CEFF!G$163:G$330)</f>
        <v>8.4209999999999993E-2</v>
      </c>
      <c r="P265" s="266">
        <f>LOOKUP($B263, CEFF!$C$163:$C$330, CEFF!H$163:H$330)</f>
        <v>8.6959999999999996E-2</v>
      </c>
      <c r="Q265" s="266">
        <f>LOOKUP($B263, CEFF!$C$163:$C$330, CEFF!I$163:I$330)</f>
        <v>8.8889999999999997E-2</v>
      </c>
      <c r="R265" s="266">
        <f>LOOKUP($B263, CEFF!$C$163:$C$330, CEFF!J$163:J$330)</f>
        <v>9.0910000000000005E-2</v>
      </c>
      <c r="S265" s="45"/>
      <c r="T265" s="45"/>
      <c r="U265" s="45"/>
      <c r="V265" s="46"/>
      <c r="W265" s="64"/>
      <c r="X265" s="64"/>
      <c r="Y265" s="64"/>
      <c r="Z265" s="64"/>
      <c r="AA265" s="64"/>
      <c r="AB265" s="64"/>
      <c r="AC265" s="64"/>
      <c r="AD265" s="64"/>
    </row>
    <row r="266" spans="2:30" s="39" customFormat="1" x14ac:dyDescent="0.3">
      <c r="B266" s="211" t="s">
        <v>439</v>
      </c>
      <c r="C266" s="210" t="str">
        <f>LOOKUP(B266, TRA_COMM_PRO!$C$17:$C$199, TRA_COMM_PRO!$D$17:$D$199)</f>
        <v>Truck.Heavy.Hybrid.GSL.City.01.</v>
      </c>
      <c r="D266" s="214" t="s">
        <v>713</v>
      </c>
      <c r="E266" s="211"/>
      <c r="F266" s="211"/>
      <c r="G266" s="10">
        <f>$G$241</f>
        <v>2020</v>
      </c>
      <c r="H266" s="40">
        <v>15</v>
      </c>
      <c r="I266" s="65">
        <f>$I$198</f>
        <v>1E-3</v>
      </c>
      <c r="J266" s="41">
        <v>7.7</v>
      </c>
      <c r="K266" s="42"/>
      <c r="L266" s="42"/>
      <c r="M266" s="42"/>
      <c r="N266" s="42"/>
      <c r="O266" s="265"/>
      <c r="P266" s="265"/>
      <c r="Q266" s="265"/>
      <c r="R266" s="265"/>
      <c r="S266" s="40"/>
      <c r="T266" s="40"/>
      <c r="U266" s="40"/>
      <c r="V266" s="41"/>
      <c r="W266" s="62">
        <f>LOOKUP(B266, FIXOM_VAROM!$C$8:$C$190, FIXOM_VAROM!$D$8:$D$190)</f>
        <v>0.1</v>
      </c>
      <c r="X266" s="40">
        <f>LOOKUP($B266, INVCOST!$C$8:$C$193, INVCOST!E$8:E$193)</f>
        <v>169</v>
      </c>
      <c r="Y266" s="40">
        <f>LOOKUP($B266, INVCOST!$C$8:$C$193, INVCOST!F$8:F$193)</f>
        <v>169</v>
      </c>
      <c r="Z266" s="40">
        <f>LOOKUP($B266, INVCOST!$C$8:$C$193, INVCOST!G$8:G$193)</f>
        <v>169</v>
      </c>
      <c r="AA266" s="40">
        <f>LOOKUP($B266, INVCOST!$C$8:$C$193, INVCOST!H$8:H$193)</f>
        <v>169</v>
      </c>
      <c r="AB266" s="40">
        <f>LOOKUP($B266, INVCOST!$C$8:$C$193, INVCOST!I$8:I$193)</f>
        <v>169</v>
      </c>
      <c r="AC266" s="40">
        <f>LOOKUP($B266, INVCOST!$C$8:$C$193, INVCOST!J$8:J$193)</f>
        <v>169</v>
      </c>
      <c r="AD266" s="40">
        <f>LOOKUP($B266, INVCOST!$C$8:$C$193, INVCOST!K$8:K$193)</f>
        <v>169</v>
      </c>
    </row>
    <row r="267" spans="2:30" s="39" customFormat="1" x14ac:dyDescent="0.3">
      <c r="B267" s="211"/>
      <c r="C267" s="211"/>
      <c r="D267" s="211"/>
      <c r="E267" s="211"/>
      <c r="F267" s="211" t="s">
        <v>496</v>
      </c>
      <c r="G267" s="50"/>
      <c r="H267" s="40"/>
      <c r="I267" s="41"/>
      <c r="J267" s="41"/>
      <c r="K267" s="42"/>
      <c r="L267" s="42"/>
      <c r="M267" s="42"/>
      <c r="N267" s="42"/>
      <c r="O267" s="265">
        <f>LOOKUP($B266, CEFF!$C$8:$C$156, CEFF!G$8:G$156)</f>
        <v>9.4960000000000003E-2</v>
      </c>
      <c r="P267" s="265">
        <f>LOOKUP($B266, CEFF!$C$8:$C$156, CEFF!H$8:H$156)</f>
        <v>9.9080000000000001E-2</v>
      </c>
      <c r="Q267" s="265">
        <f>LOOKUP($B266, CEFF!$C$8:$C$156, CEFF!I$8:I$156)</f>
        <v>0.10152</v>
      </c>
      <c r="R267" s="265">
        <f>LOOKUP($B266, CEFF!$C$8:$C$156, CEFF!J$8:J$156)</f>
        <v>0.10408000000000001</v>
      </c>
      <c r="S267" s="40"/>
      <c r="T267" s="40"/>
      <c r="U267" s="40"/>
      <c r="V267" s="41"/>
      <c r="W267" s="60"/>
      <c r="X267" s="60"/>
      <c r="Y267" s="60"/>
      <c r="Z267" s="60"/>
      <c r="AA267" s="60"/>
      <c r="AB267" s="60"/>
      <c r="AC267" s="60"/>
      <c r="AD267" s="60"/>
    </row>
    <row r="268" spans="2:30" s="39" customFormat="1" x14ac:dyDescent="0.3">
      <c r="B268" s="212"/>
      <c r="C268" s="212"/>
      <c r="D268" s="212"/>
      <c r="E268" s="212"/>
      <c r="F268" s="212" t="s">
        <v>504</v>
      </c>
      <c r="G268" s="51"/>
      <c r="H268" s="45"/>
      <c r="I268" s="46"/>
      <c r="J268" s="46"/>
      <c r="K268" s="44"/>
      <c r="L268" s="44"/>
      <c r="M268" s="44"/>
      <c r="N268" s="44"/>
      <c r="O268" s="266">
        <f>LOOKUP($B266, CEFF!$C$163:$C$330, CEFF!G$163:G$330)</f>
        <v>0.11277</v>
      </c>
      <c r="P268" s="266">
        <f>LOOKUP($B266, CEFF!$C$163:$C$330, CEFF!H$163:H$330)</f>
        <v>0.11953999999999999</v>
      </c>
      <c r="Q268" s="266">
        <f>LOOKUP($B266, CEFF!$C$163:$C$330, CEFF!I$163:I$330)</f>
        <v>0.12284</v>
      </c>
      <c r="R268" s="266">
        <f>LOOKUP($B266, CEFF!$C$163:$C$330, CEFF!J$163:J$330)</f>
        <v>0.12633</v>
      </c>
      <c r="S268" s="45"/>
      <c r="T268" s="45"/>
      <c r="U268" s="45"/>
      <c r="V268" s="46"/>
      <c r="W268" s="64"/>
      <c r="X268" s="64"/>
      <c r="Y268" s="64"/>
      <c r="Z268" s="64"/>
      <c r="AA268" s="64"/>
      <c r="AB268" s="64"/>
      <c r="AC268" s="64"/>
      <c r="AD268" s="64"/>
    </row>
    <row r="269" spans="2:30" s="39" customFormat="1" x14ac:dyDescent="0.3">
      <c r="B269" s="211" t="s">
        <v>440</v>
      </c>
      <c r="C269" s="210" t="str">
        <f>LOOKUP(B269, TRA_COMM_PRO!$C$17:$C$199, TRA_COMM_PRO!$D$17:$D$199)</f>
        <v>Truck.Heavy.LPG.City.01.</v>
      </c>
      <c r="D269" s="211" t="s">
        <v>62</v>
      </c>
      <c r="E269" s="211"/>
      <c r="F269" s="211"/>
      <c r="G269" s="10">
        <f>$G$241</f>
        <v>2020</v>
      </c>
      <c r="H269" s="40">
        <v>15</v>
      </c>
      <c r="I269" s="65">
        <f>$I$198</f>
        <v>1E-3</v>
      </c>
      <c r="J269" s="41">
        <v>7.7</v>
      </c>
      <c r="K269" s="42"/>
      <c r="L269" s="42"/>
      <c r="M269" s="42"/>
      <c r="N269" s="42"/>
      <c r="O269" s="265"/>
      <c r="P269" s="265"/>
      <c r="Q269" s="265"/>
      <c r="R269" s="265"/>
      <c r="S269" s="40"/>
      <c r="T269" s="40"/>
      <c r="U269" s="40"/>
      <c r="V269" s="41"/>
      <c r="W269" s="62">
        <f>LOOKUP(B269, FIXOM_VAROM!$C$8:$C$190, FIXOM_VAROM!$D$8:$D$190)</f>
        <v>0.1</v>
      </c>
      <c r="X269" s="40">
        <f>LOOKUP($B269, INVCOST!$C$8:$C$193, INVCOST!E$8:E$193)</f>
        <v>169</v>
      </c>
      <c r="Y269" s="40">
        <f>LOOKUP($B269, INVCOST!$C$8:$C$193, INVCOST!F$8:F$193)</f>
        <v>169</v>
      </c>
      <c r="Z269" s="40">
        <f>LOOKUP($B269, INVCOST!$C$8:$C$193, INVCOST!G$8:G$193)</f>
        <v>169</v>
      </c>
      <c r="AA269" s="40">
        <f>LOOKUP($B269, INVCOST!$C$8:$C$193, INVCOST!H$8:H$193)</f>
        <v>169</v>
      </c>
      <c r="AB269" s="40">
        <f>LOOKUP($B269, INVCOST!$C$8:$C$193, INVCOST!I$8:I$193)</f>
        <v>169</v>
      </c>
      <c r="AC269" s="40">
        <f>LOOKUP($B269, INVCOST!$C$8:$C$193, INVCOST!J$8:J$193)</f>
        <v>169</v>
      </c>
      <c r="AD269" s="40">
        <f>LOOKUP($B269, INVCOST!$C$8:$C$193, INVCOST!K$8:K$193)</f>
        <v>169</v>
      </c>
    </row>
    <row r="270" spans="2:30" s="39" customFormat="1" x14ac:dyDescent="0.3">
      <c r="B270" s="211"/>
      <c r="C270" s="211"/>
      <c r="D270" s="211"/>
      <c r="E270" s="211"/>
      <c r="F270" s="211" t="s">
        <v>496</v>
      </c>
      <c r="G270" s="50"/>
      <c r="H270" s="40"/>
      <c r="I270" s="41"/>
      <c r="J270" s="41"/>
      <c r="K270" s="42"/>
      <c r="L270" s="42"/>
      <c r="M270" s="42"/>
      <c r="N270" s="42"/>
      <c r="O270" s="265">
        <f>LOOKUP($B269, CEFF!$C$8:$C$156, CEFF!G$8:G$156)</f>
        <v>8.5110000000000005E-2</v>
      </c>
      <c r="P270" s="265">
        <f>LOOKUP($B269, CEFF!$C$8:$C$156, CEFF!H$8:H$156)</f>
        <v>8.8499999999999995E-2</v>
      </c>
      <c r="Q270" s="265">
        <f>LOOKUP($B269, CEFF!$C$8:$C$156, CEFF!I$8:I$156)</f>
        <v>9.0910000000000005E-2</v>
      </c>
      <c r="R270" s="265">
        <f>LOOKUP($B269, CEFF!$C$8:$C$156, CEFF!J$8:J$156)</f>
        <v>9.3460000000000001E-2</v>
      </c>
      <c r="S270" s="40"/>
      <c r="T270" s="40"/>
      <c r="U270" s="40"/>
      <c r="V270" s="41"/>
      <c r="W270" s="60"/>
      <c r="X270" s="60"/>
      <c r="Y270" s="60"/>
      <c r="Z270" s="60"/>
      <c r="AA270" s="60"/>
      <c r="AB270" s="60"/>
      <c r="AC270" s="60"/>
      <c r="AD270" s="60"/>
    </row>
    <row r="271" spans="2:30" s="39" customFormat="1" x14ac:dyDescent="0.3">
      <c r="B271" s="212"/>
      <c r="C271" s="212"/>
      <c r="D271" s="212"/>
      <c r="E271" s="212"/>
      <c r="F271" s="212" t="s">
        <v>504</v>
      </c>
      <c r="G271" s="51"/>
      <c r="H271" s="45"/>
      <c r="I271" s="46"/>
      <c r="J271" s="46"/>
      <c r="K271" s="44"/>
      <c r="L271" s="44"/>
      <c r="M271" s="44"/>
      <c r="N271" s="44"/>
      <c r="O271" s="266">
        <f>LOOKUP($B269, CEFF!$C$163:$C$330, CEFF!G$163:G$330)</f>
        <v>6.8089999999999998E-2</v>
      </c>
      <c r="P271" s="266">
        <f>LOOKUP($B269, CEFF!$C$163:$C$330, CEFF!H$163:H$330)</f>
        <v>7.0800000000000002E-2</v>
      </c>
      <c r="Q271" s="266">
        <f>LOOKUP($B269, CEFF!$C$163:$C$330, CEFF!I$163:I$330)</f>
        <v>7.2730000000000003E-2</v>
      </c>
      <c r="R271" s="266">
        <f>LOOKUP($B269, CEFF!$C$163:$C$330, CEFF!J$163:J$330)</f>
        <v>7.4770000000000003E-2</v>
      </c>
      <c r="S271" s="45"/>
      <c r="T271" s="45"/>
      <c r="U271" s="45"/>
      <c r="V271" s="46"/>
      <c r="W271" s="64"/>
      <c r="X271" s="64"/>
      <c r="Y271" s="64"/>
      <c r="Z271" s="64"/>
      <c r="AA271" s="64"/>
      <c r="AB271" s="64"/>
      <c r="AC271" s="64"/>
      <c r="AD271" s="64"/>
    </row>
    <row r="272" spans="2:30" s="39" customFormat="1" x14ac:dyDescent="0.3">
      <c r="B272" s="211" t="s">
        <v>609</v>
      </c>
      <c r="C272" s="210" t="str">
        <f>LOOKUP(B272, TRA_COMM_PRO!$C$17:$C$199, TRA_COMM_PRO!$D$17:$D$199)</f>
        <v>Truck.Heavy.MTH.City.01.</v>
      </c>
      <c r="D272" s="211" t="s">
        <v>599</v>
      </c>
      <c r="E272" s="211"/>
      <c r="F272" s="211"/>
      <c r="G272" s="10">
        <f>$G$241</f>
        <v>2020</v>
      </c>
      <c r="H272" s="40">
        <v>15</v>
      </c>
      <c r="I272" s="65">
        <f>$I$198</f>
        <v>1E-3</v>
      </c>
      <c r="J272" s="41">
        <v>7.7</v>
      </c>
      <c r="K272" s="42"/>
      <c r="L272" s="42"/>
      <c r="M272" s="42"/>
      <c r="N272" s="42"/>
      <c r="O272" s="265"/>
      <c r="P272" s="265"/>
      <c r="Q272" s="265"/>
      <c r="R272" s="265"/>
      <c r="S272" s="40"/>
      <c r="T272" s="40"/>
      <c r="U272" s="40"/>
      <c r="V272" s="41"/>
      <c r="W272" s="62">
        <f>LOOKUP(B272, FIXOM_VAROM!$C$8:$C$190, FIXOM_VAROM!$D$8:$D$190)</f>
        <v>0.1</v>
      </c>
      <c r="X272" s="40">
        <f>LOOKUP($B272, INVCOST!$C$8:$C$193, INVCOST!E$8:E$193)</f>
        <v>169</v>
      </c>
      <c r="Y272" s="40">
        <f>LOOKUP($B272, INVCOST!$C$8:$C$193, INVCOST!F$8:F$193)</f>
        <v>169</v>
      </c>
      <c r="Z272" s="40">
        <f>LOOKUP($B272, INVCOST!$C$8:$C$193, INVCOST!G$8:G$193)</f>
        <v>169</v>
      </c>
      <c r="AA272" s="40">
        <f>LOOKUP($B272, INVCOST!$C$8:$C$193, INVCOST!H$8:H$193)</f>
        <v>169</v>
      </c>
      <c r="AB272" s="40">
        <f>LOOKUP($B272, INVCOST!$C$8:$C$193, INVCOST!I$8:I$193)</f>
        <v>169</v>
      </c>
      <c r="AC272" s="40">
        <f>LOOKUP($B272, INVCOST!$C$8:$C$193, INVCOST!J$8:J$193)</f>
        <v>169</v>
      </c>
      <c r="AD272" s="40">
        <f>LOOKUP($B272, INVCOST!$C$8:$C$193, INVCOST!K$8:K$193)</f>
        <v>169</v>
      </c>
    </row>
    <row r="273" spans="2:30" s="39" customFormat="1" x14ac:dyDescent="0.3">
      <c r="B273" s="211"/>
      <c r="C273" s="211"/>
      <c r="D273" s="211"/>
      <c r="E273" s="211"/>
      <c r="F273" s="211" t="s">
        <v>496</v>
      </c>
      <c r="G273" s="50"/>
      <c r="H273" s="40"/>
      <c r="I273" s="41"/>
      <c r="J273" s="41"/>
      <c r="K273" s="42"/>
      <c r="L273" s="42"/>
      <c r="M273" s="42"/>
      <c r="N273" s="42"/>
      <c r="O273" s="265">
        <f>LOOKUP($B272, CEFF!$C$8:$C$156, CEFF!G$8:G$156)</f>
        <v>8.5110000000000005E-2</v>
      </c>
      <c r="P273" s="265">
        <f>LOOKUP($B272, CEFF!$C$8:$C$156, CEFF!H$8:H$156)</f>
        <v>8.8499999999999995E-2</v>
      </c>
      <c r="Q273" s="265">
        <f>LOOKUP($B272, CEFF!$C$8:$C$156, CEFF!I$8:I$156)</f>
        <v>9.0910000000000005E-2</v>
      </c>
      <c r="R273" s="265">
        <f>LOOKUP($B272, CEFF!$C$8:$C$156, CEFF!J$8:J$156)</f>
        <v>9.3460000000000001E-2</v>
      </c>
      <c r="S273" s="40"/>
      <c r="T273" s="40"/>
      <c r="U273" s="40"/>
      <c r="V273" s="41"/>
      <c r="W273" s="60"/>
      <c r="X273" s="60"/>
      <c r="Y273" s="60"/>
      <c r="Z273" s="60"/>
      <c r="AA273" s="60"/>
      <c r="AB273" s="60"/>
      <c r="AC273" s="60"/>
      <c r="AD273" s="60"/>
    </row>
    <row r="274" spans="2:30" s="39" customFormat="1" x14ac:dyDescent="0.3">
      <c r="B274" s="212"/>
      <c r="C274" s="212"/>
      <c r="D274" s="212"/>
      <c r="E274" s="212"/>
      <c r="F274" s="212" t="s">
        <v>504</v>
      </c>
      <c r="G274" s="51"/>
      <c r="H274" s="45"/>
      <c r="I274" s="46"/>
      <c r="J274" s="46"/>
      <c r="K274" s="44"/>
      <c r="L274" s="44"/>
      <c r="M274" s="44"/>
      <c r="N274" s="44"/>
      <c r="O274" s="266">
        <f>LOOKUP($B272, CEFF!$C$163:$C$330, CEFF!G$163:G$330)</f>
        <v>6.8089999999999998E-2</v>
      </c>
      <c r="P274" s="266">
        <f>LOOKUP($B272, CEFF!$C$163:$C$330, CEFF!H$163:H$330)</f>
        <v>7.0800000000000002E-2</v>
      </c>
      <c r="Q274" s="266">
        <f>LOOKUP($B272, CEFF!$C$163:$C$330, CEFF!I$163:I$330)</f>
        <v>7.2730000000000003E-2</v>
      </c>
      <c r="R274" s="266">
        <f>LOOKUP($B272, CEFF!$C$163:$C$330, CEFF!J$163:J$330)</f>
        <v>7.4770000000000003E-2</v>
      </c>
      <c r="S274" s="45"/>
      <c r="T274" s="45"/>
      <c r="U274" s="45"/>
      <c r="V274" s="46"/>
      <c r="W274" s="64"/>
      <c r="X274" s="64"/>
      <c r="Y274" s="64"/>
      <c r="Z274" s="64"/>
      <c r="AA274" s="64"/>
      <c r="AB274" s="64"/>
      <c r="AC274" s="64"/>
      <c r="AD274" s="64"/>
    </row>
    <row r="275" spans="2:30" s="39" customFormat="1" x14ac:dyDescent="0.3">
      <c r="B275" s="211" t="s">
        <v>442</v>
      </c>
      <c r="C275" s="210" t="str">
        <f>LOOKUP(B275, TRA_COMM_PRO!$C$17:$C$199, TRA_COMM_PRO!$D$17:$D$199)</f>
        <v>Truck.Heavy.Plugin-Hybrid.DST.City.01.</v>
      </c>
      <c r="D275" s="211" t="s">
        <v>712</v>
      </c>
      <c r="E275" s="211"/>
      <c r="F275" s="211"/>
      <c r="G275" s="10">
        <f>$G$241</f>
        <v>2020</v>
      </c>
      <c r="H275" s="40">
        <v>15</v>
      </c>
      <c r="I275" s="65">
        <f>$I$198</f>
        <v>1E-3</v>
      </c>
      <c r="J275" s="41">
        <v>7.7</v>
      </c>
      <c r="K275" s="42"/>
      <c r="L275" s="42"/>
      <c r="M275" s="42"/>
      <c r="N275" s="42"/>
      <c r="O275" s="265"/>
      <c r="P275" s="265"/>
      <c r="Q275" s="265"/>
      <c r="R275" s="265"/>
      <c r="S275" s="40"/>
      <c r="T275" s="40"/>
      <c r="U275" s="40"/>
      <c r="V275" s="41"/>
      <c r="W275" s="62">
        <f>LOOKUP(B275, FIXOM_VAROM!$C$8:$C$190, FIXOM_VAROM!$D$8:$D$190)</f>
        <v>0.1</v>
      </c>
      <c r="X275" s="40">
        <f>LOOKUP($B275, INVCOST!$C$8:$C$193, INVCOST!E$8:E$193)</f>
        <v>202.79999999999998</v>
      </c>
      <c r="Y275" s="40">
        <f>LOOKUP($B275, INVCOST!$C$8:$C$193, INVCOST!F$8:F$193)</f>
        <v>202.79999999999998</v>
      </c>
      <c r="Z275" s="40">
        <f>LOOKUP($B275, INVCOST!$C$8:$C$193, INVCOST!G$8:G$193)</f>
        <v>202.79999999999998</v>
      </c>
      <c r="AA275" s="40">
        <f>LOOKUP($B275, INVCOST!$C$8:$C$193, INVCOST!H$8:H$193)</f>
        <v>202.79999999999998</v>
      </c>
      <c r="AB275" s="40">
        <f>LOOKUP($B275, INVCOST!$C$8:$C$193, INVCOST!I$8:I$193)</f>
        <v>202.79999999999998</v>
      </c>
      <c r="AC275" s="40">
        <f>LOOKUP($B275, INVCOST!$C$8:$C$193, INVCOST!J$8:J$193)</f>
        <v>202.79999999999998</v>
      </c>
      <c r="AD275" s="40">
        <f>LOOKUP($B275, INVCOST!$C$8:$C$193, INVCOST!K$8:K$193)</f>
        <v>202.79999999999998</v>
      </c>
    </row>
    <row r="276" spans="2:30" s="39" customFormat="1" x14ac:dyDescent="0.3">
      <c r="B276" s="211"/>
      <c r="C276" s="211"/>
      <c r="D276" s="211"/>
      <c r="E276" s="211"/>
      <c r="F276" s="211" t="s">
        <v>496</v>
      </c>
      <c r="G276" s="50"/>
      <c r="H276" s="40"/>
      <c r="I276" s="41"/>
      <c r="J276" s="41"/>
      <c r="K276" s="42"/>
      <c r="L276" s="42"/>
      <c r="M276" s="42"/>
      <c r="N276" s="42"/>
      <c r="O276" s="265">
        <f>LOOKUP($B275, CEFF!$C$8:$C$156, CEFF!G$8:G$156)</f>
        <v>9.4339999999999993E-2</v>
      </c>
      <c r="P276" s="265">
        <f>LOOKUP($B275, CEFF!$C$8:$C$156, CEFF!H$8:H$156)</f>
        <v>9.7089999999999996E-2</v>
      </c>
      <c r="Q276" s="265">
        <f>LOOKUP($B275, CEFF!$C$8:$C$156, CEFF!I$8:I$156)</f>
        <v>9.9500000000000005E-2</v>
      </c>
      <c r="R276" s="265">
        <f>LOOKUP($B275, CEFF!$C$8:$C$156, CEFF!J$8:J$156)</f>
        <v>0.10204000000000001</v>
      </c>
      <c r="S276" s="40"/>
      <c r="T276" s="40"/>
      <c r="U276" s="40"/>
      <c r="V276" s="41"/>
      <c r="W276" s="60"/>
      <c r="X276" s="60"/>
      <c r="Y276" s="60"/>
      <c r="Z276" s="60"/>
      <c r="AA276" s="60"/>
      <c r="AB276" s="60"/>
      <c r="AC276" s="60"/>
      <c r="AD276" s="60"/>
    </row>
    <row r="277" spans="2:30" s="39" customFormat="1" x14ac:dyDescent="0.3">
      <c r="B277" s="212"/>
      <c r="C277" s="212"/>
      <c r="D277" s="212"/>
      <c r="E277" s="212"/>
      <c r="F277" s="212" t="s">
        <v>504</v>
      </c>
      <c r="G277" s="51"/>
      <c r="H277" s="45"/>
      <c r="I277" s="46"/>
      <c r="J277" s="46"/>
      <c r="K277" s="44"/>
      <c r="L277" s="44"/>
      <c r="M277" s="44"/>
      <c r="N277" s="44"/>
      <c r="O277" s="266">
        <f>LOOKUP($B275, CEFF!$C$163:$C$330, CEFF!G$163:G$330)</f>
        <v>7.5469999999999995E-2</v>
      </c>
      <c r="P277" s="266">
        <f>LOOKUP($B275, CEFF!$C$163:$C$330, CEFF!H$163:H$330)</f>
        <v>7.7670000000000003E-2</v>
      </c>
      <c r="Q277" s="266">
        <f>LOOKUP($B275, CEFF!$C$163:$C$330, CEFF!I$163:I$330)</f>
        <v>7.9600000000000004E-2</v>
      </c>
      <c r="R277" s="266">
        <f>LOOKUP($B275, CEFF!$C$163:$C$330, CEFF!J$163:J$330)</f>
        <v>8.1629999999999994E-2</v>
      </c>
      <c r="S277" s="45"/>
      <c r="T277" s="45"/>
      <c r="U277" s="45"/>
      <c r="V277" s="46"/>
      <c r="W277" s="64"/>
      <c r="X277" s="64"/>
      <c r="Y277" s="64"/>
      <c r="Z277" s="64"/>
      <c r="AA277" s="64"/>
      <c r="AB277" s="64"/>
      <c r="AC277" s="64"/>
      <c r="AD277" s="64"/>
    </row>
    <row r="278" spans="2:30" s="39" customFormat="1" x14ac:dyDescent="0.3">
      <c r="B278" s="211" t="s">
        <v>443</v>
      </c>
      <c r="C278" s="210" t="str">
        <f>LOOKUP(B278, TRA_COMM_PRO!$C$17:$C$199, TRA_COMM_PRO!$D$17:$D$199)</f>
        <v>Truck.Heavy.Plugin-Hybrid.GSL.City.01.</v>
      </c>
      <c r="D278" s="214" t="s">
        <v>713</v>
      </c>
      <c r="E278" s="211"/>
      <c r="F278" s="211"/>
      <c r="G278" s="10">
        <f>$G$241</f>
        <v>2020</v>
      </c>
      <c r="H278" s="40">
        <v>15</v>
      </c>
      <c r="I278" s="65">
        <f>$I$198</f>
        <v>1E-3</v>
      </c>
      <c r="J278" s="41">
        <v>7.7</v>
      </c>
      <c r="K278" s="42"/>
      <c r="L278" s="42"/>
      <c r="M278" s="42"/>
      <c r="N278" s="42"/>
      <c r="O278" s="265"/>
      <c r="P278" s="265"/>
      <c r="Q278" s="265"/>
      <c r="R278" s="265"/>
      <c r="S278" s="40"/>
      <c r="T278" s="40"/>
      <c r="U278" s="40"/>
      <c r="V278" s="41"/>
      <c r="W278" s="62">
        <f>LOOKUP(B278, FIXOM_VAROM!$C$8:$C$190, FIXOM_VAROM!$D$8:$D$190)</f>
        <v>0.1</v>
      </c>
      <c r="X278" s="40">
        <f>LOOKUP($B278, INVCOST!$C$8:$C$193, INVCOST!E$8:E$193)</f>
        <v>202.79999999999998</v>
      </c>
      <c r="Y278" s="40">
        <f>LOOKUP($B278, INVCOST!$C$8:$C$193, INVCOST!F$8:F$193)</f>
        <v>202.79999999999998</v>
      </c>
      <c r="Z278" s="40">
        <f>LOOKUP($B278, INVCOST!$C$8:$C$193, INVCOST!G$8:G$193)</f>
        <v>202.79999999999998</v>
      </c>
      <c r="AA278" s="40">
        <f>LOOKUP($B278, INVCOST!$C$8:$C$193, INVCOST!H$8:H$193)</f>
        <v>202.79999999999998</v>
      </c>
      <c r="AB278" s="40">
        <f>LOOKUP($B278, INVCOST!$C$8:$C$193, INVCOST!I$8:I$193)</f>
        <v>202.79999999999998</v>
      </c>
      <c r="AC278" s="40">
        <f>LOOKUP($B278, INVCOST!$C$8:$C$193, INVCOST!J$8:J$193)</f>
        <v>202.79999999999998</v>
      </c>
      <c r="AD278" s="40">
        <f>LOOKUP($B278, INVCOST!$C$8:$C$193, INVCOST!K$8:K$193)</f>
        <v>202.79999999999998</v>
      </c>
    </row>
    <row r="279" spans="2:30" s="39" customFormat="1" x14ac:dyDescent="0.3">
      <c r="B279" s="211"/>
      <c r="C279" s="211"/>
      <c r="D279" s="211"/>
      <c r="E279" s="211"/>
      <c r="F279" s="211" t="s">
        <v>496</v>
      </c>
      <c r="G279" s="50"/>
      <c r="H279" s="40"/>
      <c r="I279" s="41"/>
      <c r="J279" s="41"/>
      <c r="K279" s="42"/>
      <c r="L279" s="42"/>
      <c r="M279" s="42"/>
      <c r="N279" s="42"/>
      <c r="O279" s="265">
        <f>LOOKUP($B278, CEFF!$C$8:$C$156, CEFF!G$8:G$156)</f>
        <v>8.5110000000000005E-2</v>
      </c>
      <c r="P279" s="265">
        <f>LOOKUP($B278, CEFF!$C$8:$C$156, CEFF!H$8:H$156)</f>
        <v>8.8499999999999995E-2</v>
      </c>
      <c r="Q279" s="265">
        <f>LOOKUP($B278, CEFF!$C$8:$C$156, CEFF!I$8:I$156)</f>
        <v>9.0910000000000005E-2</v>
      </c>
      <c r="R279" s="265">
        <f>LOOKUP($B278, CEFF!$C$8:$C$156, CEFF!J$8:J$156)</f>
        <v>9.3460000000000001E-2</v>
      </c>
      <c r="S279" s="40"/>
      <c r="T279" s="40"/>
      <c r="U279" s="40"/>
      <c r="V279" s="41"/>
      <c r="W279" s="41"/>
      <c r="X279" s="60"/>
      <c r="Y279" s="60"/>
      <c r="Z279" s="60"/>
      <c r="AA279" s="60"/>
      <c r="AB279" s="60"/>
      <c r="AC279" s="60"/>
      <c r="AD279" s="60"/>
    </row>
    <row r="280" spans="2:30" s="39" customFormat="1" x14ac:dyDescent="0.3">
      <c r="B280" s="215"/>
      <c r="C280" s="215"/>
      <c r="D280" s="215"/>
      <c r="E280" s="215"/>
      <c r="F280" s="215" t="s">
        <v>504</v>
      </c>
      <c r="G280" s="182"/>
      <c r="H280" s="183"/>
      <c r="I280" s="181"/>
      <c r="J280" s="181"/>
      <c r="K280" s="179"/>
      <c r="L280" s="179"/>
      <c r="M280" s="179"/>
      <c r="N280" s="179"/>
      <c r="O280" s="267">
        <f>LOOKUP($B278, CEFF!$C$163:$C$330, CEFF!G$163:G$330)</f>
        <v>6.8089999999999998E-2</v>
      </c>
      <c r="P280" s="267">
        <f>LOOKUP($B278, CEFF!$C$163:$C$330, CEFF!H$163:H$330)</f>
        <v>7.0800000000000002E-2</v>
      </c>
      <c r="Q280" s="267">
        <f>LOOKUP($B278, CEFF!$C$163:$C$330, CEFF!I$163:I$330)</f>
        <v>7.2730000000000003E-2</v>
      </c>
      <c r="R280" s="267">
        <f>LOOKUP($B278, CEFF!$C$163:$C$330, CEFF!J$163:J$330)</f>
        <v>7.4770000000000003E-2</v>
      </c>
      <c r="S280" s="183"/>
      <c r="T280" s="183"/>
      <c r="U280" s="183"/>
      <c r="V280" s="181"/>
      <c r="W280" s="181"/>
      <c r="X280" s="184"/>
      <c r="Y280" s="184"/>
      <c r="Z280" s="184"/>
      <c r="AA280" s="184"/>
      <c r="AB280" s="184"/>
      <c r="AC280" s="184"/>
      <c r="AD280" s="184"/>
    </row>
    <row r="281" spans="2:30" s="39" customFormat="1" x14ac:dyDescent="0.3">
      <c r="H281" s="36"/>
      <c r="I281" s="37"/>
      <c r="J281" s="38"/>
      <c r="K281" s="47"/>
      <c r="L281" s="47"/>
      <c r="M281" s="47"/>
      <c r="N281" s="47"/>
      <c r="O281" s="38"/>
      <c r="P281" s="38"/>
      <c r="Q281" s="38"/>
      <c r="R281" s="38"/>
      <c r="S281" s="36"/>
      <c r="T281" s="36"/>
      <c r="U281" s="36"/>
      <c r="V281" s="38"/>
      <c r="W281" s="38"/>
      <c r="X281" s="58"/>
      <c r="Y281" s="58"/>
      <c r="Z281" s="58"/>
      <c r="AA281" s="58"/>
      <c r="AB281" s="58"/>
      <c r="AC281" s="58"/>
      <c r="AD281" s="58"/>
    </row>
  </sheetData>
  <sortState xmlns:xlrd2="http://schemas.microsoft.com/office/spreadsheetml/2017/richdata2" ref="D22:D24">
    <sortCondition ref="D22"/>
  </sortState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E40"/>
  <sheetViews>
    <sheetView zoomScale="75" zoomScaleNormal="75" workbookViewId="0">
      <selection activeCell="F31" sqref="F31"/>
    </sheetView>
  </sheetViews>
  <sheetFormatPr defaultRowHeight="14.4" x14ac:dyDescent="0.3"/>
  <cols>
    <col min="2" max="2" width="17" bestFit="1" customWidth="1"/>
    <col min="3" max="3" width="33.6640625" bestFit="1" customWidth="1"/>
    <col min="4" max="4" width="9.6640625" bestFit="1" customWidth="1"/>
    <col min="5" max="5" width="11.44140625" bestFit="1" customWidth="1"/>
    <col min="6" max="6" width="11.109375" bestFit="1" customWidth="1"/>
    <col min="7" max="9" width="11.5546875" customWidth="1"/>
    <col min="10" max="10" width="14.33203125" bestFit="1" customWidth="1"/>
    <col min="11" max="23" width="11.5546875" customWidth="1"/>
    <col min="24" max="32" width="14.33203125" customWidth="1"/>
  </cols>
  <sheetData>
    <row r="3" spans="1:31" x14ac:dyDescent="0.3">
      <c r="B3" s="6" t="s">
        <v>106</v>
      </c>
      <c r="C3" s="7"/>
      <c r="D3" s="8"/>
      <c r="E3" s="8"/>
      <c r="F3" s="9" t="s">
        <v>722</v>
      </c>
      <c r="G3" s="9"/>
    </row>
    <row r="4" spans="1:31" x14ac:dyDescent="0.3">
      <c r="B4" s="201" t="s">
        <v>2</v>
      </c>
      <c r="C4" s="201" t="s">
        <v>3</v>
      </c>
      <c r="D4" s="201" t="s">
        <v>4</v>
      </c>
      <c r="E4" s="201" t="s">
        <v>5</v>
      </c>
      <c r="F4" s="202" t="s">
        <v>6</v>
      </c>
      <c r="G4" s="202" t="s">
        <v>187</v>
      </c>
      <c r="H4" s="203" t="s">
        <v>186</v>
      </c>
      <c r="I4" s="203" t="s">
        <v>11</v>
      </c>
      <c r="J4" s="202" t="s">
        <v>12</v>
      </c>
      <c r="K4" s="202" t="s">
        <v>7</v>
      </c>
      <c r="L4" s="202" t="s">
        <v>8</v>
      </c>
      <c r="M4" s="203" t="s">
        <v>396</v>
      </c>
      <c r="N4" s="203" t="s">
        <v>335</v>
      </c>
      <c r="O4" s="203" t="s">
        <v>336</v>
      </c>
      <c r="P4" s="203" t="s">
        <v>9</v>
      </c>
      <c r="Q4" s="203" t="s">
        <v>10</v>
      </c>
      <c r="R4" s="203" t="s">
        <v>397</v>
      </c>
      <c r="S4" s="203" t="s">
        <v>465</v>
      </c>
      <c r="T4" s="203" t="s">
        <v>13</v>
      </c>
      <c r="U4" s="203" t="s">
        <v>398</v>
      </c>
      <c r="V4" s="203" t="s">
        <v>42</v>
      </c>
      <c r="W4" s="203" t="s">
        <v>14</v>
      </c>
      <c r="X4" s="203" t="s">
        <v>399</v>
      </c>
      <c r="Y4" s="203" t="s">
        <v>15</v>
      </c>
      <c r="Z4" s="203" t="s">
        <v>16</v>
      </c>
      <c r="AA4" s="203" t="s">
        <v>17</v>
      </c>
      <c r="AB4" s="203" t="s">
        <v>18</v>
      </c>
      <c r="AC4" s="203" t="s">
        <v>19</v>
      </c>
      <c r="AD4" s="203" t="s">
        <v>20</v>
      </c>
      <c r="AE4" s="203" t="s">
        <v>21</v>
      </c>
    </row>
    <row r="5" spans="1:31" ht="29.4" thickBot="1" x14ac:dyDescent="0.35">
      <c r="B5" s="204" t="s">
        <v>22</v>
      </c>
      <c r="C5" s="204"/>
      <c r="D5" s="204"/>
      <c r="E5" s="204"/>
      <c r="F5" s="205" t="s">
        <v>23</v>
      </c>
      <c r="G5" s="205">
        <v>2016</v>
      </c>
      <c r="H5" s="206" t="s">
        <v>26</v>
      </c>
      <c r="I5" s="206" t="s">
        <v>24</v>
      </c>
      <c r="J5" s="206" t="s">
        <v>559</v>
      </c>
      <c r="K5" s="205"/>
      <c r="L5" s="205"/>
      <c r="M5" s="207" t="s">
        <v>671</v>
      </c>
      <c r="N5" s="207" t="s">
        <v>671</v>
      </c>
      <c r="O5" s="207" t="s">
        <v>671</v>
      </c>
      <c r="P5" s="207" t="s">
        <v>671</v>
      </c>
      <c r="Q5" s="207" t="s">
        <v>671</v>
      </c>
      <c r="R5" s="206" t="s">
        <v>676</v>
      </c>
      <c r="S5" s="206" t="s">
        <v>676</v>
      </c>
      <c r="T5" s="206" t="s">
        <v>676</v>
      </c>
      <c r="U5" s="206" t="s">
        <v>676</v>
      </c>
      <c r="V5" s="208" t="s">
        <v>679</v>
      </c>
      <c r="W5" s="208" t="s">
        <v>678</v>
      </c>
      <c r="X5" s="208" t="s">
        <v>675</v>
      </c>
      <c r="Y5" s="208" t="s">
        <v>675</v>
      </c>
      <c r="Z5" s="208" t="s">
        <v>675</v>
      </c>
      <c r="AA5" s="208" t="s">
        <v>675</v>
      </c>
      <c r="AB5" s="208" t="s">
        <v>675</v>
      </c>
      <c r="AC5" s="208" t="s">
        <v>675</v>
      </c>
      <c r="AD5" s="208" t="s">
        <v>675</v>
      </c>
      <c r="AE5" s="208" t="s">
        <v>675</v>
      </c>
    </row>
    <row r="6" spans="1:31" x14ac:dyDescent="0.3">
      <c r="A6" s="39"/>
      <c r="B6" s="211" t="s">
        <v>107</v>
      </c>
      <c r="C6" s="210" t="str">
        <f>LOOKUP(B6, TRA_COMM_PRO!$C$17:$C$199, TRA_COMM_PRO!$D$17:$D$199)</f>
        <v>Train.Light.Railcar.ELC.01.</v>
      </c>
      <c r="D6" s="211" t="s">
        <v>705</v>
      </c>
      <c r="E6" s="211"/>
      <c r="F6" s="211"/>
      <c r="G6" s="300">
        <f>$G$5</f>
        <v>2016</v>
      </c>
      <c r="H6" s="301">
        <v>40</v>
      </c>
      <c r="I6" s="65">
        <v>1E-3</v>
      </c>
      <c r="J6" s="60">
        <v>34</v>
      </c>
      <c r="K6" s="60"/>
      <c r="L6" s="60"/>
      <c r="M6" s="265"/>
      <c r="N6" s="265"/>
      <c r="O6" s="265"/>
      <c r="P6" s="265"/>
      <c r="Q6" s="265"/>
      <c r="R6" s="40">
        <v>30</v>
      </c>
      <c r="S6" s="40"/>
      <c r="T6" s="40"/>
      <c r="U6" s="40"/>
      <c r="V6" s="41"/>
      <c r="W6" s="41"/>
      <c r="X6" s="40">
        <f>INVCOST!D181</f>
        <v>777</v>
      </c>
      <c r="Y6" s="40">
        <f>INVCOST!E181</f>
        <v>777</v>
      </c>
      <c r="Z6" s="40">
        <f>INVCOST!F181</f>
        <v>777</v>
      </c>
      <c r="AA6" s="40">
        <f>INVCOST!G181</f>
        <v>777</v>
      </c>
      <c r="AB6" s="40">
        <f>INVCOST!H181</f>
        <v>777</v>
      </c>
      <c r="AC6" s="40">
        <f>INVCOST!I181</f>
        <v>777</v>
      </c>
      <c r="AD6" s="40">
        <f>INVCOST!J181</f>
        <v>777</v>
      </c>
      <c r="AE6" s="40">
        <f>INVCOST!K181</f>
        <v>777</v>
      </c>
    </row>
    <row r="7" spans="1:31" x14ac:dyDescent="0.3">
      <c r="A7" s="39"/>
      <c r="B7" s="211"/>
      <c r="C7" s="211"/>
      <c r="D7" s="211"/>
      <c r="E7" s="211"/>
      <c r="F7" s="211" t="s">
        <v>109</v>
      </c>
      <c r="G7" s="302"/>
      <c r="H7" s="301"/>
      <c r="I7" s="41"/>
      <c r="J7" s="60"/>
      <c r="K7" s="60"/>
      <c r="L7" s="60"/>
      <c r="M7" s="265">
        <f>LOOKUP($B$6, CEFF!$C$163:$C$330, CEFF!F$163:F$330)</f>
        <v>6.5689999999999998E-2</v>
      </c>
      <c r="N7" s="265">
        <f>LOOKUP($B$6, CEFF!$C$163:$C$330, CEFF!G$163:G$330)</f>
        <v>6.5689999999999998E-2</v>
      </c>
      <c r="O7" s="265">
        <f>LOOKUP($B$6, CEFF!$C$163:$C$330, CEFF!H$163:H$330)</f>
        <v>6.5689999999999998E-2</v>
      </c>
      <c r="P7" s="265">
        <f>LOOKUP($B$6, CEFF!$C$163:$C$330, CEFF!I$163:I$330)</f>
        <v>6.5689999999999998E-2</v>
      </c>
      <c r="Q7" s="265">
        <f>LOOKUP($B$6, CEFF!$C$163:$C$330, CEFF!J$163:J$330)</f>
        <v>6.5689999999999998E-2</v>
      </c>
      <c r="R7" s="40"/>
      <c r="S7" s="40"/>
      <c r="T7" s="40"/>
      <c r="U7" s="40"/>
      <c r="V7" s="41"/>
      <c r="W7" s="41"/>
      <c r="X7" s="41"/>
      <c r="Y7" s="41"/>
      <c r="Z7" s="41"/>
      <c r="AA7" s="41"/>
      <c r="AB7" s="41"/>
      <c r="AC7" s="41"/>
      <c r="AD7" s="41"/>
      <c r="AE7" s="41"/>
    </row>
    <row r="8" spans="1:31" x14ac:dyDescent="0.3">
      <c r="A8" s="39"/>
      <c r="B8" s="212"/>
      <c r="C8" s="212"/>
      <c r="D8" s="212"/>
      <c r="E8" s="212"/>
      <c r="F8" s="212" t="s">
        <v>382</v>
      </c>
      <c r="G8" s="303"/>
      <c r="H8" s="304"/>
      <c r="I8" s="46"/>
      <c r="J8" s="46"/>
      <c r="K8" s="64"/>
      <c r="L8" s="64"/>
      <c r="M8" s="291">
        <f>LOOKUP($B$6, CEFF!$C$163:$C$330, CEFF!F$163:F$330)</f>
        <v>6.5689999999999998E-2</v>
      </c>
      <c r="N8" s="291">
        <f>LOOKUP($B$6, CEFF!$C$163:$C$330, CEFF!G$163:G$330)</f>
        <v>6.5689999999999998E-2</v>
      </c>
      <c r="O8" s="291">
        <f>LOOKUP($B$6, CEFF!$C$163:$C$330, CEFF!H$163:H$330)</f>
        <v>6.5689999999999998E-2</v>
      </c>
      <c r="P8" s="291">
        <f>LOOKUP($B$6, CEFF!$C$163:$C$330, CEFF!I$163:I$330)</f>
        <v>6.5689999999999998E-2</v>
      </c>
      <c r="Q8" s="291">
        <f>LOOKUP($B$6, CEFF!$C$163:$C$330, CEFF!J$163:J$330)</f>
        <v>6.5689999999999998E-2</v>
      </c>
      <c r="R8" s="45"/>
      <c r="S8" s="45"/>
      <c r="T8" s="45"/>
      <c r="U8" s="45"/>
      <c r="V8" s="46"/>
      <c r="W8" s="46"/>
      <c r="X8" s="46"/>
      <c r="Y8" s="46"/>
      <c r="Z8" s="46"/>
      <c r="AA8" s="46"/>
      <c r="AB8" s="46"/>
      <c r="AC8" s="46"/>
      <c r="AD8" s="46"/>
      <c r="AE8" s="46"/>
    </row>
    <row r="9" spans="1:31" x14ac:dyDescent="0.3">
      <c r="A9" s="39"/>
      <c r="B9" s="211" t="s">
        <v>110</v>
      </c>
      <c r="C9" s="210" t="str">
        <f>LOOKUP(B9, TRA_COMM_PRO!$C$17:$C$199, TRA_COMM_PRO!$D$17:$D$199)</f>
        <v>Train.Metro.ELC.01.</v>
      </c>
      <c r="D9" s="211" t="s">
        <v>705</v>
      </c>
      <c r="E9" s="211"/>
      <c r="F9" s="211"/>
      <c r="G9" s="300">
        <f>$G$5</f>
        <v>2016</v>
      </c>
      <c r="H9" s="301">
        <f>H6</f>
        <v>40</v>
      </c>
      <c r="I9" s="65">
        <v>1E-3</v>
      </c>
      <c r="J9" s="60">
        <v>144</v>
      </c>
      <c r="K9" s="60"/>
      <c r="L9" s="60"/>
      <c r="M9" s="268"/>
      <c r="N9" s="268"/>
      <c r="O9" s="268"/>
      <c r="P9" s="268"/>
      <c r="Q9" s="268"/>
      <c r="R9" s="40">
        <v>30</v>
      </c>
      <c r="S9" s="40"/>
      <c r="T9" s="40"/>
      <c r="U9" s="40"/>
      <c r="V9" s="41"/>
      <c r="W9" s="41"/>
      <c r="X9" s="40">
        <f>INVCOST!D182</f>
        <v>777</v>
      </c>
      <c r="Y9" s="40">
        <f>INVCOST!E182</f>
        <v>777</v>
      </c>
      <c r="Z9" s="40">
        <f>INVCOST!F182</f>
        <v>777</v>
      </c>
      <c r="AA9" s="40">
        <f>INVCOST!G182</f>
        <v>777</v>
      </c>
      <c r="AB9" s="40">
        <f>INVCOST!H182</f>
        <v>777</v>
      </c>
      <c r="AC9" s="40">
        <f>INVCOST!I182</f>
        <v>777</v>
      </c>
      <c r="AD9" s="40">
        <f>INVCOST!J182</f>
        <v>777</v>
      </c>
      <c r="AE9" s="40">
        <f>INVCOST!K182</f>
        <v>777</v>
      </c>
    </row>
    <row r="10" spans="1:31" x14ac:dyDescent="0.3">
      <c r="A10" s="39"/>
      <c r="B10" s="211"/>
      <c r="C10" s="211"/>
      <c r="D10" s="211"/>
      <c r="E10" s="211"/>
      <c r="F10" s="211" t="s">
        <v>112</v>
      </c>
      <c r="G10" s="302"/>
      <c r="H10" s="301"/>
      <c r="I10" s="41"/>
      <c r="J10" s="60"/>
      <c r="K10" s="60"/>
      <c r="L10" s="60"/>
      <c r="M10" s="265">
        <f>LOOKUP($B$9, CEFF!$C$163:$C$330, CEFF!F$163:F$330)</f>
        <v>1.7610000000000001E-2</v>
      </c>
      <c r="N10" s="265">
        <f>LOOKUP($B$9, CEFF!$C$163:$C$330, CEFF!G$163:G$330)</f>
        <v>1.7610000000000001E-2</v>
      </c>
      <c r="O10" s="265">
        <f>LOOKUP($B$9, CEFF!$C$163:$C$330, CEFF!H$163:H$330)</f>
        <v>1.7610000000000001E-2</v>
      </c>
      <c r="P10" s="265">
        <f>LOOKUP($B$9, CEFF!$C$163:$C$330, CEFF!I$163:I$330)</f>
        <v>1.7610000000000001E-2</v>
      </c>
      <c r="Q10" s="265">
        <f>LOOKUP($B$9, CEFF!$C$163:$C$330, CEFF!J$163:J$330)</f>
        <v>1.7610000000000001E-2</v>
      </c>
      <c r="R10" s="40"/>
      <c r="S10" s="40"/>
      <c r="T10" s="40"/>
      <c r="U10" s="40"/>
      <c r="V10" s="41"/>
      <c r="W10" s="41"/>
      <c r="X10" s="41"/>
      <c r="Y10" s="41"/>
      <c r="Z10" s="41"/>
      <c r="AA10" s="41"/>
      <c r="AB10" s="41"/>
      <c r="AC10" s="41"/>
      <c r="AD10" s="41"/>
      <c r="AE10" s="41"/>
    </row>
    <row r="11" spans="1:31" x14ac:dyDescent="0.3">
      <c r="A11" s="39"/>
      <c r="B11" s="212"/>
      <c r="C11" s="212"/>
      <c r="D11" s="212"/>
      <c r="E11" s="212"/>
      <c r="F11" s="212" t="s">
        <v>383</v>
      </c>
      <c r="G11" s="303"/>
      <c r="H11" s="304"/>
      <c r="I11" s="46"/>
      <c r="J11" s="46"/>
      <c r="K11" s="64"/>
      <c r="L11" s="64"/>
      <c r="M11" s="291">
        <f>LOOKUP($B$9, CEFF!$C$163:$C$330, CEFF!F$163:F$330)</f>
        <v>1.7610000000000001E-2</v>
      </c>
      <c r="N11" s="291">
        <f>LOOKUP($B$9, CEFF!$C$163:$C$330, CEFF!G$163:G$330)</f>
        <v>1.7610000000000001E-2</v>
      </c>
      <c r="O11" s="291">
        <f>LOOKUP($B$9, CEFF!$C$163:$C$330, CEFF!H$163:H$330)</f>
        <v>1.7610000000000001E-2</v>
      </c>
      <c r="P11" s="291">
        <f>LOOKUP($B$9, CEFF!$C$163:$C$330, CEFF!I$163:I$330)</f>
        <v>1.7610000000000001E-2</v>
      </c>
      <c r="Q11" s="291">
        <f>LOOKUP($B$9, CEFF!$C$163:$C$330, CEFF!J$163:J$330)</f>
        <v>1.7610000000000001E-2</v>
      </c>
      <c r="R11" s="45"/>
      <c r="S11" s="45"/>
      <c r="T11" s="45"/>
      <c r="U11" s="45"/>
      <c r="V11" s="46"/>
      <c r="W11" s="46"/>
      <c r="X11" s="46"/>
      <c r="Y11" s="46"/>
      <c r="Z11" s="46"/>
      <c r="AA11" s="46"/>
      <c r="AB11" s="46"/>
      <c r="AC11" s="46"/>
      <c r="AD11" s="46"/>
      <c r="AE11" s="46"/>
    </row>
    <row r="12" spans="1:31" x14ac:dyDescent="0.3">
      <c r="A12" s="39"/>
      <c r="B12" s="211" t="s">
        <v>113</v>
      </c>
      <c r="C12" s="210" t="str">
        <f>LOOKUP(B12, TRA_COMM_PRO!$C$17:$C$199, TRA_COMM_PRO!$D$17:$D$199)</f>
        <v>Train.Passenger.HighSpeed.ELC.01.</v>
      </c>
      <c r="D12" s="211" t="s">
        <v>705</v>
      </c>
      <c r="E12" s="211"/>
      <c r="F12" s="211"/>
      <c r="G12" s="300">
        <f>$G$5</f>
        <v>2016</v>
      </c>
      <c r="H12" s="301">
        <f>H9</f>
        <v>40</v>
      </c>
      <c r="I12" s="65">
        <v>1E-3</v>
      </c>
      <c r="J12" s="60">
        <v>200</v>
      </c>
      <c r="K12" s="60"/>
      <c r="L12" s="60"/>
      <c r="M12" s="268"/>
      <c r="N12" s="268"/>
      <c r="O12" s="268"/>
      <c r="P12" s="268"/>
      <c r="Q12" s="268"/>
      <c r="R12" s="40">
        <v>80</v>
      </c>
      <c r="S12" s="40"/>
      <c r="T12" s="40"/>
      <c r="U12" s="40"/>
      <c r="V12" s="41"/>
      <c r="W12" s="41"/>
      <c r="X12" s="40">
        <f>INVCOST!D183</f>
        <v>777</v>
      </c>
      <c r="Y12" s="40">
        <f>INVCOST!E183</f>
        <v>777</v>
      </c>
      <c r="Z12" s="40">
        <f>INVCOST!F183</f>
        <v>777</v>
      </c>
      <c r="AA12" s="40">
        <f>INVCOST!G183</f>
        <v>777</v>
      </c>
      <c r="AB12" s="40">
        <f>INVCOST!H183</f>
        <v>777</v>
      </c>
      <c r="AC12" s="40">
        <f>INVCOST!I183</f>
        <v>777</v>
      </c>
      <c r="AD12" s="40">
        <f>INVCOST!J183</f>
        <v>777</v>
      </c>
      <c r="AE12" s="40">
        <f>INVCOST!K183</f>
        <v>777</v>
      </c>
    </row>
    <row r="13" spans="1:31" x14ac:dyDescent="0.3">
      <c r="A13" s="39"/>
      <c r="B13" s="211"/>
      <c r="C13" s="211"/>
      <c r="D13" s="211"/>
      <c r="E13" s="211"/>
      <c r="F13" s="211" t="s">
        <v>115</v>
      </c>
      <c r="G13" s="302"/>
      <c r="H13" s="301"/>
      <c r="I13" s="41"/>
      <c r="J13" s="60"/>
      <c r="K13" s="60"/>
      <c r="L13" s="60"/>
      <c r="M13" s="265">
        <f>LOOKUP($B$12, CEFF!$C$8:$C$156, CEFF!F$8:F$156)</f>
        <v>2.0889999999999999E-2</v>
      </c>
      <c r="N13" s="265">
        <f>LOOKUP($B$12, CEFF!$C$8:$C$156, CEFF!G$8:G$156)</f>
        <v>2.0889999999999999E-2</v>
      </c>
      <c r="O13" s="265">
        <f>LOOKUP($B$12, CEFF!$C$8:$C$156, CEFF!H$8:H$156)</f>
        <v>2.0889999999999999E-2</v>
      </c>
      <c r="P13" s="265">
        <f>LOOKUP($B$12, CEFF!$C$8:$C$156, CEFF!I$8:I$156)</f>
        <v>2.0889999999999999E-2</v>
      </c>
      <c r="Q13" s="265">
        <f>LOOKUP($B$12, CEFF!$C$8:$C$156, CEFF!J$8:J$156)</f>
        <v>2.0889999999999999E-2</v>
      </c>
      <c r="R13" s="40"/>
      <c r="S13" s="40"/>
      <c r="T13" s="40"/>
      <c r="U13" s="40"/>
      <c r="V13" s="41"/>
      <c r="W13" s="41"/>
      <c r="X13" s="41"/>
      <c r="Y13" s="41"/>
      <c r="Z13" s="41"/>
      <c r="AA13" s="41"/>
      <c r="AB13" s="41"/>
      <c r="AC13" s="41"/>
      <c r="AD13" s="41"/>
      <c r="AE13" s="41"/>
    </row>
    <row r="14" spans="1:31" x14ac:dyDescent="0.3">
      <c r="A14" s="39"/>
      <c r="B14" s="212"/>
      <c r="C14" s="212"/>
      <c r="D14" s="212"/>
      <c r="E14" s="212"/>
      <c r="F14" s="212" t="s">
        <v>384</v>
      </c>
      <c r="G14" s="303"/>
      <c r="H14" s="304"/>
      <c r="I14" s="46"/>
      <c r="J14" s="46"/>
      <c r="K14" s="64"/>
      <c r="L14" s="64"/>
      <c r="M14" s="291">
        <f>LOOKUP($B$12, CEFF!$C$8:$C$156, CEFF!F$8:F$156)</f>
        <v>2.0889999999999999E-2</v>
      </c>
      <c r="N14" s="291">
        <f>LOOKUP($B$12, CEFF!$C$8:$C$156, CEFF!G$8:G$156)</f>
        <v>2.0889999999999999E-2</v>
      </c>
      <c r="O14" s="291">
        <f>LOOKUP($B$12, CEFF!$C$8:$C$156, CEFF!H$8:H$156)</f>
        <v>2.0889999999999999E-2</v>
      </c>
      <c r="P14" s="291">
        <f>LOOKUP($B$12, CEFF!$C$8:$C$156, CEFF!I$8:I$156)</f>
        <v>2.0889999999999999E-2</v>
      </c>
      <c r="Q14" s="291">
        <f>LOOKUP($B$12, CEFF!$C$8:$C$156, CEFF!J$8:J$156)</f>
        <v>2.0889999999999999E-2</v>
      </c>
      <c r="R14" s="45"/>
      <c r="S14" s="45"/>
      <c r="T14" s="45"/>
      <c r="U14" s="45"/>
      <c r="V14" s="46"/>
      <c r="W14" s="46"/>
      <c r="X14" s="46"/>
      <c r="Y14" s="46"/>
      <c r="Z14" s="46"/>
      <c r="AA14" s="46"/>
      <c r="AB14" s="46"/>
      <c r="AC14" s="46"/>
      <c r="AD14" s="46"/>
      <c r="AE14" s="46"/>
    </row>
    <row r="15" spans="1:31" x14ac:dyDescent="0.3">
      <c r="A15" s="39"/>
      <c r="B15" s="211" t="s">
        <v>116</v>
      </c>
      <c r="C15" s="210" t="str">
        <f>LOOKUP(B15, TRA_COMM_PRO!$C$17:$C$199, TRA_COMM_PRO!$D$17:$D$199)</f>
        <v>Train.Passenger.Loco.ELC.01.</v>
      </c>
      <c r="D15" s="211" t="s">
        <v>705</v>
      </c>
      <c r="E15" s="211"/>
      <c r="F15" s="211"/>
      <c r="G15" s="300">
        <f>$G$5</f>
        <v>2016</v>
      </c>
      <c r="H15" s="301">
        <f>H12</f>
        <v>40</v>
      </c>
      <c r="I15" s="65">
        <v>1E-3</v>
      </c>
      <c r="J15" s="40">
        <v>200</v>
      </c>
      <c r="K15" s="60"/>
      <c r="L15" s="60"/>
      <c r="M15" s="268"/>
      <c r="N15" s="268"/>
      <c r="O15" s="268"/>
      <c r="P15" s="268"/>
      <c r="Q15" s="268"/>
      <c r="R15" s="40">
        <v>80</v>
      </c>
      <c r="S15" s="40"/>
      <c r="T15" s="40"/>
      <c r="U15" s="40"/>
      <c r="V15" s="41"/>
      <c r="W15" s="41"/>
      <c r="X15" s="40">
        <f>INVCOST!D184</f>
        <v>777</v>
      </c>
      <c r="Y15" s="40">
        <f>INVCOST!E184</f>
        <v>777</v>
      </c>
      <c r="Z15" s="40">
        <f>INVCOST!F184</f>
        <v>777</v>
      </c>
      <c r="AA15" s="40">
        <f>INVCOST!G184</f>
        <v>777</v>
      </c>
      <c r="AB15" s="40">
        <f>INVCOST!H184</f>
        <v>777</v>
      </c>
      <c r="AC15" s="40">
        <f>INVCOST!I184</f>
        <v>777</v>
      </c>
      <c r="AD15" s="40">
        <f>INVCOST!J184</f>
        <v>777</v>
      </c>
      <c r="AE15" s="40">
        <f>INVCOST!K184</f>
        <v>777</v>
      </c>
    </row>
    <row r="16" spans="1:31" x14ac:dyDescent="0.3">
      <c r="A16" s="39"/>
      <c r="B16" s="211"/>
      <c r="C16" s="211"/>
      <c r="D16" s="211"/>
      <c r="E16" s="211"/>
      <c r="F16" s="211" t="s">
        <v>118</v>
      </c>
      <c r="G16" s="302"/>
      <c r="H16" s="301"/>
      <c r="I16" s="41"/>
      <c r="J16" s="40"/>
      <c r="K16" s="60"/>
      <c r="L16" s="60"/>
      <c r="M16" s="265">
        <f>LOOKUP($B$15, CEFF!$C$8:$C$156, CEFF!F$8:F$156)</f>
        <v>2.0889999999999999E-2</v>
      </c>
      <c r="N16" s="265">
        <f>LOOKUP($B$15, CEFF!$C$8:$C$156, CEFF!G$8:G$156)</f>
        <v>2.0889999999999999E-2</v>
      </c>
      <c r="O16" s="265">
        <f>LOOKUP($B$15, CEFF!$C$8:$C$156, CEFF!H$8:H$156)</f>
        <v>2.0889999999999999E-2</v>
      </c>
      <c r="P16" s="265">
        <f>LOOKUP($B$15, CEFF!$C$8:$C$156, CEFF!I$8:I$156)</f>
        <v>2.0889999999999999E-2</v>
      </c>
      <c r="Q16" s="265">
        <f>LOOKUP($B$15, CEFF!$C$8:$C$156, CEFF!J$8:J$156)</f>
        <v>2.0889999999999999E-2</v>
      </c>
      <c r="R16" s="40"/>
      <c r="S16" s="40"/>
      <c r="T16" s="40"/>
      <c r="U16" s="40"/>
      <c r="V16" s="41"/>
      <c r="W16" s="41"/>
      <c r="X16" s="41"/>
      <c r="Y16" s="41"/>
      <c r="Z16" s="41"/>
      <c r="AA16" s="41"/>
      <c r="AB16" s="41"/>
      <c r="AC16" s="41"/>
      <c r="AD16" s="41"/>
      <c r="AE16" s="41"/>
    </row>
    <row r="17" spans="1:31" x14ac:dyDescent="0.3">
      <c r="A17" s="39"/>
      <c r="B17" s="212"/>
      <c r="C17" s="212"/>
      <c r="D17" s="212"/>
      <c r="E17" s="212"/>
      <c r="F17" s="212" t="s">
        <v>385</v>
      </c>
      <c r="G17" s="303"/>
      <c r="H17" s="304"/>
      <c r="I17" s="46"/>
      <c r="J17" s="46"/>
      <c r="K17" s="64"/>
      <c r="L17" s="64"/>
      <c r="M17" s="291">
        <f>LOOKUP($B$15, CEFF!$C$8:$C$156, CEFF!F$8:F$156)</f>
        <v>2.0889999999999999E-2</v>
      </c>
      <c r="N17" s="291">
        <f>LOOKUP($B$15, CEFF!$C$8:$C$156, CEFF!G$8:G$156)</f>
        <v>2.0889999999999999E-2</v>
      </c>
      <c r="O17" s="291">
        <f>LOOKUP($B$15, CEFF!$C$8:$C$156, CEFF!H$8:H$156)</f>
        <v>2.0889999999999999E-2</v>
      </c>
      <c r="P17" s="291">
        <f>LOOKUP($B$15, CEFF!$C$8:$C$156, CEFF!I$8:I$156)</f>
        <v>2.0889999999999999E-2</v>
      </c>
      <c r="Q17" s="291">
        <f>LOOKUP($B$15, CEFF!$C$8:$C$156, CEFF!J$8:J$156)</f>
        <v>2.0889999999999999E-2</v>
      </c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</row>
    <row r="18" spans="1:31" x14ac:dyDescent="0.3">
      <c r="A18" s="39"/>
      <c r="B18" s="211" t="s">
        <v>119</v>
      </c>
      <c r="C18" s="210" t="str">
        <f>LOOKUP(B18, TRA_COMM_PRO!$C$17:$C$199, TRA_COMM_PRO!$D$17:$D$199)</f>
        <v>Train.Passenger.Railcar.ELC.01.</v>
      </c>
      <c r="D18" s="211" t="s">
        <v>705</v>
      </c>
      <c r="E18" s="211"/>
      <c r="F18" s="211"/>
      <c r="G18" s="300">
        <f>$G$5</f>
        <v>2016</v>
      </c>
      <c r="H18" s="301">
        <f>H15</f>
        <v>40</v>
      </c>
      <c r="I18" s="65">
        <v>1E-3</v>
      </c>
      <c r="J18" s="40">
        <v>200</v>
      </c>
      <c r="K18" s="60"/>
      <c r="L18" s="60"/>
      <c r="M18" s="268"/>
      <c r="N18" s="268"/>
      <c r="O18" s="268"/>
      <c r="P18" s="268"/>
      <c r="Q18" s="268"/>
      <c r="R18" s="40">
        <v>80</v>
      </c>
      <c r="S18" s="40"/>
      <c r="T18" s="40"/>
      <c r="U18" s="40"/>
      <c r="V18" s="41"/>
      <c r="W18" s="41"/>
      <c r="X18" s="40">
        <f>INVCOST!D185</f>
        <v>777</v>
      </c>
      <c r="Y18" s="40">
        <f>INVCOST!E185</f>
        <v>777</v>
      </c>
      <c r="Z18" s="40">
        <f>INVCOST!F185</f>
        <v>777</v>
      </c>
      <c r="AA18" s="40">
        <f>INVCOST!G185</f>
        <v>777</v>
      </c>
      <c r="AB18" s="40">
        <f>INVCOST!H185</f>
        <v>777</v>
      </c>
      <c r="AC18" s="40">
        <f>INVCOST!I185</f>
        <v>777</v>
      </c>
      <c r="AD18" s="40">
        <f>INVCOST!J185</f>
        <v>777</v>
      </c>
      <c r="AE18" s="40">
        <f>INVCOST!K185</f>
        <v>777</v>
      </c>
    </row>
    <row r="19" spans="1:31" x14ac:dyDescent="0.3">
      <c r="A19" s="39"/>
      <c r="B19" s="211"/>
      <c r="C19" s="211"/>
      <c r="D19" s="211"/>
      <c r="E19" s="211"/>
      <c r="F19" s="211" t="s">
        <v>118</v>
      </c>
      <c r="G19" s="302"/>
      <c r="H19" s="301"/>
      <c r="I19" s="41"/>
      <c r="J19" s="40"/>
      <c r="K19" s="60"/>
      <c r="L19" s="60"/>
      <c r="M19" s="265">
        <f>LOOKUP($B$18, CEFF!$C$8:$C$156, CEFF!F$8:F$156)</f>
        <v>2.0889999999999999E-2</v>
      </c>
      <c r="N19" s="265">
        <f>LOOKUP($B$18, CEFF!$C$8:$C$156, CEFF!G$8:G$156)</f>
        <v>2.0889999999999999E-2</v>
      </c>
      <c r="O19" s="265">
        <f>LOOKUP($B$18, CEFF!$C$8:$C$156, CEFF!H$8:H$156)</f>
        <v>2.0889999999999999E-2</v>
      </c>
      <c r="P19" s="265">
        <f>LOOKUP($B$18, CEFF!$C$8:$C$156, CEFF!I$8:I$156)</f>
        <v>2.0889999999999999E-2</v>
      </c>
      <c r="Q19" s="265">
        <f>LOOKUP($B$18, CEFF!$C$8:$C$156, CEFF!J$8:J$156)</f>
        <v>2.0889999999999999E-2</v>
      </c>
      <c r="R19" s="40"/>
      <c r="S19" s="40"/>
      <c r="T19" s="40"/>
      <c r="U19" s="40"/>
      <c r="V19" s="41"/>
      <c r="W19" s="41"/>
      <c r="X19" s="41"/>
      <c r="Y19" s="41"/>
      <c r="Z19" s="41"/>
      <c r="AA19" s="41"/>
      <c r="AB19" s="41"/>
      <c r="AC19" s="41"/>
      <c r="AD19" s="41"/>
      <c r="AE19" s="41"/>
    </row>
    <row r="20" spans="1:31" x14ac:dyDescent="0.3">
      <c r="A20" s="39"/>
      <c r="B20" s="212"/>
      <c r="C20" s="212"/>
      <c r="D20" s="212"/>
      <c r="E20" s="212"/>
      <c r="F20" s="212" t="s">
        <v>385</v>
      </c>
      <c r="G20" s="303"/>
      <c r="H20" s="304"/>
      <c r="I20" s="46"/>
      <c r="J20" s="46"/>
      <c r="K20" s="64"/>
      <c r="L20" s="64"/>
      <c r="M20" s="291">
        <f>LOOKUP($B$18, CEFF!$C$8:$C$156, CEFF!F$8:F$156)</f>
        <v>2.0889999999999999E-2</v>
      </c>
      <c r="N20" s="291">
        <f>LOOKUP($B$18, CEFF!$C$8:$C$156, CEFF!G$8:G$156)</f>
        <v>2.0889999999999999E-2</v>
      </c>
      <c r="O20" s="291">
        <f>LOOKUP($B$18, CEFF!$C$8:$C$156, CEFF!H$8:H$156)</f>
        <v>2.0889999999999999E-2</v>
      </c>
      <c r="P20" s="291">
        <f>LOOKUP($B$18, CEFF!$C$8:$C$156, CEFF!I$8:I$156)</f>
        <v>2.0889999999999999E-2</v>
      </c>
      <c r="Q20" s="291">
        <f>LOOKUP($B$18, CEFF!$C$8:$C$156, CEFF!J$8:J$156)</f>
        <v>2.0889999999999999E-2</v>
      </c>
      <c r="R20" s="45"/>
      <c r="S20" s="45"/>
      <c r="T20" s="45"/>
      <c r="U20" s="45"/>
      <c r="V20" s="46"/>
      <c r="W20" s="46"/>
      <c r="X20" s="46"/>
      <c r="Y20" s="46"/>
      <c r="Z20" s="46"/>
      <c r="AA20" s="46"/>
      <c r="AB20" s="46"/>
      <c r="AC20" s="46"/>
      <c r="AD20" s="46"/>
      <c r="AE20" s="46"/>
    </row>
    <row r="21" spans="1:31" x14ac:dyDescent="0.3">
      <c r="A21" s="39"/>
      <c r="B21" s="211" t="s">
        <v>121</v>
      </c>
      <c r="C21" s="210" t="str">
        <f>LOOKUP(B21, TRA_COMM_PRO!$C$17:$C$199, TRA_COMM_PRO!$D$17:$D$199)</f>
        <v>Train.Passenger.Loco.DST.01.</v>
      </c>
      <c r="D21" s="211" t="s">
        <v>707</v>
      </c>
      <c r="E21" s="211"/>
      <c r="F21" s="211"/>
      <c r="G21" s="300">
        <f>$G$5</f>
        <v>2016</v>
      </c>
      <c r="H21" s="301">
        <f>H18</f>
        <v>40</v>
      </c>
      <c r="I21" s="65">
        <v>1E-3</v>
      </c>
      <c r="J21" s="40">
        <v>22</v>
      </c>
      <c r="K21" s="42"/>
      <c r="L21" s="41">
        <v>0.5</v>
      </c>
      <c r="M21" s="268"/>
      <c r="N21" s="268"/>
      <c r="O21" s="268"/>
      <c r="P21" s="268"/>
      <c r="Q21" s="268"/>
      <c r="R21" s="40">
        <v>80</v>
      </c>
      <c r="S21" s="40"/>
      <c r="T21" s="40"/>
      <c r="U21" s="40"/>
      <c r="V21" s="41"/>
      <c r="W21" s="41"/>
      <c r="X21" s="40">
        <f>INVCOST!D186</f>
        <v>777</v>
      </c>
      <c r="Y21" s="40">
        <f>INVCOST!E186</f>
        <v>777</v>
      </c>
      <c r="Z21" s="40">
        <f>INVCOST!F186</f>
        <v>777</v>
      </c>
      <c r="AA21" s="40">
        <f>INVCOST!G186</f>
        <v>777</v>
      </c>
      <c r="AB21" s="40">
        <f>INVCOST!H186</f>
        <v>777</v>
      </c>
      <c r="AC21" s="40">
        <f>INVCOST!I186</f>
        <v>777</v>
      </c>
      <c r="AD21" s="40">
        <f>INVCOST!J186</f>
        <v>777</v>
      </c>
      <c r="AE21" s="40">
        <f>INVCOST!K186</f>
        <v>777</v>
      </c>
    </row>
    <row r="22" spans="1:31" x14ac:dyDescent="0.3">
      <c r="A22" s="39"/>
      <c r="B22" s="211"/>
      <c r="C22" s="211"/>
      <c r="D22" s="211" t="s">
        <v>706</v>
      </c>
      <c r="E22" s="211"/>
      <c r="F22" s="211"/>
      <c r="G22" s="302"/>
      <c r="H22" s="301"/>
      <c r="I22" s="41"/>
      <c r="J22" s="41"/>
      <c r="K22" s="60"/>
      <c r="L22" s="60"/>
      <c r="M22" s="265"/>
      <c r="N22" s="265"/>
      <c r="O22" s="265"/>
      <c r="P22" s="265"/>
      <c r="Q22" s="265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</row>
    <row r="23" spans="1:31" x14ac:dyDescent="0.3">
      <c r="A23" s="39"/>
      <c r="B23" s="211"/>
      <c r="C23" s="211"/>
      <c r="D23" s="211"/>
      <c r="E23" s="211"/>
      <c r="F23" s="211" t="s">
        <v>118</v>
      </c>
      <c r="G23" s="302"/>
      <c r="H23" s="301"/>
      <c r="I23" s="41"/>
      <c r="J23" s="40"/>
      <c r="K23" s="60"/>
      <c r="L23" s="60"/>
      <c r="M23" s="265">
        <f>LOOKUP($B$21, CEFF!$C$8:$C$156, CEFF!F$8:F$156)</f>
        <v>2.76E-2</v>
      </c>
      <c r="N23" s="265">
        <f>LOOKUP($B$21, CEFF!$C$8:$C$156, CEFF!G$8:G$156)</f>
        <v>2.76E-2</v>
      </c>
      <c r="O23" s="265">
        <f>LOOKUP($B$21, CEFF!$C$8:$C$156, CEFF!H$8:H$156)</f>
        <v>2.76E-2</v>
      </c>
      <c r="P23" s="265">
        <f>LOOKUP($B$21, CEFF!$C$8:$C$156, CEFF!I$8:I$156)</f>
        <v>2.76E-2</v>
      </c>
      <c r="Q23" s="265">
        <f>LOOKUP($B$21, CEFF!$C$8:$C$156, CEFF!J$8:J$156)</f>
        <v>2.76E-2</v>
      </c>
      <c r="R23" s="40"/>
      <c r="S23" s="40"/>
      <c r="T23" s="40"/>
      <c r="U23" s="40"/>
      <c r="V23" s="41"/>
      <c r="W23" s="41"/>
      <c r="X23" s="41"/>
      <c r="Y23" s="41"/>
      <c r="Z23" s="41"/>
      <c r="AA23" s="41"/>
      <c r="AB23" s="41"/>
      <c r="AC23" s="41"/>
      <c r="AD23" s="41"/>
      <c r="AE23" s="41"/>
    </row>
    <row r="24" spans="1:31" x14ac:dyDescent="0.3">
      <c r="A24" s="39"/>
      <c r="B24" s="212"/>
      <c r="C24" s="212"/>
      <c r="D24" s="212"/>
      <c r="E24" s="212"/>
      <c r="F24" s="212" t="s">
        <v>385</v>
      </c>
      <c r="G24" s="303"/>
      <c r="H24" s="304"/>
      <c r="I24" s="46"/>
      <c r="J24" s="46"/>
      <c r="K24" s="64"/>
      <c r="L24" s="64"/>
      <c r="M24" s="291">
        <f>LOOKUP($B$21, CEFF!$C$8:$C$156, CEFF!F$8:F$156)</f>
        <v>2.76E-2</v>
      </c>
      <c r="N24" s="291">
        <f>LOOKUP($B$21, CEFF!$C$8:$C$156, CEFF!G$8:G$156)</f>
        <v>2.76E-2</v>
      </c>
      <c r="O24" s="291">
        <f>LOOKUP($B$21, CEFF!$C$8:$C$156, CEFF!H$8:H$156)</f>
        <v>2.76E-2</v>
      </c>
      <c r="P24" s="291">
        <f>LOOKUP($B$21, CEFF!$C$8:$C$156, CEFF!I$8:I$156)</f>
        <v>2.76E-2</v>
      </c>
      <c r="Q24" s="291">
        <f>LOOKUP($B$21, CEFF!$C$8:$C$156, CEFF!J$8:J$156)</f>
        <v>2.76E-2</v>
      </c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</row>
    <row r="25" spans="1:31" x14ac:dyDescent="0.3">
      <c r="A25" s="39"/>
      <c r="B25" s="211" t="s">
        <v>123</v>
      </c>
      <c r="C25" s="210" t="str">
        <f>LOOKUP(B25, TRA_COMM_PRO!$C$17:$C$199, TRA_COMM_PRO!$D$17:$D$199)</f>
        <v>Train.Passenger.Railcar.DST.01.</v>
      </c>
      <c r="D25" s="211" t="s">
        <v>707</v>
      </c>
      <c r="E25" s="211"/>
      <c r="F25" s="211"/>
      <c r="G25" s="300">
        <f>$G$5</f>
        <v>2016</v>
      </c>
      <c r="H25" s="301">
        <f>H21</f>
        <v>40</v>
      </c>
      <c r="I25" s="65">
        <v>1E-3</v>
      </c>
      <c r="J25" s="40">
        <v>22</v>
      </c>
      <c r="K25" s="42"/>
      <c r="L25" s="41">
        <v>0.5</v>
      </c>
      <c r="M25" s="268"/>
      <c r="N25" s="268"/>
      <c r="O25" s="268"/>
      <c r="P25" s="268"/>
      <c r="Q25" s="268"/>
      <c r="R25" s="40">
        <v>80</v>
      </c>
      <c r="S25" s="40"/>
      <c r="T25" s="40"/>
      <c r="U25" s="40"/>
      <c r="V25" s="41"/>
      <c r="W25" s="41"/>
      <c r="X25" s="40">
        <f>INVCOST!D187</f>
        <v>777</v>
      </c>
      <c r="Y25" s="40">
        <f>INVCOST!E187</f>
        <v>777</v>
      </c>
      <c r="Z25" s="40">
        <f>INVCOST!F187</f>
        <v>777</v>
      </c>
      <c r="AA25" s="40">
        <f>INVCOST!G187</f>
        <v>777</v>
      </c>
      <c r="AB25" s="40">
        <f>INVCOST!H187</f>
        <v>777</v>
      </c>
      <c r="AC25" s="40">
        <f>INVCOST!I187</f>
        <v>777</v>
      </c>
      <c r="AD25" s="40">
        <f>INVCOST!J187</f>
        <v>777</v>
      </c>
      <c r="AE25" s="40">
        <f>INVCOST!K187</f>
        <v>777</v>
      </c>
    </row>
    <row r="26" spans="1:31" x14ac:dyDescent="0.3">
      <c r="A26" s="39"/>
      <c r="B26" s="211"/>
      <c r="C26" s="211"/>
      <c r="D26" s="211" t="s">
        <v>706</v>
      </c>
      <c r="E26" s="211"/>
      <c r="F26" s="211"/>
      <c r="G26" s="302"/>
      <c r="H26" s="301"/>
      <c r="I26" s="41"/>
      <c r="J26" s="40"/>
      <c r="K26" s="60"/>
      <c r="L26" s="60"/>
      <c r="M26" s="265"/>
      <c r="N26" s="265"/>
      <c r="O26" s="265"/>
      <c r="P26" s="265"/>
      <c r="Q26" s="265"/>
      <c r="R26" s="40"/>
      <c r="S26" s="40"/>
      <c r="T26" s="40"/>
      <c r="U26" s="40"/>
      <c r="V26" s="41"/>
      <c r="W26" s="41"/>
      <c r="X26" s="41"/>
      <c r="Y26" s="41"/>
      <c r="Z26" s="41"/>
      <c r="AA26" s="41"/>
      <c r="AB26" s="41"/>
      <c r="AC26" s="41"/>
      <c r="AD26" s="41"/>
      <c r="AE26" s="41"/>
    </row>
    <row r="27" spans="1:31" x14ac:dyDescent="0.3">
      <c r="A27" s="39"/>
      <c r="B27" s="211"/>
      <c r="C27" s="211"/>
      <c r="D27" s="211"/>
      <c r="E27" s="211"/>
      <c r="F27" s="211" t="s">
        <v>118</v>
      </c>
      <c r="G27" s="302"/>
      <c r="H27" s="301"/>
      <c r="I27" s="41"/>
      <c r="J27" s="40"/>
      <c r="K27" s="60"/>
      <c r="L27" s="60"/>
      <c r="M27" s="265">
        <f>LOOKUP($B$25, CEFF!$C$8:$C$156, CEFF!F$8:F$156)</f>
        <v>2.76E-2</v>
      </c>
      <c r="N27" s="265">
        <f>LOOKUP($B$25, CEFF!$C$8:$C$156, CEFF!G$8:G$156)</f>
        <v>2.76E-2</v>
      </c>
      <c r="O27" s="265">
        <f>LOOKUP($B$25, CEFF!$C$8:$C$156, CEFF!H$8:H$156)</f>
        <v>2.76E-2</v>
      </c>
      <c r="P27" s="265">
        <f>LOOKUP($B$25, CEFF!$C$8:$C$156, CEFF!I$8:I$156)</f>
        <v>2.76E-2</v>
      </c>
      <c r="Q27" s="265">
        <f>LOOKUP($B$25, CEFF!$C$8:$C$156, CEFF!J$8:J$156)</f>
        <v>2.76E-2</v>
      </c>
      <c r="R27" s="40"/>
      <c r="S27" s="40"/>
      <c r="T27" s="40"/>
      <c r="U27" s="40"/>
      <c r="V27" s="41"/>
      <c r="W27" s="41"/>
      <c r="X27" s="41"/>
      <c r="Y27" s="41"/>
      <c r="Z27" s="41"/>
      <c r="AA27" s="41"/>
      <c r="AB27" s="41"/>
      <c r="AC27" s="41"/>
      <c r="AD27" s="41"/>
      <c r="AE27" s="41"/>
    </row>
    <row r="28" spans="1:31" x14ac:dyDescent="0.3">
      <c r="A28" s="39"/>
      <c r="B28" s="215"/>
      <c r="C28" s="215"/>
      <c r="D28" s="215"/>
      <c r="E28" s="215"/>
      <c r="F28" s="215" t="s">
        <v>385</v>
      </c>
      <c r="G28" s="305"/>
      <c r="H28" s="306"/>
      <c r="I28" s="181"/>
      <c r="J28" s="181"/>
      <c r="K28" s="184"/>
      <c r="L28" s="184"/>
      <c r="M28" s="267">
        <f>LOOKUP($B$25, CEFF!$C$8:$C$156, CEFF!F$8:F$156)</f>
        <v>2.76E-2</v>
      </c>
      <c r="N28" s="267">
        <f>LOOKUP($B$25, CEFF!$C$8:$C$156, CEFF!G$8:G$156)</f>
        <v>2.76E-2</v>
      </c>
      <c r="O28" s="267">
        <f>LOOKUP($B$25, CEFF!$C$8:$C$156, CEFF!H$8:H$156)</f>
        <v>2.76E-2</v>
      </c>
      <c r="P28" s="267">
        <f>LOOKUP($B$25, CEFF!$C$8:$C$156, CEFF!I$8:I$156)</f>
        <v>2.76E-2</v>
      </c>
      <c r="Q28" s="267">
        <f>LOOKUP($B$25, CEFF!$C$8:$C$156, CEFF!J$8:J$156)</f>
        <v>2.76E-2</v>
      </c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</row>
    <row r="30" spans="1:31" s="39" customFormat="1" x14ac:dyDescent="0.3">
      <c r="H30" s="36"/>
      <c r="I30" s="37"/>
      <c r="J30" s="38"/>
      <c r="K30" s="58"/>
      <c r="L30" s="58"/>
      <c r="M30" s="38"/>
      <c r="N30" s="38"/>
      <c r="O30" s="38"/>
      <c r="P30" s="38"/>
      <c r="Q30" s="38"/>
      <c r="R30" s="36"/>
      <c r="S30" s="36"/>
      <c r="T30" s="36"/>
      <c r="U30" s="36"/>
      <c r="V30" s="38"/>
      <c r="W30" s="38"/>
      <c r="X30" s="38"/>
      <c r="Y30" s="38"/>
      <c r="Z30" s="38"/>
      <c r="AA30" s="38"/>
      <c r="AB30" s="38"/>
      <c r="AC30" s="38"/>
      <c r="AD30" s="38"/>
      <c r="AE30" s="38"/>
    </row>
    <row r="31" spans="1:31" x14ac:dyDescent="0.3">
      <c r="B31" s="6" t="s">
        <v>172</v>
      </c>
      <c r="C31" s="7"/>
      <c r="D31" s="8"/>
      <c r="E31" s="8"/>
      <c r="F31" s="9" t="s">
        <v>722</v>
      </c>
      <c r="G31" s="9"/>
    </row>
    <row r="32" spans="1:31" x14ac:dyDescent="0.3">
      <c r="B32" s="201" t="s">
        <v>2</v>
      </c>
      <c r="C32" s="201" t="s">
        <v>3</v>
      </c>
      <c r="D32" s="201" t="s">
        <v>4</v>
      </c>
      <c r="E32" s="201" t="s">
        <v>5</v>
      </c>
      <c r="F32" s="202" t="s">
        <v>6</v>
      </c>
      <c r="G32" s="202" t="s">
        <v>187</v>
      </c>
      <c r="H32" s="203" t="s">
        <v>186</v>
      </c>
      <c r="I32" s="203" t="s">
        <v>11</v>
      </c>
      <c r="J32" s="202" t="s">
        <v>12</v>
      </c>
      <c r="K32" s="202" t="s">
        <v>7</v>
      </c>
      <c r="L32" s="202" t="s">
        <v>8</v>
      </c>
      <c r="M32" s="203" t="s">
        <v>396</v>
      </c>
      <c r="N32" s="203" t="s">
        <v>335</v>
      </c>
      <c r="O32" s="203" t="s">
        <v>336</v>
      </c>
      <c r="P32" s="203" t="s">
        <v>9</v>
      </c>
      <c r="Q32" s="203" t="s">
        <v>10</v>
      </c>
      <c r="R32" s="203" t="s">
        <v>397</v>
      </c>
      <c r="S32" s="203" t="s">
        <v>465</v>
      </c>
      <c r="T32" s="203" t="s">
        <v>13</v>
      </c>
      <c r="U32" s="203" t="s">
        <v>398</v>
      </c>
      <c r="V32" s="203" t="s">
        <v>42</v>
      </c>
      <c r="W32" s="203" t="s">
        <v>14</v>
      </c>
      <c r="X32" s="203" t="s">
        <v>399</v>
      </c>
      <c r="Y32" s="203" t="s">
        <v>15</v>
      </c>
      <c r="Z32" s="203" t="s">
        <v>16</v>
      </c>
      <c r="AA32" s="203" t="s">
        <v>17</v>
      </c>
      <c r="AB32" s="203" t="s">
        <v>18</v>
      </c>
      <c r="AC32" s="203" t="s">
        <v>19</v>
      </c>
      <c r="AD32" s="203" t="s">
        <v>20</v>
      </c>
      <c r="AE32" s="203" t="s">
        <v>21</v>
      </c>
    </row>
    <row r="33" spans="2:31" ht="33.75" customHeight="1" thickBot="1" x14ac:dyDescent="0.35">
      <c r="B33" s="204" t="s">
        <v>22</v>
      </c>
      <c r="C33" s="204"/>
      <c r="D33" s="204"/>
      <c r="E33" s="204"/>
      <c r="F33" s="205" t="s">
        <v>23</v>
      </c>
      <c r="G33" s="205">
        <v>2016</v>
      </c>
      <c r="H33" s="206" t="s">
        <v>26</v>
      </c>
      <c r="I33" s="206" t="s">
        <v>24</v>
      </c>
      <c r="J33" s="206" t="s">
        <v>173</v>
      </c>
      <c r="K33" s="205"/>
      <c r="L33" s="205"/>
      <c r="M33" s="207" t="s">
        <v>671</v>
      </c>
      <c r="N33" s="207" t="str">
        <f>M33</f>
        <v>Vkm/MJ</v>
      </c>
      <c r="O33" s="207" t="str">
        <f>N33</f>
        <v>Vkm/MJ</v>
      </c>
      <c r="P33" s="207" t="str">
        <f>O33</f>
        <v>Vkm/MJ</v>
      </c>
      <c r="Q33" s="207" t="str">
        <f>P33</f>
        <v>Vkm/MJ</v>
      </c>
      <c r="R33" s="206" t="s">
        <v>676</v>
      </c>
      <c r="S33" s="206" t="s">
        <v>676</v>
      </c>
      <c r="T33" s="206" t="s">
        <v>676</v>
      </c>
      <c r="U33" s="206" t="s">
        <v>676</v>
      </c>
      <c r="V33" s="208" t="s">
        <v>679</v>
      </c>
      <c r="W33" s="208" t="s">
        <v>678</v>
      </c>
      <c r="X33" s="208" t="s">
        <v>675</v>
      </c>
      <c r="Y33" s="208" t="s">
        <v>675</v>
      </c>
      <c r="Z33" s="208" t="s">
        <v>675</v>
      </c>
      <c r="AA33" s="208" t="s">
        <v>675</v>
      </c>
      <c r="AB33" s="208" t="s">
        <v>675</v>
      </c>
      <c r="AC33" s="208" t="s">
        <v>675</v>
      </c>
      <c r="AD33" s="208" t="s">
        <v>675</v>
      </c>
      <c r="AE33" s="208" t="s">
        <v>675</v>
      </c>
    </row>
    <row r="34" spans="2:31" s="39" customFormat="1" x14ac:dyDescent="0.3">
      <c r="B34" s="211" t="s">
        <v>174</v>
      </c>
      <c r="C34" s="210" t="str">
        <f>LOOKUP(B34, TRA_COMM_PRO!$C$17:$C$199, TRA_COMM_PRO!$D$17:$D$199)</f>
        <v>Train.Freight.Loco.DST.01.</v>
      </c>
      <c r="D34" s="211" t="s">
        <v>707</v>
      </c>
      <c r="E34" s="211"/>
      <c r="F34" s="211"/>
      <c r="G34" s="300">
        <f>$G$33</f>
        <v>2016</v>
      </c>
      <c r="H34" s="301">
        <v>50</v>
      </c>
      <c r="I34" s="65">
        <v>1E-3</v>
      </c>
      <c r="J34" s="60">
        <v>549.47972830879576</v>
      </c>
      <c r="K34" s="42"/>
      <c r="L34" s="42">
        <v>0.5</v>
      </c>
      <c r="M34" s="43"/>
      <c r="N34" s="43"/>
      <c r="O34" s="43"/>
      <c r="P34" s="43"/>
      <c r="Q34" s="43"/>
      <c r="R34" s="40">
        <v>100</v>
      </c>
      <c r="S34" s="40"/>
      <c r="T34" s="40"/>
      <c r="U34" s="40"/>
      <c r="V34" s="41"/>
      <c r="W34" s="41"/>
      <c r="X34" s="40">
        <f>INVCOST!D179</f>
        <v>777</v>
      </c>
      <c r="Y34" s="40">
        <f>INVCOST!E179</f>
        <v>777</v>
      </c>
      <c r="Z34" s="40">
        <f>INVCOST!F179</f>
        <v>777</v>
      </c>
      <c r="AA34" s="40">
        <f>INVCOST!G179</f>
        <v>777</v>
      </c>
      <c r="AB34" s="40">
        <f>INVCOST!H179</f>
        <v>777</v>
      </c>
      <c r="AC34" s="40">
        <f>INVCOST!I179</f>
        <v>777</v>
      </c>
      <c r="AD34" s="40">
        <f>INVCOST!J179</f>
        <v>777</v>
      </c>
      <c r="AE34" s="40">
        <f>INVCOST!K179</f>
        <v>777</v>
      </c>
    </row>
    <row r="35" spans="2:31" s="39" customFormat="1" x14ac:dyDescent="0.3">
      <c r="B35" s="211"/>
      <c r="C35" s="210"/>
      <c r="D35" s="211" t="s">
        <v>706</v>
      </c>
      <c r="E35" s="211"/>
      <c r="F35" s="211"/>
      <c r="G35" s="302"/>
      <c r="H35" s="301"/>
      <c r="I35" s="41"/>
      <c r="J35" s="41"/>
      <c r="K35" s="42"/>
      <c r="L35" s="42"/>
      <c r="M35" s="41"/>
      <c r="N35" s="41"/>
      <c r="O35" s="41"/>
      <c r="P35" s="41"/>
      <c r="Q35" s="41"/>
      <c r="R35" s="40"/>
      <c r="S35" s="40"/>
      <c r="T35" s="40"/>
      <c r="U35" s="40"/>
      <c r="V35" s="41"/>
      <c r="W35" s="41"/>
      <c r="X35" s="41"/>
      <c r="Y35" s="41"/>
      <c r="Z35" s="41"/>
      <c r="AA35" s="41"/>
      <c r="AB35" s="41"/>
      <c r="AC35" s="41"/>
      <c r="AD35" s="41"/>
      <c r="AE35" s="41"/>
    </row>
    <row r="36" spans="2:31" s="39" customFormat="1" x14ac:dyDescent="0.3">
      <c r="B36" s="211"/>
      <c r="C36" s="210"/>
      <c r="D36" s="211"/>
      <c r="E36" s="211"/>
      <c r="F36" s="211" t="s">
        <v>176</v>
      </c>
      <c r="G36" s="302"/>
      <c r="H36" s="301"/>
      <c r="I36" s="41"/>
      <c r="J36" s="41"/>
      <c r="K36" s="42"/>
      <c r="L36" s="42"/>
      <c r="M36" s="278">
        <f>LOOKUP($B$34, CEFF!$C$8:$C$156, CEFF!F$8:F$156)</f>
        <v>5.2500000000000003E-3</v>
      </c>
      <c r="N36" s="278">
        <f>LOOKUP($B$34, CEFF!$C$8:$C$156, CEFF!G$8:G$156)</f>
        <v>5.2500000000000003E-3</v>
      </c>
      <c r="O36" s="278">
        <f>LOOKUP($B$34, CEFF!$C$8:$C$156, CEFF!H$8:H$156)</f>
        <v>5.2500000000000003E-3</v>
      </c>
      <c r="P36" s="278">
        <f>LOOKUP($B$34, CEFF!$C$8:$C$156, CEFF!I$8:I$156)</f>
        <v>5.2500000000000003E-3</v>
      </c>
      <c r="Q36" s="278">
        <f>LOOKUP($B$34, CEFF!$C$8:$C$156, CEFF!J$8:J$156)</f>
        <v>5.2500000000000003E-3</v>
      </c>
      <c r="R36" s="40"/>
      <c r="S36" s="40"/>
      <c r="T36" s="40"/>
      <c r="U36" s="40"/>
      <c r="V36" s="41"/>
      <c r="W36" s="41"/>
      <c r="X36" s="41"/>
      <c r="Y36" s="41"/>
      <c r="Z36" s="41"/>
      <c r="AA36" s="41"/>
      <c r="AB36" s="41"/>
      <c r="AC36" s="41"/>
      <c r="AD36" s="41"/>
      <c r="AE36" s="41"/>
    </row>
    <row r="37" spans="2:31" s="39" customFormat="1" x14ac:dyDescent="0.3">
      <c r="B37" s="212"/>
      <c r="C37" s="232"/>
      <c r="D37" s="212"/>
      <c r="E37" s="212"/>
      <c r="F37" s="212" t="s">
        <v>386</v>
      </c>
      <c r="G37" s="303"/>
      <c r="H37" s="304"/>
      <c r="I37" s="46"/>
      <c r="J37" s="46"/>
      <c r="K37" s="44"/>
      <c r="L37" s="44"/>
      <c r="M37" s="289">
        <f>LOOKUP($B$34, CEFF!$C$8:$C$156, CEFF!F$8:F$156)</f>
        <v>5.2500000000000003E-3</v>
      </c>
      <c r="N37" s="289">
        <f>LOOKUP($B$34, CEFF!$C$8:$C$156, CEFF!G$8:G$156)</f>
        <v>5.2500000000000003E-3</v>
      </c>
      <c r="O37" s="289">
        <f>LOOKUP($B$34, CEFF!$C$8:$C$156, CEFF!H$8:H$156)</f>
        <v>5.2500000000000003E-3</v>
      </c>
      <c r="P37" s="289">
        <f>LOOKUP($B$34, CEFF!$C$8:$C$156, CEFF!I$8:I$156)</f>
        <v>5.2500000000000003E-3</v>
      </c>
      <c r="Q37" s="289">
        <f>LOOKUP($B$34, CEFF!$C$8:$C$156, CEFF!J$8:J$156)</f>
        <v>5.2500000000000003E-3</v>
      </c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</row>
    <row r="38" spans="2:31" s="39" customFormat="1" x14ac:dyDescent="0.3">
      <c r="B38" s="211" t="s">
        <v>177</v>
      </c>
      <c r="C38" s="210" t="str">
        <f>LOOKUP(B38, TRA_COMM_PRO!$C$17:$C$199, TRA_COMM_PRO!$D$17:$D$199)</f>
        <v>Train.Freight.Loco.ELC.01.</v>
      </c>
      <c r="D38" s="211" t="s">
        <v>705</v>
      </c>
      <c r="E38" s="211"/>
      <c r="F38" s="211"/>
      <c r="G38" s="300">
        <f>$G$33</f>
        <v>2016</v>
      </c>
      <c r="H38" s="301">
        <v>50</v>
      </c>
      <c r="I38" s="65">
        <v>1E-3</v>
      </c>
      <c r="J38" s="60">
        <v>549.47972830879576</v>
      </c>
      <c r="K38" s="42"/>
      <c r="L38" s="42"/>
      <c r="M38" s="290"/>
      <c r="N38" s="290"/>
      <c r="O38" s="290"/>
      <c r="P38" s="290"/>
      <c r="Q38" s="290"/>
      <c r="R38" s="40">
        <v>100</v>
      </c>
      <c r="S38" s="40"/>
      <c r="T38" s="40"/>
      <c r="U38" s="40"/>
      <c r="V38" s="41"/>
      <c r="W38" s="41"/>
      <c r="X38" s="40">
        <f>INVCOST!D180</f>
        <v>777</v>
      </c>
      <c r="Y38" s="40">
        <f>INVCOST!E180</f>
        <v>777</v>
      </c>
      <c r="Z38" s="40">
        <f>INVCOST!F180</f>
        <v>777</v>
      </c>
      <c r="AA38" s="40">
        <f>INVCOST!G180</f>
        <v>777</v>
      </c>
      <c r="AB38" s="40">
        <f>INVCOST!H180</f>
        <v>777</v>
      </c>
      <c r="AC38" s="40">
        <f>INVCOST!I180</f>
        <v>777</v>
      </c>
      <c r="AD38" s="40">
        <f>INVCOST!J180</f>
        <v>777</v>
      </c>
      <c r="AE38" s="40">
        <f>INVCOST!K180</f>
        <v>777</v>
      </c>
    </row>
    <row r="39" spans="2:31" s="39" customFormat="1" x14ac:dyDescent="0.3">
      <c r="B39" s="211"/>
      <c r="C39" s="210"/>
      <c r="D39" s="211"/>
      <c r="E39" s="211"/>
      <c r="F39" s="211" t="s">
        <v>176</v>
      </c>
      <c r="G39" s="302"/>
      <c r="H39" s="301"/>
      <c r="I39" s="65"/>
      <c r="J39" s="41"/>
      <c r="K39" s="42"/>
      <c r="L39" s="42"/>
      <c r="M39" s="278">
        <f>LOOKUP($B$38, CEFF!$C$8:$C$156, CEFF!F$8:F$156)</f>
        <v>1.1350000000000001E-2</v>
      </c>
      <c r="N39" s="278">
        <f>LOOKUP($B$38, CEFF!$C$8:$C$156, CEFF!G$8:G$156)</f>
        <v>1.1350000000000001E-2</v>
      </c>
      <c r="O39" s="278">
        <f>LOOKUP($B$38, CEFF!$C$8:$C$156, CEFF!H$8:H$156)</f>
        <v>1.1350000000000001E-2</v>
      </c>
      <c r="P39" s="278">
        <f>LOOKUP($B$38, CEFF!$C$8:$C$156, CEFF!I$8:I$156)</f>
        <v>1.1350000000000001E-2</v>
      </c>
      <c r="Q39" s="278">
        <f>LOOKUP($B$38, CEFF!$C$8:$C$156, CEFF!J$8:J$156)</f>
        <v>1.1350000000000001E-2</v>
      </c>
      <c r="R39" s="40"/>
      <c r="S39" s="40"/>
      <c r="T39" s="40"/>
      <c r="U39" s="40"/>
      <c r="V39" s="41"/>
      <c r="W39" s="41"/>
      <c r="X39" s="41"/>
      <c r="Y39" s="41"/>
      <c r="Z39" s="41"/>
      <c r="AA39" s="41"/>
      <c r="AB39" s="41"/>
      <c r="AC39" s="41"/>
      <c r="AD39" s="41"/>
      <c r="AE39" s="41"/>
    </row>
    <row r="40" spans="2:31" s="39" customFormat="1" x14ac:dyDescent="0.3">
      <c r="B40" s="215"/>
      <c r="C40" s="233"/>
      <c r="D40" s="215"/>
      <c r="E40" s="215"/>
      <c r="F40" s="215" t="s">
        <v>386</v>
      </c>
      <c r="G40" s="305"/>
      <c r="H40" s="306"/>
      <c r="I40" s="198"/>
      <c r="J40" s="181"/>
      <c r="K40" s="179"/>
      <c r="L40" s="179"/>
      <c r="M40" s="282">
        <f>LOOKUP($B$38, CEFF!$C$8:$C$156, CEFF!F$8:F$156)</f>
        <v>1.1350000000000001E-2</v>
      </c>
      <c r="N40" s="282">
        <f>LOOKUP($B$38, CEFF!$C$8:$C$156, CEFF!G$8:G$156)</f>
        <v>1.1350000000000001E-2</v>
      </c>
      <c r="O40" s="282">
        <f>LOOKUP($B$38, CEFF!$C$8:$C$156, CEFF!H$8:H$156)</f>
        <v>1.1350000000000001E-2</v>
      </c>
      <c r="P40" s="282">
        <f>LOOKUP($B$38, CEFF!$C$8:$C$156, CEFF!I$8:I$156)</f>
        <v>1.1350000000000001E-2</v>
      </c>
      <c r="Q40" s="282">
        <f>LOOKUP($B$38, CEFF!$C$8:$C$156, CEFF!J$8:J$156)</f>
        <v>1.1350000000000001E-2</v>
      </c>
      <c r="R40" s="183"/>
      <c r="S40" s="183"/>
      <c r="T40" s="183"/>
      <c r="U40" s="183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E20"/>
  <sheetViews>
    <sheetView zoomScale="75" zoomScaleNormal="75" workbookViewId="0">
      <selection activeCell="F12" sqref="F12"/>
    </sheetView>
  </sheetViews>
  <sheetFormatPr defaultRowHeight="14.4" x14ac:dyDescent="0.3"/>
  <cols>
    <col min="2" max="2" width="22.33203125" bestFit="1" customWidth="1"/>
    <col min="3" max="3" width="25.33203125" bestFit="1" customWidth="1"/>
    <col min="4" max="4" width="9.44140625" bestFit="1" customWidth="1"/>
    <col min="5" max="5" width="11.44140625" bestFit="1" customWidth="1"/>
    <col min="6" max="6" width="11.109375" bestFit="1" customWidth="1"/>
    <col min="7" max="7" width="11.44140625" bestFit="1" customWidth="1"/>
    <col min="8" max="8" width="7" customWidth="1"/>
    <col min="9" max="9" width="14.33203125" bestFit="1" customWidth="1"/>
    <col min="10" max="10" width="14.44140625" bestFit="1" customWidth="1"/>
    <col min="11" max="11" width="9.88671875" bestFit="1" customWidth="1"/>
    <col min="12" max="12" width="9.33203125" bestFit="1" customWidth="1"/>
    <col min="13" max="17" width="10.88671875" customWidth="1"/>
    <col min="18" max="21" width="12.109375" customWidth="1"/>
    <col min="22" max="22" width="10.5546875" customWidth="1"/>
    <col min="23" max="23" width="11.5546875" customWidth="1"/>
    <col min="24" max="31" width="14.109375" customWidth="1"/>
  </cols>
  <sheetData>
    <row r="2" spans="2:31" ht="15.75" customHeight="1" x14ac:dyDescent="0.3"/>
    <row r="3" spans="2:31" ht="15.75" customHeight="1" x14ac:dyDescent="0.3">
      <c r="B3" s="6" t="s">
        <v>627</v>
      </c>
      <c r="C3" s="7"/>
      <c r="D3" s="81"/>
      <c r="E3" s="8"/>
      <c r="F3" s="9" t="s">
        <v>722</v>
      </c>
      <c r="G3" s="9"/>
      <c r="J3" s="4"/>
      <c r="K3" s="39"/>
      <c r="L3" s="39"/>
      <c r="M3" s="39"/>
      <c r="N3" s="39"/>
    </row>
    <row r="4" spans="2:31" x14ac:dyDescent="0.3">
      <c r="B4" s="201" t="s">
        <v>2</v>
      </c>
      <c r="C4" s="201" t="s">
        <v>3</v>
      </c>
      <c r="D4" s="201" t="s">
        <v>4</v>
      </c>
      <c r="E4" s="201" t="s">
        <v>5</v>
      </c>
      <c r="F4" s="202" t="s">
        <v>6</v>
      </c>
      <c r="G4" s="202" t="s">
        <v>187</v>
      </c>
      <c r="H4" s="203" t="s">
        <v>186</v>
      </c>
      <c r="I4" s="203" t="s">
        <v>11</v>
      </c>
      <c r="J4" s="202" t="s">
        <v>12</v>
      </c>
      <c r="K4" s="202" t="s">
        <v>7</v>
      </c>
      <c r="L4" s="202" t="s">
        <v>8</v>
      </c>
      <c r="M4" s="203" t="s">
        <v>396</v>
      </c>
      <c r="N4" s="203" t="s">
        <v>335</v>
      </c>
      <c r="O4" s="203" t="s">
        <v>336</v>
      </c>
      <c r="P4" s="203" t="s">
        <v>9</v>
      </c>
      <c r="Q4" s="203" t="s">
        <v>10</v>
      </c>
      <c r="R4" s="203" t="s">
        <v>397</v>
      </c>
      <c r="S4" s="203" t="s">
        <v>465</v>
      </c>
      <c r="T4" s="203" t="s">
        <v>13</v>
      </c>
      <c r="U4" s="203" t="s">
        <v>398</v>
      </c>
      <c r="V4" s="203" t="s">
        <v>42</v>
      </c>
      <c r="W4" s="203" t="s">
        <v>14</v>
      </c>
      <c r="X4" s="203" t="s">
        <v>399</v>
      </c>
      <c r="Y4" s="203" t="s">
        <v>15</v>
      </c>
      <c r="Z4" s="203" t="s">
        <v>16</v>
      </c>
      <c r="AA4" s="203" t="s">
        <v>17</v>
      </c>
      <c r="AB4" s="203" t="s">
        <v>18</v>
      </c>
      <c r="AC4" s="203" t="s">
        <v>19</v>
      </c>
      <c r="AD4" s="203" t="s">
        <v>20</v>
      </c>
      <c r="AE4" s="203" t="s">
        <v>21</v>
      </c>
    </row>
    <row r="5" spans="2:31" ht="29.4" thickBot="1" x14ac:dyDescent="0.35">
      <c r="B5" s="204" t="s">
        <v>22</v>
      </c>
      <c r="C5" s="204"/>
      <c r="D5" s="204"/>
      <c r="E5" s="204"/>
      <c r="F5" s="205" t="s">
        <v>23</v>
      </c>
      <c r="G5" s="205">
        <v>2016</v>
      </c>
      <c r="H5" s="205" t="s">
        <v>26</v>
      </c>
      <c r="I5" s="231" t="s">
        <v>126</v>
      </c>
      <c r="J5" s="206" t="s">
        <v>25</v>
      </c>
      <c r="K5" s="205"/>
      <c r="L5" s="205"/>
      <c r="M5" s="207" t="s">
        <v>671</v>
      </c>
      <c r="N5" s="207" t="s">
        <v>671</v>
      </c>
      <c r="O5" s="207" t="s">
        <v>671</v>
      </c>
      <c r="P5" s="207" t="s">
        <v>671</v>
      </c>
      <c r="Q5" s="207" t="s">
        <v>671</v>
      </c>
      <c r="R5" s="206" t="s">
        <v>676</v>
      </c>
      <c r="S5" s="206" t="s">
        <v>676</v>
      </c>
      <c r="T5" s="206" t="s">
        <v>676</v>
      </c>
      <c r="U5" s="206" t="s">
        <v>676</v>
      </c>
      <c r="V5" s="208" t="s">
        <v>679</v>
      </c>
      <c r="W5" s="208" t="s">
        <v>678</v>
      </c>
      <c r="X5" s="208" t="s">
        <v>675</v>
      </c>
      <c r="Y5" s="208" t="s">
        <v>675</v>
      </c>
      <c r="Z5" s="208" t="s">
        <v>675</v>
      </c>
      <c r="AA5" s="208" t="s">
        <v>675</v>
      </c>
      <c r="AB5" s="208" t="s">
        <v>675</v>
      </c>
      <c r="AC5" s="208" t="s">
        <v>675</v>
      </c>
      <c r="AD5" s="208" t="s">
        <v>675</v>
      </c>
      <c r="AE5" s="208" t="s">
        <v>675</v>
      </c>
    </row>
    <row r="6" spans="2:31" s="39" customFormat="1" ht="15.75" customHeight="1" x14ac:dyDescent="0.3">
      <c r="B6" s="211" t="s">
        <v>184</v>
      </c>
      <c r="C6" s="210" t="str">
        <f>LOOKUP(B6, TRA_COMM_PRO!$C$16:$C$199, TRA_COMM_PRO!$D$16:$D$199)</f>
        <v>Aviation.International.01.</v>
      </c>
      <c r="D6" s="211" t="s">
        <v>182</v>
      </c>
      <c r="E6" s="211"/>
      <c r="F6" s="211"/>
      <c r="G6" s="111">
        <f>$G$14</f>
        <v>2016</v>
      </c>
      <c r="H6" s="140">
        <v>30</v>
      </c>
      <c r="I6" s="65">
        <v>1E-3</v>
      </c>
      <c r="J6" s="143">
        <v>200</v>
      </c>
      <c r="K6" s="142"/>
      <c r="L6" s="100">
        <v>0.5</v>
      </c>
      <c r="M6" s="166"/>
      <c r="N6" s="166"/>
      <c r="O6" s="166"/>
      <c r="P6" s="166"/>
      <c r="Q6" s="166"/>
      <c r="R6" s="108">
        <v>1500</v>
      </c>
      <c r="S6" s="100"/>
      <c r="T6" s="100"/>
      <c r="U6" s="141"/>
      <c r="V6" s="141"/>
      <c r="W6" s="141">
        <f>FIXOM_VAROM!D8</f>
        <v>0</v>
      </c>
      <c r="X6" s="140">
        <f>INVCOST!D8</f>
        <v>7777</v>
      </c>
      <c r="Y6" s="140">
        <f>INVCOST!E8</f>
        <v>7777</v>
      </c>
      <c r="Z6" s="140">
        <f>INVCOST!F8</f>
        <v>7777</v>
      </c>
      <c r="AA6" s="140">
        <f>INVCOST!G8</f>
        <v>7777</v>
      </c>
      <c r="AB6" s="140">
        <f>INVCOST!H8</f>
        <v>7777</v>
      </c>
      <c r="AC6" s="140">
        <f>INVCOST!I8</f>
        <v>7777</v>
      </c>
      <c r="AD6" s="140">
        <f>INVCOST!J8</f>
        <v>7777</v>
      </c>
      <c r="AE6" s="140">
        <f>INVCOST!K8</f>
        <v>7777</v>
      </c>
    </row>
    <row r="7" spans="2:31" s="39" customFormat="1" ht="15.75" customHeight="1" x14ac:dyDescent="0.3">
      <c r="B7" s="211"/>
      <c r="C7" s="211"/>
      <c r="D7" s="211" t="s">
        <v>670</v>
      </c>
      <c r="E7" s="211"/>
      <c r="F7" s="211"/>
      <c r="G7" s="100"/>
      <c r="H7" s="141"/>
      <c r="I7" s="141"/>
      <c r="J7" s="144"/>
      <c r="K7" s="141"/>
      <c r="L7" s="100"/>
      <c r="M7" s="143"/>
      <c r="N7" s="143"/>
      <c r="O7" s="143"/>
      <c r="P7" s="100"/>
      <c r="Q7" s="100"/>
      <c r="R7" s="100"/>
      <c r="S7" s="100"/>
      <c r="T7" s="100"/>
      <c r="U7" s="141"/>
      <c r="V7" s="141"/>
      <c r="W7" s="141"/>
      <c r="X7" s="141"/>
      <c r="Y7" s="141"/>
      <c r="Z7" s="141"/>
      <c r="AA7" s="141"/>
      <c r="AB7" s="141"/>
      <c r="AC7" s="141"/>
      <c r="AD7" s="100"/>
      <c r="AE7" s="100"/>
    </row>
    <row r="8" spans="2:31" s="39" customFormat="1" ht="15.75" customHeight="1" x14ac:dyDescent="0.3">
      <c r="B8" s="211"/>
      <c r="C8" s="211"/>
      <c r="D8" s="211"/>
      <c r="E8" s="211"/>
      <c r="F8" s="211" t="s">
        <v>667</v>
      </c>
      <c r="G8" s="100"/>
      <c r="H8" s="140"/>
      <c r="I8" s="141"/>
      <c r="J8" s="145"/>
      <c r="K8" s="145"/>
      <c r="L8" s="100"/>
      <c r="M8" s="278">
        <f>LOOKUP($B$6, CEFF!$C$8:$C$147, CEFF!F$8:F$147)</f>
        <v>8.0000000000000002E-3</v>
      </c>
      <c r="N8" s="278">
        <f>LOOKUP($B$6, CEFF!$C$8:$C$147, CEFF!G$8:G$147)</f>
        <v>8.3300000000000006E-3</v>
      </c>
      <c r="O8" s="278">
        <f>LOOKUP($B$6, CEFF!$C$8:$C$147, CEFF!H$8:H$147)</f>
        <v>8.8199999999999997E-3</v>
      </c>
      <c r="P8" s="278">
        <f>LOOKUP($B$6, CEFF!$C$8:$C$147, CEFF!I$8:I$147)</f>
        <v>9.3699999999999999E-3</v>
      </c>
      <c r="Q8" s="278">
        <f>LOOKUP($B$6, CEFF!$C$8:$C$147, CEFF!J$8:J$147)</f>
        <v>0.01</v>
      </c>
      <c r="R8" s="100"/>
      <c r="S8" s="100"/>
      <c r="T8" s="100"/>
      <c r="U8" s="141"/>
      <c r="V8" s="141"/>
      <c r="W8" s="141"/>
      <c r="X8" s="141"/>
      <c r="Y8" s="141"/>
      <c r="Z8" s="141"/>
      <c r="AA8" s="141"/>
      <c r="AB8" s="141"/>
      <c r="AC8" s="141"/>
      <c r="AD8" s="100"/>
      <c r="AE8" s="100"/>
    </row>
    <row r="9" spans="2:31" s="39" customFormat="1" ht="15.75" customHeight="1" x14ac:dyDescent="0.3">
      <c r="B9" s="215"/>
      <c r="C9" s="215"/>
      <c r="D9" s="215"/>
      <c r="E9" s="215"/>
      <c r="F9" s="215" t="s">
        <v>668</v>
      </c>
      <c r="G9" s="174"/>
      <c r="H9" s="175"/>
      <c r="I9" s="176"/>
      <c r="J9" s="177"/>
      <c r="K9" s="177"/>
      <c r="L9" s="174"/>
      <c r="M9" s="282">
        <f>LOOKUP($B$6, CEFF!$C$8:$C$147, CEFF!F$8:F$147)</f>
        <v>8.0000000000000002E-3</v>
      </c>
      <c r="N9" s="282">
        <f>LOOKUP($B$6, CEFF!$C$8:$C$147, CEFF!G$8:G$147)</f>
        <v>8.3300000000000006E-3</v>
      </c>
      <c r="O9" s="282">
        <f>LOOKUP($B$6, CEFF!$C$8:$C$147, CEFF!H$8:H$147)</f>
        <v>8.8199999999999997E-3</v>
      </c>
      <c r="P9" s="282">
        <f>LOOKUP($B$6, CEFF!$C$8:$C$147, CEFF!I$8:I$147)</f>
        <v>9.3699999999999999E-3</v>
      </c>
      <c r="Q9" s="282">
        <f>LOOKUP($B$6, CEFF!$C$8:$C$147, CEFF!J$8:J$147)</f>
        <v>0.01</v>
      </c>
      <c r="R9" s="174"/>
      <c r="S9" s="174"/>
      <c r="T9" s="174"/>
      <c r="U9" s="176"/>
      <c r="V9" s="176"/>
      <c r="W9" s="176"/>
      <c r="X9" s="176"/>
      <c r="Y9" s="176"/>
      <c r="Z9" s="176"/>
      <c r="AA9" s="176"/>
      <c r="AB9" s="176"/>
      <c r="AC9" s="176"/>
      <c r="AD9" s="174"/>
      <c r="AE9" s="174"/>
    </row>
    <row r="10" spans="2:31" s="39" customFormat="1" ht="15.75" customHeight="1" x14ac:dyDescent="0.3">
      <c r="H10" s="58"/>
      <c r="I10" s="38"/>
      <c r="J10" s="47"/>
      <c r="K10" s="47"/>
      <c r="M10" s="36"/>
      <c r="N10" s="36"/>
      <c r="O10" s="36"/>
      <c r="U10" s="38"/>
      <c r="V10" s="38"/>
      <c r="W10" s="38"/>
      <c r="X10" s="38"/>
      <c r="Y10" s="38"/>
      <c r="Z10" s="38"/>
      <c r="AA10" s="38"/>
      <c r="AB10" s="38"/>
      <c r="AC10" s="38"/>
    </row>
    <row r="12" spans="2:31" ht="15.75" customHeight="1" x14ac:dyDescent="0.3">
      <c r="B12" s="6" t="s">
        <v>626</v>
      </c>
      <c r="C12" s="7"/>
      <c r="D12" s="81"/>
      <c r="E12" s="8"/>
      <c r="F12" s="9" t="s">
        <v>722</v>
      </c>
      <c r="G12" s="9"/>
      <c r="J12" s="4"/>
      <c r="K12" s="39"/>
      <c r="L12" s="39"/>
      <c r="M12" s="39"/>
      <c r="N12" s="39"/>
    </row>
    <row r="13" spans="2:31" x14ac:dyDescent="0.3">
      <c r="B13" s="201" t="s">
        <v>2</v>
      </c>
      <c r="C13" s="201" t="s">
        <v>3</v>
      </c>
      <c r="D13" s="201" t="s">
        <v>4</v>
      </c>
      <c r="E13" s="201" t="s">
        <v>5</v>
      </c>
      <c r="F13" s="202" t="s">
        <v>6</v>
      </c>
      <c r="G13" s="202" t="s">
        <v>187</v>
      </c>
      <c r="H13" s="203" t="s">
        <v>186</v>
      </c>
      <c r="I13" s="203" t="s">
        <v>11</v>
      </c>
      <c r="J13" s="202" t="s">
        <v>12</v>
      </c>
      <c r="K13" s="202" t="s">
        <v>7</v>
      </c>
      <c r="L13" s="202" t="s">
        <v>8</v>
      </c>
      <c r="M13" s="203" t="s">
        <v>396</v>
      </c>
      <c r="N13" s="203" t="s">
        <v>335</v>
      </c>
      <c r="O13" s="203" t="s">
        <v>336</v>
      </c>
      <c r="P13" s="203" t="s">
        <v>9</v>
      </c>
      <c r="Q13" s="203" t="s">
        <v>10</v>
      </c>
      <c r="R13" s="203" t="s">
        <v>397</v>
      </c>
      <c r="S13" s="203" t="s">
        <v>465</v>
      </c>
      <c r="T13" s="203" t="s">
        <v>13</v>
      </c>
      <c r="U13" s="203" t="s">
        <v>398</v>
      </c>
      <c r="V13" s="203" t="s">
        <v>42</v>
      </c>
      <c r="W13" s="203" t="s">
        <v>14</v>
      </c>
      <c r="X13" s="203" t="s">
        <v>399</v>
      </c>
      <c r="Y13" s="203" t="s">
        <v>15</v>
      </c>
      <c r="Z13" s="203" t="s">
        <v>16</v>
      </c>
      <c r="AA13" s="203" t="s">
        <v>17</v>
      </c>
      <c r="AB13" s="203" t="s">
        <v>18</v>
      </c>
      <c r="AC13" s="203" t="s">
        <v>19</v>
      </c>
      <c r="AD13" s="203" t="s">
        <v>20</v>
      </c>
      <c r="AE13" s="203" t="s">
        <v>21</v>
      </c>
    </row>
    <row r="14" spans="2:31" ht="29.4" thickBot="1" x14ac:dyDescent="0.35">
      <c r="B14" s="204" t="s">
        <v>22</v>
      </c>
      <c r="C14" s="204"/>
      <c r="D14" s="204"/>
      <c r="E14" s="204"/>
      <c r="F14" s="205" t="s">
        <v>23</v>
      </c>
      <c r="G14" s="205">
        <v>2016</v>
      </c>
      <c r="H14" s="205" t="s">
        <v>26</v>
      </c>
      <c r="I14" s="231" t="s">
        <v>126</v>
      </c>
      <c r="J14" s="206" t="s">
        <v>25</v>
      </c>
      <c r="K14" s="205"/>
      <c r="L14" s="205"/>
      <c r="M14" s="207" t="s">
        <v>671</v>
      </c>
      <c r="N14" s="207" t="s">
        <v>671</v>
      </c>
      <c r="O14" s="207" t="s">
        <v>671</v>
      </c>
      <c r="P14" s="207" t="s">
        <v>671</v>
      </c>
      <c r="Q14" s="207" t="s">
        <v>671</v>
      </c>
      <c r="R14" s="206" t="s">
        <v>676</v>
      </c>
      <c r="S14" s="206" t="s">
        <v>676</v>
      </c>
      <c r="T14" s="206" t="s">
        <v>676</v>
      </c>
      <c r="U14" s="206" t="s">
        <v>676</v>
      </c>
      <c r="V14" s="208" t="s">
        <v>679</v>
      </c>
      <c r="W14" s="208" t="s">
        <v>678</v>
      </c>
      <c r="X14" s="208" t="s">
        <v>675</v>
      </c>
      <c r="Y14" s="208" t="s">
        <v>675</v>
      </c>
      <c r="Z14" s="208" t="s">
        <v>675</v>
      </c>
      <c r="AA14" s="208" t="s">
        <v>675</v>
      </c>
      <c r="AB14" s="208" t="s">
        <v>675</v>
      </c>
      <c r="AC14" s="208" t="s">
        <v>675</v>
      </c>
      <c r="AD14" s="208" t="s">
        <v>675</v>
      </c>
      <c r="AE14" s="208" t="s">
        <v>675</v>
      </c>
    </row>
    <row r="15" spans="2:31" s="39" customFormat="1" ht="15.75" customHeight="1" x14ac:dyDescent="0.3">
      <c r="B15" s="211" t="s">
        <v>180</v>
      </c>
      <c r="C15" s="210" t="str">
        <f>LOOKUP(B15, TRA_COMM_PRO!$C$16:$C$199, TRA_COMM_PRO!$D$16:$D$199)</f>
        <v>Aviation.Domestic.01.</v>
      </c>
      <c r="D15" s="211" t="s">
        <v>182</v>
      </c>
      <c r="E15" s="211"/>
      <c r="F15" s="211"/>
      <c r="G15" s="111">
        <f>$G$14</f>
        <v>2016</v>
      </c>
      <c r="H15" s="140">
        <v>30</v>
      </c>
      <c r="I15" s="65">
        <v>1E-3</v>
      </c>
      <c r="J15" s="143">
        <v>85.92</v>
      </c>
      <c r="K15" s="142"/>
      <c r="L15" s="100">
        <v>0.5</v>
      </c>
      <c r="M15" s="166"/>
      <c r="N15" s="166"/>
      <c r="O15" s="166"/>
      <c r="P15" s="166"/>
      <c r="Q15" s="166"/>
      <c r="R15" s="108">
        <v>1000</v>
      </c>
      <c r="S15" s="100"/>
      <c r="T15" s="100"/>
      <c r="U15" s="141"/>
      <c r="V15" s="141"/>
      <c r="W15" s="141">
        <f>FIXOM_VAROM!D9</f>
        <v>0</v>
      </c>
      <c r="X15" s="140">
        <f>INVCOST!D9</f>
        <v>7777</v>
      </c>
      <c r="Y15" s="140">
        <f>INVCOST!E9</f>
        <v>7777</v>
      </c>
      <c r="Z15" s="140">
        <f>INVCOST!F9</f>
        <v>7777</v>
      </c>
      <c r="AA15" s="140">
        <f>INVCOST!G9</f>
        <v>7777</v>
      </c>
      <c r="AB15" s="140">
        <f>INVCOST!H9</f>
        <v>7777</v>
      </c>
      <c r="AC15" s="140">
        <f>INVCOST!I9</f>
        <v>7777</v>
      </c>
      <c r="AD15" s="140">
        <f>INVCOST!J9</f>
        <v>7777</v>
      </c>
      <c r="AE15" s="140">
        <f>INVCOST!K9</f>
        <v>7777</v>
      </c>
    </row>
    <row r="16" spans="2:31" s="39" customFormat="1" ht="15.75" customHeight="1" x14ac:dyDescent="0.3">
      <c r="B16" s="211"/>
      <c r="C16" s="211"/>
      <c r="D16" s="211" t="s">
        <v>670</v>
      </c>
      <c r="E16" s="211"/>
      <c r="F16" s="211"/>
      <c r="G16" s="100"/>
      <c r="H16" s="141"/>
      <c r="I16" s="141"/>
      <c r="J16" s="144"/>
      <c r="K16" s="141"/>
      <c r="L16" s="100"/>
      <c r="M16" s="143"/>
      <c r="N16" s="143"/>
      <c r="O16" s="143"/>
      <c r="P16" s="100"/>
      <c r="Q16" s="100"/>
      <c r="R16" s="100"/>
      <c r="S16" s="100"/>
      <c r="T16" s="100"/>
      <c r="U16" s="141"/>
      <c r="V16" s="141"/>
      <c r="W16" s="141"/>
      <c r="X16" s="141"/>
      <c r="Y16" s="141"/>
      <c r="Z16" s="141"/>
      <c r="AA16" s="141"/>
      <c r="AB16" s="141"/>
      <c r="AC16" s="141"/>
      <c r="AD16" s="100"/>
      <c r="AE16" s="100"/>
    </row>
    <row r="17" spans="2:31" s="39" customFormat="1" ht="15.75" customHeight="1" x14ac:dyDescent="0.3">
      <c r="B17" s="211"/>
      <c r="C17" s="211"/>
      <c r="D17" s="211"/>
      <c r="E17" s="211"/>
      <c r="F17" s="211" t="s">
        <v>183</v>
      </c>
      <c r="G17" s="100"/>
      <c r="H17" s="140"/>
      <c r="I17" s="141"/>
      <c r="J17" s="145"/>
      <c r="K17" s="145"/>
      <c r="L17" s="100"/>
      <c r="M17" s="278">
        <f>LOOKUP($B$15, CEFF!$C$8:$C$147, CEFF!F$8:F$147)</f>
        <v>5.0000000000000001E-3</v>
      </c>
      <c r="N17" s="278">
        <f>LOOKUP($B$15, CEFF!$C$8:$C$147, CEFF!G$8:G$147)</f>
        <v>5.2100000000000002E-3</v>
      </c>
      <c r="O17" s="278">
        <f>LOOKUP($B$15, CEFF!$C$8:$C$147, CEFF!H$8:H$147)</f>
        <v>5.5599999999999998E-3</v>
      </c>
      <c r="P17" s="278">
        <f>LOOKUP($B$15, CEFF!$C$8:$C$147, CEFF!I$8:I$147)</f>
        <v>5.8799999999999998E-3</v>
      </c>
      <c r="Q17" s="278">
        <f>LOOKUP($B$15, CEFF!$C$8:$C$147, CEFF!J$8:J$147)</f>
        <v>6.2500000000000003E-3</v>
      </c>
      <c r="R17" s="100"/>
      <c r="S17" s="100"/>
      <c r="T17" s="100"/>
      <c r="U17" s="141"/>
      <c r="V17" s="141"/>
      <c r="W17" s="141"/>
      <c r="X17" s="141"/>
      <c r="Y17" s="141"/>
      <c r="Z17" s="141"/>
      <c r="AA17" s="141"/>
      <c r="AB17" s="141"/>
      <c r="AC17" s="141"/>
      <c r="AD17" s="100"/>
      <c r="AE17" s="100"/>
    </row>
    <row r="18" spans="2:31" s="39" customFormat="1" ht="15.75" customHeight="1" x14ac:dyDescent="0.3">
      <c r="B18" s="215"/>
      <c r="C18" s="215"/>
      <c r="D18" s="215"/>
      <c r="E18" s="215"/>
      <c r="F18" s="215" t="s">
        <v>387</v>
      </c>
      <c r="G18" s="174"/>
      <c r="H18" s="175"/>
      <c r="I18" s="176"/>
      <c r="J18" s="177"/>
      <c r="K18" s="177"/>
      <c r="L18" s="174"/>
      <c r="M18" s="282">
        <f>LOOKUP($B$15, CEFF!$C$8:$C$147, CEFF!F$8:F$147)</f>
        <v>5.0000000000000001E-3</v>
      </c>
      <c r="N18" s="282">
        <f>LOOKUP($B$15, CEFF!$C$8:$C$147, CEFF!G$8:G$147)</f>
        <v>5.2100000000000002E-3</v>
      </c>
      <c r="O18" s="282">
        <f>LOOKUP($B$15, CEFF!$C$8:$C$147, CEFF!H$8:H$147)</f>
        <v>5.5599999999999998E-3</v>
      </c>
      <c r="P18" s="282">
        <f>LOOKUP($B$15, CEFF!$C$8:$C$147, CEFF!I$8:I$147)</f>
        <v>5.8799999999999998E-3</v>
      </c>
      <c r="Q18" s="282">
        <f>LOOKUP($B$15, CEFF!$C$8:$C$147, CEFF!J$8:J$147)</f>
        <v>6.2500000000000003E-3</v>
      </c>
      <c r="R18" s="174"/>
      <c r="S18" s="174"/>
      <c r="T18" s="174"/>
      <c r="U18" s="176"/>
      <c r="V18" s="176"/>
      <c r="W18" s="176"/>
      <c r="X18" s="176"/>
      <c r="Y18" s="176"/>
      <c r="Z18" s="176"/>
      <c r="AA18" s="176"/>
      <c r="AB18" s="176"/>
      <c r="AC18" s="176"/>
      <c r="AD18" s="174"/>
      <c r="AE18" s="174"/>
    </row>
    <row r="19" spans="2:31" s="39" customFormat="1" ht="15.75" customHeight="1" x14ac:dyDescent="0.3">
      <c r="H19" s="58"/>
      <c r="I19" s="38"/>
      <c r="J19" s="47"/>
      <c r="K19" s="47"/>
      <c r="M19" s="36"/>
      <c r="N19" s="36"/>
      <c r="O19" s="36"/>
      <c r="U19" s="38"/>
      <c r="V19" s="38"/>
      <c r="W19" s="38"/>
      <c r="X19" s="38"/>
      <c r="Y19" s="38"/>
      <c r="Z19" s="38"/>
      <c r="AA19" s="38"/>
      <c r="AB19" s="38"/>
      <c r="AC19" s="38"/>
    </row>
    <row r="20" spans="2:31" ht="15.75" customHeight="1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E47"/>
  <sheetViews>
    <sheetView zoomScale="75" zoomScaleNormal="75" workbookViewId="0">
      <selection activeCell="F27" sqref="F27"/>
    </sheetView>
  </sheetViews>
  <sheetFormatPr defaultRowHeight="14.4" x14ac:dyDescent="0.3"/>
  <cols>
    <col min="2" max="2" width="22.109375" bestFit="1" customWidth="1"/>
    <col min="3" max="3" width="38.5546875" bestFit="1" customWidth="1"/>
    <col min="4" max="4" width="9.44140625" bestFit="1" customWidth="1"/>
    <col min="5" max="5" width="11.44140625" bestFit="1" customWidth="1"/>
    <col min="6" max="6" width="11.109375" bestFit="1" customWidth="1"/>
    <col min="7" max="7" width="9.88671875" bestFit="1" customWidth="1"/>
    <col min="8" max="8" width="6.44140625" customWidth="1"/>
    <col min="9" max="9" width="10.6640625" customWidth="1"/>
    <col min="10" max="10" width="14.33203125" bestFit="1" customWidth="1"/>
    <col min="11" max="12" width="12.109375" bestFit="1" customWidth="1"/>
    <col min="13" max="17" width="11" customWidth="1"/>
    <col min="18" max="21" width="13.6640625" customWidth="1"/>
    <col min="22" max="22" width="10.44140625" customWidth="1"/>
    <col min="23" max="23" width="9.88671875" customWidth="1"/>
    <col min="24" max="31" width="15" customWidth="1"/>
  </cols>
  <sheetData>
    <row r="2" spans="2:31" ht="15.75" customHeight="1" x14ac:dyDescent="0.3"/>
    <row r="3" spans="2:31" ht="15.75" customHeight="1" x14ac:dyDescent="0.3">
      <c r="B3" s="6" t="s">
        <v>654</v>
      </c>
      <c r="C3" s="7"/>
      <c r="D3" s="81"/>
      <c r="E3" s="8"/>
      <c r="F3" s="9" t="s">
        <v>722</v>
      </c>
      <c r="G3" s="9"/>
      <c r="J3" s="4"/>
      <c r="K3" s="39"/>
      <c r="L3" s="39"/>
      <c r="M3" s="39"/>
      <c r="N3" s="39"/>
    </row>
    <row r="4" spans="2:31" x14ac:dyDescent="0.3">
      <c r="B4" s="201" t="s">
        <v>2</v>
      </c>
      <c r="C4" s="201" t="s">
        <v>3</v>
      </c>
      <c r="D4" s="201" t="s">
        <v>4</v>
      </c>
      <c r="E4" s="201" t="s">
        <v>5</v>
      </c>
      <c r="F4" s="202" t="s">
        <v>6</v>
      </c>
      <c r="G4" s="202" t="s">
        <v>187</v>
      </c>
      <c r="H4" s="203" t="s">
        <v>186</v>
      </c>
      <c r="I4" s="203" t="s">
        <v>11</v>
      </c>
      <c r="J4" s="202" t="s">
        <v>12</v>
      </c>
      <c r="K4" s="202" t="s">
        <v>7</v>
      </c>
      <c r="L4" s="202" t="s">
        <v>8</v>
      </c>
      <c r="M4" s="203" t="s">
        <v>396</v>
      </c>
      <c r="N4" s="203" t="s">
        <v>335</v>
      </c>
      <c r="O4" s="203" t="s">
        <v>336</v>
      </c>
      <c r="P4" s="203" t="s">
        <v>9</v>
      </c>
      <c r="Q4" s="203" t="s">
        <v>10</v>
      </c>
      <c r="R4" s="203" t="s">
        <v>397</v>
      </c>
      <c r="S4" s="203" t="s">
        <v>465</v>
      </c>
      <c r="T4" s="203" t="s">
        <v>13</v>
      </c>
      <c r="U4" s="203" t="s">
        <v>398</v>
      </c>
      <c r="V4" s="203" t="s">
        <v>42</v>
      </c>
      <c r="W4" s="203" t="s">
        <v>14</v>
      </c>
      <c r="X4" s="203" t="s">
        <v>399</v>
      </c>
      <c r="Y4" s="203" t="s">
        <v>15</v>
      </c>
      <c r="Z4" s="203" t="s">
        <v>16</v>
      </c>
      <c r="AA4" s="203" t="s">
        <v>17</v>
      </c>
      <c r="AB4" s="203" t="s">
        <v>18</v>
      </c>
      <c r="AC4" s="203" t="s">
        <v>19</v>
      </c>
      <c r="AD4" s="203" t="s">
        <v>20</v>
      </c>
      <c r="AE4" s="203" t="s">
        <v>21</v>
      </c>
    </row>
    <row r="5" spans="2:31" ht="29.4" thickBot="1" x14ac:dyDescent="0.35">
      <c r="B5" s="204" t="s">
        <v>22</v>
      </c>
      <c r="C5" s="204"/>
      <c r="D5" s="204"/>
      <c r="E5" s="204"/>
      <c r="F5" s="205" t="s">
        <v>23</v>
      </c>
      <c r="G5" s="205">
        <v>2016</v>
      </c>
      <c r="H5" s="205" t="s">
        <v>26</v>
      </c>
      <c r="I5" s="208" t="s">
        <v>560</v>
      </c>
      <c r="J5" s="206" t="s">
        <v>655</v>
      </c>
      <c r="K5" s="205"/>
      <c r="L5" s="205"/>
      <c r="M5" s="207" t="s">
        <v>671</v>
      </c>
      <c r="N5" s="207" t="s">
        <v>671</v>
      </c>
      <c r="O5" s="207" t="s">
        <v>671</v>
      </c>
      <c r="P5" s="207" t="s">
        <v>671</v>
      </c>
      <c r="Q5" s="207" t="s">
        <v>671</v>
      </c>
      <c r="R5" s="206" t="s">
        <v>676</v>
      </c>
      <c r="S5" s="206" t="s">
        <v>676</v>
      </c>
      <c r="T5" s="206" t="s">
        <v>676</v>
      </c>
      <c r="U5" s="206" t="s">
        <v>676</v>
      </c>
      <c r="V5" s="208" t="s">
        <v>679</v>
      </c>
      <c r="W5" s="208" t="s">
        <v>678</v>
      </c>
      <c r="X5" s="208" t="s">
        <v>675</v>
      </c>
      <c r="Y5" s="208" t="s">
        <v>675</v>
      </c>
      <c r="Z5" s="208" t="s">
        <v>675</v>
      </c>
      <c r="AA5" s="208" t="s">
        <v>675</v>
      </c>
      <c r="AB5" s="208" t="s">
        <v>675</v>
      </c>
      <c r="AC5" s="208" t="s">
        <v>675</v>
      </c>
      <c r="AD5" s="208" t="s">
        <v>675</v>
      </c>
      <c r="AE5" s="208" t="s">
        <v>675</v>
      </c>
    </row>
    <row r="6" spans="2:31" s="39" customFormat="1" ht="15.75" customHeight="1" x14ac:dyDescent="0.3">
      <c r="B6" s="211" t="s">
        <v>284</v>
      </c>
      <c r="C6" s="210" t="str">
        <f>LOOKUP(B6, TRA_COMM_PRO!$C$16:$C$199, TRA_COMM_PRO!$D$16:$D$199)</f>
        <v>Navigation.Generic.Passenger.01.</v>
      </c>
      <c r="D6" s="211" t="s">
        <v>190</v>
      </c>
      <c r="E6" s="211"/>
      <c r="F6" s="211"/>
      <c r="G6" s="111">
        <f>G5</f>
        <v>2016</v>
      </c>
      <c r="H6" s="140">
        <v>60</v>
      </c>
      <c r="I6" s="65">
        <v>1E-3</v>
      </c>
      <c r="J6" s="143">
        <v>999</v>
      </c>
      <c r="K6" s="142"/>
      <c r="L6" s="100"/>
      <c r="M6" s="166"/>
      <c r="N6" s="166"/>
      <c r="O6" s="166"/>
      <c r="P6" s="166"/>
      <c r="Q6" s="166"/>
      <c r="R6" s="108">
        <v>10</v>
      </c>
      <c r="S6" s="100"/>
      <c r="T6" s="100"/>
      <c r="U6" s="141"/>
      <c r="V6" s="141"/>
      <c r="W6" s="141"/>
      <c r="X6" s="40">
        <f>LOOKUP($B6, INVCOST!$C$8:$C$193, INVCOST!D$8:D$193)</f>
        <v>8888</v>
      </c>
      <c r="Y6" s="40">
        <f>LOOKUP($B6, INVCOST!$C$8:$C$193, INVCOST!E$8:E$193)</f>
        <v>8888</v>
      </c>
      <c r="Z6" s="40">
        <f>LOOKUP($B6, INVCOST!$C$8:$C$193, INVCOST!F$8:F$193)</f>
        <v>8888</v>
      </c>
      <c r="AA6" s="40">
        <f>LOOKUP($B6, INVCOST!$C$8:$C$193, INVCOST!G$8:G$193)</f>
        <v>8888</v>
      </c>
      <c r="AB6" s="40">
        <f>LOOKUP($B6, INVCOST!$C$8:$C$193, INVCOST!H$8:H$193)</f>
        <v>8888</v>
      </c>
      <c r="AC6" s="40">
        <f>LOOKUP($B6, INVCOST!$C$8:$C$193, INVCOST!I$8:I$193)</f>
        <v>8888</v>
      </c>
      <c r="AD6" s="40">
        <f>LOOKUP($B6, INVCOST!$C$8:$C$193, INVCOST!J$8:J$193)</f>
        <v>8888</v>
      </c>
      <c r="AE6" s="40">
        <f>LOOKUP($B6, INVCOST!$C$8:$C$193, INVCOST!K$8:K$193)</f>
        <v>8888</v>
      </c>
    </row>
    <row r="7" spans="2:31" s="39" customFormat="1" ht="15.75" customHeight="1" x14ac:dyDescent="0.3">
      <c r="B7" s="211"/>
      <c r="C7" s="211"/>
      <c r="D7" s="211" t="s">
        <v>656</v>
      </c>
      <c r="E7" s="211"/>
      <c r="F7" s="211"/>
      <c r="G7" s="100"/>
      <c r="H7" s="141"/>
      <c r="I7" s="141"/>
      <c r="J7" s="144"/>
      <c r="K7" s="141"/>
      <c r="L7" s="100"/>
      <c r="M7" s="143"/>
      <c r="N7" s="143"/>
      <c r="O7" s="143"/>
      <c r="P7" s="108"/>
      <c r="Q7" s="108"/>
      <c r="R7" s="100"/>
      <c r="S7" s="100"/>
      <c r="T7" s="100"/>
      <c r="U7" s="141"/>
      <c r="V7" s="141"/>
      <c r="W7" s="141"/>
      <c r="X7" s="141"/>
      <c r="Y7" s="141"/>
      <c r="Z7" s="141"/>
      <c r="AA7" s="141"/>
      <c r="AB7" s="141"/>
      <c r="AC7" s="141"/>
      <c r="AD7" s="100"/>
      <c r="AE7" s="100"/>
    </row>
    <row r="8" spans="2:31" s="39" customFormat="1" ht="15.75" customHeight="1" x14ac:dyDescent="0.3">
      <c r="B8" s="211"/>
      <c r="C8" s="211"/>
      <c r="D8" s="211"/>
      <c r="E8" s="211"/>
      <c r="F8" s="211" t="s">
        <v>659</v>
      </c>
      <c r="G8" s="100"/>
      <c r="H8" s="140"/>
      <c r="I8" s="141"/>
      <c r="J8" s="145"/>
      <c r="K8" s="145"/>
      <c r="L8" s="100"/>
      <c r="M8" s="277">
        <f>LOOKUP($B$6, CEFF!$C$8:$C$156, CEFF!F$8:F$156)</f>
        <v>1.7000000000000001E-4</v>
      </c>
      <c r="N8" s="277">
        <f>LOOKUP($B$6, CEFF!$C$8:$C$156, CEFF!G$8:G$156)</f>
        <v>1.7000000000000001E-4</v>
      </c>
      <c r="O8" s="277">
        <f>LOOKUP($B$6, CEFF!$C$8:$C$156, CEFF!H$8:H$156)</f>
        <v>1.7000000000000001E-4</v>
      </c>
      <c r="P8" s="277">
        <f>LOOKUP($B$6, CEFF!$C$8:$C$156, CEFF!I$8:I$156)</f>
        <v>1.7000000000000001E-4</v>
      </c>
      <c r="Q8" s="277">
        <f>LOOKUP($B$6, CEFF!$C$8:$C$156, CEFF!J$8:J$156)</f>
        <v>1.7000000000000001E-4</v>
      </c>
      <c r="R8" s="100"/>
      <c r="S8" s="100"/>
      <c r="T8" s="100"/>
      <c r="U8" s="141"/>
      <c r="V8" s="141"/>
      <c r="W8" s="141"/>
      <c r="X8" s="141"/>
      <c r="Y8" s="141"/>
      <c r="Z8" s="141"/>
      <c r="AA8" s="141"/>
      <c r="AB8" s="141"/>
      <c r="AC8" s="141"/>
      <c r="AD8" s="100"/>
      <c r="AE8" s="100"/>
    </row>
    <row r="9" spans="2:31" s="39" customFormat="1" ht="15.75" customHeight="1" x14ac:dyDescent="0.3">
      <c r="B9" s="215"/>
      <c r="C9" s="215"/>
      <c r="D9" s="215"/>
      <c r="E9" s="215"/>
      <c r="F9" s="215" t="s">
        <v>660</v>
      </c>
      <c r="G9" s="174"/>
      <c r="H9" s="175"/>
      <c r="I9" s="176"/>
      <c r="J9" s="177"/>
      <c r="K9" s="177"/>
      <c r="L9" s="174"/>
      <c r="M9" s="281">
        <f>LOOKUP($B$6, CEFF!$C$8:$C$156, CEFF!F$8:F$156)</f>
        <v>1.7000000000000001E-4</v>
      </c>
      <c r="N9" s="281">
        <f>LOOKUP($B$6, CEFF!$C$8:$C$156, CEFF!G$8:G$156)</f>
        <v>1.7000000000000001E-4</v>
      </c>
      <c r="O9" s="281">
        <f>LOOKUP($B$6, CEFF!$C$8:$C$156, CEFF!H$8:H$156)</f>
        <v>1.7000000000000001E-4</v>
      </c>
      <c r="P9" s="281">
        <f>LOOKUP($B$6, CEFF!$C$8:$C$156, CEFF!I$8:I$156)</f>
        <v>1.7000000000000001E-4</v>
      </c>
      <c r="Q9" s="281">
        <f>LOOKUP($B$6, CEFF!$C$8:$C$156, CEFF!J$8:J$156)</f>
        <v>1.7000000000000001E-4</v>
      </c>
      <c r="R9" s="174"/>
      <c r="S9" s="174"/>
      <c r="T9" s="174"/>
      <c r="U9" s="176"/>
      <c r="V9" s="176"/>
      <c r="W9" s="176"/>
      <c r="X9" s="176"/>
      <c r="Y9" s="176"/>
      <c r="Z9" s="176"/>
      <c r="AA9" s="176"/>
      <c r="AB9" s="176"/>
      <c r="AC9" s="176"/>
      <c r="AD9" s="174"/>
      <c r="AE9" s="174"/>
    </row>
    <row r="10" spans="2:31" s="39" customFormat="1" ht="15.75" customHeight="1" x14ac:dyDescent="0.3">
      <c r="H10" s="58"/>
      <c r="I10" s="38"/>
      <c r="J10" s="47"/>
      <c r="K10" s="47"/>
      <c r="M10" s="36"/>
      <c r="N10" s="36"/>
      <c r="O10" s="36"/>
      <c r="P10" s="199"/>
      <c r="Q10" s="199"/>
      <c r="U10" s="38"/>
      <c r="V10" s="38"/>
      <c r="W10" s="38"/>
      <c r="X10" s="38"/>
      <c r="Y10" s="38"/>
      <c r="Z10" s="38"/>
      <c r="AA10" s="38"/>
      <c r="AB10" s="38"/>
      <c r="AC10" s="38"/>
    </row>
    <row r="11" spans="2:31" ht="15.75" customHeight="1" x14ac:dyDescent="0.3"/>
    <row r="12" spans="2:31" ht="15.75" customHeight="1" x14ac:dyDescent="0.3">
      <c r="B12" s="6" t="s">
        <v>654</v>
      </c>
      <c r="C12" s="7"/>
      <c r="D12" s="81"/>
      <c r="E12" s="8"/>
      <c r="F12" s="9" t="s">
        <v>722</v>
      </c>
      <c r="G12" s="9"/>
      <c r="J12" s="4"/>
      <c r="K12" s="39"/>
      <c r="L12" s="39"/>
      <c r="M12" s="39"/>
      <c r="N12" s="39"/>
    </row>
    <row r="13" spans="2:31" x14ac:dyDescent="0.3">
      <c r="B13" s="201" t="s">
        <v>2</v>
      </c>
      <c r="C13" s="201" t="s">
        <v>3</v>
      </c>
      <c r="D13" s="201" t="s">
        <v>4</v>
      </c>
      <c r="E13" s="201" t="s">
        <v>5</v>
      </c>
      <c r="F13" s="202" t="s">
        <v>6</v>
      </c>
      <c r="G13" s="202" t="s">
        <v>187</v>
      </c>
      <c r="H13" s="203" t="s">
        <v>186</v>
      </c>
      <c r="I13" s="203" t="s">
        <v>11</v>
      </c>
      <c r="J13" s="202" t="s">
        <v>12</v>
      </c>
      <c r="K13" s="202" t="s">
        <v>7</v>
      </c>
      <c r="L13" s="202" t="s">
        <v>8</v>
      </c>
      <c r="M13" s="203" t="s">
        <v>396</v>
      </c>
      <c r="N13" s="203" t="s">
        <v>335</v>
      </c>
      <c r="O13" s="203" t="s">
        <v>336</v>
      </c>
      <c r="P13" s="203" t="s">
        <v>9</v>
      </c>
      <c r="Q13" s="203" t="s">
        <v>10</v>
      </c>
      <c r="R13" s="203" t="s">
        <v>397</v>
      </c>
      <c r="S13" s="203" t="s">
        <v>465</v>
      </c>
      <c r="T13" s="203" t="s">
        <v>13</v>
      </c>
      <c r="U13" s="203" t="s">
        <v>398</v>
      </c>
      <c r="V13" s="203" t="s">
        <v>42</v>
      </c>
      <c r="W13" s="203" t="s">
        <v>14</v>
      </c>
      <c r="X13" s="203" t="s">
        <v>399</v>
      </c>
      <c r="Y13" s="203" t="s">
        <v>15</v>
      </c>
      <c r="Z13" s="203" t="s">
        <v>16</v>
      </c>
      <c r="AA13" s="203" t="s">
        <v>17</v>
      </c>
      <c r="AB13" s="203" t="s">
        <v>18</v>
      </c>
      <c r="AC13" s="203" t="s">
        <v>19</v>
      </c>
      <c r="AD13" s="203" t="s">
        <v>20</v>
      </c>
      <c r="AE13" s="203" t="s">
        <v>21</v>
      </c>
    </row>
    <row r="14" spans="2:31" ht="29.4" thickBot="1" x14ac:dyDescent="0.35">
      <c r="B14" s="204" t="s">
        <v>22</v>
      </c>
      <c r="C14" s="204"/>
      <c r="D14" s="204"/>
      <c r="E14" s="204"/>
      <c r="F14" s="205" t="s">
        <v>23</v>
      </c>
      <c r="G14" s="205">
        <v>2016</v>
      </c>
      <c r="H14" s="205" t="s">
        <v>26</v>
      </c>
      <c r="I14" s="208" t="s">
        <v>560</v>
      </c>
      <c r="J14" s="206" t="s">
        <v>655</v>
      </c>
      <c r="K14" s="205"/>
      <c r="L14" s="205"/>
      <c r="M14" s="207" t="s">
        <v>671</v>
      </c>
      <c r="N14" s="207" t="s">
        <v>671</v>
      </c>
      <c r="O14" s="207" t="s">
        <v>671</v>
      </c>
      <c r="P14" s="207" t="s">
        <v>671</v>
      </c>
      <c r="Q14" s="207" t="s">
        <v>671</v>
      </c>
      <c r="R14" s="206" t="s">
        <v>676</v>
      </c>
      <c r="S14" s="206" t="s">
        <v>676</v>
      </c>
      <c r="T14" s="206" t="s">
        <v>676</v>
      </c>
      <c r="U14" s="206" t="s">
        <v>676</v>
      </c>
      <c r="V14" s="208" t="s">
        <v>679</v>
      </c>
      <c r="W14" s="208" t="s">
        <v>678</v>
      </c>
      <c r="X14" s="208" t="s">
        <v>675</v>
      </c>
      <c r="Y14" s="208" t="s">
        <v>675</v>
      </c>
      <c r="Z14" s="208" t="s">
        <v>675</v>
      </c>
      <c r="AA14" s="208" t="s">
        <v>675</v>
      </c>
      <c r="AB14" s="208" t="s">
        <v>675</v>
      </c>
      <c r="AC14" s="208" t="s">
        <v>675</v>
      </c>
      <c r="AD14" s="208" t="s">
        <v>675</v>
      </c>
      <c r="AE14" s="208" t="s">
        <v>675</v>
      </c>
    </row>
    <row r="15" spans="2:31" s="39" customFormat="1" ht="15.75" customHeight="1" x14ac:dyDescent="0.3">
      <c r="B15" s="211" t="s">
        <v>188</v>
      </c>
      <c r="C15" s="210" t="str">
        <f>LOOKUP(B15, TRA_COMM_PRO!$C$16:$C$199, TRA_COMM_PRO!$D$16:$D$199)</f>
        <v>Navigation.Generic.Bunker.01.</v>
      </c>
      <c r="D15" s="211" t="s">
        <v>190</v>
      </c>
      <c r="E15" s="211"/>
      <c r="F15" s="211"/>
      <c r="G15" s="111">
        <f>$G$14</f>
        <v>2016</v>
      </c>
      <c r="H15" s="140">
        <v>60</v>
      </c>
      <c r="I15" s="65">
        <v>1E-3</v>
      </c>
      <c r="J15" s="143">
        <v>20000</v>
      </c>
      <c r="K15" s="142"/>
      <c r="L15" s="100"/>
      <c r="M15" s="166"/>
      <c r="N15" s="166"/>
      <c r="O15" s="166"/>
      <c r="P15" s="166"/>
      <c r="Q15" s="166"/>
      <c r="R15" s="108">
        <v>10</v>
      </c>
      <c r="S15" s="100"/>
      <c r="T15" s="100"/>
      <c r="U15" s="141"/>
      <c r="V15" s="141"/>
      <c r="W15" s="141"/>
      <c r="X15" s="40">
        <f>LOOKUP($B15, INVCOST!$C$8:$C$193, INVCOST!D$8:D$193)</f>
        <v>8888</v>
      </c>
      <c r="Y15" s="40">
        <f>LOOKUP($B15, INVCOST!$C$8:$C$193, INVCOST!E$8:E$193)</f>
        <v>8888</v>
      </c>
      <c r="Z15" s="40">
        <f>LOOKUP($B15, INVCOST!$C$8:$C$193, INVCOST!F$8:F$193)</f>
        <v>8888</v>
      </c>
      <c r="AA15" s="40">
        <f>LOOKUP($B15, INVCOST!$C$8:$C$193, INVCOST!G$8:G$193)</f>
        <v>8888</v>
      </c>
      <c r="AB15" s="40">
        <f>LOOKUP($B15, INVCOST!$C$8:$C$193, INVCOST!H$8:H$193)</f>
        <v>8888</v>
      </c>
      <c r="AC15" s="40">
        <f>LOOKUP($B15, INVCOST!$C$8:$C$193, INVCOST!I$8:I$193)</f>
        <v>8888</v>
      </c>
      <c r="AD15" s="40">
        <f>LOOKUP($B15, INVCOST!$C$8:$C$193, INVCOST!J$8:J$193)</f>
        <v>8888</v>
      </c>
      <c r="AE15" s="40">
        <f>LOOKUP($B15, INVCOST!$C$8:$C$193, INVCOST!K$8:K$193)</f>
        <v>8888</v>
      </c>
    </row>
    <row r="16" spans="2:31" s="39" customFormat="1" ht="15.75" customHeight="1" x14ac:dyDescent="0.3">
      <c r="B16" s="211"/>
      <c r="C16" s="211"/>
      <c r="D16" s="211" t="s">
        <v>656</v>
      </c>
      <c r="E16" s="211"/>
      <c r="F16" s="211"/>
      <c r="G16" s="100"/>
      <c r="H16" s="141"/>
      <c r="I16" s="141"/>
      <c r="J16" s="144"/>
      <c r="K16" s="141"/>
      <c r="L16" s="100"/>
      <c r="M16" s="143"/>
      <c r="N16" s="143"/>
      <c r="O16" s="143"/>
      <c r="P16" s="108"/>
      <c r="Q16" s="108"/>
      <c r="R16" s="100"/>
      <c r="S16" s="100"/>
      <c r="T16" s="100"/>
      <c r="U16" s="141"/>
      <c r="V16" s="141"/>
      <c r="W16" s="141"/>
      <c r="X16" s="141"/>
      <c r="Y16" s="141"/>
      <c r="Z16" s="141"/>
      <c r="AA16" s="141"/>
      <c r="AB16" s="141"/>
      <c r="AC16" s="141"/>
      <c r="AD16" s="100"/>
      <c r="AE16" s="100"/>
    </row>
    <row r="17" spans="2:31" s="39" customFormat="1" ht="15.75" customHeight="1" x14ac:dyDescent="0.3">
      <c r="B17" s="211"/>
      <c r="C17" s="211"/>
      <c r="D17" s="211"/>
      <c r="E17" s="211"/>
      <c r="F17" s="211" t="s">
        <v>191</v>
      </c>
      <c r="G17" s="100"/>
      <c r="H17" s="140"/>
      <c r="I17" s="141"/>
      <c r="J17" s="145"/>
      <c r="K17" s="145"/>
      <c r="L17" s="100"/>
      <c r="M17" s="277">
        <f>LOOKUP($B$15, CEFF!$C$8:$C$156, CEFF!F$8:F$156)</f>
        <v>1.7000000000000001E-4</v>
      </c>
      <c r="N17" s="277">
        <f>LOOKUP($B$15, CEFF!$C$8:$C$156, CEFF!G$8:G$156)</f>
        <v>1.7000000000000001E-4</v>
      </c>
      <c r="O17" s="277">
        <f>LOOKUP($B$15, CEFF!$C$8:$C$156, CEFF!H$8:H$156)</f>
        <v>1.7000000000000001E-4</v>
      </c>
      <c r="P17" s="277">
        <f>LOOKUP($B$15, CEFF!$C$8:$C$156, CEFF!I$8:I$156)</f>
        <v>1.7000000000000001E-4</v>
      </c>
      <c r="Q17" s="277">
        <f>LOOKUP($B$15, CEFF!$C$8:$C$156, CEFF!J$8:J$156)</f>
        <v>1.7000000000000001E-4</v>
      </c>
      <c r="R17" s="100"/>
      <c r="S17" s="100"/>
      <c r="T17" s="100"/>
      <c r="U17" s="141"/>
      <c r="V17" s="141"/>
      <c r="W17" s="141"/>
      <c r="X17" s="141"/>
      <c r="Y17" s="141"/>
      <c r="Z17" s="141"/>
      <c r="AA17" s="141"/>
      <c r="AB17" s="141"/>
      <c r="AC17" s="141"/>
      <c r="AD17" s="100"/>
      <c r="AE17" s="100"/>
    </row>
    <row r="18" spans="2:31" s="39" customFormat="1" ht="15.75" customHeight="1" x14ac:dyDescent="0.3">
      <c r="B18" s="215"/>
      <c r="C18" s="215"/>
      <c r="D18" s="215"/>
      <c r="E18" s="215"/>
      <c r="F18" s="215" t="s">
        <v>400</v>
      </c>
      <c r="G18" s="174"/>
      <c r="H18" s="175"/>
      <c r="I18" s="176"/>
      <c r="J18" s="177"/>
      <c r="K18" s="177"/>
      <c r="L18" s="174"/>
      <c r="M18" s="281">
        <f>LOOKUP($B$15, CEFF!$C$8:$C$156, CEFF!F$8:F$156)</f>
        <v>1.7000000000000001E-4</v>
      </c>
      <c r="N18" s="281">
        <f>LOOKUP($B$15, CEFF!$C$8:$C$156, CEFF!G$8:G$156)</f>
        <v>1.7000000000000001E-4</v>
      </c>
      <c r="O18" s="281">
        <f>LOOKUP($B$15, CEFF!$C$8:$C$156, CEFF!H$8:H$156)</f>
        <v>1.7000000000000001E-4</v>
      </c>
      <c r="P18" s="281">
        <f>LOOKUP($B$15, CEFF!$C$8:$C$156, CEFF!I$8:I$156)</f>
        <v>1.7000000000000001E-4</v>
      </c>
      <c r="Q18" s="281">
        <f>LOOKUP($B$15, CEFF!$C$8:$C$156, CEFF!J$8:J$156)</f>
        <v>1.7000000000000001E-4</v>
      </c>
      <c r="R18" s="174"/>
      <c r="S18" s="174"/>
      <c r="T18" s="174"/>
      <c r="U18" s="176"/>
      <c r="V18" s="176"/>
      <c r="W18" s="176"/>
      <c r="X18" s="176"/>
      <c r="Y18" s="176"/>
      <c r="Z18" s="176"/>
      <c r="AA18" s="176"/>
      <c r="AB18" s="176"/>
      <c r="AC18" s="176"/>
      <c r="AD18" s="174"/>
      <c r="AE18" s="174"/>
    </row>
    <row r="19" spans="2:31" s="39" customFormat="1" ht="15.75" customHeight="1" x14ac:dyDescent="0.3">
      <c r="B19" s="211" t="s">
        <v>694</v>
      </c>
      <c r="C19" s="210" t="str">
        <f>LOOKUP(B19, TRA_COMM_PRO!$C$16:$C$199, TRA_COMM_PRO!$D$16:$D$199)</f>
        <v>Navigation.Generic.Bunker.Gas.01</v>
      </c>
      <c r="D19" s="211" t="s">
        <v>53</v>
      </c>
      <c r="E19" s="211"/>
      <c r="F19" s="211"/>
      <c r="G19" s="111">
        <f>$G$14</f>
        <v>2016</v>
      </c>
      <c r="H19" s="140">
        <v>60</v>
      </c>
      <c r="I19" s="65">
        <v>1E-3</v>
      </c>
      <c r="J19" s="143">
        <v>20000</v>
      </c>
      <c r="K19" s="142"/>
      <c r="L19" s="100"/>
      <c r="M19" s="166"/>
      <c r="N19" s="166"/>
      <c r="O19" s="166"/>
      <c r="P19" s="166"/>
      <c r="Q19" s="166"/>
      <c r="R19" s="108">
        <v>10</v>
      </c>
      <c r="S19" s="100"/>
      <c r="T19" s="100"/>
      <c r="U19" s="141"/>
      <c r="V19" s="141"/>
      <c r="W19" s="141"/>
      <c r="X19" s="40">
        <f>LOOKUP($B19, INVCOST!$C$8:$C$193, INVCOST!D$8:D$193)</f>
        <v>17776</v>
      </c>
      <c r="Y19" s="40">
        <f>LOOKUP($B19, INVCOST!$C$8:$C$193, INVCOST!E$8:E$193)</f>
        <v>17776</v>
      </c>
      <c r="Z19" s="40">
        <f>LOOKUP($B19, INVCOST!$C$8:$C$193, INVCOST!F$8:F$193)</f>
        <v>17776</v>
      </c>
      <c r="AA19" s="40">
        <f>LOOKUP($B19, INVCOST!$C$8:$C$193, INVCOST!G$8:G$193)</f>
        <v>17776</v>
      </c>
      <c r="AB19" s="40">
        <f>LOOKUP($B19, INVCOST!$C$8:$C$193, INVCOST!H$8:H$193)</f>
        <v>17776</v>
      </c>
      <c r="AC19" s="40">
        <f>LOOKUP($B19, INVCOST!$C$8:$C$193, INVCOST!I$8:I$193)</f>
        <v>17776</v>
      </c>
      <c r="AD19" s="40">
        <f>LOOKUP($B19, INVCOST!$C$8:$C$193, INVCOST!J$8:J$193)</f>
        <v>17776</v>
      </c>
      <c r="AE19" s="40">
        <f>LOOKUP($B19, INVCOST!$C$8:$C$193, INVCOST!K$8:K$193)</f>
        <v>17776</v>
      </c>
    </row>
    <row r="20" spans="2:31" s="39" customFormat="1" ht="15.75" customHeight="1" x14ac:dyDescent="0.3">
      <c r="B20" s="211"/>
      <c r="C20" s="211"/>
      <c r="D20" s="211"/>
      <c r="E20" s="211"/>
      <c r="F20" s="211" t="s">
        <v>191</v>
      </c>
      <c r="G20" s="100"/>
      <c r="H20" s="140"/>
      <c r="I20" s="141"/>
      <c r="J20" s="145"/>
      <c r="K20" s="145"/>
      <c r="L20" s="100"/>
      <c r="M20" s="277">
        <f>LOOKUP($B$19, CEFF!$C$8:$C$156, CEFF!F$8:F$156)</f>
        <v>1.7000000000000001E-4</v>
      </c>
      <c r="N20" s="277">
        <f>LOOKUP($B$19, CEFF!$C$8:$C$156, CEFF!G$8:G$156)</f>
        <v>1.7000000000000001E-4</v>
      </c>
      <c r="O20" s="277">
        <f>LOOKUP($B$19, CEFF!$C$8:$C$156, CEFF!H$8:H$156)</f>
        <v>1.7000000000000001E-4</v>
      </c>
      <c r="P20" s="277">
        <f>LOOKUP($B$19, CEFF!$C$8:$C$156, CEFF!I$8:I$156)</f>
        <v>1.7000000000000001E-4</v>
      </c>
      <c r="Q20" s="277">
        <f>LOOKUP($B$19, CEFF!$C$8:$C$156, CEFF!J$8:J$156)</f>
        <v>1.7000000000000001E-4</v>
      </c>
      <c r="R20" s="100"/>
      <c r="S20" s="100"/>
      <c r="T20" s="100"/>
      <c r="U20" s="141"/>
      <c r="V20" s="141"/>
      <c r="W20" s="141"/>
      <c r="X20" s="141"/>
      <c r="Y20" s="141"/>
      <c r="Z20" s="141"/>
      <c r="AA20" s="141"/>
      <c r="AB20" s="141"/>
      <c r="AC20" s="141"/>
      <c r="AD20" s="100"/>
      <c r="AE20" s="100"/>
    </row>
    <row r="21" spans="2:31" s="39" customFormat="1" ht="15.75" customHeight="1" x14ac:dyDescent="0.3">
      <c r="B21" s="215"/>
      <c r="C21" s="215"/>
      <c r="D21" s="215"/>
      <c r="E21" s="215"/>
      <c r="F21" s="215" t="s">
        <v>400</v>
      </c>
      <c r="G21" s="174"/>
      <c r="H21" s="175"/>
      <c r="I21" s="176"/>
      <c r="J21" s="177"/>
      <c r="K21" s="177"/>
      <c r="L21" s="174"/>
      <c r="M21" s="281">
        <f>LOOKUP($B$19, CEFF!$C$8:$C$156, CEFF!F$8:F$156)</f>
        <v>1.7000000000000001E-4</v>
      </c>
      <c r="N21" s="281">
        <f>LOOKUP($B$19, CEFF!$C$8:$C$156, CEFF!G$8:G$156)</f>
        <v>1.7000000000000001E-4</v>
      </c>
      <c r="O21" s="281">
        <f>LOOKUP($B$19, CEFF!$C$8:$C$156, CEFF!H$8:H$156)</f>
        <v>1.7000000000000001E-4</v>
      </c>
      <c r="P21" s="281">
        <f>LOOKUP($B$19, CEFF!$C$8:$C$156, CEFF!I$8:I$156)</f>
        <v>1.7000000000000001E-4</v>
      </c>
      <c r="Q21" s="281">
        <f>LOOKUP($B$19, CEFF!$C$8:$C$156, CEFF!J$8:J$156)</f>
        <v>1.7000000000000001E-4</v>
      </c>
      <c r="R21" s="174"/>
      <c r="S21" s="174"/>
      <c r="T21" s="174"/>
      <c r="U21" s="176"/>
      <c r="V21" s="176"/>
      <c r="W21" s="176"/>
      <c r="X21" s="176"/>
      <c r="Y21" s="176"/>
      <c r="Z21" s="176"/>
      <c r="AA21" s="176"/>
      <c r="AB21" s="176"/>
      <c r="AC21" s="176"/>
      <c r="AD21" s="174"/>
      <c r="AE21" s="174"/>
    </row>
    <row r="22" spans="2:31" s="39" customFormat="1" ht="15.75" customHeight="1" x14ac:dyDescent="0.3">
      <c r="B22" s="211" t="s">
        <v>696</v>
      </c>
      <c r="C22" s="210" t="str">
        <f>LOOKUP(B22, TRA_COMM_PRO!$C$16:$C$199, TRA_COMM_PRO!$D$16:$D$199)</f>
        <v>Navigation.Generic.Bunker.Methanol.01</v>
      </c>
      <c r="D22" s="211" t="s">
        <v>599</v>
      </c>
      <c r="E22" s="211"/>
      <c r="F22" s="211"/>
      <c r="G22" s="111">
        <f>$G$14</f>
        <v>2016</v>
      </c>
      <c r="H22" s="140">
        <v>60</v>
      </c>
      <c r="I22" s="65">
        <v>1E-3</v>
      </c>
      <c r="J22" s="143">
        <v>20000</v>
      </c>
      <c r="K22" s="142"/>
      <c r="L22" s="100"/>
      <c r="M22" s="166"/>
      <c r="N22" s="166"/>
      <c r="O22" s="166"/>
      <c r="P22" s="166"/>
      <c r="Q22" s="166"/>
      <c r="R22" s="108">
        <v>10</v>
      </c>
      <c r="S22" s="100"/>
      <c r="T22" s="100"/>
      <c r="U22" s="141"/>
      <c r="V22" s="141"/>
      <c r="W22" s="141"/>
      <c r="X22" s="40">
        <f>LOOKUP($B22, INVCOST!$C$8:$C$193, INVCOST!D$8:D$193)</f>
        <v>17776</v>
      </c>
      <c r="Y22" s="40">
        <f>LOOKUP($B22, INVCOST!$C$8:$C$193, INVCOST!E$8:E$193)</f>
        <v>17776</v>
      </c>
      <c r="Z22" s="40">
        <f>LOOKUP($B22, INVCOST!$C$8:$C$193, INVCOST!F$8:F$193)</f>
        <v>17776</v>
      </c>
      <c r="AA22" s="40">
        <f>LOOKUP($B22, INVCOST!$C$8:$C$193, INVCOST!G$8:G$193)</f>
        <v>17776</v>
      </c>
      <c r="AB22" s="40">
        <f>LOOKUP($B22, INVCOST!$C$8:$C$193, INVCOST!H$8:H$193)</f>
        <v>17776</v>
      </c>
      <c r="AC22" s="40">
        <f>LOOKUP($B22, INVCOST!$C$8:$C$193, INVCOST!I$8:I$193)</f>
        <v>17776</v>
      </c>
      <c r="AD22" s="40">
        <f>LOOKUP($B22, INVCOST!$C$8:$C$193, INVCOST!J$8:J$193)</f>
        <v>17776</v>
      </c>
      <c r="AE22" s="40">
        <f>LOOKUP($B22, INVCOST!$C$8:$C$193, INVCOST!K$8:K$193)</f>
        <v>17776</v>
      </c>
    </row>
    <row r="23" spans="2:31" s="39" customFormat="1" ht="15.75" customHeight="1" x14ac:dyDescent="0.3">
      <c r="B23" s="211"/>
      <c r="C23" s="211"/>
      <c r="D23" s="211"/>
      <c r="E23" s="211"/>
      <c r="F23" s="211" t="s">
        <v>191</v>
      </c>
      <c r="G23" s="100"/>
      <c r="H23" s="140"/>
      <c r="I23" s="141"/>
      <c r="J23" s="145"/>
      <c r="K23" s="145"/>
      <c r="L23" s="100"/>
      <c r="M23" s="277">
        <f>LOOKUP($B$22, CEFF!$C$8:$C$156, CEFF!F$8:F$156)</f>
        <v>1.7000000000000001E-4</v>
      </c>
      <c r="N23" s="277">
        <f>LOOKUP($B$22, CEFF!$C$8:$C$156, CEFF!G$8:G$156)</f>
        <v>1.7000000000000001E-4</v>
      </c>
      <c r="O23" s="277">
        <f>LOOKUP($B$22, CEFF!$C$8:$C$156, CEFF!H$8:H$156)</f>
        <v>1.7000000000000001E-4</v>
      </c>
      <c r="P23" s="277">
        <f>LOOKUP($B$22, CEFF!$C$8:$C$156, CEFF!I$8:I$156)</f>
        <v>1.7000000000000001E-4</v>
      </c>
      <c r="Q23" s="277">
        <f>LOOKUP($B$22, CEFF!$C$8:$C$156, CEFF!J$8:J$156)</f>
        <v>1.7000000000000001E-4</v>
      </c>
      <c r="R23" s="100"/>
      <c r="S23" s="100"/>
      <c r="T23" s="100"/>
      <c r="U23" s="141"/>
      <c r="V23" s="141"/>
      <c r="W23" s="141"/>
      <c r="X23" s="141"/>
      <c r="Y23" s="141"/>
      <c r="Z23" s="141"/>
      <c r="AA23" s="141"/>
      <c r="AB23" s="141"/>
      <c r="AC23" s="141"/>
      <c r="AD23" s="100"/>
      <c r="AE23" s="100"/>
    </row>
    <row r="24" spans="2:31" s="39" customFormat="1" ht="15.75" customHeight="1" x14ac:dyDescent="0.3">
      <c r="B24" s="215"/>
      <c r="C24" s="215"/>
      <c r="D24" s="215"/>
      <c r="E24" s="215"/>
      <c r="F24" s="215" t="s">
        <v>400</v>
      </c>
      <c r="G24" s="174"/>
      <c r="H24" s="175"/>
      <c r="I24" s="176"/>
      <c r="J24" s="177"/>
      <c r="K24" s="177"/>
      <c r="L24" s="174"/>
      <c r="M24" s="281">
        <f>LOOKUP($B$22, CEFF!$C$8:$C$156, CEFF!F$8:F$156)</f>
        <v>1.7000000000000001E-4</v>
      </c>
      <c r="N24" s="281">
        <f>LOOKUP($B$22, CEFF!$C$8:$C$156, CEFF!G$8:G$156)</f>
        <v>1.7000000000000001E-4</v>
      </c>
      <c r="O24" s="281">
        <f>LOOKUP($B$22, CEFF!$C$8:$C$156, CEFF!H$8:H$156)</f>
        <v>1.7000000000000001E-4</v>
      </c>
      <c r="P24" s="281">
        <f>LOOKUP($B$22, CEFF!$C$8:$C$156, CEFF!I$8:I$156)</f>
        <v>1.7000000000000001E-4</v>
      </c>
      <c r="Q24" s="281">
        <f>LOOKUP($B$22, CEFF!$C$8:$C$156, CEFF!J$8:J$156)</f>
        <v>1.7000000000000001E-4</v>
      </c>
      <c r="R24" s="174"/>
      <c r="S24" s="174"/>
      <c r="T24" s="174"/>
      <c r="U24" s="176"/>
      <c r="V24" s="176"/>
      <c r="W24" s="176"/>
      <c r="X24" s="176"/>
      <c r="Y24" s="176"/>
      <c r="Z24" s="176"/>
      <c r="AA24" s="176"/>
      <c r="AB24" s="176"/>
      <c r="AC24" s="176"/>
      <c r="AD24" s="174"/>
      <c r="AE24" s="174"/>
    </row>
    <row r="25" spans="2:31" s="39" customFormat="1" ht="15.75" customHeight="1" x14ac:dyDescent="0.3">
      <c r="H25" s="58"/>
      <c r="I25" s="38"/>
      <c r="J25" s="47"/>
      <c r="K25" s="47"/>
      <c r="M25" s="36"/>
      <c r="N25" s="36"/>
      <c r="O25" s="36"/>
      <c r="P25" s="199"/>
      <c r="Q25" s="199"/>
      <c r="U25" s="38"/>
      <c r="V25" s="38"/>
      <c r="W25" s="38"/>
      <c r="X25" s="38"/>
      <c r="Y25" s="38"/>
      <c r="Z25" s="38"/>
      <c r="AA25" s="38"/>
      <c r="AB25" s="38"/>
      <c r="AC25" s="38"/>
    </row>
    <row r="27" spans="2:31" ht="15.75" customHeight="1" x14ac:dyDescent="0.3">
      <c r="B27" s="6" t="s">
        <v>646</v>
      </c>
      <c r="C27" s="7"/>
      <c r="D27" s="81"/>
      <c r="E27" s="8"/>
      <c r="F27" s="9" t="s">
        <v>722</v>
      </c>
      <c r="G27" s="9"/>
      <c r="J27" s="4"/>
      <c r="K27" s="39"/>
      <c r="L27" s="39"/>
      <c r="M27" s="39"/>
      <c r="N27" s="39"/>
    </row>
    <row r="28" spans="2:31" x14ac:dyDescent="0.3">
      <c r="B28" s="201" t="s">
        <v>2</v>
      </c>
      <c r="C28" s="201" t="s">
        <v>3</v>
      </c>
      <c r="D28" s="201" t="s">
        <v>4</v>
      </c>
      <c r="E28" s="201" t="s">
        <v>5</v>
      </c>
      <c r="F28" s="202" t="s">
        <v>6</v>
      </c>
      <c r="G28" s="202" t="s">
        <v>187</v>
      </c>
      <c r="H28" s="203" t="s">
        <v>186</v>
      </c>
      <c r="I28" s="203" t="s">
        <v>11</v>
      </c>
      <c r="J28" s="202" t="s">
        <v>12</v>
      </c>
      <c r="K28" s="202" t="s">
        <v>7</v>
      </c>
      <c r="L28" s="202" t="s">
        <v>8</v>
      </c>
      <c r="M28" s="203" t="s">
        <v>396</v>
      </c>
      <c r="N28" s="203" t="s">
        <v>335</v>
      </c>
      <c r="O28" s="203" t="s">
        <v>336</v>
      </c>
      <c r="P28" s="203" t="s">
        <v>9</v>
      </c>
      <c r="Q28" s="203" t="s">
        <v>10</v>
      </c>
      <c r="R28" s="203" t="s">
        <v>397</v>
      </c>
      <c r="S28" s="203" t="s">
        <v>465</v>
      </c>
      <c r="T28" s="203" t="s">
        <v>13</v>
      </c>
      <c r="U28" s="203" t="s">
        <v>398</v>
      </c>
      <c r="V28" s="203" t="s">
        <v>42</v>
      </c>
      <c r="W28" s="203" t="s">
        <v>14</v>
      </c>
      <c r="X28" s="203" t="s">
        <v>399</v>
      </c>
      <c r="Y28" s="203" t="s">
        <v>15</v>
      </c>
      <c r="Z28" s="203" t="s">
        <v>16</v>
      </c>
      <c r="AA28" s="203" t="s">
        <v>17</v>
      </c>
      <c r="AB28" s="203" t="s">
        <v>18</v>
      </c>
      <c r="AC28" s="203" t="s">
        <v>19</v>
      </c>
      <c r="AD28" s="203" t="s">
        <v>20</v>
      </c>
      <c r="AE28" s="203" t="s">
        <v>21</v>
      </c>
    </row>
    <row r="29" spans="2:31" ht="29.4" thickBot="1" x14ac:dyDescent="0.35">
      <c r="B29" s="204" t="s">
        <v>22</v>
      </c>
      <c r="C29" s="204"/>
      <c r="D29" s="204"/>
      <c r="E29" s="204"/>
      <c r="F29" s="205" t="s">
        <v>23</v>
      </c>
      <c r="G29" s="205">
        <v>2016</v>
      </c>
      <c r="H29" s="205" t="s">
        <v>26</v>
      </c>
      <c r="I29" s="208" t="s">
        <v>560</v>
      </c>
      <c r="J29" s="206" t="s">
        <v>25</v>
      </c>
      <c r="K29" s="205"/>
      <c r="L29" s="205"/>
      <c r="M29" s="207" t="s">
        <v>671</v>
      </c>
      <c r="N29" s="207" t="s">
        <v>671</v>
      </c>
      <c r="O29" s="207" t="s">
        <v>671</v>
      </c>
      <c r="P29" s="207" t="s">
        <v>671</v>
      </c>
      <c r="Q29" s="207" t="s">
        <v>671</v>
      </c>
      <c r="R29" s="206" t="s">
        <v>676</v>
      </c>
      <c r="S29" s="206" t="s">
        <v>676</v>
      </c>
      <c r="T29" s="206" t="s">
        <v>676</v>
      </c>
      <c r="U29" s="206" t="s">
        <v>676</v>
      </c>
      <c r="V29" s="208" t="s">
        <v>679</v>
      </c>
      <c r="W29" s="208" t="s">
        <v>678</v>
      </c>
      <c r="X29" s="208" t="s">
        <v>675</v>
      </c>
      <c r="Y29" s="208" t="s">
        <v>675</v>
      </c>
      <c r="Z29" s="208" t="s">
        <v>675</v>
      </c>
      <c r="AA29" s="208" t="s">
        <v>675</v>
      </c>
      <c r="AB29" s="208" t="s">
        <v>675</v>
      </c>
      <c r="AC29" s="208" t="s">
        <v>675</v>
      </c>
      <c r="AD29" s="208" t="s">
        <v>675</v>
      </c>
      <c r="AE29" s="208" t="s">
        <v>675</v>
      </c>
    </row>
    <row r="30" spans="2:31" s="39" customFormat="1" ht="15.75" customHeight="1" x14ac:dyDescent="0.3">
      <c r="B30" s="211" t="s">
        <v>286</v>
      </c>
      <c r="C30" s="210" t="str">
        <f>LOOKUP(B30, TRA_COMM_PRO!$C$16:$C$199, TRA_COMM_PRO!$D$16:$D$199)</f>
        <v>Navigation.Local.Ferry.DST.01.</v>
      </c>
      <c r="D30" s="211" t="s">
        <v>48</v>
      </c>
      <c r="E30" s="211"/>
      <c r="F30" s="211"/>
      <c r="G30" s="111">
        <f>$G$29</f>
        <v>2016</v>
      </c>
      <c r="H30" s="140">
        <v>40</v>
      </c>
      <c r="I30" s="65">
        <v>1E-3</v>
      </c>
      <c r="J30" s="143">
        <v>52</v>
      </c>
      <c r="K30" s="142"/>
      <c r="L30" s="100"/>
      <c r="M30" s="43"/>
      <c r="N30" s="43"/>
      <c r="O30" s="43"/>
      <c r="P30" s="43"/>
      <c r="Q30" s="43"/>
      <c r="R30" s="108">
        <v>88</v>
      </c>
      <c r="S30" s="100"/>
      <c r="T30" s="100"/>
      <c r="U30" s="141"/>
      <c r="V30" s="141"/>
      <c r="W30" s="141"/>
      <c r="X30" s="40">
        <f>LOOKUP($B30, INVCOST!$C$8:$C$193, INVCOST!D$8:D$193)</f>
        <v>5000</v>
      </c>
      <c r="Y30" s="40">
        <f>LOOKUP($B30, INVCOST!$C$8:$C$193, INVCOST!E$8:E$193)</f>
        <v>5000</v>
      </c>
      <c r="Z30" s="40">
        <f>LOOKUP($B30, INVCOST!$C$8:$C$193, INVCOST!F$8:F$193)</f>
        <v>5000</v>
      </c>
      <c r="AA30" s="40">
        <f>LOOKUP($B30, INVCOST!$C$8:$C$193, INVCOST!G$8:G$193)</f>
        <v>5000</v>
      </c>
      <c r="AB30" s="40">
        <f>LOOKUP($B30, INVCOST!$C$8:$C$193, INVCOST!H$8:H$193)</f>
        <v>5000</v>
      </c>
      <c r="AC30" s="40">
        <f>LOOKUP($B30, INVCOST!$C$8:$C$193, INVCOST!I$8:I$193)</f>
        <v>5000</v>
      </c>
      <c r="AD30" s="40">
        <f>LOOKUP($B30, INVCOST!$C$8:$C$193, INVCOST!J$8:J$193)</f>
        <v>5000</v>
      </c>
      <c r="AE30" s="40">
        <f>LOOKUP($B30, INVCOST!$C$8:$C$193, INVCOST!K$8:K$193)</f>
        <v>5000</v>
      </c>
    </row>
    <row r="31" spans="2:31" s="39" customFormat="1" ht="15.75" customHeight="1" x14ac:dyDescent="0.3">
      <c r="B31" s="211"/>
      <c r="C31" s="211"/>
      <c r="D31" s="211" t="s">
        <v>44</v>
      </c>
      <c r="E31" s="211"/>
      <c r="F31" s="211"/>
      <c r="G31" s="100"/>
      <c r="H31" s="141"/>
      <c r="I31" s="141"/>
      <c r="J31" s="144"/>
      <c r="K31" s="141"/>
      <c r="L31" s="100"/>
      <c r="M31" s="143"/>
      <c r="N31" s="143"/>
      <c r="O31" s="143"/>
      <c r="P31" s="108"/>
      <c r="Q31" s="108"/>
      <c r="R31" s="100"/>
      <c r="S31" s="100"/>
      <c r="T31" s="100"/>
      <c r="U31" s="141"/>
      <c r="V31" s="141"/>
      <c r="W31" s="141"/>
      <c r="X31" s="141"/>
      <c r="Y31" s="141"/>
      <c r="Z31" s="141"/>
      <c r="AA31" s="141"/>
      <c r="AB31" s="141"/>
      <c r="AC31" s="141"/>
      <c r="AD31" s="100"/>
      <c r="AE31" s="100"/>
    </row>
    <row r="32" spans="2:31" s="39" customFormat="1" ht="15.75" customHeight="1" x14ac:dyDescent="0.3">
      <c r="B32" s="211"/>
      <c r="C32" s="211"/>
      <c r="D32" s="211"/>
      <c r="E32" s="211"/>
      <c r="F32" s="211" t="s">
        <v>305</v>
      </c>
      <c r="G32" s="100"/>
      <c r="H32" s="140"/>
      <c r="I32" s="141"/>
      <c r="J32" s="145"/>
      <c r="K32" s="145"/>
      <c r="L32" s="100"/>
      <c r="M32" s="265">
        <f>LOOKUP($B$30, CEFF!$C$163:$C$330, CEFF!F$163:F$330)</f>
        <v>2.1999999999999999E-2</v>
      </c>
      <c r="N32" s="265">
        <f>LOOKUP($B$30, CEFF!$C$163:$C$330, CEFF!G$163:G$330)</f>
        <v>2.1999999999999999E-2</v>
      </c>
      <c r="O32" s="265">
        <f>LOOKUP($B$30, CEFF!$C$163:$C$330, CEFF!H$163:H$330)</f>
        <v>2.1999999999999999E-2</v>
      </c>
      <c r="P32" s="265">
        <f>LOOKUP($B$30, CEFF!$C$163:$C$330, CEFF!I$163:I$330)</f>
        <v>2.1999999999999999E-2</v>
      </c>
      <c r="Q32" s="265">
        <f>LOOKUP($B$30, CEFF!$C$163:$C$330, CEFF!J$163:J$330)</f>
        <v>2.1999999999999999E-2</v>
      </c>
      <c r="R32" s="100"/>
      <c r="S32" s="100"/>
      <c r="T32" s="100"/>
      <c r="U32" s="141"/>
      <c r="V32" s="141"/>
      <c r="W32" s="141"/>
      <c r="X32" s="141"/>
      <c r="Y32" s="141"/>
      <c r="Z32" s="141"/>
      <c r="AA32" s="141"/>
      <c r="AB32" s="141"/>
      <c r="AC32" s="141"/>
      <c r="AD32" s="100"/>
      <c r="AE32" s="100"/>
    </row>
    <row r="33" spans="2:31" s="39" customFormat="1" ht="15.75" customHeight="1" x14ac:dyDescent="0.3">
      <c r="B33" s="212"/>
      <c r="C33" s="212"/>
      <c r="D33" s="212"/>
      <c r="E33" s="212"/>
      <c r="F33" s="212" t="s">
        <v>401</v>
      </c>
      <c r="G33" s="112"/>
      <c r="H33" s="171"/>
      <c r="I33" s="172"/>
      <c r="J33" s="173"/>
      <c r="K33" s="173"/>
      <c r="L33" s="112"/>
      <c r="M33" s="287">
        <f>LOOKUP($B$30, CEFF!$C$163:$C$330, CEFF!F$163:F$330)</f>
        <v>2.1999999999999999E-2</v>
      </c>
      <c r="N33" s="287">
        <f>LOOKUP($B$30, CEFF!$C$163:$C$330, CEFF!G$163:G$330)</f>
        <v>2.1999999999999999E-2</v>
      </c>
      <c r="O33" s="287">
        <f>LOOKUP($B$30, CEFF!$C$163:$C$330, CEFF!H$163:H$330)</f>
        <v>2.1999999999999999E-2</v>
      </c>
      <c r="P33" s="287">
        <f>LOOKUP($B$30, CEFF!$C$163:$C$330, CEFF!I$163:I$330)</f>
        <v>2.1999999999999999E-2</v>
      </c>
      <c r="Q33" s="287">
        <f>LOOKUP($B$30, CEFF!$C$163:$C$330, CEFF!J$163:J$330)</f>
        <v>2.1999999999999999E-2</v>
      </c>
      <c r="R33" s="112"/>
      <c r="S33" s="112"/>
      <c r="T33" s="112"/>
      <c r="U33" s="172"/>
      <c r="V33" s="172"/>
      <c r="W33" s="172"/>
      <c r="X33" s="172"/>
      <c r="Y33" s="172"/>
      <c r="Z33" s="172"/>
      <c r="AA33" s="172"/>
      <c r="AB33" s="172"/>
      <c r="AC33" s="172"/>
      <c r="AD33" s="112"/>
      <c r="AE33" s="112"/>
    </row>
    <row r="34" spans="2:31" s="39" customFormat="1" ht="15.75" customHeight="1" x14ac:dyDescent="0.3">
      <c r="B34" s="211" t="s">
        <v>288</v>
      </c>
      <c r="C34" s="210" t="str">
        <f>LOOKUP(B34, TRA_COMM_PRO!$C$16:$C$199, TRA_COMM_PRO!$D$16:$D$199)</f>
        <v>Navigation.Local.Ferry.ELC.01.</v>
      </c>
      <c r="D34" s="211" t="s">
        <v>27</v>
      </c>
      <c r="E34" s="211"/>
      <c r="F34" s="211"/>
      <c r="G34" s="111">
        <f>$G$29</f>
        <v>2016</v>
      </c>
      <c r="H34" s="140">
        <v>40</v>
      </c>
      <c r="I34" s="65">
        <v>1E-3</v>
      </c>
      <c r="J34" s="143">
        <v>52</v>
      </c>
      <c r="K34" s="142"/>
      <c r="L34" s="100"/>
      <c r="M34" s="288"/>
      <c r="N34" s="288"/>
      <c r="O34" s="288"/>
      <c r="P34" s="288"/>
      <c r="Q34" s="288"/>
      <c r="R34" s="108">
        <v>88</v>
      </c>
      <c r="S34" s="100"/>
      <c r="T34" s="100"/>
      <c r="U34" s="141"/>
      <c r="V34" s="141"/>
      <c r="W34" s="141"/>
      <c r="X34" s="40">
        <f>LOOKUP($B34, INVCOST!$C$8:$C$193, INVCOST!D$8:D$193)</f>
        <v>7500</v>
      </c>
      <c r="Y34" s="40">
        <f>LOOKUP($B34, INVCOST!$C$8:$C$193, INVCOST!E$8:E$193)</f>
        <v>7500</v>
      </c>
      <c r="Z34" s="40">
        <f>LOOKUP($B34, INVCOST!$C$8:$C$193, INVCOST!F$8:F$193)</f>
        <v>7500</v>
      </c>
      <c r="AA34" s="40">
        <f>LOOKUP($B34, INVCOST!$C$8:$C$193, INVCOST!G$8:G$193)</f>
        <v>7500</v>
      </c>
      <c r="AB34" s="40">
        <f>LOOKUP($B34, INVCOST!$C$8:$C$193, INVCOST!H$8:H$193)</f>
        <v>7500</v>
      </c>
      <c r="AC34" s="40">
        <f>LOOKUP($B34, INVCOST!$C$8:$C$193, INVCOST!I$8:I$193)</f>
        <v>7500</v>
      </c>
      <c r="AD34" s="40">
        <f>LOOKUP($B34, INVCOST!$C$8:$C$193, INVCOST!J$8:J$193)</f>
        <v>7500</v>
      </c>
      <c r="AE34" s="40">
        <f>LOOKUP($B34, INVCOST!$C$8:$C$193, INVCOST!K$8:K$193)</f>
        <v>7500</v>
      </c>
    </row>
    <row r="35" spans="2:31" s="39" customFormat="1" ht="15.75" customHeight="1" x14ac:dyDescent="0.3">
      <c r="B35" s="211"/>
      <c r="C35" s="211"/>
      <c r="D35" s="211"/>
      <c r="E35" s="211"/>
      <c r="F35" s="211" t="s">
        <v>305</v>
      </c>
      <c r="G35" s="100"/>
      <c r="H35" s="140"/>
      <c r="I35" s="141"/>
      <c r="J35" s="145"/>
      <c r="K35" s="145"/>
      <c r="L35" s="100"/>
      <c r="M35" s="265">
        <f>LOOKUP($B$34, CEFF!$C$163:$C$330, CEFF!F$163:F$330)</f>
        <v>2.1999999999999999E-2</v>
      </c>
      <c r="N35" s="265">
        <f>LOOKUP($B$34, CEFF!$C$163:$C$330, CEFF!G$163:G$330)</f>
        <v>2.1999999999999999E-2</v>
      </c>
      <c r="O35" s="265">
        <f>LOOKUP($B$34, CEFF!$C$163:$C$330, CEFF!H$163:H$330)</f>
        <v>2.1999999999999999E-2</v>
      </c>
      <c r="P35" s="265">
        <f>LOOKUP($B$34, CEFF!$C$163:$C$330, CEFF!I$163:I$330)</f>
        <v>2.1999999999999999E-2</v>
      </c>
      <c r="Q35" s="265">
        <f>LOOKUP($B$34, CEFF!$C$163:$C$330, CEFF!J$163:J$330)</f>
        <v>2.1999999999999999E-2</v>
      </c>
      <c r="R35" s="100"/>
      <c r="S35" s="100"/>
      <c r="T35" s="100"/>
      <c r="U35" s="141"/>
      <c r="V35" s="141"/>
      <c r="W35" s="141"/>
      <c r="X35" s="141"/>
      <c r="Y35" s="141"/>
      <c r="Z35" s="141"/>
      <c r="AA35" s="141"/>
      <c r="AB35" s="141"/>
      <c r="AC35" s="141"/>
      <c r="AD35" s="100"/>
      <c r="AE35" s="100"/>
    </row>
    <row r="36" spans="2:31" s="39" customFormat="1" ht="15.75" customHeight="1" x14ac:dyDescent="0.3">
      <c r="B36" s="212"/>
      <c r="C36" s="212"/>
      <c r="D36" s="212"/>
      <c r="E36" s="212"/>
      <c r="F36" s="212" t="s">
        <v>401</v>
      </c>
      <c r="G36" s="112"/>
      <c r="H36" s="171"/>
      <c r="I36" s="172"/>
      <c r="J36" s="173"/>
      <c r="K36" s="173"/>
      <c r="L36" s="112"/>
      <c r="M36" s="287">
        <f>LOOKUP($B$34, CEFF!$C$163:$C$330, CEFF!F$163:F$330)</f>
        <v>2.1999999999999999E-2</v>
      </c>
      <c r="N36" s="287">
        <f>LOOKUP($B$34, CEFF!$C$163:$C$330, CEFF!G$163:G$330)</f>
        <v>2.1999999999999999E-2</v>
      </c>
      <c r="O36" s="287">
        <f>LOOKUP($B$34, CEFF!$C$163:$C$330, CEFF!H$163:H$330)</f>
        <v>2.1999999999999999E-2</v>
      </c>
      <c r="P36" s="287">
        <f>LOOKUP($B$34, CEFF!$C$163:$C$330, CEFF!I$163:I$330)</f>
        <v>2.1999999999999999E-2</v>
      </c>
      <c r="Q36" s="287">
        <f>LOOKUP($B$34, CEFF!$C$163:$C$330, CEFF!J$163:J$330)</f>
        <v>2.1999999999999999E-2</v>
      </c>
      <c r="R36" s="112"/>
      <c r="S36" s="112"/>
      <c r="T36" s="112"/>
      <c r="U36" s="172"/>
      <c r="V36" s="172"/>
      <c r="W36" s="172"/>
      <c r="X36" s="172"/>
      <c r="Y36" s="172"/>
      <c r="Z36" s="172"/>
      <c r="AA36" s="172"/>
      <c r="AB36" s="172"/>
      <c r="AC36" s="172"/>
      <c r="AD36" s="112"/>
      <c r="AE36" s="112"/>
    </row>
    <row r="37" spans="2:31" s="39" customFormat="1" ht="15.75" customHeight="1" x14ac:dyDescent="0.3">
      <c r="B37" s="211" t="s">
        <v>290</v>
      </c>
      <c r="C37" s="210" t="str">
        <f>LOOKUP(B37, TRA_COMM_PRO!$C$16:$C$199, TRA_COMM_PRO!$D$16:$D$199)</f>
        <v>Navigation.Local.Ferry.GAS.01.</v>
      </c>
      <c r="D37" s="211" t="s">
        <v>54</v>
      </c>
      <c r="E37" s="211"/>
      <c r="F37" s="211"/>
      <c r="G37" s="111">
        <f>$G$29</f>
        <v>2016</v>
      </c>
      <c r="H37" s="140">
        <v>40</v>
      </c>
      <c r="I37" s="65">
        <v>1E-3</v>
      </c>
      <c r="J37" s="143">
        <v>52</v>
      </c>
      <c r="K37" s="142"/>
      <c r="L37" s="100"/>
      <c r="M37" s="288"/>
      <c r="N37" s="288"/>
      <c r="O37" s="288"/>
      <c r="P37" s="288"/>
      <c r="Q37" s="288"/>
      <c r="R37" s="108">
        <v>88</v>
      </c>
      <c r="S37" s="100"/>
      <c r="T37" s="100"/>
      <c r="U37" s="141"/>
      <c r="V37" s="141"/>
      <c r="W37" s="141"/>
      <c r="X37" s="40">
        <f>LOOKUP($B37, INVCOST!$C$8:$C$193, INVCOST!D$8:D$193)</f>
        <v>6500</v>
      </c>
      <c r="Y37" s="40">
        <f>LOOKUP($B37, INVCOST!$C$8:$C$193, INVCOST!E$8:E$193)</f>
        <v>6500</v>
      </c>
      <c r="Z37" s="40">
        <f>LOOKUP($B37, INVCOST!$C$8:$C$193, INVCOST!F$8:F$193)</f>
        <v>6500</v>
      </c>
      <c r="AA37" s="40">
        <f>LOOKUP($B37, INVCOST!$C$8:$C$193, INVCOST!G$8:G$193)</f>
        <v>6500</v>
      </c>
      <c r="AB37" s="40">
        <f>LOOKUP($B37, INVCOST!$C$8:$C$193, INVCOST!H$8:H$193)</f>
        <v>6500</v>
      </c>
      <c r="AC37" s="40">
        <f>LOOKUP($B37, INVCOST!$C$8:$C$193, INVCOST!I$8:I$193)</f>
        <v>6500</v>
      </c>
      <c r="AD37" s="40">
        <f>LOOKUP($B37, INVCOST!$C$8:$C$193, INVCOST!J$8:J$193)</f>
        <v>6500</v>
      </c>
      <c r="AE37" s="40">
        <f>LOOKUP($B37, INVCOST!$C$8:$C$193, INVCOST!K$8:K$193)</f>
        <v>6500</v>
      </c>
    </row>
    <row r="38" spans="2:31" s="39" customFormat="1" ht="15.75" customHeight="1" x14ac:dyDescent="0.3">
      <c r="B38" s="211"/>
      <c r="C38" s="210"/>
      <c r="D38" s="211" t="s">
        <v>53</v>
      </c>
      <c r="E38" s="211"/>
      <c r="F38" s="211"/>
      <c r="G38" s="111"/>
      <c r="H38" s="140"/>
      <c r="I38" s="65"/>
      <c r="J38" s="143"/>
      <c r="K38" s="142"/>
      <c r="L38" s="100"/>
      <c r="M38" s="43"/>
      <c r="N38" s="43"/>
      <c r="O38" s="43"/>
      <c r="P38" s="43"/>
      <c r="Q38" s="43"/>
      <c r="R38" s="108"/>
      <c r="S38" s="100"/>
      <c r="T38" s="100"/>
      <c r="U38" s="141"/>
      <c r="V38" s="141"/>
      <c r="W38" s="141"/>
      <c r="X38" s="140"/>
      <c r="Y38" s="140"/>
      <c r="Z38" s="140"/>
      <c r="AA38" s="140"/>
      <c r="AB38" s="140"/>
      <c r="AC38" s="140"/>
      <c r="AD38" s="140"/>
      <c r="AE38" s="140"/>
    </row>
    <row r="39" spans="2:31" s="39" customFormat="1" ht="15.75" customHeight="1" x14ac:dyDescent="0.3">
      <c r="B39" s="211"/>
      <c r="C39" s="211"/>
      <c r="D39" s="211"/>
      <c r="E39" s="211"/>
      <c r="F39" s="211" t="s">
        <v>305</v>
      </c>
      <c r="G39" s="100"/>
      <c r="H39" s="140"/>
      <c r="I39" s="141"/>
      <c r="J39" s="145"/>
      <c r="K39" s="145"/>
      <c r="L39" s="100"/>
      <c r="M39" s="265">
        <f>LOOKUP($B$37, CEFF!$C$163:$C$330, CEFF!F$163:F$330)</f>
        <v>2.1999999999999999E-2</v>
      </c>
      <c r="N39" s="265">
        <f>LOOKUP($B$37, CEFF!$C$163:$C$330, CEFF!G$163:G$330)</f>
        <v>2.1999999999999999E-2</v>
      </c>
      <c r="O39" s="265">
        <f>LOOKUP($B$37, CEFF!$C$163:$C$330, CEFF!H$163:H$330)</f>
        <v>2.1999999999999999E-2</v>
      </c>
      <c r="P39" s="265">
        <f>LOOKUP($B$37, CEFF!$C$163:$C$330, CEFF!I$163:I$330)</f>
        <v>2.1999999999999999E-2</v>
      </c>
      <c r="Q39" s="265">
        <f>LOOKUP($B$37, CEFF!$C$163:$C$330, CEFF!J$163:J$330)</f>
        <v>2.1999999999999999E-2</v>
      </c>
      <c r="R39" s="100"/>
      <c r="S39" s="100"/>
      <c r="T39" s="100"/>
      <c r="U39" s="141"/>
      <c r="V39" s="141"/>
      <c r="W39" s="141"/>
      <c r="X39" s="141"/>
      <c r="Y39" s="141"/>
      <c r="Z39" s="141"/>
      <c r="AA39" s="141"/>
      <c r="AB39" s="141"/>
      <c r="AC39" s="141"/>
      <c r="AD39" s="100"/>
      <c r="AE39" s="100"/>
    </row>
    <row r="40" spans="2:31" s="39" customFormat="1" ht="15.75" customHeight="1" x14ac:dyDescent="0.3">
      <c r="B40" s="212"/>
      <c r="C40" s="212"/>
      <c r="D40" s="212"/>
      <c r="E40" s="212"/>
      <c r="F40" s="212" t="s">
        <v>401</v>
      </c>
      <c r="G40" s="112"/>
      <c r="H40" s="171"/>
      <c r="I40" s="172"/>
      <c r="J40" s="173"/>
      <c r="K40" s="173"/>
      <c r="L40" s="112"/>
      <c r="M40" s="287">
        <f>LOOKUP($B$37, CEFF!$C$163:$C$330, CEFF!F$163:F$330)</f>
        <v>2.1999999999999999E-2</v>
      </c>
      <c r="N40" s="287">
        <f>LOOKUP($B$37, CEFF!$C$163:$C$330, CEFF!G$163:G$330)</f>
        <v>2.1999999999999999E-2</v>
      </c>
      <c r="O40" s="287">
        <f>LOOKUP($B$37, CEFF!$C$163:$C$330, CEFF!H$163:H$330)</f>
        <v>2.1999999999999999E-2</v>
      </c>
      <c r="P40" s="287">
        <f>LOOKUP($B$37, CEFF!$C$163:$C$330, CEFF!I$163:I$330)</f>
        <v>2.1999999999999999E-2</v>
      </c>
      <c r="Q40" s="287">
        <f>LOOKUP($B$37, CEFF!$C$163:$C$330, CEFF!J$163:J$330)</f>
        <v>2.1999999999999999E-2</v>
      </c>
      <c r="R40" s="112"/>
      <c r="S40" s="112"/>
      <c r="T40" s="112"/>
      <c r="U40" s="172"/>
      <c r="V40" s="172"/>
      <c r="W40" s="172"/>
      <c r="X40" s="172"/>
      <c r="Y40" s="172"/>
      <c r="Z40" s="172"/>
      <c r="AA40" s="172"/>
      <c r="AB40" s="172"/>
      <c r="AC40" s="172"/>
      <c r="AD40" s="112"/>
      <c r="AE40" s="112"/>
    </row>
    <row r="41" spans="2:31" s="39" customFormat="1" ht="15.75" customHeight="1" x14ac:dyDescent="0.3">
      <c r="B41" s="211" t="s">
        <v>613</v>
      </c>
      <c r="C41" s="210" t="str">
        <f>LOOKUP(B41, TRA_COMM_PRO!$C$16:$C$199, TRA_COMM_PRO!$D$16:$D$199)</f>
        <v>Navigation.Local.Ferry.MTH.01.</v>
      </c>
      <c r="D41" s="211" t="s">
        <v>599</v>
      </c>
      <c r="E41" s="211"/>
      <c r="F41" s="211"/>
      <c r="G41" s="111">
        <f>$G$29</f>
        <v>2016</v>
      </c>
      <c r="H41" s="140">
        <v>40</v>
      </c>
      <c r="I41" s="65">
        <v>1E-3</v>
      </c>
      <c r="J41" s="143">
        <v>52</v>
      </c>
      <c r="K41" s="142"/>
      <c r="L41" s="100"/>
      <c r="M41" s="288"/>
      <c r="N41" s="288"/>
      <c r="O41" s="288"/>
      <c r="P41" s="288"/>
      <c r="Q41" s="288"/>
      <c r="R41" s="108">
        <v>88</v>
      </c>
      <c r="S41" s="100"/>
      <c r="T41" s="100"/>
      <c r="U41" s="141"/>
      <c r="V41" s="141"/>
      <c r="W41" s="141"/>
      <c r="X41" s="40">
        <f>LOOKUP($B41, INVCOST!$C$8:$C$193, INVCOST!D$8:D$193)</f>
        <v>6500</v>
      </c>
      <c r="Y41" s="40">
        <f>LOOKUP($B41, INVCOST!$C$8:$C$193, INVCOST!E$8:E$193)</f>
        <v>6500</v>
      </c>
      <c r="Z41" s="40">
        <f>LOOKUP($B41, INVCOST!$C$8:$C$193, INVCOST!F$8:F$193)</f>
        <v>6500</v>
      </c>
      <c r="AA41" s="40">
        <f>LOOKUP($B41, INVCOST!$C$8:$C$193, INVCOST!G$8:G$193)</f>
        <v>6500</v>
      </c>
      <c r="AB41" s="40">
        <f>LOOKUP($B41, INVCOST!$C$8:$C$193, INVCOST!H$8:H$193)</f>
        <v>6500</v>
      </c>
      <c r="AC41" s="40">
        <f>LOOKUP($B41, INVCOST!$C$8:$C$193, INVCOST!I$8:I$193)</f>
        <v>6500</v>
      </c>
      <c r="AD41" s="40">
        <f>LOOKUP($B41, INVCOST!$C$8:$C$193, INVCOST!J$8:J$193)</f>
        <v>6500</v>
      </c>
      <c r="AE41" s="40">
        <f>LOOKUP($B41, INVCOST!$C$8:$C$193, INVCOST!K$8:K$193)</f>
        <v>6500</v>
      </c>
    </row>
    <row r="42" spans="2:31" s="39" customFormat="1" ht="15.75" customHeight="1" x14ac:dyDescent="0.3">
      <c r="B42" s="211"/>
      <c r="C42" s="211"/>
      <c r="D42" s="211"/>
      <c r="E42" s="211"/>
      <c r="F42" s="211" t="s">
        <v>305</v>
      </c>
      <c r="G42" s="100"/>
      <c r="H42" s="140"/>
      <c r="I42" s="141"/>
      <c r="J42" s="145"/>
      <c r="K42" s="145"/>
      <c r="L42" s="100"/>
      <c r="M42" s="265">
        <f>LOOKUP($B$41, CEFF!$C$163:$C$330, CEFF!F$163:F$330)</f>
        <v>2.1999999999999999E-2</v>
      </c>
      <c r="N42" s="265">
        <f>LOOKUP($B$41, CEFF!$C$163:$C$330, CEFF!G$163:G$330)</f>
        <v>2.1999999999999999E-2</v>
      </c>
      <c r="O42" s="265">
        <f>LOOKUP($B$41, CEFF!$C$163:$C$330, CEFF!H$163:H$330)</f>
        <v>2.1999999999999999E-2</v>
      </c>
      <c r="P42" s="265">
        <f>LOOKUP($B$41, CEFF!$C$163:$C$330, CEFF!I$163:I$330)</f>
        <v>2.1999999999999999E-2</v>
      </c>
      <c r="Q42" s="265">
        <f>LOOKUP($B$41, CEFF!$C$163:$C$330, CEFF!J$163:J$330)</f>
        <v>2.1999999999999999E-2</v>
      </c>
      <c r="R42" s="100"/>
      <c r="S42" s="100"/>
      <c r="T42" s="100"/>
      <c r="U42" s="141"/>
      <c r="V42" s="141"/>
      <c r="W42" s="141"/>
      <c r="X42" s="141"/>
      <c r="Y42" s="141"/>
      <c r="Z42" s="141"/>
      <c r="AA42" s="141"/>
      <c r="AB42" s="141"/>
      <c r="AC42" s="141"/>
      <c r="AD42" s="100"/>
      <c r="AE42" s="100"/>
    </row>
    <row r="43" spans="2:31" s="39" customFormat="1" ht="15.75" customHeight="1" x14ac:dyDescent="0.3">
      <c r="B43" s="215"/>
      <c r="C43" s="215"/>
      <c r="D43" s="215"/>
      <c r="E43" s="215"/>
      <c r="F43" s="215" t="s">
        <v>401</v>
      </c>
      <c r="G43" s="174"/>
      <c r="H43" s="175"/>
      <c r="I43" s="176"/>
      <c r="J43" s="177"/>
      <c r="K43" s="177"/>
      <c r="L43" s="174"/>
      <c r="M43" s="267">
        <f>LOOKUP($B$41, CEFF!$C$163:$C$330, CEFF!F$163:F$330)</f>
        <v>2.1999999999999999E-2</v>
      </c>
      <c r="N43" s="267">
        <f>LOOKUP($B$41, CEFF!$C$163:$C$330, CEFF!G$163:G$330)</f>
        <v>2.1999999999999999E-2</v>
      </c>
      <c r="O43" s="267">
        <f>LOOKUP($B$41, CEFF!$C$163:$C$330, CEFF!H$163:H$330)</f>
        <v>2.1999999999999999E-2</v>
      </c>
      <c r="P43" s="267">
        <f>LOOKUP($B$41, CEFF!$C$163:$C$330, CEFF!I$163:I$330)</f>
        <v>2.1999999999999999E-2</v>
      </c>
      <c r="Q43" s="267">
        <f>LOOKUP($B$41, CEFF!$C$163:$C$330, CEFF!J$163:J$330)</f>
        <v>2.1999999999999999E-2</v>
      </c>
      <c r="R43" s="174"/>
      <c r="S43" s="174"/>
      <c r="T43" s="174"/>
      <c r="U43" s="176"/>
      <c r="V43" s="176"/>
      <c r="W43" s="176"/>
      <c r="X43" s="176"/>
      <c r="Y43" s="176"/>
      <c r="Z43" s="176"/>
      <c r="AA43" s="176"/>
      <c r="AB43" s="176"/>
      <c r="AC43" s="176"/>
      <c r="AD43" s="174"/>
      <c r="AE43" s="174"/>
    </row>
    <row r="44" spans="2:31" s="39" customFormat="1" ht="15.75" customHeight="1" x14ac:dyDescent="0.3">
      <c r="H44" s="58"/>
      <c r="I44" s="38"/>
      <c r="J44" s="47"/>
      <c r="K44" s="47"/>
      <c r="M44" s="36"/>
      <c r="N44" s="36"/>
      <c r="O44" s="36"/>
      <c r="U44" s="38"/>
      <c r="V44" s="38"/>
      <c r="W44" s="38"/>
      <c r="X44" s="38"/>
      <c r="Y44" s="38"/>
      <c r="Z44" s="38"/>
      <c r="AA44" s="38"/>
      <c r="AB44" s="38"/>
      <c r="AC44" s="38"/>
    </row>
    <row r="45" spans="2:31" s="39" customFormat="1" ht="15.75" customHeight="1" x14ac:dyDescent="0.3">
      <c r="H45" s="58"/>
      <c r="I45" s="38"/>
      <c r="J45" s="47"/>
      <c r="K45" s="47"/>
      <c r="M45" s="36"/>
      <c r="N45" s="36"/>
      <c r="O45" s="36"/>
      <c r="U45" s="38"/>
      <c r="V45" s="38"/>
      <c r="W45" s="38"/>
      <c r="X45" s="38"/>
      <c r="Y45" s="38"/>
      <c r="Z45" s="38"/>
      <c r="AA45" s="38"/>
      <c r="AB45" s="38"/>
      <c r="AC45" s="38"/>
    </row>
    <row r="46" spans="2:31" s="39" customFormat="1" x14ac:dyDescent="0.3">
      <c r="G46" s="58"/>
      <c r="H46" s="58"/>
      <c r="I46" s="105"/>
      <c r="J46" s="105"/>
      <c r="K46" s="105"/>
      <c r="L46" s="38"/>
      <c r="M46" s="37"/>
      <c r="N46" s="38"/>
      <c r="O46" s="36"/>
      <c r="P46" s="36"/>
      <c r="Q46" s="36"/>
      <c r="R46" s="36"/>
      <c r="S46" s="36"/>
      <c r="T46" s="36"/>
      <c r="U46" s="38"/>
      <c r="V46" s="38"/>
      <c r="W46" s="38"/>
      <c r="X46" s="38"/>
      <c r="Y46" s="38"/>
      <c r="Z46" s="38"/>
      <c r="AA46" s="38"/>
      <c r="AB46" s="38"/>
      <c r="AC46" s="38"/>
      <c r="AD46" s="38"/>
    </row>
    <row r="47" spans="2:31" s="39" customFormat="1" x14ac:dyDescent="0.3">
      <c r="G47" s="58"/>
      <c r="H47" s="58"/>
      <c r="I47" s="105"/>
      <c r="J47" s="105"/>
      <c r="K47" s="105"/>
      <c r="L47" s="38"/>
      <c r="M47" s="37"/>
      <c r="N47" s="38"/>
      <c r="O47" s="36"/>
      <c r="P47" s="36"/>
      <c r="Q47" s="36"/>
      <c r="R47" s="36"/>
      <c r="S47" s="36"/>
      <c r="T47" s="36"/>
      <c r="U47" s="38"/>
      <c r="V47" s="38"/>
      <c r="W47" s="38"/>
      <c r="X47" s="38"/>
      <c r="Y47" s="38"/>
      <c r="Z47" s="38"/>
      <c r="AA47" s="38"/>
      <c r="AB47" s="38"/>
      <c r="AC47" s="38"/>
      <c r="AD47" s="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K203"/>
  <sheetViews>
    <sheetView zoomScale="75" zoomScaleNormal="75" workbookViewId="0">
      <selection activeCell="M180" sqref="M180"/>
    </sheetView>
  </sheetViews>
  <sheetFormatPr defaultRowHeight="14.4" x14ac:dyDescent="0.3"/>
  <cols>
    <col min="1" max="1" width="12.5546875" bestFit="1" customWidth="1"/>
    <col min="2" max="2" width="13.44140625" bestFit="1" customWidth="1"/>
    <col min="3" max="3" width="14.44140625" bestFit="1" customWidth="1"/>
    <col min="4" max="4" width="41.44140625" bestFit="1" customWidth="1"/>
    <col min="5" max="5" width="17" customWidth="1"/>
    <col min="6" max="6" width="10.33203125" bestFit="1" customWidth="1"/>
    <col min="7" max="7" width="10.88671875" bestFit="1" customWidth="1"/>
    <col min="8" max="8" width="6.44140625" bestFit="1" customWidth="1"/>
    <col min="9" max="9" width="8.109375" bestFit="1" customWidth="1"/>
  </cols>
  <sheetData>
    <row r="3" spans="2:11" x14ac:dyDescent="0.3">
      <c r="B3" s="82" t="s">
        <v>192</v>
      </c>
      <c r="C3" s="83"/>
      <c r="D3" s="83"/>
      <c r="E3" s="83"/>
      <c r="F3" s="83"/>
      <c r="G3" s="83"/>
      <c r="H3" s="83"/>
      <c r="I3" s="83"/>
      <c r="J3" s="83"/>
      <c r="K3" s="83"/>
    </row>
    <row r="4" spans="2:11" x14ac:dyDescent="0.3">
      <c r="B4" s="6" t="s">
        <v>193</v>
      </c>
      <c r="C4" s="6" t="s">
        <v>194</v>
      </c>
      <c r="D4" s="6" t="s">
        <v>195</v>
      </c>
      <c r="E4" s="6" t="s">
        <v>196</v>
      </c>
      <c r="F4" s="6"/>
      <c r="G4" s="6" t="s">
        <v>197</v>
      </c>
      <c r="H4" s="6" t="s">
        <v>198</v>
      </c>
      <c r="I4" s="84"/>
      <c r="K4" s="84"/>
    </row>
    <row r="5" spans="2:11" x14ac:dyDescent="0.3">
      <c r="B5" s="213" t="s">
        <v>199</v>
      </c>
      <c r="C5" s="211" t="s">
        <v>182</v>
      </c>
      <c r="D5" s="211" t="s">
        <v>200</v>
      </c>
      <c r="E5" s="100" t="s">
        <v>394</v>
      </c>
      <c r="F5" s="100"/>
      <c r="G5" s="99"/>
      <c r="H5" s="99"/>
    </row>
    <row r="6" spans="2:11" x14ac:dyDescent="0.3">
      <c r="B6" s="213"/>
      <c r="C6" s="211" t="s">
        <v>71</v>
      </c>
      <c r="D6" s="211" t="s">
        <v>201</v>
      </c>
      <c r="E6" s="100" t="s">
        <v>394</v>
      </c>
      <c r="F6" s="100"/>
      <c r="G6" s="99"/>
      <c r="H6" s="99"/>
    </row>
    <row r="7" spans="2:11" x14ac:dyDescent="0.3">
      <c r="B7" s="213"/>
      <c r="C7" s="211" t="s">
        <v>86</v>
      </c>
      <c r="D7" s="211" t="s">
        <v>202</v>
      </c>
      <c r="E7" s="100" t="s">
        <v>394</v>
      </c>
      <c r="F7" s="100"/>
      <c r="G7" s="99"/>
      <c r="H7" s="99"/>
    </row>
    <row r="8" spans="2:11" x14ac:dyDescent="0.3">
      <c r="B8" s="213"/>
      <c r="C8" s="211" t="s">
        <v>599</v>
      </c>
      <c r="D8" s="211" t="s">
        <v>203</v>
      </c>
      <c r="E8" s="100" t="s">
        <v>394</v>
      </c>
      <c r="F8" s="100"/>
      <c r="G8" s="99"/>
      <c r="H8" s="99"/>
    </row>
    <row r="9" spans="2:11" x14ac:dyDescent="0.3">
      <c r="B9" s="213"/>
      <c r="C9" s="211" t="s">
        <v>600</v>
      </c>
      <c r="D9" s="211" t="s">
        <v>204</v>
      </c>
      <c r="E9" s="100" t="s">
        <v>394</v>
      </c>
      <c r="F9" s="100"/>
      <c r="G9" s="99"/>
      <c r="H9" s="99"/>
    </row>
    <row r="14" spans="2:11" x14ac:dyDescent="0.3">
      <c r="B14" s="85" t="s">
        <v>205</v>
      </c>
      <c r="C14" s="83"/>
      <c r="D14" s="83"/>
      <c r="E14" s="83"/>
      <c r="F14" s="83"/>
      <c r="H14" s="83"/>
      <c r="I14" s="83"/>
      <c r="J14" s="83"/>
      <c r="K14" s="83"/>
    </row>
    <row r="15" spans="2:11" x14ac:dyDescent="0.3">
      <c r="B15" s="6" t="s">
        <v>206</v>
      </c>
      <c r="C15" s="6" t="s">
        <v>2</v>
      </c>
      <c r="D15" s="6" t="s">
        <v>207</v>
      </c>
      <c r="E15" s="6" t="s">
        <v>208</v>
      </c>
      <c r="F15" s="6" t="s">
        <v>209</v>
      </c>
      <c r="G15" s="6" t="s">
        <v>210</v>
      </c>
      <c r="H15" s="6" t="s">
        <v>211</v>
      </c>
      <c r="I15" s="6" t="s">
        <v>212</v>
      </c>
      <c r="K15" s="86"/>
    </row>
    <row r="16" spans="2:11" x14ac:dyDescent="0.3">
      <c r="B16" s="213" t="s">
        <v>213</v>
      </c>
      <c r="C16" s="213" t="s">
        <v>184</v>
      </c>
      <c r="D16" s="213" t="s">
        <v>185</v>
      </c>
      <c r="E16" s="271" t="s">
        <v>677</v>
      </c>
      <c r="F16" s="101" t="s">
        <v>674</v>
      </c>
      <c r="G16" s="102" t="s">
        <v>214</v>
      </c>
      <c r="H16" s="101"/>
      <c r="I16" s="102" t="s">
        <v>215</v>
      </c>
    </row>
    <row r="17" spans="2:11" x14ac:dyDescent="0.3">
      <c r="B17" s="213" t="s">
        <v>213</v>
      </c>
      <c r="C17" s="213" t="s">
        <v>180</v>
      </c>
      <c r="D17" s="213" t="s">
        <v>181</v>
      </c>
      <c r="E17" s="101" t="s">
        <v>677</v>
      </c>
      <c r="F17" s="101" t="s">
        <v>674</v>
      </c>
      <c r="G17" s="102" t="s">
        <v>214</v>
      </c>
      <c r="H17" s="101"/>
      <c r="I17" s="102" t="s">
        <v>215</v>
      </c>
      <c r="K17" s="87"/>
    </row>
    <row r="18" spans="2:11" s="98" customFormat="1" x14ac:dyDescent="0.3">
      <c r="B18" s="213" t="s">
        <v>213</v>
      </c>
      <c r="C18" s="213" t="s">
        <v>88</v>
      </c>
      <c r="D18" s="213" t="s">
        <v>89</v>
      </c>
      <c r="E18" s="101" t="s">
        <v>677</v>
      </c>
      <c r="F18" s="101" t="s">
        <v>674</v>
      </c>
      <c r="G18" s="102" t="s">
        <v>214</v>
      </c>
      <c r="H18" s="101"/>
      <c r="I18" s="102" t="s">
        <v>215</v>
      </c>
    </row>
    <row r="19" spans="2:11" x14ac:dyDescent="0.3">
      <c r="B19" s="213" t="s">
        <v>213</v>
      </c>
      <c r="C19" s="213" t="s">
        <v>91</v>
      </c>
      <c r="D19" s="213" t="s">
        <v>92</v>
      </c>
      <c r="E19" s="101" t="s">
        <v>677</v>
      </c>
      <c r="F19" s="101" t="s">
        <v>674</v>
      </c>
      <c r="G19" s="102" t="s">
        <v>214</v>
      </c>
      <c r="H19" s="101"/>
      <c r="I19" s="102" t="s">
        <v>215</v>
      </c>
      <c r="K19" s="87"/>
    </row>
    <row r="20" spans="2:11" s="39" customFormat="1" x14ac:dyDescent="0.3">
      <c r="B20" s="213" t="s">
        <v>213</v>
      </c>
      <c r="C20" s="213" t="s">
        <v>93</v>
      </c>
      <c r="D20" s="213" t="s">
        <v>94</v>
      </c>
      <c r="E20" s="101" t="s">
        <v>677</v>
      </c>
      <c r="F20" s="101" t="s">
        <v>674</v>
      </c>
      <c r="G20" s="102" t="s">
        <v>214</v>
      </c>
      <c r="H20" s="101"/>
      <c r="I20" s="102" t="s">
        <v>215</v>
      </c>
      <c r="K20" s="87"/>
    </row>
    <row r="21" spans="2:11" x14ac:dyDescent="0.3">
      <c r="B21" s="213" t="s">
        <v>213</v>
      </c>
      <c r="C21" s="213" t="s">
        <v>95</v>
      </c>
      <c r="D21" s="213" t="s">
        <v>96</v>
      </c>
      <c r="E21" s="101" t="s">
        <v>677</v>
      </c>
      <c r="F21" s="101" t="s">
        <v>674</v>
      </c>
      <c r="G21" s="102" t="s">
        <v>214</v>
      </c>
      <c r="H21" s="101"/>
      <c r="I21" s="102" t="s">
        <v>215</v>
      </c>
      <c r="K21" s="87"/>
    </row>
    <row r="22" spans="2:11" x14ac:dyDescent="0.3">
      <c r="B22" s="213" t="s">
        <v>213</v>
      </c>
      <c r="C22" s="213" t="s">
        <v>97</v>
      </c>
      <c r="D22" s="213" t="s">
        <v>98</v>
      </c>
      <c r="E22" s="101" t="s">
        <v>677</v>
      </c>
      <c r="F22" s="101" t="s">
        <v>674</v>
      </c>
      <c r="G22" s="102" t="s">
        <v>214</v>
      </c>
      <c r="H22" s="101"/>
      <c r="I22" s="102" t="s">
        <v>215</v>
      </c>
      <c r="K22" s="87"/>
    </row>
    <row r="23" spans="2:11" x14ac:dyDescent="0.3">
      <c r="B23" s="213" t="s">
        <v>213</v>
      </c>
      <c r="C23" s="213" t="s">
        <v>99</v>
      </c>
      <c r="D23" s="213" t="s">
        <v>100</v>
      </c>
      <c r="E23" s="101" t="s">
        <v>677</v>
      </c>
      <c r="F23" s="101" t="s">
        <v>674</v>
      </c>
      <c r="G23" s="102" t="s">
        <v>214</v>
      </c>
      <c r="H23" s="101"/>
      <c r="I23" s="102" t="s">
        <v>215</v>
      </c>
      <c r="K23" s="87"/>
    </row>
    <row r="24" spans="2:11" x14ac:dyDescent="0.3">
      <c r="B24" s="213" t="s">
        <v>213</v>
      </c>
      <c r="C24" s="213" t="s">
        <v>101</v>
      </c>
      <c r="D24" s="213" t="s">
        <v>102</v>
      </c>
      <c r="E24" s="101" t="s">
        <v>677</v>
      </c>
      <c r="F24" s="101" t="s">
        <v>674</v>
      </c>
      <c r="G24" s="102" t="s">
        <v>214</v>
      </c>
      <c r="H24" s="101"/>
      <c r="I24" s="102" t="s">
        <v>215</v>
      </c>
      <c r="K24" s="87"/>
    </row>
    <row r="25" spans="2:11" x14ac:dyDescent="0.3">
      <c r="B25" s="213" t="s">
        <v>213</v>
      </c>
      <c r="C25" s="213" t="s">
        <v>356</v>
      </c>
      <c r="D25" s="213" t="s">
        <v>355</v>
      </c>
      <c r="E25" s="101" t="s">
        <v>677</v>
      </c>
      <c r="F25" s="101" t="s">
        <v>674</v>
      </c>
      <c r="G25" s="102" t="s">
        <v>214</v>
      </c>
      <c r="H25" s="101"/>
      <c r="I25" s="102" t="s">
        <v>215</v>
      </c>
      <c r="K25" s="87"/>
    </row>
    <row r="26" spans="2:11" x14ac:dyDescent="0.3">
      <c r="B26" s="213" t="s">
        <v>213</v>
      </c>
      <c r="C26" s="213" t="s">
        <v>421</v>
      </c>
      <c r="D26" s="213" t="s">
        <v>515</v>
      </c>
      <c r="E26" s="101" t="s">
        <v>677</v>
      </c>
      <c r="F26" s="101" t="s">
        <v>674</v>
      </c>
      <c r="G26" s="102" t="s">
        <v>214</v>
      </c>
      <c r="H26" s="101"/>
      <c r="I26" s="102" t="s">
        <v>215</v>
      </c>
      <c r="K26" s="87"/>
    </row>
    <row r="27" spans="2:11" x14ac:dyDescent="0.3">
      <c r="B27" s="213" t="s">
        <v>213</v>
      </c>
      <c r="C27" s="213" t="s">
        <v>103</v>
      </c>
      <c r="D27" s="213" t="s">
        <v>104</v>
      </c>
      <c r="E27" s="101" t="s">
        <v>677</v>
      </c>
      <c r="F27" s="101" t="s">
        <v>674</v>
      </c>
      <c r="G27" s="102" t="s">
        <v>214</v>
      </c>
      <c r="H27" s="101"/>
      <c r="I27" s="102" t="s">
        <v>215</v>
      </c>
      <c r="K27" s="87"/>
    </row>
    <row r="28" spans="2:11" x14ac:dyDescent="0.3">
      <c r="B28" s="213" t="s">
        <v>213</v>
      </c>
      <c r="C28" s="213" t="s">
        <v>606</v>
      </c>
      <c r="D28" s="213" t="s">
        <v>615</v>
      </c>
      <c r="E28" s="101" t="s">
        <v>677</v>
      </c>
      <c r="F28" s="101" t="s">
        <v>674</v>
      </c>
      <c r="G28" s="102" t="s">
        <v>214</v>
      </c>
      <c r="H28" s="101"/>
      <c r="I28" s="102" t="s">
        <v>215</v>
      </c>
      <c r="K28" s="87"/>
    </row>
    <row r="29" spans="2:11" x14ac:dyDescent="0.3">
      <c r="B29" s="213" t="s">
        <v>213</v>
      </c>
      <c r="C29" s="213" t="s">
        <v>422</v>
      </c>
      <c r="D29" s="213" t="s">
        <v>516</v>
      </c>
      <c r="E29" s="101" t="s">
        <v>677</v>
      </c>
      <c r="F29" s="101" t="s">
        <v>674</v>
      </c>
      <c r="G29" s="102" t="s">
        <v>214</v>
      </c>
      <c r="H29" s="101"/>
      <c r="I29" s="102" t="s">
        <v>215</v>
      </c>
      <c r="K29" s="87"/>
    </row>
    <row r="30" spans="2:11" x14ac:dyDescent="0.3">
      <c r="B30" s="213" t="s">
        <v>213</v>
      </c>
      <c r="C30" s="213" t="s">
        <v>423</v>
      </c>
      <c r="D30" s="213" t="s">
        <v>517</v>
      </c>
      <c r="E30" s="101" t="s">
        <v>677</v>
      </c>
      <c r="F30" s="101" t="s">
        <v>674</v>
      </c>
      <c r="G30" s="102" t="s">
        <v>214</v>
      </c>
      <c r="H30" s="101"/>
      <c r="I30" s="102" t="s">
        <v>215</v>
      </c>
      <c r="K30" s="87"/>
    </row>
    <row r="31" spans="2:11" x14ac:dyDescent="0.3">
      <c r="B31" s="213" t="s">
        <v>213</v>
      </c>
      <c r="C31" s="213" t="s">
        <v>66</v>
      </c>
      <c r="D31" s="213" t="s">
        <v>67</v>
      </c>
      <c r="E31" s="101" t="s">
        <v>677</v>
      </c>
      <c r="F31" s="101" t="s">
        <v>674</v>
      </c>
      <c r="G31" s="102" t="s">
        <v>214</v>
      </c>
      <c r="H31" s="101"/>
      <c r="I31" s="102" t="s">
        <v>215</v>
      </c>
      <c r="K31" s="87"/>
    </row>
    <row r="32" spans="2:11" x14ac:dyDescent="0.3">
      <c r="B32" s="213" t="s">
        <v>213</v>
      </c>
      <c r="C32" s="213" t="s">
        <v>69</v>
      </c>
      <c r="D32" s="213" t="s">
        <v>70</v>
      </c>
      <c r="E32" s="101" t="s">
        <v>677</v>
      </c>
      <c r="F32" s="101" t="s">
        <v>674</v>
      </c>
      <c r="G32" s="102" t="s">
        <v>214</v>
      </c>
      <c r="H32" s="101"/>
      <c r="I32" s="102" t="s">
        <v>215</v>
      </c>
      <c r="K32" s="87"/>
    </row>
    <row r="33" spans="2:11" x14ac:dyDescent="0.3">
      <c r="B33" s="213" t="s">
        <v>213</v>
      </c>
      <c r="C33" s="213" t="s">
        <v>72</v>
      </c>
      <c r="D33" s="213" t="s">
        <v>73</v>
      </c>
      <c r="E33" s="101" t="s">
        <v>677</v>
      </c>
      <c r="F33" s="101" t="s">
        <v>674</v>
      </c>
      <c r="G33" s="102" t="s">
        <v>214</v>
      </c>
      <c r="H33" s="101"/>
      <c r="I33" s="102" t="s">
        <v>215</v>
      </c>
      <c r="K33" s="87"/>
    </row>
    <row r="34" spans="2:11" x14ac:dyDescent="0.3">
      <c r="B34" s="213" t="s">
        <v>213</v>
      </c>
      <c r="C34" s="213" t="s">
        <v>74</v>
      </c>
      <c r="D34" s="213" t="s">
        <v>75</v>
      </c>
      <c r="E34" s="101" t="s">
        <v>677</v>
      </c>
      <c r="F34" s="101" t="s">
        <v>674</v>
      </c>
      <c r="G34" s="102" t="s">
        <v>214</v>
      </c>
      <c r="H34" s="101"/>
      <c r="I34" s="102" t="s">
        <v>215</v>
      </c>
      <c r="K34" s="87"/>
    </row>
    <row r="35" spans="2:11" x14ac:dyDescent="0.3">
      <c r="B35" s="213" t="s">
        <v>213</v>
      </c>
      <c r="C35" s="213" t="s">
        <v>76</v>
      </c>
      <c r="D35" s="213" t="s">
        <v>77</v>
      </c>
      <c r="E35" s="101" t="s">
        <v>677</v>
      </c>
      <c r="F35" s="101" t="s">
        <v>674</v>
      </c>
      <c r="G35" s="102" t="s">
        <v>214</v>
      </c>
      <c r="H35" s="101"/>
      <c r="I35" s="102" t="s">
        <v>215</v>
      </c>
      <c r="K35" s="87"/>
    </row>
    <row r="36" spans="2:11" x14ac:dyDescent="0.3">
      <c r="B36" s="213" t="s">
        <v>213</v>
      </c>
      <c r="C36" s="213" t="s">
        <v>78</v>
      </c>
      <c r="D36" s="213" t="s">
        <v>79</v>
      </c>
      <c r="E36" s="101" t="s">
        <v>677</v>
      </c>
      <c r="F36" s="101" t="s">
        <v>674</v>
      </c>
      <c r="G36" s="102" t="s">
        <v>214</v>
      </c>
      <c r="H36" s="101"/>
      <c r="I36" s="102" t="s">
        <v>215</v>
      </c>
      <c r="K36" s="87"/>
    </row>
    <row r="37" spans="2:11" x14ac:dyDescent="0.3">
      <c r="B37" s="213" t="s">
        <v>213</v>
      </c>
      <c r="C37" s="213" t="s">
        <v>80</v>
      </c>
      <c r="D37" s="213" t="s">
        <v>81</v>
      </c>
      <c r="E37" s="101" t="s">
        <v>677</v>
      </c>
      <c r="F37" s="101" t="s">
        <v>674</v>
      </c>
      <c r="G37" s="102" t="s">
        <v>214</v>
      </c>
      <c r="H37" s="101"/>
      <c r="I37" s="102" t="s">
        <v>215</v>
      </c>
      <c r="K37" s="87"/>
    </row>
    <row r="38" spans="2:11" x14ac:dyDescent="0.3">
      <c r="B38" s="213" t="s">
        <v>213</v>
      </c>
      <c r="C38" s="213" t="s">
        <v>82</v>
      </c>
      <c r="D38" s="213" t="s">
        <v>83</v>
      </c>
      <c r="E38" s="101" t="s">
        <v>677</v>
      </c>
      <c r="F38" s="101" t="s">
        <v>674</v>
      </c>
      <c r="G38" s="102" t="s">
        <v>214</v>
      </c>
      <c r="H38" s="101"/>
      <c r="I38" s="102" t="s">
        <v>215</v>
      </c>
      <c r="K38" s="87"/>
    </row>
    <row r="39" spans="2:11" x14ac:dyDescent="0.3">
      <c r="B39" s="213" t="s">
        <v>213</v>
      </c>
      <c r="C39" s="213" t="s">
        <v>352</v>
      </c>
      <c r="D39" s="213" t="s">
        <v>351</v>
      </c>
      <c r="E39" s="101" t="s">
        <v>677</v>
      </c>
      <c r="F39" s="101" t="s">
        <v>674</v>
      </c>
      <c r="G39" s="102" t="s">
        <v>214</v>
      </c>
      <c r="H39" s="101"/>
      <c r="I39" s="102" t="s">
        <v>215</v>
      </c>
      <c r="K39" s="87"/>
    </row>
    <row r="40" spans="2:11" x14ac:dyDescent="0.3">
      <c r="B40" s="213" t="s">
        <v>213</v>
      </c>
      <c r="C40" s="213" t="s">
        <v>389</v>
      </c>
      <c r="D40" s="213" t="s">
        <v>390</v>
      </c>
      <c r="E40" s="101" t="s">
        <v>677</v>
      </c>
      <c r="F40" s="101" t="s">
        <v>674</v>
      </c>
      <c r="G40" s="102" t="s">
        <v>214</v>
      </c>
      <c r="H40" s="101"/>
      <c r="I40" s="102" t="s">
        <v>215</v>
      </c>
      <c r="K40" s="87"/>
    </row>
    <row r="41" spans="2:11" x14ac:dyDescent="0.3">
      <c r="B41" s="213" t="s">
        <v>213</v>
      </c>
      <c r="C41" s="213" t="s">
        <v>84</v>
      </c>
      <c r="D41" s="213" t="s">
        <v>391</v>
      </c>
      <c r="E41" s="101" t="s">
        <v>677</v>
      </c>
      <c r="F41" s="101" t="s">
        <v>674</v>
      </c>
      <c r="G41" s="102" t="s">
        <v>214</v>
      </c>
      <c r="H41" s="101"/>
      <c r="I41" s="102" t="s">
        <v>215</v>
      </c>
      <c r="K41" s="87"/>
    </row>
    <row r="42" spans="2:11" x14ac:dyDescent="0.3">
      <c r="B42" s="213" t="s">
        <v>213</v>
      </c>
      <c r="C42" s="213" t="s">
        <v>605</v>
      </c>
      <c r="D42" s="213" t="s">
        <v>616</v>
      </c>
      <c r="E42" s="101" t="s">
        <v>677</v>
      </c>
      <c r="F42" s="101" t="s">
        <v>674</v>
      </c>
      <c r="G42" s="102" t="s">
        <v>214</v>
      </c>
      <c r="H42" s="101"/>
      <c r="I42" s="102" t="s">
        <v>215</v>
      </c>
      <c r="K42" s="87"/>
    </row>
    <row r="43" spans="2:11" x14ac:dyDescent="0.3">
      <c r="B43" s="213" t="s">
        <v>213</v>
      </c>
      <c r="C43" s="213" t="s">
        <v>354</v>
      </c>
      <c r="D43" s="213" t="s">
        <v>353</v>
      </c>
      <c r="E43" s="101" t="s">
        <v>677</v>
      </c>
      <c r="F43" s="101" t="s">
        <v>674</v>
      </c>
      <c r="G43" s="102" t="s">
        <v>214</v>
      </c>
      <c r="H43" s="101"/>
      <c r="I43" s="102" t="s">
        <v>215</v>
      </c>
      <c r="K43" s="87"/>
    </row>
    <row r="44" spans="2:11" x14ac:dyDescent="0.3">
      <c r="B44" s="213" t="s">
        <v>213</v>
      </c>
      <c r="C44" s="213" t="s">
        <v>392</v>
      </c>
      <c r="D44" s="213" t="s">
        <v>393</v>
      </c>
      <c r="E44" s="101" t="s">
        <v>677</v>
      </c>
      <c r="F44" s="101" t="s">
        <v>674</v>
      </c>
      <c r="G44" s="102" t="s">
        <v>214</v>
      </c>
      <c r="H44" s="101"/>
      <c r="I44" s="102" t="s">
        <v>215</v>
      </c>
      <c r="K44" s="87"/>
    </row>
    <row r="45" spans="2:11" ht="12.75" customHeight="1" x14ac:dyDescent="0.3">
      <c r="B45" s="213" t="s">
        <v>213</v>
      </c>
      <c r="C45" s="213" t="s">
        <v>47</v>
      </c>
      <c r="D45" s="213" t="s">
        <v>337</v>
      </c>
      <c r="E45" s="101" t="s">
        <v>677</v>
      </c>
      <c r="F45" s="101" t="s">
        <v>674</v>
      </c>
      <c r="G45" s="102" t="s">
        <v>214</v>
      </c>
      <c r="H45" s="101"/>
      <c r="I45" s="102" t="s">
        <v>215</v>
      </c>
      <c r="K45" s="87"/>
    </row>
    <row r="46" spans="2:11" x14ac:dyDescent="0.3">
      <c r="B46" s="213" t="s">
        <v>213</v>
      </c>
      <c r="C46" s="213" t="s">
        <v>578</v>
      </c>
      <c r="D46" s="213" t="s">
        <v>410</v>
      </c>
      <c r="E46" s="101" t="s">
        <v>677</v>
      </c>
      <c r="F46" s="101" t="s">
        <v>674</v>
      </c>
      <c r="G46" s="102" t="s">
        <v>214</v>
      </c>
      <c r="H46" s="101"/>
      <c r="I46" s="102" t="s">
        <v>215</v>
      </c>
      <c r="K46" s="87"/>
    </row>
    <row r="47" spans="2:11" x14ac:dyDescent="0.3">
      <c r="B47" s="213" t="s">
        <v>213</v>
      </c>
      <c r="C47" s="213" t="s">
        <v>228</v>
      </c>
      <c r="D47" s="213" t="s">
        <v>229</v>
      </c>
      <c r="E47" s="101" t="s">
        <v>677</v>
      </c>
      <c r="F47" s="101" t="s">
        <v>674</v>
      </c>
      <c r="G47" s="102" t="s">
        <v>214</v>
      </c>
      <c r="H47" s="101"/>
      <c r="I47" s="102" t="s">
        <v>215</v>
      </c>
      <c r="K47" s="87"/>
    </row>
    <row r="48" spans="2:11" x14ac:dyDescent="0.3">
      <c r="B48" s="213" t="s">
        <v>213</v>
      </c>
      <c r="C48" s="213" t="s">
        <v>49</v>
      </c>
      <c r="D48" s="213" t="s">
        <v>338</v>
      </c>
      <c r="E48" s="101" t="s">
        <v>677</v>
      </c>
      <c r="F48" s="101" t="s">
        <v>674</v>
      </c>
      <c r="G48" s="102" t="s">
        <v>214</v>
      </c>
      <c r="H48" s="101"/>
      <c r="I48" s="102" t="s">
        <v>215</v>
      </c>
      <c r="K48" s="87"/>
    </row>
    <row r="49" spans="2:11" x14ac:dyDescent="0.3">
      <c r="B49" s="213" t="s">
        <v>213</v>
      </c>
      <c r="C49" s="213" t="s">
        <v>579</v>
      </c>
      <c r="D49" s="213" t="s">
        <v>411</v>
      </c>
      <c r="E49" s="101" t="s">
        <v>677</v>
      </c>
      <c r="F49" s="101" t="s">
        <v>674</v>
      </c>
      <c r="G49" s="102" t="s">
        <v>214</v>
      </c>
      <c r="H49" s="101"/>
      <c r="I49" s="102" t="s">
        <v>215</v>
      </c>
      <c r="K49" s="87"/>
    </row>
    <row r="50" spans="2:11" x14ac:dyDescent="0.3">
      <c r="B50" s="213" t="s">
        <v>213</v>
      </c>
      <c r="C50" s="213" t="s">
        <v>230</v>
      </c>
      <c r="D50" s="213" t="s">
        <v>231</v>
      </c>
      <c r="E50" s="101" t="s">
        <v>677</v>
      </c>
      <c r="F50" s="101" t="s">
        <v>674</v>
      </c>
      <c r="G50" s="102" t="s">
        <v>214</v>
      </c>
      <c r="H50" s="101"/>
      <c r="I50" s="102" t="s">
        <v>215</v>
      </c>
      <c r="K50" s="87"/>
    </row>
    <row r="51" spans="2:11" x14ac:dyDescent="0.3">
      <c r="B51" s="213" t="s">
        <v>213</v>
      </c>
      <c r="C51" s="213" t="s">
        <v>50</v>
      </c>
      <c r="D51" s="213" t="s">
        <v>339</v>
      </c>
      <c r="E51" s="101" t="s">
        <v>677</v>
      </c>
      <c r="F51" s="101" t="s">
        <v>674</v>
      </c>
      <c r="G51" s="102" t="s">
        <v>214</v>
      </c>
      <c r="H51" s="101"/>
      <c r="I51" s="102" t="s">
        <v>215</v>
      </c>
      <c r="K51" s="87"/>
    </row>
    <row r="52" spans="2:11" x14ac:dyDescent="0.3">
      <c r="B52" s="213" t="s">
        <v>213</v>
      </c>
      <c r="C52" s="213" t="s">
        <v>580</v>
      </c>
      <c r="D52" s="213" t="s">
        <v>412</v>
      </c>
      <c r="E52" s="101" t="s">
        <v>677</v>
      </c>
      <c r="F52" s="101" t="s">
        <v>674</v>
      </c>
      <c r="G52" s="102" t="s">
        <v>214</v>
      </c>
      <c r="H52" s="101"/>
      <c r="I52" s="102" t="s">
        <v>215</v>
      </c>
      <c r="K52" s="87"/>
    </row>
    <row r="53" spans="2:11" x14ac:dyDescent="0.3">
      <c r="B53" s="213" t="s">
        <v>213</v>
      </c>
      <c r="C53" s="213" t="s">
        <v>232</v>
      </c>
      <c r="D53" s="213" t="s">
        <v>233</v>
      </c>
      <c r="E53" s="101" t="s">
        <v>677</v>
      </c>
      <c r="F53" s="101" t="s">
        <v>674</v>
      </c>
      <c r="G53" s="102" t="s">
        <v>214</v>
      </c>
      <c r="H53" s="101"/>
      <c r="I53" s="102" t="s">
        <v>215</v>
      </c>
      <c r="K53" s="87"/>
    </row>
    <row r="54" spans="2:11" x14ac:dyDescent="0.3">
      <c r="B54" s="213" t="s">
        <v>213</v>
      </c>
      <c r="C54" s="213" t="s">
        <v>52</v>
      </c>
      <c r="D54" s="213" t="s">
        <v>340</v>
      </c>
      <c r="E54" s="101" t="s">
        <v>677</v>
      </c>
      <c r="F54" s="101" t="s">
        <v>674</v>
      </c>
      <c r="G54" s="102" t="s">
        <v>214</v>
      </c>
      <c r="H54" s="101"/>
      <c r="I54" s="102" t="s">
        <v>215</v>
      </c>
      <c r="K54" s="87"/>
    </row>
    <row r="55" spans="2:11" x14ac:dyDescent="0.3">
      <c r="B55" s="213" t="s">
        <v>213</v>
      </c>
      <c r="C55" s="213" t="s">
        <v>581</v>
      </c>
      <c r="D55" s="213" t="s">
        <v>413</v>
      </c>
      <c r="E55" s="101" t="s">
        <v>677</v>
      </c>
      <c r="F55" s="101" t="s">
        <v>674</v>
      </c>
      <c r="G55" s="102" t="s">
        <v>214</v>
      </c>
      <c r="H55" s="101"/>
      <c r="I55" s="102" t="s">
        <v>215</v>
      </c>
      <c r="K55" s="87"/>
    </row>
    <row r="56" spans="2:11" x14ac:dyDescent="0.3">
      <c r="B56" s="213" t="s">
        <v>213</v>
      </c>
      <c r="C56" s="213" t="s">
        <v>234</v>
      </c>
      <c r="D56" s="213" t="s">
        <v>235</v>
      </c>
      <c r="E56" s="101" t="s">
        <v>677</v>
      </c>
      <c r="F56" s="101" t="s">
        <v>674</v>
      </c>
      <c r="G56" s="102" t="s">
        <v>214</v>
      </c>
      <c r="H56" s="101"/>
      <c r="I56" s="102" t="s">
        <v>215</v>
      </c>
      <c r="K56" s="87"/>
    </row>
    <row r="57" spans="2:11" x14ac:dyDescent="0.3">
      <c r="B57" s="213" t="s">
        <v>213</v>
      </c>
      <c r="C57" s="213" t="s">
        <v>55</v>
      </c>
      <c r="D57" s="213" t="s">
        <v>341</v>
      </c>
      <c r="E57" s="101" t="s">
        <v>677</v>
      </c>
      <c r="F57" s="101" t="s">
        <v>674</v>
      </c>
      <c r="G57" s="102" t="s">
        <v>214</v>
      </c>
      <c r="H57" s="101"/>
      <c r="I57" s="102" t="s">
        <v>215</v>
      </c>
      <c r="K57" s="87"/>
    </row>
    <row r="58" spans="2:11" ht="12.75" customHeight="1" x14ac:dyDescent="0.3">
      <c r="B58" s="213" t="s">
        <v>213</v>
      </c>
      <c r="C58" s="213" t="s">
        <v>582</v>
      </c>
      <c r="D58" s="213" t="s">
        <v>414</v>
      </c>
      <c r="E58" s="101" t="s">
        <v>677</v>
      </c>
      <c r="F58" s="101" t="s">
        <v>674</v>
      </c>
      <c r="G58" s="102" t="s">
        <v>214</v>
      </c>
      <c r="H58" s="101"/>
      <c r="I58" s="102" t="s">
        <v>215</v>
      </c>
      <c r="K58" s="87"/>
    </row>
    <row r="59" spans="2:11" x14ac:dyDescent="0.3">
      <c r="B59" s="213" t="s">
        <v>213</v>
      </c>
      <c r="C59" s="213" t="s">
        <v>236</v>
      </c>
      <c r="D59" s="213" t="s">
        <v>237</v>
      </c>
      <c r="E59" s="101" t="s">
        <v>677</v>
      </c>
      <c r="F59" s="101" t="s">
        <v>674</v>
      </c>
      <c r="G59" s="102" t="s">
        <v>214</v>
      </c>
      <c r="H59" s="101"/>
      <c r="I59" s="102" t="s">
        <v>215</v>
      </c>
      <c r="K59" s="87"/>
    </row>
    <row r="60" spans="2:11" x14ac:dyDescent="0.3">
      <c r="B60" s="213" t="s">
        <v>213</v>
      </c>
      <c r="C60" s="213" t="s">
        <v>56</v>
      </c>
      <c r="D60" s="213" t="s">
        <v>342</v>
      </c>
      <c r="E60" s="101" t="s">
        <v>677</v>
      </c>
      <c r="F60" s="101" t="s">
        <v>674</v>
      </c>
      <c r="G60" s="102" t="s">
        <v>214</v>
      </c>
      <c r="H60" s="101"/>
      <c r="I60" s="102" t="s">
        <v>215</v>
      </c>
      <c r="K60" s="87"/>
    </row>
    <row r="61" spans="2:11" x14ac:dyDescent="0.3">
      <c r="B61" s="213" t="s">
        <v>213</v>
      </c>
      <c r="C61" s="213" t="s">
        <v>583</v>
      </c>
      <c r="D61" s="213" t="s">
        <v>415</v>
      </c>
      <c r="E61" s="101" t="s">
        <v>677</v>
      </c>
      <c r="F61" s="101" t="s">
        <v>674</v>
      </c>
      <c r="G61" s="102" t="s">
        <v>214</v>
      </c>
      <c r="H61" s="101"/>
      <c r="I61" s="102" t="s">
        <v>215</v>
      </c>
      <c r="K61" s="87"/>
    </row>
    <row r="62" spans="2:11" x14ac:dyDescent="0.3">
      <c r="B62" s="213" t="s">
        <v>213</v>
      </c>
      <c r="C62" s="213" t="s">
        <v>238</v>
      </c>
      <c r="D62" s="213" t="s">
        <v>239</v>
      </c>
      <c r="E62" s="101" t="s">
        <v>677</v>
      </c>
      <c r="F62" s="101" t="s">
        <v>674</v>
      </c>
      <c r="G62" s="102" t="s">
        <v>214</v>
      </c>
      <c r="H62" s="101"/>
      <c r="I62" s="102" t="s">
        <v>215</v>
      </c>
      <c r="K62" s="87"/>
    </row>
    <row r="63" spans="2:11" x14ac:dyDescent="0.3">
      <c r="B63" s="213" t="s">
        <v>213</v>
      </c>
      <c r="C63" s="213" t="s">
        <v>58</v>
      </c>
      <c r="D63" s="213" t="s">
        <v>343</v>
      </c>
      <c r="E63" s="101" t="s">
        <v>677</v>
      </c>
      <c r="F63" s="101" t="s">
        <v>674</v>
      </c>
      <c r="G63" s="102" t="s">
        <v>214</v>
      </c>
      <c r="H63" s="101"/>
      <c r="I63" s="102" t="s">
        <v>215</v>
      </c>
      <c r="K63" s="87"/>
    </row>
    <row r="64" spans="2:11" x14ac:dyDescent="0.3">
      <c r="B64" s="213" t="s">
        <v>213</v>
      </c>
      <c r="C64" s="213" t="s">
        <v>584</v>
      </c>
      <c r="D64" s="213" t="s">
        <v>416</v>
      </c>
      <c r="E64" s="101" t="s">
        <v>677</v>
      </c>
      <c r="F64" s="101" t="s">
        <v>674</v>
      </c>
      <c r="G64" s="102" t="s">
        <v>214</v>
      </c>
      <c r="H64" s="101"/>
      <c r="I64" s="102" t="s">
        <v>215</v>
      </c>
      <c r="K64" s="87"/>
    </row>
    <row r="65" spans="2:11" x14ac:dyDescent="0.3">
      <c r="B65" s="213" t="s">
        <v>213</v>
      </c>
      <c r="C65" s="213" t="s">
        <v>240</v>
      </c>
      <c r="D65" s="213" t="s">
        <v>241</v>
      </c>
      <c r="E65" s="101" t="s">
        <v>677</v>
      </c>
      <c r="F65" s="101" t="s">
        <v>674</v>
      </c>
      <c r="G65" s="102" t="s">
        <v>214</v>
      </c>
      <c r="H65" s="101"/>
      <c r="I65" s="102" t="s">
        <v>215</v>
      </c>
      <c r="K65" s="87"/>
    </row>
    <row r="66" spans="2:11" x14ac:dyDescent="0.3">
      <c r="B66" s="213" t="s">
        <v>213</v>
      </c>
      <c r="C66" s="213" t="s">
        <v>59</v>
      </c>
      <c r="D66" s="213" t="s">
        <v>344</v>
      </c>
      <c r="E66" s="101" t="s">
        <v>677</v>
      </c>
      <c r="F66" s="101" t="s">
        <v>674</v>
      </c>
      <c r="G66" s="102" t="s">
        <v>214</v>
      </c>
      <c r="H66" s="101"/>
      <c r="I66" s="102" t="s">
        <v>215</v>
      </c>
      <c r="K66" s="87"/>
    </row>
    <row r="67" spans="2:11" x14ac:dyDescent="0.3">
      <c r="B67" s="213" t="s">
        <v>213</v>
      </c>
      <c r="C67" s="213" t="s">
        <v>585</v>
      </c>
      <c r="D67" s="213" t="s">
        <v>417</v>
      </c>
      <c r="E67" s="101" t="s">
        <v>677</v>
      </c>
      <c r="F67" s="101" t="s">
        <v>674</v>
      </c>
      <c r="G67" s="102" t="s">
        <v>214</v>
      </c>
      <c r="H67" s="101"/>
      <c r="I67" s="102" t="s">
        <v>215</v>
      </c>
      <c r="K67" s="87"/>
    </row>
    <row r="68" spans="2:11" x14ac:dyDescent="0.3">
      <c r="B68" s="213" t="s">
        <v>213</v>
      </c>
      <c r="C68" s="213" t="s">
        <v>242</v>
      </c>
      <c r="D68" s="213" t="s">
        <v>243</v>
      </c>
      <c r="E68" s="101" t="s">
        <v>677</v>
      </c>
      <c r="F68" s="101" t="s">
        <v>674</v>
      </c>
      <c r="G68" s="102" t="s">
        <v>214</v>
      </c>
      <c r="H68" s="101"/>
      <c r="I68" s="102" t="s">
        <v>215</v>
      </c>
      <c r="K68" s="87"/>
    </row>
    <row r="69" spans="2:11" x14ac:dyDescent="0.3">
      <c r="B69" s="213" t="s">
        <v>213</v>
      </c>
      <c r="C69" s="213" t="s">
        <v>60</v>
      </c>
      <c r="D69" s="213" t="s">
        <v>61</v>
      </c>
      <c r="E69" s="101" t="s">
        <v>677</v>
      </c>
      <c r="F69" s="101" t="s">
        <v>674</v>
      </c>
      <c r="G69" s="102" t="s">
        <v>214</v>
      </c>
      <c r="H69" s="101"/>
      <c r="I69" s="102" t="s">
        <v>215</v>
      </c>
      <c r="K69" s="87"/>
    </row>
    <row r="70" spans="2:11" x14ac:dyDescent="0.3">
      <c r="B70" s="213" t="s">
        <v>213</v>
      </c>
      <c r="C70" s="213" t="s">
        <v>586</v>
      </c>
      <c r="D70" s="213" t="s">
        <v>418</v>
      </c>
      <c r="E70" s="101" t="s">
        <v>677</v>
      </c>
      <c r="F70" s="101" t="s">
        <v>674</v>
      </c>
      <c r="G70" s="102" t="s">
        <v>214</v>
      </c>
      <c r="H70" s="101"/>
      <c r="I70" s="102" t="s">
        <v>215</v>
      </c>
      <c r="K70" s="87"/>
    </row>
    <row r="71" spans="2:11" x14ac:dyDescent="0.3">
      <c r="B71" s="213" t="s">
        <v>213</v>
      </c>
      <c r="C71" s="213" t="s">
        <v>244</v>
      </c>
      <c r="D71" s="213" t="s">
        <v>245</v>
      </c>
      <c r="E71" s="101" t="s">
        <v>677</v>
      </c>
      <c r="F71" s="101" t="s">
        <v>674</v>
      </c>
      <c r="G71" s="102" t="s">
        <v>214</v>
      </c>
      <c r="H71" s="101"/>
      <c r="I71" s="102" t="s">
        <v>215</v>
      </c>
      <c r="K71" s="87"/>
    </row>
    <row r="72" spans="2:11" x14ac:dyDescent="0.3">
      <c r="B72" s="213" t="s">
        <v>213</v>
      </c>
      <c r="C72" s="213" t="s">
        <v>601</v>
      </c>
      <c r="D72" s="213" t="s">
        <v>617</v>
      </c>
      <c r="E72" s="101" t="s">
        <v>677</v>
      </c>
      <c r="F72" s="101" t="s">
        <v>674</v>
      </c>
      <c r="G72" s="102" t="s">
        <v>214</v>
      </c>
      <c r="H72" s="101"/>
      <c r="I72" s="102" t="s">
        <v>215</v>
      </c>
      <c r="K72" s="87"/>
    </row>
    <row r="73" spans="2:11" x14ac:dyDescent="0.3">
      <c r="B73" s="213" t="s">
        <v>213</v>
      </c>
      <c r="C73" s="213" t="s">
        <v>604</v>
      </c>
      <c r="D73" s="213" t="s">
        <v>618</v>
      </c>
      <c r="E73" s="101" t="s">
        <v>677</v>
      </c>
      <c r="F73" s="101" t="s">
        <v>674</v>
      </c>
      <c r="G73" s="102" t="s">
        <v>214</v>
      </c>
      <c r="H73" s="101"/>
      <c r="I73" s="102" t="s">
        <v>215</v>
      </c>
      <c r="K73" s="87"/>
    </row>
    <row r="74" spans="2:11" x14ac:dyDescent="0.3">
      <c r="B74" s="213" t="s">
        <v>213</v>
      </c>
      <c r="C74" s="213" t="s">
        <v>602</v>
      </c>
      <c r="D74" s="213" t="s">
        <v>603</v>
      </c>
      <c r="E74" s="101" t="s">
        <v>677</v>
      </c>
      <c r="F74" s="101" t="s">
        <v>674</v>
      </c>
      <c r="G74" s="102" t="s">
        <v>214</v>
      </c>
      <c r="H74" s="101"/>
      <c r="I74" s="102" t="s">
        <v>215</v>
      </c>
      <c r="K74" s="87"/>
    </row>
    <row r="75" spans="2:11" x14ac:dyDescent="0.3">
      <c r="B75" s="213" t="s">
        <v>213</v>
      </c>
      <c r="C75" s="213" t="s">
        <v>63</v>
      </c>
      <c r="D75" s="213" t="s">
        <v>345</v>
      </c>
      <c r="E75" s="101" t="s">
        <v>677</v>
      </c>
      <c r="F75" s="101" t="s">
        <v>674</v>
      </c>
      <c r="G75" s="102" t="s">
        <v>214</v>
      </c>
      <c r="H75" s="101"/>
      <c r="I75" s="102" t="s">
        <v>215</v>
      </c>
      <c r="K75" s="87"/>
    </row>
    <row r="76" spans="2:11" x14ac:dyDescent="0.3">
      <c r="B76" s="213" t="s">
        <v>213</v>
      </c>
      <c r="C76" s="213" t="s">
        <v>587</v>
      </c>
      <c r="D76" s="213" t="s">
        <v>419</v>
      </c>
      <c r="E76" s="101" t="s">
        <v>677</v>
      </c>
      <c r="F76" s="101" t="s">
        <v>674</v>
      </c>
      <c r="G76" s="102" t="s">
        <v>214</v>
      </c>
      <c r="H76" s="101"/>
      <c r="I76" s="102" t="s">
        <v>215</v>
      </c>
      <c r="K76" s="87"/>
    </row>
    <row r="77" spans="2:11" x14ac:dyDescent="0.3">
      <c r="B77" s="213" t="s">
        <v>213</v>
      </c>
      <c r="C77" s="213" t="s">
        <v>246</v>
      </c>
      <c r="D77" s="213" t="s">
        <v>247</v>
      </c>
      <c r="E77" s="101" t="s">
        <v>677</v>
      </c>
      <c r="F77" s="101" t="s">
        <v>674</v>
      </c>
      <c r="G77" s="102" t="s">
        <v>214</v>
      </c>
      <c r="H77" s="101"/>
      <c r="I77" s="102" t="s">
        <v>215</v>
      </c>
      <c r="K77" s="87"/>
    </row>
    <row r="78" spans="2:11" x14ac:dyDescent="0.3">
      <c r="B78" s="213" t="s">
        <v>213</v>
      </c>
      <c r="C78" s="213" t="s">
        <v>64</v>
      </c>
      <c r="D78" s="213" t="s">
        <v>346</v>
      </c>
      <c r="E78" s="101" t="s">
        <v>677</v>
      </c>
      <c r="F78" s="101" t="s">
        <v>674</v>
      </c>
      <c r="G78" s="102" t="s">
        <v>214</v>
      </c>
      <c r="H78" s="101"/>
      <c r="I78" s="102" t="s">
        <v>215</v>
      </c>
      <c r="K78" s="87"/>
    </row>
    <row r="79" spans="2:11" x14ac:dyDescent="0.3">
      <c r="B79" s="213" t="s">
        <v>213</v>
      </c>
      <c r="C79" s="213" t="s">
        <v>588</v>
      </c>
      <c r="D79" s="213" t="s">
        <v>420</v>
      </c>
      <c r="E79" s="101" t="s">
        <v>677</v>
      </c>
      <c r="F79" s="101" t="s">
        <v>674</v>
      </c>
      <c r="G79" s="102" t="s">
        <v>214</v>
      </c>
      <c r="H79" s="101"/>
      <c r="I79" s="102" t="s">
        <v>215</v>
      </c>
      <c r="K79" s="87"/>
    </row>
    <row r="80" spans="2:11" x14ac:dyDescent="0.3">
      <c r="B80" s="213" t="s">
        <v>213</v>
      </c>
      <c r="C80" s="213" t="s">
        <v>248</v>
      </c>
      <c r="D80" s="213" t="s">
        <v>249</v>
      </c>
      <c r="E80" s="101" t="s">
        <v>677</v>
      </c>
      <c r="F80" s="101" t="s">
        <v>674</v>
      </c>
      <c r="G80" s="102" t="s">
        <v>214</v>
      </c>
      <c r="H80" s="101"/>
      <c r="I80" s="102" t="s">
        <v>215</v>
      </c>
      <c r="K80" s="87"/>
    </row>
    <row r="81" spans="2:11" x14ac:dyDescent="0.3">
      <c r="B81" s="213" t="s">
        <v>213</v>
      </c>
      <c r="C81" s="213" t="s">
        <v>133</v>
      </c>
      <c r="D81" s="213" t="s">
        <v>134</v>
      </c>
      <c r="E81" s="101" t="s">
        <v>677</v>
      </c>
      <c r="F81" s="101" t="s">
        <v>674</v>
      </c>
      <c r="G81" s="102" t="s">
        <v>214</v>
      </c>
      <c r="H81" s="101"/>
      <c r="I81" s="102" t="s">
        <v>215</v>
      </c>
      <c r="K81" s="87"/>
    </row>
    <row r="82" spans="2:11" x14ac:dyDescent="0.3">
      <c r="B82" s="213" t="s">
        <v>213</v>
      </c>
      <c r="C82" s="213" t="s">
        <v>250</v>
      </c>
      <c r="D82" s="213" t="s">
        <v>251</v>
      </c>
      <c r="E82" s="101" t="s">
        <v>677</v>
      </c>
      <c r="F82" s="101" t="s">
        <v>674</v>
      </c>
      <c r="G82" s="102" t="s">
        <v>214</v>
      </c>
      <c r="H82" s="101"/>
      <c r="I82" s="102" t="s">
        <v>215</v>
      </c>
      <c r="K82" s="87"/>
    </row>
    <row r="83" spans="2:11" x14ac:dyDescent="0.3">
      <c r="B83" s="213" t="s">
        <v>213</v>
      </c>
      <c r="C83" s="213" t="s">
        <v>135</v>
      </c>
      <c r="D83" s="213" t="s">
        <v>136</v>
      </c>
      <c r="E83" s="101" t="s">
        <v>677</v>
      </c>
      <c r="F83" s="101" t="s">
        <v>674</v>
      </c>
      <c r="G83" s="102" t="s">
        <v>214</v>
      </c>
      <c r="H83" s="101"/>
      <c r="I83" s="102" t="s">
        <v>215</v>
      </c>
      <c r="K83" s="87"/>
    </row>
    <row r="84" spans="2:11" x14ac:dyDescent="0.3">
      <c r="B84" s="213" t="s">
        <v>213</v>
      </c>
      <c r="C84" s="213" t="s">
        <v>252</v>
      </c>
      <c r="D84" s="213" t="s">
        <v>253</v>
      </c>
      <c r="E84" s="101" t="s">
        <v>677</v>
      </c>
      <c r="F84" s="101" t="s">
        <v>674</v>
      </c>
      <c r="G84" s="102" t="s">
        <v>214</v>
      </c>
      <c r="H84" s="101"/>
      <c r="I84" s="102" t="s">
        <v>215</v>
      </c>
      <c r="K84" s="87"/>
    </row>
    <row r="85" spans="2:11" x14ac:dyDescent="0.3">
      <c r="B85" s="213" t="s">
        <v>213</v>
      </c>
      <c r="C85" s="213" t="s">
        <v>137</v>
      </c>
      <c r="D85" s="213" t="s">
        <v>138</v>
      </c>
      <c r="E85" s="101" t="s">
        <v>677</v>
      </c>
      <c r="F85" s="101" t="s">
        <v>674</v>
      </c>
      <c r="G85" s="102" t="s">
        <v>214</v>
      </c>
      <c r="H85" s="101"/>
      <c r="I85" s="102" t="s">
        <v>215</v>
      </c>
      <c r="K85" s="87"/>
    </row>
    <row r="86" spans="2:11" x14ac:dyDescent="0.3">
      <c r="B86" s="213" t="s">
        <v>213</v>
      </c>
      <c r="C86" s="213" t="s">
        <v>254</v>
      </c>
      <c r="D86" s="213" t="s">
        <v>255</v>
      </c>
      <c r="E86" s="101" t="s">
        <v>677</v>
      </c>
      <c r="F86" s="101" t="s">
        <v>674</v>
      </c>
      <c r="G86" s="102" t="s">
        <v>214</v>
      </c>
      <c r="H86" s="101"/>
      <c r="I86" s="102" t="s">
        <v>215</v>
      </c>
      <c r="K86" s="87"/>
    </row>
    <row r="87" spans="2:11" x14ac:dyDescent="0.3">
      <c r="B87" s="213" t="s">
        <v>213</v>
      </c>
      <c r="C87" s="213" t="s">
        <v>139</v>
      </c>
      <c r="D87" s="213" t="s">
        <v>140</v>
      </c>
      <c r="E87" s="101" t="s">
        <v>677</v>
      </c>
      <c r="F87" s="101" t="s">
        <v>674</v>
      </c>
      <c r="G87" s="102" t="s">
        <v>214</v>
      </c>
      <c r="H87" s="101"/>
      <c r="I87" s="102" t="s">
        <v>215</v>
      </c>
      <c r="K87" s="87"/>
    </row>
    <row r="88" spans="2:11" x14ac:dyDescent="0.3">
      <c r="B88" s="213" t="s">
        <v>213</v>
      </c>
      <c r="C88" s="213" t="s">
        <v>256</v>
      </c>
      <c r="D88" s="213" t="s">
        <v>257</v>
      </c>
      <c r="E88" s="101" t="s">
        <v>677</v>
      </c>
      <c r="F88" s="101" t="s">
        <v>674</v>
      </c>
      <c r="G88" s="102" t="s">
        <v>214</v>
      </c>
      <c r="H88" s="101"/>
      <c r="I88" s="102" t="s">
        <v>215</v>
      </c>
      <c r="K88" s="87"/>
    </row>
    <row r="89" spans="2:11" x14ac:dyDescent="0.3">
      <c r="B89" s="213" t="s">
        <v>213</v>
      </c>
      <c r="C89" s="213" t="s">
        <v>141</v>
      </c>
      <c r="D89" s="213" t="s">
        <v>142</v>
      </c>
      <c r="E89" s="101" t="s">
        <v>677</v>
      </c>
      <c r="F89" s="101" t="s">
        <v>674</v>
      </c>
      <c r="G89" s="102" t="s">
        <v>214</v>
      </c>
      <c r="H89" s="101"/>
      <c r="I89" s="102" t="s">
        <v>215</v>
      </c>
      <c r="K89" s="87"/>
    </row>
    <row r="90" spans="2:11" x14ac:dyDescent="0.3">
      <c r="B90" s="213" t="s">
        <v>213</v>
      </c>
      <c r="C90" s="213" t="s">
        <v>258</v>
      </c>
      <c r="D90" s="213" t="s">
        <v>259</v>
      </c>
      <c r="E90" s="101" t="s">
        <v>677</v>
      </c>
      <c r="F90" s="101" t="s">
        <v>674</v>
      </c>
      <c r="G90" s="102" t="s">
        <v>214</v>
      </c>
      <c r="H90" s="101"/>
      <c r="I90" s="102" t="s">
        <v>215</v>
      </c>
      <c r="K90" s="87"/>
    </row>
    <row r="91" spans="2:11" ht="15" customHeight="1" x14ac:dyDescent="0.3">
      <c r="B91" s="213" t="s">
        <v>213</v>
      </c>
      <c r="C91" s="213" t="s">
        <v>143</v>
      </c>
      <c r="D91" s="213" t="s">
        <v>144</v>
      </c>
      <c r="E91" s="101" t="s">
        <v>677</v>
      </c>
      <c r="F91" s="101" t="s">
        <v>674</v>
      </c>
      <c r="G91" s="102" t="s">
        <v>214</v>
      </c>
      <c r="H91" s="101"/>
      <c r="I91" s="102" t="s">
        <v>215</v>
      </c>
      <c r="K91" s="87"/>
    </row>
    <row r="92" spans="2:11" x14ac:dyDescent="0.3">
      <c r="B92" s="213" t="s">
        <v>213</v>
      </c>
      <c r="C92" s="213" t="s">
        <v>260</v>
      </c>
      <c r="D92" s="213" t="s">
        <v>261</v>
      </c>
      <c r="E92" s="101" t="s">
        <v>677</v>
      </c>
      <c r="F92" s="101" t="s">
        <v>674</v>
      </c>
      <c r="G92" s="102" t="s">
        <v>214</v>
      </c>
      <c r="H92" s="101"/>
      <c r="I92" s="102" t="s">
        <v>215</v>
      </c>
      <c r="K92" s="87"/>
    </row>
    <row r="93" spans="2:11" x14ac:dyDescent="0.3">
      <c r="B93" s="213" t="s">
        <v>213</v>
      </c>
      <c r="C93" s="213" t="s">
        <v>145</v>
      </c>
      <c r="D93" s="213" t="s">
        <v>146</v>
      </c>
      <c r="E93" s="101" t="s">
        <v>677</v>
      </c>
      <c r="F93" s="101" t="s">
        <v>674</v>
      </c>
      <c r="G93" s="102" t="s">
        <v>214</v>
      </c>
      <c r="H93" s="101"/>
      <c r="I93" s="102" t="s">
        <v>215</v>
      </c>
      <c r="K93" s="87"/>
    </row>
    <row r="94" spans="2:11" x14ac:dyDescent="0.3">
      <c r="B94" s="213" t="s">
        <v>213</v>
      </c>
      <c r="C94" s="213" t="s">
        <v>262</v>
      </c>
      <c r="D94" s="213" t="s">
        <v>263</v>
      </c>
      <c r="E94" s="101" t="s">
        <v>677</v>
      </c>
      <c r="F94" s="101" t="s">
        <v>674</v>
      </c>
      <c r="G94" s="102" t="s">
        <v>214</v>
      </c>
      <c r="H94" s="101"/>
      <c r="I94" s="102" t="s">
        <v>215</v>
      </c>
      <c r="K94" s="87"/>
    </row>
    <row r="95" spans="2:11" x14ac:dyDescent="0.3">
      <c r="B95" s="213" t="s">
        <v>213</v>
      </c>
      <c r="C95" s="213" t="s">
        <v>147</v>
      </c>
      <c r="D95" s="213" t="s">
        <v>148</v>
      </c>
      <c r="E95" s="101" t="s">
        <v>677</v>
      </c>
      <c r="F95" s="101" t="s">
        <v>674</v>
      </c>
      <c r="G95" s="102" t="s">
        <v>214</v>
      </c>
      <c r="H95" s="101"/>
      <c r="I95" s="102" t="s">
        <v>215</v>
      </c>
      <c r="K95" s="87"/>
    </row>
    <row r="96" spans="2:11" x14ac:dyDescent="0.3">
      <c r="B96" s="213" t="s">
        <v>213</v>
      </c>
      <c r="C96" s="213" t="s">
        <v>264</v>
      </c>
      <c r="D96" s="213" t="s">
        <v>265</v>
      </c>
      <c r="E96" s="101" t="s">
        <v>677</v>
      </c>
      <c r="F96" s="101" t="s">
        <v>674</v>
      </c>
      <c r="G96" s="102" t="s">
        <v>214</v>
      </c>
      <c r="H96" s="101"/>
      <c r="I96" s="102" t="s">
        <v>215</v>
      </c>
      <c r="K96" s="87"/>
    </row>
    <row r="97" spans="2:11" x14ac:dyDescent="0.3">
      <c r="B97" s="213" t="s">
        <v>213</v>
      </c>
      <c r="C97" s="213" t="s">
        <v>150</v>
      </c>
      <c r="D97" s="213" t="s">
        <v>151</v>
      </c>
      <c r="E97" s="101" t="s">
        <v>677</v>
      </c>
      <c r="F97" s="101" t="s">
        <v>674</v>
      </c>
      <c r="G97" s="102" t="s">
        <v>214</v>
      </c>
      <c r="H97" s="101"/>
      <c r="I97" s="102" t="s">
        <v>215</v>
      </c>
      <c r="K97" s="87"/>
    </row>
    <row r="98" spans="2:11" x14ac:dyDescent="0.3">
      <c r="B98" s="213" t="s">
        <v>213</v>
      </c>
      <c r="C98" s="213" t="s">
        <v>311</v>
      </c>
      <c r="D98" s="213" t="s">
        <v>519</v>
      </c>
      <c r="E98" s="101" t="s">
        <v>677</v>
      </c>
      <c r="F98" s="101" t="s">
        <v>674</v>
      </c>
      <c r="G98" s="102" t="s">
        <v>214</v>
      </c>
      <c r="H98" s="101"/>
      <c r="I98" s="102" t="s">
        <v>215</v>
      </c>
      <c r="K98" s="87"/>
    </row>
    <row r="99" spans="2:11" x14ac:dyDescent="0.3">
      <c r="B99" s="213" t="s">
        <v>213</v>
      </c>
      <c r="C99" s="213" t="s">
        <v>152</v>
      </c>
      <c r="D99" s="213" t="s">
        <v>216</v>
      </c>
      <c r="E99" s="101" t="s">
        <v>677</v>
      </c>
      <c r="F99" s="101" t="s">
        <v>674</v>
      </c>
      <c r="G99" s="102" t="s">
        <v>214</v>
      </c>
      <c r="H99" s="101"/>
      <c r="I99" s="102" t="s">
        <v>215</v>
      </c>
      <c r="K99" s="87"/>
    </row>
    <row r="100" spans="2:11" x14ac:dyDescent="0.3">
      <c r="B100" s="213" t="s">
        <v>213</v>
      </c>
      <c r="C100" s="213" t="s">
        <v>312</v>
      </c>
      <c r="D100" s="213" t="s">
        <v>518</v>
      </c>
      <c r="E100" s="101" t="s">
        <v>677</v>
      </c>
      <c r="F100" s="101" t="s">
        <v>674</v>
      </c>
      <c r="G100" s="102" t="s">
        <v>214</v>
      </c>
      <c r="H100" s="101"/>
      <c r="I100" s="102" t="s">
        <v>215</v>
      </c>
      <c r="K100" s="87"/>
    </row>
    <row r="101" spans="2:11" x14ac:dyDescent="0.3">
      <c r="B101" s="213" t="s">
        <v>213</v>
      </c>
      <c r="C101" s="213" t="s">
        <v>149</v>
      </c>
      <c r="D101" s="213" t="s">
        <v>217</v>
      </c>
      <c r="E101" s="101" t="s">
        <v>677</v>
      </c>
      <c r="F101" s="101" t="s">
        <v>674</v>
      </c>
      <c r="G101" s="102" t="s">
        <v>214</v>
      </c>
      <c r="H101" s="101"/>
      <c r="I101" s="102" t="s">
        <v>215</v>
      </c>
      <c r="K101" s="87"/>
    </row>
    <row r="102" spans="2:11" x14ac:dyDescent="0.3">
      <c r="B102" s="213" t="s">
        <v>213</v>
      </c>
      <c r="C102" s="213" t="s">
        <v>266</v>
      </c>
      <c r="D102" s="213" t="s">
        <v>217</v>
      </c>
      <c r="E102" s="101" t="s">
        <v>677</v>
      </c>
      <c r="F102" s="101" t="s">
        <v>674</v>
      </c>
      <c r="G102" s="102" t="s">
        <v>214</v>
      </c>
      <c r="H102" s="101"/>
      <c r="I102" s="102" t="s">
        <v>215</v>
      </c>
      <c r="K102" s="87"/>
    </row>
    <row r="103" spans="2:11" x14ac:dyDescent="0.3">
      <c r="B103" s="213" t="s">
        <v>213</v>
      </c>
      <c r="C103" s="213" t="s">
        <v>610</v>
      </c>
      <c r="D103" s="213" t="s">
        <v>619</v>
      </c>
      <c r="E103" s="101" t="s">
        <v>677</v>
      </c>
      <c r="F103" s="101" t="s">
        <v>674</v>
      </c>
      <c r="G103" s="102" t="s">
        <v>214</v>
      </c>
      <c r="H103" s="101"/>
      <c r="I103" s="102" t="s">
        <v>215</v>
      </c>
      <c r="K103" s="87"/>
    </row>
    <row r="104" spans="2:11" x14ac:dyDescent="0.3">
      <c r="B104" s="213" t="s">
        <v>213</v>
      </c>
      <c r="C104" s="213" t="s">
        <v>611</v>
      </c>
      <c r="D104" s="213" t="s">
        <v>620</v>
      </c>
      <c r="E104" s="101" t="s">
        <v>677</v>
      </c>
      <c r="F104" s="101" t="s">
        <v>674</v>
      </c>
      <c r="G104" s="102" t="s">
        <v>214</v>
      </c>
      <c r="H104" s="101"/>
      <c r="I104" s="102" t="s">
        <v>215</v>
      </c>
      <c r="K104" s="87"/>
    </row>
    <row r="105" spans="2:11" x14ac:dyDescent="0.3">
      <c r="B105" s="213" t="s">
        <v>213</v>
      </c>
      <c r="C105" s="213" t="s">
        <v>153</v>
      </c>
      <c r="D105" s="213" t="s">
        <v>154</v>
      </c>
      <c r="E105" s="101" t="s">
        <v>677</v>
      </c>
      <c r="F105" s="101" t="s">
        <v>674</v>
      </c>
      <c r="G105" s="102" t="s">
        <v>214</v>
      </c>
      <c r="H105" s="101"/>
      <c r="I105" s="102" t="s">
        <v>215</v>
      </c>
      <c r="K105" s="87"/>
    </row>
    <row r="106" spans="2:11" x14ac:dyDescent="0.3">
      <c r="B106" s="213" t="s">
        <v>213</v>
      </c>
      <c r="C106" s="213" t="s">
        <v>313</v>
      </c>
      <c r="D106" s="213" t="s">
        <v>520</v>
      </c>
      <c r="E106" s="101" t="s">
        <v>677</v>
      </c>
      <c r="F106" s="101" t="s">
        <v>674</v>
      </c>
      <c r="G106" s="102" t="s">
        <v>214</v>
      </c>
      <c r="H106" s="101"/>
      <c r="I106" s="102" t="s">
        <v>215</v>
      </c>
      <c r="K106" s="87"/>
    </row>
    <row r="107" spans="2:11" x14ac:dyDescent="0.3">
      <c r="B107" s="213" t="s">
        <v>213</v>
      </c>
      <c r="C107" s="213" t="s">
        <v>155</v>
      </c>
      <c r="D107" s="213" t="s">
        <v>521</v>
      </c>
      <c r="E107" s="101" t="s">
        <v>677</v>
      </c>
      <c r="F107" s="101" t="s">
        <v>674</v>
      </c>
      <c r="G107" s="102" t="s">
        <v>214</v>
      </c>
      <c r="H107" s="101"/>
      <c r="I107" s="102" t="s">
        <v>215</v>
      </c>
      <c r="K107" s="87"/>
    </row>
    <row r="108" spans="2:11" x14ac:dyDescent="0.3">
      <c r="B108" s="213" t="s">
        <v>213</v>
      </c>
      <c r="C108" s="213" t="s">
        <v>314</v>
      </c>
      <c r="D108" s="213" t="s">
        <v>522</v>
      </c>
      <c r="E108" s="101" t="s">
        <v>677</v>
      </c>
      <c r="F108" s="101" t="s">
        <v>674</v>
      </c>
      <c r="G108" s="102" t="s">
        <v>214</v>
      </c>
      <c r="H108" s="101"/>
      <c r="I108" s="102" t="s">
        <v>215</v>
      </c>
      <c r="K108" s="87"/>
    </row>
    <row r="109" spans="2:11" x14ac:dyDescent="0.3">
      <c r="B109" s="213" t="s">
        <v>213</v>
      </c>
      <c r="C109" s="213" t="s">
        <v>359</v>
      </c>
      <c r="D109" s="213" t="s">
        <v>369</v>
      </c>
      <c r="E109" s="101" t="s">
        <v>677</v>
      </c>
      <c r="F109" s="101" t="s">
        <v>674</v>
      </c>
      <c r="G109" s="102" t="s">
        <v>214</v>
      </c>
      <c r="H109" s="101"/>
      <c r="I109" s="102" t="s">
        <v>215</v>
      </c>
      <c r="K109" s="87"/>
    </row>
    <row r="110" spans="2:11" x14ac:dyDescent="0.3">
      <c r="B110" s="213" t="s">
        <v>213</v>
      </c>
      <c r="C110" s="213" t="s">
        <v>444</v>
      </c>
      <c r="D110" s="213" t="s">
        <v>523</v>
      </c>
      <c r="E110" s="101" t="s">
        <v>677</v>
      </c>
      <c r="F110" s="101" t="s">
        <v>674</v>
      </c>
      <c r="G110" s="102" t="s">
        <v>214</v>
      </c>
      <c r="H110" s="101"/>
      <c r="I110" s="102" t="s">
        <v>215</v>
      </c>
      <c r="K110" s="87"/>
    </row>
    <row r="111" spans="2:11" x14ac:dyDescent="0.3">
      <c r="B111" s="213" t="s">
        <v>213</v>
      </c>
      <c r="C111" s="213" t="s">
        <v>360</v>
      </c>
      <c r="D111" s="213" t="s">
        <v>370</v>
      </c>
      <c r="E111" s="101" t="s">
        <v>677</v>
      </c>
      <c r="F111" s="101" t="s">
        <v>674</v>
      </c>
      <c r="G111" s="102" t="s">
        <v>214</v>
      </c>
      <c r="H111" s="101"/>
      <c r="I111" s="102" t="s">
        <v>215</v>
      </c>
      <c r="K111" s="87"/>
    </row>
    <row r="112" spans="2:11" x14ac:dyDescent="0.3">
      <c r="B112" s="213" t="s">
        <v>213</v>
      </c>
      <c r="C112" s="213" t="s">
        <v>445</v>
      </c>
      <c r="D112" s="213" t="s">
        <v>524</v>
      </c>
      <c r="E112" s="101" t="s">
        <v>677</v>
      </c>
      <c r="F112" s="101" t="s">
        <v>674</v>
      </c>
      <c r="G112" s="102" t="s">
        <v>214</v>
      </c>
      <c r="H112" s="101"/>
      <c r="I112" s="102" t="s">
        <v>215</v>
      </c>
      <c r="K112" s="87"/>
    </row>
    <row r="113" spans="2:11" x14ac:dyDescent="0.3">
      <c r="B113" s="213" t="s">
        <v>213</v>
      </c>
      <c r="C113" s="213" t="s">
        <v>361</v>
      </c>
      <c r="D113" s="213" t="s">
        <v>371</v>
      </c>
      <c r="E113" s="101" t="s">
        <v>677</v>
      </c>
      <c r="F113" s="101" t="s">
        <v>674</v>
      </c>
      <c r="G113" s="102" t="s">
        <v>214</v>
      </c>
      <c r="H113" s="101"/>
      <c r="I113" s="102" t="s">
        <v>215</v>
      </c>
      <c r="K113" s="87"/>
    </row>
    <row r="114" spans="2:11" x14ac:dyDescent="0.3">
      <c r="B114" s="213" t="s">
        <v>213</v>
      </c>
      <c r="C114" s="213" t="s">
        <v>446</v>
      </c>
      <c r="D114" s="213" t="s">
        <v>525</v>
      </c>
      <c r="E114" s="101" t="s">
        <v>677</v>
      </c>
      <c r="F114" s="101" t="s">
        <v>674</v>
      </c>
      <c r="G114" s="102" t="s">
        <v>214</v>
      </c>
      <c r="H114" s="101"/>
      <c r="I114" s="102" t="s">
        <v>215</v>
      </c>
      <c r="K114" s="87"/>
    </row>
    <row r="115" spans="2:11" x14ac:dyDescent="0.3">
      <c r="B115" s="213" t="s">
        <v>213</v>
      </c>
      <c r="C115" s="213" t="s">
        <v>362</v>
      </c>
      <c r="D115" s="213" t="s">
        <v>372</v>
      </c>
      <c r="E115" s="101" t="s">
        <v>677</v>
      </c>
      <c r="F115" s="101" t="s">
        <v>674</v>
      </c>
      <c r="G115" s="102" t="s">
        <v>214</v>
      </c>
      <c r="H115" s="101"/>
      <c r="I115" s="102" t="s">
        <v>215</v>
      </c>
      <c r="K115" s="87"/>
    </row>
    <row r="116" spans="2:11" x14ac:dyDescent="0.3">
      <c r="B116" s="213" t="s">
        <v>213</v>
      </c>
      <c r="C116" s="213" t="s">
        <v>447</v>
      </c>
      <c r="D116" s="213" t="s">
        <v>526</v>
      </c>
      <c r="E116" s="101" t="s">
        <v>677</v>
      </c>
      <c r="F116" s="101" t="s">
        <v>674</v>
      </c>
      <c r="G116" s="102" t="s">
        <v>214</v>
      </c>
      <c r="H116" s="101"/>
      <c r="I116" s="102" t="s">
        <v>215</v>
      </c>
      <c r="K116" s="87"/>
    </row>
    <row r="117" spans="2:11" x14ac:dyDescent="0.3">
      <c r="B117" s="213" t="s">
        <v>213</v>
      </c>
      <c r="C117" s="213" t="s">
        <v>363</v>
      </c>
      <c r="D117" s="213" t="s">
        <v>373</v>
      </c>
      <c r="E117" s="101" t="s">
        <v>677</v>
      </c>
      <c r="F117" s="101" t="s">
        <v>674</v>
      </c>
      <c r="G117" s="102" t="s">
        <v>214</v>
      </c>
      <c r="H117" s="101"/>
      <c r="I117" s="102" t="s">
        <v>215</v>
      </c>
      <c r="K117" s="87"/>
    </row>
    <row r="118" spans="2:11" x14ac:dyDescent="0.3">
      <c r="B118" s="213" t="s">
        <v>213</v>
      </c>
      <c r="C118" s="213" t="s">
        <v>448</v>
      </c>
      <c r="D118" s="213" t="s">
        <v>527</v>
      </c>
      <c r="E118" s="101" t="s">
        <v>677</v>
      </c>
      <c r="F118" s="101" t="s">
        <v>674</v>
      </c>
      <c r="G118" s="102" t="s">
        <v>214</v>
      </c>
      <c r="H118" s="101"/>
      <c r="I118" s="102" t="s">
        <v>215</v>
      </c>
      <c r="K118" s="87"/>
    </row>
    <row r="119" spans="2:11" x14ac:dyDescent="0.3">
      <c r="B119" s="213" t="s">
        <v>213</v>
      </c>
      <c r="C119" s="213" t="s">
        <v>364</v>
      </c>
      <c r="D119" s="213" t="s">
        <v>374</v>
      </c>
      <c r="E119" s="101" t="s">
        <v>677</v>
      </c>
      <c r="F119" s="101" t="s">
        <v>674</v>
      </c>
      <c r="G119" s="102" t="s">
        <v>214</v>
      </c>
      <c r="H119" s="101"/>
      <c r="I119" s="102" t="s">
        <v>215</v>
      </c>
      <c r="K119" s="87"/>
    </row>
    <row r="120" spans="2:11" x14ac:dyDescent="0.3">
      <c r="B120" s="213" t="s">
        <v>213</v>
      </c>
      <c r="C120" s="213" t="s">
        <v>449</v>
      </c>
      <c r="D120" s="213" t="s">
        <v>528</v>
      </c>
      <c r="E120" s="101" t="s">
        <v>677</v>
      </c>
      <c r="F120" s="101" t="s">
        <v>674</v>
      </c>
      <c r="G120" s="102" t="s">
        <v>214</v>
      </c>
      <c r="H120" s="101"/>
      <c r="I120" s="102" t="s">
        <v>215</v>
      </c>
      <c r="K120" s="87"/>
    </row>
    <row r="121" spans="2:11" x14ac:dyDescent="0.3">
      <c r="B121" s="213" t="s">
        <v>213</v>
      </c>
      <c r="C121" s="213" t="s">
        <v>365</v>
      </c>
      <c r="D121" s="213" t="s">
        <v>375</v>
      </c>
      <c r="E121" s="101" t="s">
        <v>677</v>
      </c>
      <c r="F121" s="101" t="s">
        <v>674</v>
      </c>
      <c r="G121" s="102" t="s">
        <v>214</v>
      </c>
      <c r="H121" s="101"/>
      <c r="I121" s="102" t="s">
        <v>215</v>
      </c>
      <c r="K121" s="87"/>
    </row>
    <row r="122" spans="2:11" x14ac:dyDescent="0.3">
      <c r="B122" s="213" t="s">
        <v>213</v>
      </c>
      <c r="C122" s="213" t="s">
        <v>450</v>
      </c>
      <c r="D122" s="213" t="s">
        <v>529</v>
      </c>
      <c r="E122" s="101" t="s">
        <v>677</v>
      </c>
      <c r="F122" s="101" t="s">
        <v>674</v>
      </c>
      <c r="G122" s="102" t="s">
        <v>214</v>
      </c>
      <c r="H122" s="101"/>
      <c r="I122" s="102" t="s">
        <v>215</v>
      </c>
      <c r="K122" s="87"/>
    </row>
    <row r="123" spans="2:11" x14ac:dyDescent="0.3">
      <c r="B123" s="213" t="s">
        <v>213</v>
      </c>
      <c r="C123" s="213" t="s">
        <v>367</v>
      </c>
      <c r="D123" s="213" t="s">
        <v>377</v>
      </c>
      <c r="E123" s="101" t="s">
        <v>677</v>
      </c>
      <c r="F123" s="101" t="s">
        <v>674</v>
      </c>
      <c r="G123" s="102" t="s">
        <v>214</v>
      </c>
      <c r="H123" s="101"/>
      <c r="I123" s="102" t="s">
        <v>215</v>
      </c>
      <c r="K123" s="87"/>
    </row>
    <row r="124" spans="2:11" x14ac:dyDescent="0.3">
      <c r="B124" s="213" t="s">
        <v>213</v>
      </c>
      <c r="C124" s="213" t="s">
        <v>453</v>
      </c>
      <c r="D124" s="213" t="s">
        <v>530</v>
      </c>
      <c r="E124" s="101" t="s">
        <v>677</v>
      </c>
      <c r="F124" s="101" t="s">
        <v>674</v>
      </c>
      <c r="G124" s="102" t="s">
        <v>214</v>
      </c>
      <c r="H124" s="101"/>
      <c r="I124" s="102" t="s">
        <v>215</v>
      </c>
      <c r="K124" s="87"/>
    </row>
    <row r="125" spans="2:11" x14ac:dyDescent="0.3">
      <c r="B125" s="213" t="s">
        <v>213</v>
      </c>
      <c r="C125" s="213" t="s">
        <v>366</v>
      </c>
      <c r="D125" s="213" t="s">
        <v>376</v>
      </c>
      <c r="E125" s="101" t="s">
        <v>677</v>
      </c>
      <c r="F125" s="101" t="s">
        <v>674</v>
      </c>
      <c r="G125" s="102" t="s">
        <v>214</v>
      </c>
      <c r="H125" s="101"/>
      <c r="I125" s="102" t="s">
        <v>215</v>
      </c>
      <c r="K125" s="87"/>
    </row>
    <row r="126" spans="2:11" x14ac:dyDescent="0.3">
      <c r="B126" s="213" t="s">
        <v>213</v>
      </c>
      <c r="C126" s="213" t="s">
        <v>451</v>
      </c>
      <c r="D126" s="213" t="s">
        <v>531</v>
      </c>
      <c r="E126" s="101" t="s">
        <v>677</v>
      </c>
      <c r="F126" s="101" t="s">
        <v>674</v>
      </c>
      <c r="G126" s="102" t="s">
        <v>214</v>
      </c>
      <c r="H126" s="101"/>
      <c r="I126" s="102" t="s">
        <v>215</v>
      </c>
      <c r="K126" s="87"/>
    </row>
    <row r="127" spans="2:11" x14ac:dyDescent="0.3">
      <c r="B127" s="213" t="s">
        <v>213</v>
      </c>
      <c r="C127" s="213" t="s">
        <v>425</v>
      </c>
      <c r="D127" s="213" t="s">
        <v>532</v>
      </c>
      <c r="E127" s="101" t="s">
        <v>677</v>
      </c>
      <c r="F127" s="101" t="s">
        <v>674</v>
      </c>
      <c r="G127" s="102" t="s">
        <v>214</v>
      </c>
      <c r="H127" s="101"/>
      <c r="I127" s="102" t="s">
        <v>215</v>
      </c>
      <c r="K127" s="87"/>
    </row>
    <row r="128" spans="2:11" x14ac:dyDescent="0.3">
      <c r="B128" s="213" t="s">
        <v>213</v>
      </c>
      <c r="C128" s="213" t="s">
        <v>452</v>
      </c>
      <c r="D128" s="213" t="s">
        <v>533</v>
      </c>
      <c r="E128" s="101" t="s">
        <v>677</v>
      </c>
      <c r="F128" s="101" t="s">
        <v>674</v>
      </c>
      <c r="G128" s="102" t="s">
        <v>214</v>
      </c>
      <c r="H128" s="101"/>
      <c r="I128" s="102" t="s">
        <v>215</v>
      </c>
      <c r="K128" s="87"/>
    </row>
    <row r="129" spans="2:11" x14ac:dyDescent="0.3">
      <c r="B129" s="213" t="s">
        <v>213</v>
      </c>
      <c r="C129" s="213" t="s">
        <v>427</v>
      </c>
      <c r="D129" s="213" t="s">
        <v>535</v>
      </c>
      <c r="E129" s="101" t="s">
        <v>677</v>
      </c>
      <c r="F129" s="101" t="s">
        <v>674</v>
      </c>
      <c r="G129" s="102" t="s">
        <v>214</v>
      </c>
      <c r="H129" s="101"/>
      <c r="I129" s="102" t="s">
        <v>215</v>
      </c>
      <c r="K129" s="87"/>
    </row>
    <row r="130" spans="2:11" x14ac:dyDescent="0.3">
      <c r="B130" s="213" t="s">
        <v>213</v>
      </c>
      <c r="C130" s="213" t="s">
        <v>454</v>
      </c>
      <c r="D130" s="213" t="s">
        <v>536</v>
      </c>
      <c r="E130" s="101" t="s">
        <v>677</v>
      </c>
      <c r="F130" s="101" t="s">
        <v>674</v>
      </c>
      <c r="G130" s="102" t="s">
        <v>214</v>
      </c>
      <c r="H130" s="101"/>
      <c r="I130" s="102" t="s">
        <v>215</v>
      </c>
      <c r="K130" s="87"/>
    </row>
    <row r="131" spans="2:11" x14ac:dyDescent="0.3">
      <c r="B131" s="213" t="s">
        <v>213</v>
      </c>
      <c r="C131" s="213" t="s">
        <v>612</v>
      </c>
      <c r="D131" s="213" t="s">
        <v>621</v>
      </c>
      <c r="E131" s="101" t="s">
        <v>677</v>
      </c>
      <c r="F131" s="101" t="s">
        <v>674</v>
      </c>
      <c r="G131" s="102" t="s">
        <v>214</v>
      </c>
      <c r="H131" s="101"/>
      <c r="I131" s="102" t="s">
        <v>215</v>
      </c>
      <c r="K131" s="87"/>
    </row>
    <row r="132" spans="2:11" x14ac:dyDescent="0.3">
      <c r="B132" s="213" t="s">
        <v>213</v>
      </c>
      <c r="C132" s="213" t="s">
        <v>607</v>
      </c>
      <c r="D132" s="213" t="s">
        <v>622</v>
      </c>
      <c r="E132" s="101" t="s">
        <v>677</v>
      </c>
      <c r="F132" s="101" t="s">
        <v>674</v>
      </c>
      <c r="G132" s="102" t="s">
        <v>214</v>
      </c>
      <c r="H132" s="101"/>
      <c r="I132" s="102" t="s">
        <v>215</v>
      </c>
      <c r="K132" s="87"/>
    </row>
    <row r="133" spans="2:11" x14ac:dyDescent="0.3">
      <c r="B133" s="213" t="s">
        <v>213</v>
      </c>
      <c r="C133" s="213" t="s">
        <v>424</v>
      </c>
      <c r="D133" s="213" t="s">
        <v>537</v>
      </c>
      <c r="E133" s="101" t="s">
        <v>677</v>
      </c>
      <c r="F133" s="101" t="s">
        <v>674</v>
      </c>
      <c r="G133" s="102" t="s">
        <v>214</v>
      </c>
      <c r="H133" s="101"/>
      <c r="I133" s="102" t="s">
        <v>215</v>
      </c>
      <c r="K133" s="87"/>
    </row>
    <row r="134" spans="2:11" x14ac:dyDescent="0.3">
      <c r="B134" s="213" t="s">
        <v>213</v>
      </c>
      <c r="C134" s="213" t="s">
        <v>456</v>
      </c>
      <c r="D134" s="213" t="s">
        <v>538</v>
      </c>
      <c r="E134" s="101" t="s">
        <v>677</v>
      </c>
      <c r="F134" s="101" t="s">
        <v>674</v>
      </c>
      <c r="G134" s="102" t="s">
        <v>214</v>
      </c>
      <c r="H134" s="101"/>
      <c r="I134" s="102" t="s">
        <v>215</v>
      </c>
      <c r="K134" s="87"/>
    </row>
    <row r="135" spans="2:11" x14ac:dyDescent="0.3">
      <c r="B135" s="213" t="s">
        <v>213</v>
      </c>
      <c r="C135" s="213" t="s">
        <v>426</v>
      </c>
      <c r="D135" s="213" t="s">
        <v>539</v>
      </c>
      <c r="E135" s="101" t="s">
        <v>677</v>
      </c>
      <c r="F135" s="101" t="s">
        <v>674</v>
      </c>
      <c r="G135" s="102" t="s">
        <v>214</v>
      </c>
      <c r="H135" s="101"/>
      <c r="I135" s="102" t="s">
        <v>215</v>
      </c>
      <c r="K135" s="87"/>
    </row>
    <row r="136" spans="2:11" x14ac:dyDescent="0.3">
      <c r="B136" s="213" t="s">
        <v>213</v>
      </c>
      <c r="C136" s="213" t="s">
        <v>457</v>
      </c>
      <c r="D136" s="213" t="s">
        <v>540</v>
      </c>
      <c r="E136" s="101" t="s">
        <v>677</v>
      </c>
      <c r="F136" s="101" t="s">
        <v>674</v>
      </c>
      <c r="G136" s="102" t="s">
        <v>214</v>
      </c>
      <c r="H136" s="101"/>
      <c r="I136" s="102" t="s">
        <v>215</v>
      </c>
      <c r="K136" s="87"/>
    </row>
    <row r="137" spans="2:11" x14ac:dyDescent="0.3">
      <c r="B137" s="213" t="s">
        <v>213</v>
      </c>
      <c r="C137" s="213" t="s">
        <v>156</v>
      </c>
      <c r="D137" s="213" t="s">
        <v>157</v>
      </c>
      <c r="E137" s="101" t="s">
        <v>677</v>
      </c>
      <c r="F137" s="101" t="s">
        <v>674</v>
      </c>
      <c r="G137" s="102" t="s">
        <v>214</v>
      </c>
      <c r="H137" s="101"/>
      <c r="I137" s="102" t="s">
        <v>215</v>
      </c>
      <c r="K137" s="87"/>
    </row>
    <row r="138" spans="2:11" x14ac:dyDescent="0.3">
      <c r="B138" s="213" t="s">
        <v>213</v>
      </c>
      <c r="C138" s="213" t="s">
        <v>267</v>
      </c>
      <c r="D138" s="213" t="s">
        <v>268</v>
      </c>
      <c r="E138" s="101" t="s">
        <v>677</v>
      </c>
      <c r="F138" s="101" t="s">
        <v>674</v>
      </c>
      <c r="G138" s="102" t="s">
        <v>214</v>
      </c>
      <c r="H138" s="101"/>
      <c r="I138" s="102" t="s">
        <v>215</v>
      </c>
      <c r="K138" s="87"/>
    </row>
    <row r="139" spans="2:11" x14ac:dyDescent="0.3">
      <c r="B139" s="213" t="s">
        <v>213</v>
      </c>
      <c r="C139" s="213" t="s">
        <v>158</v>
      </c>
      <c r="D139" s="213" t="s">
        <v>159</v>
      </c>
      <c r="E139" s="101" t="s">
        <v>677</v>
      </c>
      <c r="F139" s="101" t="s">
        <v>674</v>
      </c>
      <c r="G139" s="102" t="s">
        <v>214</v>
      </c>
      <c r="H139" s="101"/>
      <c r="I139" s="102" t="s">
        <v>215</v>
      </c>
      <c r="K139" s="87"/>
    </row>
    <row r="140" spans="2:11" x14ac:dyDescent="0.3">
      <c r="B140" s="213" t="s">
        <v>213</v>
      </c>
      <c r="C140" s="213" t="s">
        <v>269</v>
      </c>
      <c r="D140" s="213" t="s">
        <v>270</v>
      </c>
      <c r="E140" s="101" t="s">
        <v>677</v>
      </c>
      <c r="F140" s="101" t="s">
        <v>674</v>
      </c>
      <c r="G140" s="102" t="s">
        <v>214</v>
      </c>
      <c r="H140" s="101"/>
      <c r="I140" s="102" t="s">
        <v>215</v>
      </c>
      <c r="K140" s="87"/>
    </row>
    <row r="141" spans="2:11" x14ac:dyDescent="0.3">
      <c r="B141" s="213" t="s">
        <v>213</v>
      </c>
      <c r="C141" s="213" t="s">
        <v>160</v>
      </c>
      <c r="D141" s="213" t="s">
        <v>161</v>
      </c>
      <c r="E141" s="101" t="s">
        <v>677</v>
      </c>
      <c r="F141" s="101" t="s">
        <v>674</v>
      </c>
      <c r="G141" s="102" t="s">
        <v>214</v>
      </c>
      <c r="H141" s="101"/>
      <c r="I141" s="102" t="s">
        <v>215</v>
      </c>
      <c r="K141" s="87"/>
    </row>
    <row r="142" spans="2:11" x14ac:dyDescent="0.3">
      <c r="B142" s="213" t="s">
        <v>213</v>
      </c>
      <c r="C142" s="213" t="s">
        <v>271</v>
      </c>
      <c r="D142" s="213" t="s">
        <v>272</v>
      </c>
      <c r="E142" s="101" t="s">
        <v>677</v>
      </c>
      <c r="F142" s="101" t="s">
        <v>674</v>
      </c>
      <c r="G142" s="102" t="s">
        <v>214</v>
      </c>
      <c r="H142" s="101"/>
      <c r="I142" s="102" t="s">
        <v>215</v>
      </c>
      <c r="K142" s="87"/>
    </row>
    <row r="143" spans="2:11" x14ac:dyDescent="0.3">
      <c r="B143" s="213" t="s">
        <v>213</v>
      </c>
      <c r="C143" s="213" t="s">
        <v>163</v>
      </c>
      <c r="D143" s="213" t="s">
        <v>164</v>
      </c>
      <c r="E143" s="101" t="s">
        <v>677</v>
      </c>
      <c r="F143" s="101" t="s">
        <v>674</v>
      </c>
      <c r="G143" s="102" t="s">
        <v>214</v>
      </c>
      <c r="H143" s="101"/>
      <c r="I143" s="102" t="s">
        <v>215</v>
      </c>
      <c r="K143" s="87"/>
    </row>
    <row r="144" spans="2:11" x14ac:dyDescent="0.3">
      <c r="B144" s="213" t="s">
        <v>213</v>
      </c>
      <c r="C144" s="213" t="s">
        <v>274</v>
      </c>
      <c r="D144" s="213" t="s">
        <v>275</v>
      </c>
      <c r="E144" s="101" t="s">
        <v>677</v>
      </c>
      <c r="F144" s="101" t="s">
        <v>674</v>
      </c>
      <c r="G144" s="102" t="s">
        <v>214</v>
      </c>
      <c r="H144" s="101"/>
      <c r="I144" s="102" t="s">
        <v>215</v>
      </c>
      <c r="K144" s="87"/>
    </row>
    <row r="145" spans="2:11" x14ac:dyDescent="0.3">
      <c r="B145" s="213" t="s">
        <v>213</v>
      </c>
      <c r="C145" s="213" t="s">
        <v>165</v>
      </c>
      <c r="D145" s="213" t="s">
        <v>166</v>
      </c>
      <c r="E145" s="101" t="s">
        <v>677</v>
      </c>
      <c r="F145" s="101" t="s">
        <v>674</v>
      </c>
      <c r="G145" s="102" t="s">
        <v>214</v>
      </c>
      <c r="H145" s="101"/>
      <c r="I145" s="102" t="s">
        <v>215</v>
      </c>
      <c r="K145" s="87"/>
    </row>
    <row r="146" spans="2:11" x14ac:dyDescent="0.3">
      <c r="B146" s="213" t="s">
        <v>213</v>
      </c>
      <c r="C146" s="213" t="s">
        <v>276</v>
      </c>
      <c r="D146" s="213" t="s">
        <v>277</v>
      </c>
      <c r="E146" s="101" t="s">
        <v>677</v>
      </c>
      <c r="F146" s="101" t="s">
        <v>674</v>
      </c>
      <c r="G146" s="102" t="s">
        <v>214</v>
      </c>
      <c r="H146" s="101"/>
      <c r="I146" s="102" t="s">
        <v>215</v>
      </c>
      <c r="K146" s="87"/>
    </row>
    <row r="147" spans="2:11" x14ac:dyDescent="0.3">
      <c r="B147" s="213" t="s">
        <v>213</v>
      </c>
      <c r="C147" s="213" t="s">
        <v>167</v>
      </c>
      <c r="D147" s="213" t="s">
        <v>168</v>
      </c>
      <c r="E147" s="101" t="s">
        <v>677</v>
      </c>
      <c r="F147" s="101" t="s">
        <v>674</v>
      </c>
      <c r="G147" s="102" t="s">
        <v>214</v>
      </c>
      <c r="H147" s="101"/>
      <c r="I147" s="102" t="s">
        <v>215</v>
      </c>
      <c r="K147" s="87"/>
    </row>
    <row r="148" spans="2:11" x14ac:dyDescent="0.3">
      <c r="B148" s="213" t="s">
        <v>213</v>
      </c>
      <c r="C148" s="213" t="s">
        <v>278</v>
      </c>
      <c r="D148" s="213" t="s">
        <v>279</v>
      </c>
      <c r="E148" s="101" t="s">
        <v>677</v>
      </c>
      <c r="F148" s="101" t="s">
        <v>674</v>
      </c>
      <c r="G148" s="102" t="s">
        <v>214</v>
      </c>
      <c r="H148" s="101"/>
      <c r="I148" s="102" t="s">
        <v>215</v>
      </c>
      <c r="K148" s="87"/>
    </row>
    <row r="149" spans="2:11" x14ac:dyDescent="0.3">
      <c r="B149" s="213" t="s">
        <v>213</v>
      </c>
      <c r="C149" s="213" t="s">
        <v>169</v>
      </c>
      <c r="D149" s="213" t="s">
        <v>170</v>
      </c>
      <c r="E149" s="101" t="s">
        <v>677</v>
      </c>
      <c r="F149" s="101" t="s">
        <v>674</v>
      </c>
      <c r="G149" s="102" t="s">
        <v>214</v>
      </c>
      <c r="H149" s="101"/>
      <c r="I149" s="102" t="s">
        <v>215</v>
      </c>
      <c r="K149" s="87"/>
    </row>
    <row r="150" spans="2:11" x14ac:dyDescent="0.3">
      <c r="B150" s="213" t="s">
        <v>213</v>
      </c>
      <c r="C150" s="213" t="s">
        <v>280</v>
      </c>
      <c r="D150" s="213" t="s">
        <v>281</v>
      </c>
      <c r="E150" s="101" t="s">
        <v>677</v>
      </c>
      <c r="F150" s="101" t="s">
        <v>674</v>
      </c>
      <c r="G150" s="102" t="s">
        <v>214</v>
      </c>
      <c r="H150" s="101"/>
      <c r="I150" s="102" t="s">
        <v>215</v>
      </c>
      <c r="K150" s="87"/>
    </row>
    <row r="151" spans="2:11" x14ac:dyDescent="0.3">
      <c r="B151" s="213" t="s">
        <v>213</v>
      </c>
      <c r="C151" s="213" t="s">
        <v>358</v>
      </c>
      <c r="D151" s="213" t="s">
        <v>357</v>
      </c>
      <c r="E151" s="101" t="s">
        <v>677</v>
      </c>
      <c r="F151" s="101" t="s">
        <v>674</v>
      </c>
      <c r="G151" s="102" t="s">
        <v>214</v>
      </c>
      <c r="H151" s="101"/>
      <c r="I151" s="102" t="s">
        <v>215</v>
      </c>
      <c r="K151" s="87"/>
    </row>
    <row r="152" spans="2:11" x14ac:dyDescent="0.3">
      <c r="B152" s="213" t="s">
        <v>213</v>
      </c>
      <c r="C152" s="213" t="s">
        <v>438</v>
      </c>
      <c r="D152" s="213" t="s">
        <v>541</v>
      </c>
      <c r="E152" s="101" t="s">
        <v>677</v>
      </c>
      <c r="F152" s="101" t="s">
        <v>674</v>
      </c>
      <c r="G152" s="102" t="s">
        <v>214</v>
      </c>
      <c r="H152" s="101"/>
      <c r="I152" s="102" t="s">
        <v>215</v>
      </c>
      <c r="K152" s="87"/>
    </row>
    <row r="153" spans="2:11" x14ac:dyDescent="0.3">
      <c r="B153" s="213" t="s">
        <v>213</v>
      </c>
      <c r="C153" s="213" t="s">
        <v>428</v>
      </c>
      <c r="D153" s="213" t="s">
        <v>542</v>
      </c>
      <c r="E153" s="101" t="s">
        <v>677</v>
      </c>
      <c r="F153" s="101" t="s">
        <v>674</v>
      </c>
      <c r="G153" s="102" t="s">
        <v>214</v>
      </c>
      <c r="H153" s="101"/>
      <c r="I153" s="102" t="s">
        <v>215</v>
      </c>
      <c r="K153" s="87"/>
    </row>
    <row r="154" spans="2:11" x14ac:dyDescent="0.3">
      <c r="B154" s="213" t="s">
        <v>213</v>
      </c>
      <c r="C154" s="213" t="s">
        <v>439</v>
      </c>
      <c r="D154" s="213" t="s">
        <v>543</v>
      </c>
      <c r="E154" s="101" t="s">
        <v>677</v>
      </c>
      <c r="F154" s="101" t="s">
        <v>674</v>
      </c>
      <c r="G154" s="102" t="s">
        <v>214</v>
      </c>
      <c r="H154" s="101"/>
      <c r="I154" s="102" t="s">
        <v>215</v>
      </c>
      <c r="K154" s="87"/>
    </row>
    <row r="155" spans="2:11" x14ac:dyDescent="0.3">
      <c r="B155" s="213" t="s">
        <v>213</v>
      </c>
      <c r="C155" s="213" t="s">
        <v>429</v>
      </c>
      <c r="D155" s="213" t="s">
        <v>544</v>
      </c>
      <c r="E155" s="101" t="s">
        <v>677</v>
      </c>
      <c r="F155" s="101" t="s">
        <v>674</v>
      </c>
      <c r="G155" s="102" t="s">
        <v>214</v>
      </c>
      <c r="H155" s="101"/>
      <c r="I155" s="102" t="s">
        <v>215</v>
      </c>
      <c r="K155" s="87"/>
    </row>
    <row r="156" spans="2:11" x14ac:dyDescent="0.3">
      <c r="B156" s="213" t="s">
        <v>213</v>
      </c>
      <c r="C156" s="213" t="s">
        <v>440</v>
      </c>
      <c r="D156" s="213" t="s">
        <v>545</v>
      </c>
      <c r="E156" s="101" t="s">
        <v>677</v>
      </c>
      <c r="F156" s="101" t="s">
        <v>674</v>
      </c>
      <c r="G156" s="102" t="s">
        <v>214</v>
      </c>
      <c r="H156" s="101"/>
      <c r="I156" s="102" t="s">
        <v>215</v>
      </c>
      <c r="K156" s="87"/>
    </row>
    <row r="157" spans="2:11" x14ac:dyDescent="0.3">
      <c r="B157" s="213" t="s">
        <v>213</v>
      </c>
      <c r="C157" s="213" t="s">
        <v>608</v>
      </c>
      <c r="D157" s="213" t="s">
        <v>623</v>
      </c>
      <c r="E157" s="101" t="s">
        <v>677</v>
      </c>
      <c r="F157" s="101" t="s">
        <v>674</v>
      </c>
      <c r="G157" s="102" t="s">
        <v>214</v>
      </c>
      <c r="H157" s="101"/>
      <c r="I157" s="102" t="s">
        <v>215</v>
      </c>
      <c r="K157" s="87"/>
    </row>
    <row r="158" spans="2:11" x14ac:dyDescent="0.3">
      <c r="B158" s="213" t="s">
        <v>213</v>
      </c>
      <c r="C158" s="213" t="s">
        <v>609</v>
      </c>
      <c r="D158" s="213" t="s">
        <v>624</v>
      </c>
      <c r="E158" s="101" t="s">
        <v>677</v>
      </c>
      <c r="F158" s="101" t="s">
        <v>674</v>
      </c>
      <c r="G158" s="102" t="s">
        <v>214</v>
      </c>
      <c r="H158" s="101"/>
      <c r="I158" s="102" t="s">
        <v>215</v>
      </c>
      <c r="K158" s="87"/>
    </row>
    <row r="159" spans="2:11" x14ac:dyDescent="0.3">
      <c r="B159" s="213" t="s">
        <v>213</v>
      </c>
      <c r="C159" s="213" t="s">
        <v>430</v>
      </c>
      <c r="D159" s="213" t="s">
        <v>546</v>
      </c>
      <c r="E159" s="101" t="s">
        <v>677</v>
      </c>
      <c r="F159" s="101" t="s">
        <v>674</v>
      </c>
      <c r="G159" s="102" t="s">
        <v>214</v>
      </c>
      <c r="H159" s="101"/>
      <c r="I159" s="102" t="s">
        <v>215</v>
      </c>
      <c r="K159" s="87"/>
    </row>
    <row r="160" spans="2:11" x14ac:dyDescent="0.3">
      <c r="B160" s="213" t="s">
        <v>213</v>
      </c>
      <c r="C160" s="213" t="s">
        <v>442</v>
      </c>
      <c r="D160" s="213" t="s">
        <v>547</v>
      </c>
      <c r="E160" s="101" t="s">
        <v>677</v>
      </c>
      <c r="F160" s="101" t="s">
        <v>674</v>
      </c>
      <c r="G160" s="102" t="s">
        <v>214</v>
      </c>
      <c r="H160" s="101"/>
      <c r="I160" s="102" t="s">
        <v>215</v>
      </c>
      <c r="K160" s="87"/>
    </row>
    <row r="161" spans="2:9" x14ac:dyDescent="0.3">
      <c r="B161" s="213" t="s">
        <v>213</v>
      </c>
      <c r="C161" s="213" t="s">
        <v>431</v>
      </c>
      <c r="D161" s="213" t="s">
        <v>548</v>
      </c>
      <c r="E161" s="101" t="s">
        <v>677</v>
      </c>
      <c r="F161" s="101" t="s">
        <v>674</v>
      </c>
      <c r="G161" s="102" t="s">
        <v>214</v>
      </c>
      <c r="H161" s="101"/>
      <c r="I161" s="102" t="s">
        <v>215</v>
      </c>
    </row>
    <row r="162" spans="2:9" x14ac:dyDescent="0.3">
      <c r="B162" s="213" t="s">
        <v>213</v>
      </c>
      <c r="C162" s="213" t="s">
        <v>443</v>
      </c>
      <c r="D162" s="213" t="s">
        <v>549</v>
      </c>
      <c r="E162" s="101" t="s">
        <v>677</v>
      </c>
      <c r="F162" s="101" t="s">
        <v>674</v>
      </c>
      <c r="G162" s="102" t="s">
        <v>214</v>
      </c>
      <c r="H162" s="101"/>
      <c r="I162" s="102" t="s">
        <v>215</v>
      </c>
    </row>
    <row r="163" spans="2:9" s="98" customFormat="1" x14ac:dyDescent="0.3">
      <c r="B163" s="213" t="s">
        <v>213</v>
      </c>
      <c r="C163" s="213" t="s">
        <v>591</v>
      </c>
      <c r="D163" s="229" t="s">
        <v>218</v>
      </c>
      <c r="E163" s="101" t="s">
        <v>677</v>
      </c>
      <c r="F163" s="101" t="s">
        <v>674</v>
      </c>
      <c r="G163" s="102" t="s">
        <v>214</v>
      </c>
      <c r="H163" s="101"/>
      <c r="I163" s="102" t="s">
        <v>215</v>
      </c>
    </row>
    <row r="164" spans="2:9" s="98" customFormat="1" x14ac:dyDescent="0.3">
      <c r="B164" s="230" t="s">
        <v>213</v>
      </c>
      <c r="C164" s="230" t="s">
        <v>594</v>
      </c>
      <c r="D164" s="229" t="s">
        <v>282</v>
      </c>
      <c r="E164" s="103" t="s">
        <v>677</v>
      </c>
      <c r="F164" s="101" t="s">
        <v>674</v>
      </c>
      <c r="G164" s="104" t="s">
        <v>214</v>
      </c>
      <c r="H164" s="103"/>
      <c r="I164" s="104" t="s">
        <v>215</v>
      </c>
    </row>
    <row r="165" spans="2:9" x14ac:dyDescent="0.3">
      <c r="B165" s="213" t="s">
        <v>213</v>
      </c>
      <c r="C165" s="230" t="s">
        <v>590</v>
      </c>
      <c r="D165" s="229" t="s">
        <v>219</v>
      </c>
      <c r="E165" s="103" t="s">
        <v>677</v>
      </c>
      <c r="F165" s="101" t="s">
        <v>674</v>
      </c>
      <c r="G165" s="104" t="s">
        <v>214</v>
      </c>
      <c r="H165" s="103"/>
      <c r="I165" s="104" t="s">
        <v>215</v>
      </c>
    </row>
    <row r="166" spans="2:9" s="98" customFormat="1" x14ac:dyDescent="0.3">
      <c r="B166" s="213" t="s">
        <v>213</v>
      </c>
      <c r="C166" s="230" t="s">
        <v>595</v>
      </c>
      <c r="D166" s="229" t="s">
        <v>283</v>
      </c>
      <c r="E166" s="103" t="s">
        <v>677</v>
      </c>
      <c r="F166" s="101" t="s">
        <v>674</v>
      </c>
      <c r="G166" s="104" t="s">
        <v>214</v>
      </c>
      <c r="H166" s="103"/>
      <c r="I166" s="104" t="s">
        <v>215</v>
      </c>
    </row>
    <row r="167" spans="2:9" x14ac:dyDescent="0.3">
      <c r="B167" s="213" t="s">
        <v>213</v>
      </c>
      <c r="C167" s="213" t="s">
        <v>41</v>
      </c>
      <c r="D167" s="213" t="s">
        <v>220</v>
      </c>
      <c r="E167" s="101" t="s">
        <v>677</v>
      </c>
      <c r="F167" s="101" t="s">
        <v>674</v>
      </c>
      <c r="G167" s="102" t="s">
        <v>214</v>
      </c>
      <c r="H167" s="101"/>
      <c r="I167" s="102" t="s">
        <v>215</v>
      </c>
    </row>
    <row r="168" spans="2:9" x14ac:dyDescent="0.3">
      <c r="B168" s="213" t="s">
        <v>213</v>
      </c>
      <c r="C168" s="213" t="s">
        <v>552</v>
      </c>
      <c r="D168" s="213" t="s">
        <v>639</v>
      </c>
      <c r="E168" s="101" t="s">
        <v>677</v>
      </c>
      <c r="F168" s="101" t="s">
        <v>674</v>
      </c>
      <c r="G168" s="102" t="s">
        <v>214</v>
      </c>
      <c r="H168" s="101"/>
      <c r="I168" s="102" t="s">
        <v>215</v>
      </c>
    </row>
    <row r="169" spans="2:9" x14ac:dyDescent="0.3">
      <c r="B169" s="213" t="s">
        <v>213</v>
      </c>
      <c r="C169" s="213" t="s">
        <v>38</v>
      </c>
      <c r="D169" s="213" t="s">
        <v>221</v>
      </c>
      <c r="E169" s="101" t="s">
        <v>677</v>
      </c>
      <c r="F169" s="101" t="s">
        <v>674</v>
      </c>
      <c r="G169" s="102" t="s">
        <v>214</v>
      </c>
      <c r="H169" s="101"/>
      <c r="I169" s="102" t="s">
        <v>215</v>
      </c>
    </row>
    <row r="170" spans="2:9" x14ac:dyDescent="0.3">
      <c r="B170" s="213" t="s">
        <v>213</v>
      </c>
      <c r="C170" s="213" t="s">
        <v>554</v>
      </c>
      <c r="D170" s="213" t="s">
        <v>640</v>
      </c>
      <c r="E170" s="101" t="s">
        <v>677</v>
      </c>
      <c r="F170" s="101" t="s">
        <v>674</v>
      </c>
      <c r="G170" s="102" t="s">
        <v>214</v>
      </c>
      <c r="H170" s="101"/>
      <c r="I170" s="102" t="s">
        <v>215</v>
      </c>
    </row>
    <row r="171" spans="2:9" x14ac:dyDescent="0.3">
      <c r="B171" s="213" t="s">
        <v>213</v>
      </c>
      <c r="C171" s="213" t="s">
        <v>284</v>
      </c>
      <c r="D171" s="213" t="s">
        <v>285</v>
      </c>
      <c r="E171" s="101" t="s">
        <v>677</v>
      </c>
      <c r="F171" s="101" t="s">
        <v>674</v>
      </c>
      <c r="G171" s="102" t="s">
        <v>214</v>
      </c>
      <c r="H171" s="101"/>
      <c r="I171" s="102" t="s">
        <v>215</v>
      </c>
    </row>
    <row r="172" spans="2:9" x14ac:dyDescent="0.3">
      <c r="B172" s="213" t="s">
        <v>213</v>
      </c>
      <c r="C172" s="213" t="s">
        <v>188</v>
      </c>
      <c r="D172" s="213" t="s">
        <v>189</v>
      </c>
      <c r="E172" s="101" t="s">
        <v>677</v>
      </c>
      <c r="F172" s="101" t="s">
        <v>674</v>
      </c>
      <c r="G172" s="102" t="s">
        <v>214</v>
      </c>
      <c r="H172" s="101"/>
      <c r="I172" s="102" t="s">
        <v>215</v>
      </c>
    </row>
    <row r="173" spans="2:9" x14ac:dyDescent="0.3">
      <c r="B173" s="213" t="s">
        <v>213</v>
      </c>
      <c r="C173" s="213" t="s">
        <v>694</v>
      </c>
      <c r="D173" s="213" t="s">
        <v>695</v>
      </c>
      <c r="E173" s="101" t="s">
        <v>677</v>
      </c>
      <c r="F173" s="101" t="s">
        <v>674</v>
      </c>
      <c r="G173" s="102" t="s">
        <v>214</v>
      </c>
      <c r="H173" s="101"/>
      <c r="I173" s="102" t="s">
        <v>215</v>
      </c>
    </row>
    <row r="174" spans="2:9" x14ac:dyDescent="0.3">
      <c r="B174" s="213" t="s">
        <v>213</v>
      </c>
      <c r="C174" s="213" t="s">
        <v>696</v>
      </c>
      <c r="D174" s="213" t="s">
        <v>697</v>
      </c>
      <c r="E174" s="101" t="s">
        <v>677</v>
      </c>
      <c r="F174" s="101" t="s">
        <v>674</v>
      </c>
      <c r="G174" s="102" t="s">
        <v>214</v>
      </c>
      <c r="H174" s="101"/>
      <c r="I174" s="102" t="s">
        <v>215</v>
      </c>
    </row>
    <row r="175" spans="2:9" x14ac:dyDescent="0.3">
      <c r="B175" s="213" t="s">
        <v>213</v>
      </c>
      <c r="C175" s="213" t="s">
        <v>286</v>
      </c>
      <c r="D175" s="213" t="s">
        <v>287</v>
      </c>
      <c r="E175" s="101" t="s">
        <v>677</v>
      </c>
      <c r="F175" s="101" t="s">
        <v>674</v>
      </c>
      <c r="G175" s="102" t="s">
        <v>214</v>
      </c>
      <c r="H175" s="101"/>
      <c r="I175" s="102" t="s">
        <v>215</v>
      </c>
    </row>
    <row r="176" spans="2:9" x14ac:dyDescent="0.3">
      <c r="B176" s="213" t="s">
        <v>213</v>
      </c>
      <c r="C176" s="213" t="s">
        <v>288</v>
      </c>
      <c r="D176" s="213" t="s">
        <v>289</v>
      </c>
      <c r="E176" s="101" t="s">
        <v>677</v>
      </c>
      <c r="F176" s="101" t="s">
        <v>674</v>
      </c>
      <c r="G176" s="102" t="s">
        <v>214</v>
      </c>
      <c r="H176" s="101"/>
      <c r="I176" s="102" t="s">
        <v>215</v>
      </c>
    </row>
    <row r="177" spans="2:9" x14ac:dyDescent="0.3">
      <c r="B177" s="213" t="s">
        <v>213</v>
      </c>
      <c r="C177" s="213" t="s">
        <v>290</v>
      </c>
      <c r="D177" s="213" t="s">
        <v>291</v>
      </c>
      <c r="E177" s="101" t="s">
        <v>677</v>
      </c>
      <c r="F177" s="101" t="s">
        <v>674</v>
      </c>
      <c r="G177" s="102" t="s">
        <v>214</v>
      </c>
      <c r="H177" s="101"/>
      <c r="I177" s="102" t="s">
        <v>215</v>
      </c>
    </row>
    <row r="178" spans="2:9" x14ac:dyDescent="0.3">
      <c r="B178" s="213" t="s">
        <v>213</v>
      </c>
      <c r="C178" s="213" t="s">
        <v>613</v>
      </c>
      <c r="D178" s="213" t="s">
        <v>614</v>
      </c>
      <c r="E178" s="101" t="s">
        <v>677</v>
      </c>
      <c r="F178" s="101" t="s">
        <v>674</v>
      </c>
      <c r="G178" s="102" t="s">
        <v>214</v>
      </c>
      <c r="H178" s="101"/>
      <c r="I178" s="102" t="s">
        <v>215</v>
      </c>
    </row>
    <row r="179" spans="2:9" s="98" customFormat="1" x14ac:dyDescent="0.3">
      <c r="B179" s="213" t="s">
        <v>213</v>
      </c>
      <c r="C179" s="213" t="s">
        <v>647</v>
      </c>
      <c r="D179" s="213" t="s">
        <v>649</v>
      </c>
      <c r="E179" s="101" t="s">
        <v>394</v>
      </c>
      <c r="F179" s="162" t="s">
        <v>635</v>
      </c>
      <c r="G179" s="102"/>
      <c r="H179" s="101"/>
      <c r="I179" s="102" t="s">
        <v>215</v>
      </c>
    </row>
    <row r="180" spans="2:9" s="98" customFormat="1" x14ac:dyDescent="0.3">
      <c r="B180" s="213" t="s">
        <v>213</v>
      </c>
      <c r="C180" s="213" t="s">
        <v>648</v>
      </c>
      <c r="D180" s="213" t="s">
        <v>650</v>
      </c>
      <c r="E180" s="101" t="s">
        <v>394</v>
      </c>
      <c r="F180" s="162" t="s">
        <v>635</v>
      </c>
      <c r="G180" s="102"/>
      <c r="H180" s="101"/>
      <c r="I180" s="102" t="s">
        <v>215</v>
      </c>
    </row>
    <row r="181" spans="2:9" x14ac:dyDescent="0.3">
      <c r="B181" s="213" t="s">
        <v>213</v>
      </c>
      <c r="C181" s="213" t="s">
        <v>174</v>
      </c>
      <c r="D181" s="213" t="s">
        <v>175</v>
      </c>
      <c r="E181" s="271" t="s">
        <v>677</v>
      </c>
      <c r="F181" s="101" t="s">
        <v>674</v>
      </c>
      <c r="G181" s="102" t="s">
        <v>214</v>
      </c>
      <c r="H181" s="101"/>
      <c r="I181" s="102" t="s">
        <v>215</v>
      </c>
    </row>
    <row r="182" spans="2:9" x14ac:dyDescent="0.3">
      <c r="B182" s="213" t="s">
        <v>213</v>
      </c>
      <c r="C182" s="213" t="s">
        <v>177</v>
      </c>
      <c r="D182" s="213" t="s">
        <v>178</v>
      </c>
      <c r="E182" s="271" t="s">
        <v>677</v>
      </c>
      <c r="F182" s="101" t="s">
        <v>674</v>
      </c>
      <c r="G182" s="102" t="s">
        <v>214</v>
      </c>
      <c r="H182" s="101"/>
      <c r="I182" s="102" t="s">
        <v>215</v>
      </c>
    </row>
    <row r="183" spans="2:9" x14ac:dyDescent="0.3">
      <c r="B183" s="213" t="s">
        <v>213</v>
      </c>
      <c r="C183" s="213" t="s">
        <v>107</v>
      </c>
      <c r="D183" s="213" t="s">
        <v>108</v>
      </c>
      <c r="E183" s="271" t="s">
        <v>677</v>
      </c>
      <c r="F183" s="101" t="s">
        <v>674</v>
      </c>
      <c r="G183" s="102" t="s">
        <v>214</v>
      </c>
      <c r="H183" s="101"/>
      <c r="I183" s="102" t="s">
        <v>215</v>
      </c>
    </row>
    <row r="184" spans="2:9" x14ac:dyDescent="0.3">
      <c r="B184" s="213" t="s">
        <v>213</v>
      </c>
      <c r="C184" s="213" t="s">
        <v>110</v>
      </c>
      <c r="D184" s="213" t="s">
        <v>111</v>
      </c>
      <c r="E184" s="271" t="s">
        <v>677</v>
      </c>
      <c r="F184" s="101" t="s">
        <v>674</v>
      </c>
      <c r="G184" s="102" t="s">
        <v>214</v>
      </c>
      <c r="H184" s="101"/>
      <c r="I184" s="102" t="s">
        <v>215</v>
      </c>
    </row>
    <row r="185" spans="2:9" x14ac:dyDescent="0.3">
      <c r="B185" s="213" t="s">
        <v>213</v>
      </c>
      <c r="C185" s="213" t="s">
        <v>113</v>
      </c>
      <c r="D185" s="213" t="s">
        <v>114</v>
      </c>
      <c r="E185" s="271" t="s">
        <v>677</v>
      </c>
      <c r="F185" s="101" t="s">
        <v>674</v>
      </c>
      <c r="G185" s="102" t="s">
        <v>214</v>
      </c>
      <c r="H185" s="101"/>
      <c r="I185" s="102" t="s">
        <v>215</v>
      </c>
    </row>
    <row r="186" spans="2:9" x14ac:dyDescent="0.3">
      <c r="B186" s="213" t="s">
        <v>213</v>
      </c>
      <c r="C186" s="213" t="s">
        <v>121</v>
      </c>
      <c r="D186" s="213" t="s">
        <v>122</v>
      </c>
      <c r="E186" s="271" t="s">
        <v>677</v>
      </c>
      <c r="F186" s="101" t="s">
        <v>674</v>
      </c>
      <c r="G186" s="102" t="s">
        <v>214</v>
      </c>
      <c r="H186" s="101"/>
      <c r="I186" s="102" t="s">
        <v>215</v>
      </c>
    </row>
    <row r="187" spans="2:9" x14ac:dyDescent="0.3">
      <c r="B187" s="213" t="s">
        <v>213</v>
      </c>
      <c r="C187" s="213" t="s">
        <v>116</v>
      </c>
      <c r="D187" s="213" t="s">
        <v>117</v>
      </c>
      <c r="E187" s="271" t="s">
        <v>677</v>
      </c>
      <c r="F187" s="101" t="s">
        <v>674</v>
      </c>
      <c r="G187" s="102" t="s">
        <v>214</v>
      </c>
      <c r="H187" s="101"/>
      <c r="I187" s="102" t="s">
        <v>215</v>
      </c>
    </row>
    <row r="188" spans="2:9" x14ac:dyDescent="0.3">
      <c r="B188" s="213" t="s">
        <v>213</v>
      </c>
      <c r="C188" s="213" t="s">
        <v>123</v>
      </c>
      <c r="D188" s="213" t="s">
        <v>124</v>
      </c>
      <c r="E188" s="271" t="s">
        <v>677</v>
      </c>
      <c r="F188" s="101" t="s">
        <v>674</v>
      </c>
      <c r="G188" s="102" t="s">
        <v>214</v>
      </c>
      <c r="H188" s="101"/>
      <c r="I188" s="102" t="s">
        <v>215</v>
      </c>
    </row>
    <row r="189" spans="2:9" x14ac:dyDescent="0.3">
      <c r="B189" s="213" t="s">
        <v>213</v>
      </c>
      <c r="C189" s="213" t="s">
        <v>119</v>
      </c>
      <c r="D189" s="213" t="s">
        <v>120</v>
      </c>
      <c r="E189" s="271" t="s">
        <v>677</v>
      </c>
      <c r="F189" s="101" t="s">
        <v>674</v>
      </c>
      <c r="G189" s="102" t="s">
        <v>214</v>
      </c>
      <c r="H189" s="101"/>
      <c r="I189" s="102" t="s">
        <v>215</v>
      </c>
    </row>
    <row r="190" spans="2:9" s="98" customFormat="1" x14ac:dyDescent="0.3">
      <c r="B190" s="230" t="s">
        <v>213</v>
      </c>
      <c r="C190" s="213" t="s">
        <v>35</v>
      </c>
      <c r="D190" s="213" t="s">
        <v>222</v>
      </c>
      <c r="E190" s="271" t="s">
        <v>677</v>
      </c>
      <c r="F190" s="101" t="s">
        <v>674</v>
      </c>
      <c r="G190" s="102" t="s">
        <v>214</v>
      </c>
      <c r="H190" s="101"/>
      <c r="I190" s="102" t="s">
        <v>215</v>
      </c>
    </row>
    <row r="191" spans="2:9" s="98" customFormat="1" x14ac:dyDescent="0.3">
      <c r="B191" s="213" t="s">
        <v>213</v>
      </c>
      <c r="C191" s="213" t="s">
        <v>293</v>
      </c>
      <c r="D191" s="213" t="s">
        <v>294</v>
      </c>
      <c r="E191" s="271" t="s">
        <v>677</v>
      </c>
      <c r="F191" s="101" t="s">
        <v>674</v>
      </c>
      <c r="G191" s="102" t="s">
        <v>214</v>
      </c>
      <c r="H191" s="101"/>
      <c r="I191" s="102" t="s">
        <v>215</v>
      </c>
    </row>
    <row r="192" spans="2:9" s="98" customFormat="1" x14ac:dyDescent="0.3">
      <c r="B192" s="230" t="s">
        <v>213</v>
      </c>
      <c r="C192" s="230" t="s">
        <v>130</v>
      </c>
      <c r="D192" s="229" t="s">
        <v>223</v>
      </c>
      <c r="E192" s="271" t="s">
        <v>677</v>
      </c>
      <c r="F192" s="101" t="s">
        <v>674</v>
      </c>
      <c r="G192" s="104" t="s">
        <v>214</v>
      </c>
      <c r="H192" s="103"/>
      <c r="I192" s="104" t="s">
        <v>215</v>
      </c>
    </row>
    <row r="193" spans="2:11" x14ac:dyDescent="0.3">
      <c r="B193" s="230" t="s">
        <v>213</v>
      </c>
      <c r="C193" s="230" t="s">
        <v>295</v>
      </c>
      <c r="D193" s="229" t="s">
        <v>296</v>
      </c>
      <c r="E193" s="271" t="s">
        <v>677</v>
      </c>
      <c r="F193" s="101" t="s">
        <v>674</v>
      </c>
      <c r="G193" s="104" t="s">
        <v>214</v>
      </c>
      <c r="H193" s="103"/>
      <c r="I193" s="104" t="s">
        <v>215</v>
      </c>
      <c r="K193" s="87"/>
    </row>
    <row r="194" spans="2:11" x14ac:dyDescent="0.3">
      <c r="B194" s="230" t="s">
        <v>213</v>
      </c>
      <c r="C194" s="230" t="s">
        <v>29</v>
      </c>
      <c r="D194" s="229" t="s">
        <v>224</v>
      </c>
      <c r="E194" s="271" t="s">
        <v>677</v>
      </c>
      <c r="F194" s="101" t="s">
        <v>674</v>
      </c>
      <c r="G194" s="104" t="s">
        <v>214</v>
      </c>
      <c r="H194" s="103"/>
      <c r="I194" s="104" t="s">
        <v>215</v>
      </c>
      <c r="K194" s="87"/>
    </row>
    <row r="195" spans="2:11" s="98" customFormat="1" x14ac:dyDescent="0.3">
      <c r="B195" s="230" t="s">
        <v>213</v>
      </c>
      <c r="C195" s="230" t="s">
        <v>297</v>
      </c>
      <c r="D195" s="229" t="s">
        <v>298</v>
      </c>
      <c r="E195" s="271" t="s">
        <v>677</v>
      </c>
      <c r="F195" s="101" t="s">
        <v>674</v>
      </c>
      <c r="G195" s="104" t="s">
        <v>214</v>
      </c>
      <c r="H195" s="103"/>
      <c r="I195" s="104" t="s">
        <v>215</v>
      </c>
    </row>
    <row r="196" spans="2:11" s="98" customFormat="1" x14ac:dyDescent="0.3">
      <c r="B196" s="230" t="s">
        <v>213</v>
      </c>
      <c r="C196" s="230" t="s">
        <v>128</v>
      </c>
      <c r="D196" s="229" t="s">
        <v>225</v>
      </c>
      <c r="E196" s="271" t="s">
        <v>677</v>
      </c>
      <c r="F196" s="101" t="s">
        <v>674</v>
      </c>
      <c r="G196" s="104" t="s">
        <v>214</v>
      </c>
      <c r="H196" s="103"/>
      <c r="I196" s="104" t="s">
        <v>215</v>
      </c>
    </row>
    <row r="197" spans="2:11" s="98" customFormat="1" x14ac:dyDescent="0.3">
      <c r="B197" s="230" t="s">
        <v>213</v>
      </c>
      <c r="C197" s="230" t="s">
        <v>299</v>
      </c>
      <c r="D197" s="229" t="s">
        <v>300</v>
      </c>
      <c r="E197" s="271" t="s">
        <v>677</v>
      </c>
      <c r="F197" s="101" t="s">
        <v>674</v>
      </c>
      <c r="G197" s="104" t="s">
        <v>214</v>
      </c>
      <c r="H197" s="103"/>
      <c r="I197" s="104" t="s">
        <v>215</v>
      </c>
    </row>
    <row r="198" spans="2:11" s="98" customFormat="1" x14ac:dyDescent="0.3">
      <c r="B198" s="213" t="s">
        <v>213</v>
      </c>
      <c r="C198" s="230" t="s">
        <v>32</v>
      </c>
      <c r="D198" s="229" t="s">
        <v>226</v>
      </c>
      <c r="E198" s="271" t="s">
        <v>677</v>
      </c>
      <c r="F198" s="101" t="s">
        <v>674</v>
      </c>
      <c r="G198" s="104" t="s">
        <v>214</v>
      </c>
      <c r="H198" s="103"/>
      <c r="I198" s="104" t="s">
        <v>215</v>
      </c>
    </row>
    <row r="199" spans="2:11" x14ac:dyDescent="0.3">
      <c r="B199" s="230" t="s">
        <v>213</v>
      </c>
      <c r="C199" s="230" t="s">
        <v>301</v>
      </c>
      <c r="D199" s="229" t="s">
        <v>302</v>
      </c>
      <c r="E199" s="271" t="s">
        <v>677</v>
      </c>
      <c r="F199" s="101" t="s">
        <v>674</v>
      </c>
      <c r="G199" s="104" t="s">
        <v>214</v>
      </c>
      <c r="H199" s="103"/>
      <c r="I199" s="104" t="s">
        <v>215</v>
      </c>
      <c r="K199" s="86"/>
    </row>
    <row r="202" spans="2:11" x14ac:dyDescent="0.3">
      <c r="K202" s="87"/>
    </row>
    <row r="203" spans="2:11" x14ac:dyDescent="0.3">
      <c r="K203" s="87"/>
    </row>
  </sheetData>
  <sortState xmlns:xlrd2="http://schemas.microsoft.com/office/spreadsheetml/2017/richdata2" ref="B5:H9">
    <sortCondition ref="C5:C9"/>
  </sortState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E330"/>
  <sheetViews>
    <sheetView topLeftCell="A148" zoomScale="75" zoomScaleNormal="75" zoomScaleSheetLayoutView="75" workbookViewId="0">
      <selection activeCell="F162" sqref="F162"/>
    </sheetView>
  </sheetViews>
  <sheetFormatPr defaultRowHeight="14.4" x14ac:dyDescent="0.3"/>
  <cols>
    <col min="2" max="3" width="19.6640625" bestFit="1" customWidth="1"/>
    <col min="4" max="4" width="12.88671875" bestFit="1" customWidth="1"/>
    <col min="5" max="5" width="12.109375" bestFit="1" customWidth="1"/>
    <col min="6" max="10" width="10" customWidth="1"/>
    <col min="11" max="11" width="10.33203125" customWidth="1"/>
    <col min="13" max="13" width="31.6640625" bestFit="1" customWidth="1"/>
    <col min="14" max="14" width="10" bestFit="1" customWidth="1"/>
    <col min="15" max="15" width="12.33203125" customWidth="1"/>
    <col min="16" max="22" width="11.5546875" customWidth="1"/>
    <col min="23" max="23" width="86.5546875" bestFit="1" customWidth="1"/>
    <col min="25" max="25" width="12.109375" customWidth="1"/>
    <col min="26" max="26" width="12.6640625" bestFit="1" customWidth="1"/>
    <col min="28" max="28" width="23.6640625" bestFit="1" customWidth="1"/>
    <col min="29" max="30" width="9.33203125" bestFit="1" customWidth="1"/>
    <col min="31" max="31" width="11.33203125" bestFit="1" customWidth="1"/>
  </cols>
  <sheetData>
    <row r="2" spans="2:31" x14ac:dyDescent="0.3">
      <c r="P2" s="296"/>
      <c r="Q2" s="296"/>
      <c r="R2" s="296"/>
      <c r="S2" s="296"/>
      <c r="T2" s="296"/>
    </row>
    <row r="3" spans="2:31" x14ac:dyDescent="0.3">
      <c r="B3" s="89" t="s">
        <v>306</v>
      </c>
      <c r="C3" s="90"/>
      <c r="D3" s="90"/>
      <c r="E3" s="90"/>
      <c r="F3" s="90"/>
      <c r="G3" s="91"/>
      <c r="H3" s="90"/>
      <c r="M3" s="89" t="s">
        <v>566</v>
      </c>
      <c r="N3" s="90"/>
      <c r="O3" s="90"/>
    </row>
    <row r="4" spans="2:31" x14ac:dyDescent="0.3">
      <c r="B4" s="216" t="s">
        <v>671</v>
      </c>
      <c r="C4" s="92"/>
      <c r="D4" s="92"/>
      <c r="E4" s="92"/>
      <c r="F4" s="92"/>
      <c r="G4" s="93"/>
      <c r="H4" s="94"/>
      <c r="I4" s="94"/>
      <c r="J4" s="94"/>
      <c r="M4" s="218" t="s">
        <v>307</v>
      </c>
      <c r="N4" s="92"/>
      <c r="O4" s="92"/>
    </row>
    <row r="5" spans="2:31" x14ac:dyDescent="0.3">
      <c r="B5" s="95" t="s">
        <v>569</v>
      </c>
      <c r="M5" s="95" t="s">
        <v>673</v>
      </c>
      <c r="AB5" s="126"/>
      <c r="AC5" s="133" t="s">
        <v>478</v>
      </c>
      <c r="AD5" s="133" t="s">
        <v>327</v>
      </c>
      <c r="AE5" s="133" t="s">
        <v>479</v>
      </c>
    </row>
    <row r="6" spans="2:31" ht="16.2" x14ac:dyDescent="0.3">
      <c r="B6" s="106" t="s">
        <v>460</v>
      </c>
      <c r="C6" s="106" t="s">
        <v>2</v>
      </c>
      <c r="D6" s="106" t="s">
        <v>4</v>
      </c>
      <c r="E6" s="106" t="s">
        <v>6</v>
      </c>
      <c r="F6" s="107">
        <v>2020</v>
      </c>
      <c r="G6" s="107">
        <v>2025</v>
      </c>
      <c r="H6" s="107">
        <v>2030</v>
      </c>
      <c r="I6" s="107">
        <v>2040</v>
      </c>
      <c r="J6" s="107">
        <v>2050</v>
      </c>
      <c r="M6" s="106" t="s">
        <v>2</v>
      </c>
      <c r="N6" s="106" t="s">
        <v>4</v>
      </c>
      <c r="O6" s="106" t="s">
        <v>6</v>
      </c>
      <c r="P6" s="107">
        <v>2016</v>
      </c>
      <c r="Q6" s="107">
        <v>2020</v>
      </c>
      <c r="R6" s="107">
        <v>2030</v>
      </c>
      <c r="S6" s="107">
        <v>2040</v>
      </c>
      <c r="T6" s="107">
        <v>2050</v>
      </c>
      <c r="W6" s="106" t="s">
        <v>572</v>
      </c>
      <c r="Y6" s="106" t="s">
        <v>476</v>
      </c>
      <c r="Z6" s="106"/>
      <c r="AB6" s="134" t="s">
        <v>480</v>
      </c>
      <c r="AC6" s="123" t="s">
        <v>491</v>
      </c>
      <c r="AD6" s="124">
        <v>32.76</v>
      </c>
      <c r="AE6" s="131">
        <v>2021.2662306846084</v>
      </c>
    </row>
    <row r="7" spans="2:31" ht="16.2" x14ac:dyDescent="0.3">
      <c r="B7" s="106"/>
      <c r="C7" s="106"/>
      <c r="D7" s="106"/>
      <c r="E7" s="106"/>
      <c r="F7" s="106"/>
      <c r="G7" s="106"/>
      <c r="H7" s="106"/>
      <c r="I7" s="106"/>
      <c r="J7" s="106"/>
      <c r="M7" s="106"/>
      <c r="N7" s="106"/>
      <c r="O7" s="106"/>
      <c r="P7" s="106"/>
      <c r="Q7" s="106"/>
      <c r="R7" s="106"/>
      <c r="S7" s="106"/>
      <c r="T7" s="106"/>
      <c r="W7" s="96"/>
      <c r="Y7" s="96"/>
      <c r="Z7" s="96"/>
      <c r="AB7" s="134" t="s">
        <v>481</v>
      </c>
      <c r="AC7" s="123" t="s">
        <v>491</v>
      </c>
      <c r="AD7" s="124">
        <v>34.56</v>
      </c>
      <c r="AE7" s="131">
        <v>2132.3248147881586</v>
      </c>
    </row>
    <row r="8" spans="2:31" ht="16.2" x14ac:dyDescent="0.3">
      <c r="B8" s="216" t="s">
        <v>461</v>
      </c>
      <c r="C8" s="216" t="str">
        <f t="shared" ref="C8:C41" si="0">M8</f>
        <v>TAI101</v>
      </c>
      <c r="D8" s="216"/>
      <c r="E8" s="216" t="str">
        <f t="shared" ref="E8:E39" si="1">O8</f>
        <v>TAI, TAI-C</v>
      </c>
      <c r="F8" s="255">
        <f>IF(P8=0, "-", ROUND(10^2/P8,5))</f>
        <v>8.0000000000000002E-3</v>
      </c>
      <c r="G8" s="255">
        <f t="shared" ref="G8:G71" si="2">IF(Q8=0, "-", ROUND(10^2/Q8,5))</f>
        <v>8.3300000000000006E-3</v>
      </c>
      <c r="H8" s="255">
        <f t="shared" ref="H8:H71" si="3">IF(R8=0, "-", ROUND(10^2/R8,5))</f>
        <v>8.8199999999999997E-3</v>
      </c>
      <c r="I8" s="255">
        <f t="shared" ref="I8:I71" si="4">IF(S8=0, "-", ROUND(10^2/S8,5))</f>
        <v>9.3699999999999999E-3</v>
      </c>
      <c r="J8" s="255">
        <f t="shared" ref="J8:J71" si="5">IF(T8=0, "-", ROUND(10^2/T8,5))</f>
        <v>0.01</v>
      </c>
      <c r="M8" s="218" t="s">
        <v>184</v>
      </c>
      <c r="N8" s="218"/>
      <c r="O8" s="218" t="s">
        <v>497</v>
      </c>
      <c r="P8" s="109">
        <v>12500</v>
      </c>
      <c r="Q8" s="109">
        <v>12000</v>
      </c>
      <c r="R8" s="109">
        <v>11333</v>
      </c>
      <c r="S8" s="109">
        <v>10667</v>
      </c>
      <c r="T8" s="109">
        <v>10000</v>
      </c>
      <c r="W8" s="119"/>
      <c r="Y8" s="119" t="s">
        <v>475</v>
      </c>
      <c r="Z8" s="120">
        <v>3</v>
      </c>
      <c r="AB8" s="134" t="s">
        <v>482</v>
      </c>
      <c r="AC8" s="123" t="s">
        <v>491</v>
      </c>
      <c r="AD8" s="124">
        <v>35.28</v>
      </c>
      <c r="AE8" s="131">
        <v>2176.7482484295788</v>
      </c>
    </row>
    <row r="9" spans="2:31" ht="16.2" x14ac:dyDescent="0.3">
      <c r="B9" s="219" t="s">
        <v>461</v>
      </c>
      <c r="C9" s="219" t="str">
        <f t="shared" si="0"/>
        <v>TAV101</v>
      </c>
      <c r="D9" s="219"/>
      <c r="E9" s="219" t="str">
        <f t="shared" si="1"/>
        <v>TAV, TAV-C</v>
      </c>
      <c r="F9" s="257">
        <f t="shared" ref="F9:F24" si="6">IF(P9=0, "-", ROUND(10^2/P9,5))</f>
        <v>5.0000000000000001E-3</v>
      </c>
      <c r="G9" s="257">
        <f t="shared" si="2"/>
        <v>5.2100000000000002E-3</v>
      </c>
      <c r="H9" s="257">
        <f t="shared" si="3"/>
        <v>5.5599999999999998E-3</v>
      </c>
      <c r="I9" s="257">
        <f t="shared" si="4"/>
        <v>5.8799999999999998E-3</v>
      </c>
      <c r="J9" s="257">
        <f t="shared" si="5"/>
        <v>6.2500000000000003E-3</v>
      </c>
      <c r="M9" s="223" t="s">
        <v>180</v>
      </c>
      <c r="N9" s="223"/>
      <c r="O9" s="223" t="s">
        <v>498</v>
      </c>
      <c r="P9" s="113">
        <v>20000</v>
      </c>
      <c r="Q9" s="113">
        <v>19200</v>
      </c>
      <c r="R9" s="113">
        <v>18000</v>
      </c>
      <c r="S9" s="113">
        <v>17000</v>
      </c>
      <c r="T9" s="113">
        <v>16000</v>
      </c>
      <c r="W9" s="147"/>
      <c r="Y9" s="119" t="s">
        <v>477</v>
      </c>
      <c r="Z9" s="118">
        <v>35.28</v>
      </c>
      <c r="AB9" s="134" t="s">
        <v>483</v>
      </c>
      <c r="AC9" s="123" t="s">
        <v>491</v>
      </c>
      <c r="AD9" s="124">
        <v>35.82</v>
      </c>
      <c r="AE9" s="131">
        <v>2210.0658236606437</v>
      </c>
    </row>
    <row r="10" spans="2:31" ht="16.2" x14ac:dyDescent="0.3">
      <c r="B10" s="216" t="s">
        <v>462</v>
      </c>
      <c r="C10" s="216" t="str">
        <f t="shared" si="0"/>
        <v>TBISBDL101</v>
      </c>
      <c r="D10" s="216"/>
      <c r="E10" s="216" t="str">
        <f t="shared" si="1"/>
        <v>TBI, TBI-C</v>
      </c>
      <c r="F10" s="254">
        <f t="shared" si="6"/>
        <v>7.5700000000000003E-2</v>
      </c>
      <c r="G10" s="254">
        <f t="shared" si="2"/>
        <v>8.0820000000000003E-2</v>
      </c>
      <c r="H10" s="254">
        <f t="shared" si="3"/>
        <v>8.4930000000000005E-2</v>
      </c>
      <c r="I10" s="254">
        <f t="shared" si="4"/>
        <v>8.9480000000000004E-2</v>
      </c>
      <c r="J10" s="254">
        <f t="shared" si="5"/>
        <v>9.3950000000000006E-2</v>
      </c>
      <c r="M10" s="218" t="s">
        <v>88</v>
      </c>
      <c r="N10" s="218"/>
      <c r="O10" s="218" t="s">
        <v>499</v>
      </c>
      <c r="P10" s="109">
        <v>1321</v>
      </c>
      <c r="Q10" s="109">
        <v>1237.3295046661899</v>
      </c>
      <c r="R10" s="109">
        <v>1177.4587221823401</v>
      </c>
      <c r="S10" s="109">
        <v>1117.5879396984924</v>
      </c>
      <c r="T10" s="109">
        <v>1064.3694663795166</v>
      </c>
      <c r="W10" s="119" t="s">
        <v>510</v>
      </c>
      <c r="Y10" s="119" t="s">
        <v>307</v>
      </c>
      <c r="Z10" s="122">
        <f>Z8*Z9</f>
        <v>105.84</v>
      </c>
      <c r="AB10" s="134" t="s">
        <v>484</v>
      </c>
      <c r="AC10" s="123" t="s">
        <v>491</v>
      </c>
      <c r="AD10" s="124">
        <v>38.090000000000003</v>
      </c>
      <c r="AE10" s="131">
        <v>2350.1230380578982</v>
      </c>
    </row>
    <row r="11" spans="2:31" ht="16.2" x14ac:dyDescent="0.3">
      <c r="B11" s="216" t="s">
        <v>462</v>
      </c>
      <c r="C11" s="216" t="str">
        <f t="shared" si="0"/>
        <v>TBISDST101</v>
      </c>
      <c r="D11" s="216"/>
      <c r="E11" s="216" t="str">
        <f t="shared" si="1"/>
        <v>TBI, TBI-C</v>
      </c>
      <c r="F11" s="254">
        <f>IF(P11=0, "-", ROUND(10^2/P11,5))</f>
        <v>7.5700000000000003E-2</v>
      </c>
      <c r="G11" s="254">
        <f t="shared" si="2"/>
        <v>8.0820000000000003E-2</v>
      </c>
      <c r="H11" s="254">
        <f t="shared" si="3"/>
        <v>8.4930000000000005E-2</v>
      </c>
      <c r="I11" s="254">
        <f t="shared" si="4"/>
        <v>8.9480000000000004E-2</v>
      </c>
      <c r="J11" s="254">
        <f t="shared" si="5"/>
        <v>9.3950000000000006E-2</v>
      </c>
      <c r="M11" s="218" t="s">
        <v>93</v>
      </c>
      <c r="N11" s="218"/>
      <c r="O11" s="218" t="s">
        <v>499</v>
      </c>
      <c r="P11" s="109">
        <v>1321</v>
      </c>
      <c r="Q11" s="109">
        <v>1237.3295046661879</v>
      </c>
      <c r="R11" s="109">
        <v>1177.4587221823401</v>
      </c>
      <c r="S11" s="109">
        <v>1117.5879396984924</v>
      </c>
      <c r="T11" s="109">
        <v>1064.3694663795166</v>
      </c>
      <c r="W11" s="119" t="s">
        <v>310</v>
      </c>
      <c r="Y11" s="119" t="s">
        <v>671</v>
      </c>
      <c r="Z11" s="122">
        <f>10^5/Z10</f>
        <v>944.82237339380197</v>
      </c>
      <c r="AB11" s="134" t="s">
        <v>485</v>
      </c>
      <c r="AC11" s="123" t="s">
        <v>491</v>
      </c>
      <c r="AD11" s="124">
        <v>21.24</v>
      </c>
      <c r="AE11" s="131">
        <v>1310.4912924218891</v>
      </c>
    </row>
    <row r="12" spans="2:31" x14ac:dyDescent="0.3">
      <c r="B12" s="216" t="s">
        <v>462</v>
      </c>
      <c r="C12" s="216" t="str">
        <f t="shared" si="0"/>
        <v>TBISDME101</v>
      </c>
      <c r="D12" s="216"/>
      <c r="E12" s="216" t="str">
        <f t="shared" si="1"/>
        <v>TBI, TBI-C</v>
      </c>
      <c r="F12" s="254">
        <f t="shared" si="6"/>
        <v>7.5700000000000003E-2</v>
      </c>
      <c r="G12" s="254">
        <f t="shared" si="2"/>
        <v>8.0820000000000003E-2</v>
      </c>
      <c r="H12" s="254">
        <f t="shared" si="3"/>
        <v>8.4930000000000005E-2</v>
      </c>
      <c r="I12" s="254">
        <f t="shared" si="4"/>
        <v>8.9480000000000004E-2</v>
      </c>
      <c r="J12" s="254">
        <f t="shared" si="5"/>
        <v>9.3950000000000006E-2</v>
      </c>
      <c r="M12" s="218" t="s">
        <v>91</v>
      </c>
      <c r="N12" s="218"/>
      <c r="O12" s="218" t="s">
        <v>499</v>
      </c>
      <c r="P12" s="109">
        <v>1321</v>
      </c>
      <c r="Q12" s="109">
        <v>1237.3295046661879</v>
      </c>
      <c r="R12" s="109">
        <v>1177.4587221823401</v>
      </c>
      <c r="S12" s="109">
        <v>1117.5879396984924</v>
      </c>
      <c r="T12" s="109">
        <v>1064.3694663795166</v>
      </c>
      <c r="W12" s="119" t="s">
        <v>510</v>
      </c>
      <c r="Z12" s="94"/>
      <c r="AB12" s="134"/>
      <c r="AC12" s="123"/>
      <c r="AD12" s="124"/>
      <c r="AE12" s="131"/>
    </row>
    <row r="13" spans="2:31" s="95" customFormat="1" x14ac:dyDescent="0.3">
      <c r="B13" s="228" t="s">
        <v>462</v>
      </c>
      <c r="C13" s="228" t="str">
        <f t="shared" si="0"/>
        <v>TBISELC101</v>
      </c>
      <c r="D13" s="228"/>
      <c r="E13" s="228" t="str">
        <f t="shared" si="1"/>
        <v>TBI, TBI-C</v>
      </c>
      <c r="F13" s="159">
        <f t="shared" si="6"/>
        <v>0.17985999999999999</v>
      </c>
      <c r="G13" s="159">
        <f t="shared" si="2"/>
        <v>0.17985999999999999</v>
      </c>
      <c r="H13" s="159">
        <f t="shared" si="3"/>
        <v>0.18970999999999999</v>
      </c>
      <c r="I13" s="159">
        <f t="shared" si="4"/>
        <v>0.19783999999999999</v>
      </c>
      <c r="J13" s="159">
        <f t="shared" si="5"/>
        <v>0.20982999999999999</v>
      </c>
      <c r="M13" s="228" t="s">
        <v>508</v>
      </c>
      <c r="N13" s="228"/>
      <c r="O13" s="228" t="s">
        <v>499</v>
      </c>
      <c r="P13" s="115">
        <v>556</v>
      </c>
      <c r="Q13" s="115">
        <v>556</v>
      </c>
      <c r="R13" s="115">
        <v>527.11688311688317</v>
      </c>
      <c r="S13" s="115">
        <v>505.45454545454555</v>
      </c>
      <c r="T13" s="115">
        <v>476.57142857142867</v>
      </c>
      <c r="W13" s="137" t="s">
        <v>664</v>
      </c>
      <c r="Z13" s="244"/>
      <c r="AB13" s="245"/>
      <c r="AC13" s="246"/>
      <c r="AD13" s="247"/>
      <c r="AE13" s="248"/>
    </row>
    <row r="14" spans="2:31" ht="16.2" x14ac:dyDescent="0.3">
      <c r="B14" s="216" t="s">
        <v>462</v>
      </c>
      <c r="C14" s="216" t="str">
        <f t="shared" si="0"/>
        <v>TBISETH101</v>
      </c>
      <c r="D14" s="216"/>
      <c r="E14" s="216" t="str">
        <f t="shared" si="1"/>
        <v>TBI, TBI-C</v>
      </c>
      <c r="F14" s="254">
        <f t="shared" si="6"/>
        <v>7.1919999999999998E-2</v>
      </c>
      <c r="G14" s="254">
        <f t="shared" si="2"/>
        <v>7.6780000000000001E-2</v>
      </c>
      <c r="H14" s="254">
        <f t="shared" si="3"/>
        <v>8.0680000000000002E-2</v>
      </c>
      <c r="I14" s="254">
        <f t="shared" si="4"/>
        <v>8.5000000000000006E-2</v>
      </c>
      <c r="J14" s="254">
        <f t="shared" si="5"/>
        <v>8.9249999999999996E-2</v>
      </c>
      <c r="M14" s="218" t="s">
        <v>95</v>
      </c>
      <c r="N14" s="218"/>
      <c r="O14" s="218" t="s">
        <v>499</v>
      </c>
      <c r="P14" s="109">
        <f>P11/0.95</f>
        <v>1390.5263157894738</v>
      </c>
      <c r="Q14" s="109">
        <f t="shared" ref="Q14:T14" si="7">Q11/0.95</f>
        <v>1302.4521101749347</v>
      </c>
      <c r="R14" s="109">
        <f t="shared" si="7"/>
        <v>1239.4302338761477</v>
      </c>
      <c r="S14" s="109">
        <f t="shared" si="7"/>
        <v>1176.4083575773604</v>
      </c>
      <c r="T14" s="109">
        <f t="shared" si="7"/>
        <v>1120.3889119784385</v>
      </c>
      <c r="W14" s="119" t="s">
        <v>703</v>
      </c>
      <c r="Y14" s="119" t="s">
        <v>557</v>
      </c>
      <c r="Z14" s="120">
        <v>1.2</v>
      </c>
      <c r="AB14" s="134" t="s">
        <v>486</v>
      </c>
      <c r="AC14" s="123" t="s">
        <v>491</v>
      </c>
      <c r="AD14" s="124">
        <v>33.01</v>
      </c>
      <c r="AE14" s="131">
        <v>2036.6910340323238</v>
      </c>
    </row>
    <row r="15" spans="2:31" ht="16.2" x14ac:dyDescent="0.3">
      <c r="B15" s="216" t="s">
        <v>462</v>
      </c>
      <c r="C15" s="216" t="str">
        <f t="shared" si="0"/>
        <v>TBISGAS101</v>
      </c>
      <c r="D15" s="216"/>
      <c r="E15" s="216" t="str">
        <f t="shared" si="1"/>
        <v>TBI, TBI-C</v>
      </c>
      <c r="F15" s="254">
        <f t="shared" si="6"/>
        <v>5.0610000000000002E-2</v>
      </c>
      <c r="G15" s="254">
        <f t="shared" si="2"/>
        <v>5.3940000000000002E-2</v>
      </c>
      <c r="H15" s="254">
        <f t="shared" si="3"/>
        <v>5.6750000000000002E-2</v>
      </c>
      <c r="I15" s="254">
        <f t="shared" si="4"/>
        <v>5.9630000000000002E-2</v>
      </c>
      <c r="J15" s="254">
        <f t="shared" si="5"/>
        <v>6.2770000000000006E-2</v>
      </c>
      <c r="M15" s="218" t="s">
        <v>97</v>
      </c>
      <c r="N15" s="218"/>
      <c r="O15" s="218" t="s">
        <v>499</v>
      </c>
      <c r="P15" s="109">
        <v>1976</v>
      </c>
      <c r="Q15" s="109">
        <v>1854</v>
      </c>
      <c r="R15" s="109">
        <v>1762</v>
      </c>
      <c r="S15" s="109">
        <v>1677</v>
      </c>
      <c r="T15" s="109">
        <v>1593</v>
      </c>
      <c r="W15" s="119"/>
      <c r="Y15" s="119" t="s">
        <v>307</v>
      </c>
      <c r="Z15" s="121">
        <f>Z14*3.6*100</f>
        <v>432</v>
      </c>
      <c r="AB15" s="134" t="s">
        <v>487</v>
      </c>
      <c r="AC15" s="123" t="s">
        <v>491</v>
      </c>
      <c r="AD15" s="124">
        <v>33.979999999999997</v>
      </c>
      <c r="AE15" s="131">
        <v>2096.5392710214587</v>
      </c>
    </row>
    <row r="16" spans="2:31" ht="16.2" x14ac:dyDescent="0.3">
      <c r="B16" s="216" t="s">
        <v>462</v>
      </c>
      <c r="C16" s="216" t="str">
        <f t="shared" si="0"/>
        <v>TBISGSL101</v>
      </c>
      <c r="D16" s="216"/>
      <c r="E16" s="216" t="str">
        <f t="shared" si="1"/>
        <v>TBI, TBI-C</v>
      </c>
      <c r="F16" s="254">
        <f t="shared" si="6"/>
        <v>5.0610000000000002E-2</v>
      </c>
      <c r="G16" s="254">
        <f t="shared" si="2"/>
        <v>5.3940000000000002E-2</v>
      </c>
      <c r="H16" s="254">
        <f t="shared" si="3"/>
        <v>5.6750000000000002E-2</v>
      </c>
      <c r="I16" s="254">
        <f t="shared" si="4"/>
        <v>5.9630000000000002E-2</v>
      </c>
      <c r="J16" s="254">
        <f t="shared" si="5"/>
        <v>6.2770000000000006E-2</v>
      </c>
      <c r="M16" s="218" t="s">
        <v>99</v>
      </c>
      <c r="N16" s="218"/>
      <c r="O16" s="218" t="s">
        <v>499</v>
      </c>
      <c r="P16" s="109">
        <v>1976</v>
      </c>
      <c r="Q16" s="109">
        <v>1854</v>
      </c>
      <c r="R16" s="109">
        <v>1762</v>
      </c>
      <c r="S16" s="109">
        <v>1677</v>
      </c>
      <c r="T16" s="109">
        <v>1593</v>
      </c>
      <c r="W16" s="119"/>
      <c r="Y16" s="119" t="s">
        <v>671</v>
      </c>
      <c r="Z16" s="121">
        <f>10^5/Z15</f>
        <v>231.4814814814815</v>
      </c>
      <c r="AB16" s="134" t="s">
        <v>488</v>
      </c>
      <c r="AC16" s="123" t="s">
        <v>492</v>
      </c>
      <c r="AD16" s="124">
        <v>39.78</v>
      </c>
      <c r="AE16" s="131">
        <v>2454.3947086884532</v>
      </c>
    </row>
    <row r="17" spans="2:31" ht="16.2" x14ac:dyDescent="0.3">
      <c r="B17" s="216" t="s">
        <v>462</v>
      </c>
      <c r="C17" s="216" t="str">
        <f t="shared" si="0"/>
        <v>TBISHYD101</v>
      </c>
      <c r="D17" s="216"/>
      <c r="E17" s="216" t="str">
        <f t="shared" si="1"/>
        <v>TBI, TBI-C</v>
      </c>
      <c r="F17" s="254">
        <f t="shared" si="6"/>
        <v>7.9740000000000005E-2</v>
      </c>
      <c r="G17" s="254">
        <f t="shared" si="2"/>
        <v>8.5690000000000002E-2</v>
      </c>
      <c r="H17" s="254">
        <f t="shared" si="3"/>
        <v>9.0090000000000003E-2</v>
      </c>
      <c r="I17" s="254">
        <f t="shared" si="4"/>
        <v>9.4880000000000006E-2</v>
      </c>
      <c r="J17" s="254">
        <f t="shared" si="5"/>
        <v>9.9599999999999994E-2</v>
      </c>
      <c r="M17" s="218" t="s">
        <v>356</v>
      </c>
      <c r="N17" s="224"/>
      <c r="O17" s="218" t="s">
        <v>499</v>
      </c>
      <c r="P17" s="109">
        <v>1254</v>
      </c>
      <c r="Q17" s="109">
        <v>1167</v>
      </c>
      <c r="R17" s="109">
        <v>1110</v>
      </c>
      <c r="S17" s="109">
        <v>1054</v>
      </c>
      <c r="T17" s="109">
        <v>1004</v>
      </c>
      <c r="V17" s="148"/>
      <c r="W17" s="119" t="s">
        <v>308</v>
      </c>
      <c r="AB17" s="134" t="s">
        <v>489</v>
      </c>
      <c r="AC17" s="123" t="s">
        <v>492</v>
      </c>
      <c r="AD17" s="124">
        <v>34.92</v>
      </c>
      <c r="AE17" s="131">
        <v>2154.5365316088687</v>
      </c>
    </row>
    <row r="18" spans="2:31" x14ac:dyDescent="0.3">
      <c r="B18" s="216" t="s">
        <v>462</v>
      </c>
      <c r="C18" s="216" t="str">
        <f t="shared" si="0"/>
        <v>TBISHYG101</v>
      </c>
      <c r="D18" s="216"/>
      <c r="E18" s="216" t="str">
        <f t="shared" si="1"/>
        <v>TBI, TBI-C</v>
      </c>
      <c r="F18" s="254">
        <f t="shared" si="6"/>
        <v>5.3269999999999998E-2</v>
      </c>
      <c r="G18" s="254">
        <f t="shared" si="2"/>
        <v>5.6779999999999997E-2</v>
      </c>
      <c r="H18" s="254">
        <f t="shared" si="3"/>
        <v>5.9740000000000001E-2</v>
      </c>
      <c r="I18" s="254">
        <f t="shared" si="4"/>
        <v>6.2770000000000006E-2</v>
      </c>
      <c r="J18" s="254">
        <f t="shared" si="5"/>
        <v>6.608E-2</v>
      </c>
      <c r="M18" s="218" t="s">
        <v>421</v>
      </c>
      <c r="N18" s="224"/>
      <c r="O18" s="218" t="s">
        <v>499</v>
      </c>
      <c r="P18" s="109">
        <f>P16*0.95</f>
        <v>1877.1999999999998</v>
      </c>
      <c r="Q18" s="109">
        <f t="shared" ref="Q18:T18" si="8">Q16*0.95</f>
        <v>1761.3</v>
      </c>
      <c r="R18" s="109">
        <f t="shared" si="8"/>
        <v>1673.8999999999999</v>
      </c>
      <c r="S18" s="109">
        <f t="shared" si="8"/>
        <v>1593.1499999999999</v>
      </c>
      <c r="T18" s="109">
        <f t="shared" si="8"/>
        <v>1513.35</v>
      </c>
      <c r="W18" s="119" t="s">
        <v>571</v>
      </c>
      <c r="AB18" s="134"/>
      <c r="AC18" s="123"/>
      <c r="AD18" s="124"/>
      <c r="AE18" s="131"/>
    </row>
    <row r="19" spans="2:31" ht="16.2" x14ac:dyDescent="0.3">
      <c r="B19" s="216" t="s">
        <v>462</v>
      </c>
      <c r="C19" s="216" t="str">
        <f t="shared" si="0"/>
        <v>TBISHFC101</v>
      </c>
      <c r="D19" s="216"/>
      <c r="E19" s="216" t="str">
        <f t="shared" si="1"/>
        <v>TBI, TBI-C</v>
      </c>
      <c r="F19" s="254">
        <f t="shared" si="6"/>
        <v>0.12594</v>
      </c>
      <c r="G19" s="254">
        <f t="shared" si="2"/>
        <v>0.13458999999999999</v>
      </c>
      <c r="H19" s="254">
        <f t="shared" si="3"/>
        <v>0.14163999999999999</v>
      </c>
      <c r="I19" s="254">
        <f t="shared" si="4"/>
        <v>0.14881</v>
      </c>
      <c r="J19" s="254">
        <f t="shared" si="5"/>
        <v>0.15648999999999999</v>
      </c>
      <c r="M19" s="218" t="s">
        <v>101</v>
      </c>
      <c r="N19" s="224"/>
      <c r="O19" s="218" t="s">
        <v>499</v>
      </c>
      <c r="P19" s="109">
        <v>794</v>
      </c>
      <c r="Q19" s="109">
        <v>743</v>
      </c>
      <c r="R19" s="109">
        <v>706</v>
      </c>
      <c r="S19" s="109">
        <v>672</v>
      </c>
      <c r="T19" s="109">
        <v>639</v>
      </c>
      <c r="W19" s="119"/>
      <c r="AB19" s="134" t="s">
        <v>490</v>
      </c>
      <c r="AC19" s="123" t="s">
        <v>492</v>
      </c>
      <c r="AD19" s="125">
        <v>25.9</v>
      </c>
      <c r="AE19" s="131">
        <v>1598.0096268233017</v>
      </c>
    </row>
    <row r="20" spans="2:31" x14ac:dyDescent="0.3">
      <c r="B20" s="216" t="s">
        <v>462</v>
      </c>
      <c r="C20" s="216" t="str">
        <f t="shared" si="0"/>
        <v>TBISLPG101</v>
      </c>
      <c r="D20" s="216"/>
      <c r="E20" s="216" t="str">
        <f t="shared" si="1"/>
        <v>TBI, TBI-C</v>
      </c>
      <c r="F20" s="254">
        <f t="shared" si="6"/>
        <v>5.0610000000000002E-2</v>
      </c>
      <c r="G20" s="254">
        <f t="shared" si="2"/>
        <v>5.3940000000000002E-2</v>
      </c>
      <c r="H20" s="254">
        <f t="shared" si="3"/>
        <v>5.6750000000000002E-2</v>
      </c>
      <c r="I20" s="254">
        <f t="shared" si="4"/>
        <v>5.9630000000000002E-2</v>
      </c>
      <c r="J20" s="254">
        <f t="shared" si="5"/>
        <v>6.2770000000000006E-2</v>
      </c>
      <c r="M20" s="218" t="s">
        <v>103</v>
      </c>
      <c r="N20" s="224"/>
      <c r="O20" s="218" t="s">
        <v>499</v>
      </c>
      <c r="P20" s="109">
        <v>1976</v>
      </c>
      <c r="Q20" s="109">
        <v>1854</v>
      </c>
      <c r="R20" s="109">
        <v>1762</v>
      </c>
      <c r="S20" s="109">
        <v>1677</v>
      </c>
      <c r="T20" s="109">
        <v>1593</v>
      </c>
      <c r="W20" s="119"/>
      <c r="AB20" s="126"/>
      <c r="AC20" s="126"/>
      <c r="AD20" s="126"/>
      <c r="AE20" s="126"/>
    </row>
    <row r="21" spans="2:31" x14ac:dyDescent="0.3">
      <c r="B21" s="228" t="s">
        <v>462</v>
      </c>
      <c r="C21" s="228" t="str">
        <f t="shared" si="0"/>
        <v>TBISMDE101</v>
      </c>
      <c r="D21" s="228"/>
      <c r="E21" s="228" t="str">
        <f t="shared" si="1"/>
        <v>TBI, TBI-C</v>
      </c>
      <c r="F21" s="159">
        <f t="shared" si="6"/>
        <v>7.5700000000000003E-2</v>
      </c>
      <c r="G21" s="159">
        <f t="shared" si="2"/>
        <v>8.0820000000000003E-2</v>
      </c>
      <c r="H21" s="159">
        <f t="shared" si="3"/>
        <v>8.4930000000000005E-2</v>
      </c>
      <c r="I21" s="159">
        <f t="shared" si="4"/>
        <v>8.9480000000000004E-2</v>
      </c>
      <c r="J21" s="159">
        <f t="shared" si="5"/>
        <v>9.3950000000000006E-2</v>
      </c>
      <c r="K21" s="95"/>
      <c r="L21" s="95"/>
      <c r="M21" s="228" t="s">
        <v>105</v>
      </c>
      <c r="N21" s="280"/>
      <c r="O21" s="228" t="s">
        <v>499</v>
      </c>
      <c r="P21" s="115">
        <v>1321</v>
      </c>
      <c r="Q21" s="115">
        <v>1237.3295046661879</v>
      </c>
      <c r="R21" s="115">
        <v>1177.4587221823401</v>
      </c>
      <c r="S21" s="115">
        <v>1117.5879396984924</v>
      </c>
      <c r="T21" s="115">
        <v>1064.3694663795166</v>
      </c>
      <c r="W21" s="137" t="s">
        <v>691</v>
      </c>
      <c r="AB21" s="126"/>
      <c r="AC21" s="126"/>
      <c r="AD21" s="126"/>
      <c r="AE21" s="126"/>
    </row>
    <row r="22" spans="2:31" x14ac:dyDescent="0.3">
      <c r="B22" s="216" t="s">
        <v>462</v>
      </c>
      <c r="C22" s="216" t="str">
        <f t="shared" si="0"/>
        <v>TBISMTH101</v>
      </c>
      <c r="D22" s="216"/>
      <c r="E22" s="216" t="str">
        <f t="shared" si="1"/>
        <v>TBI, TBI-C</v>
      </c>
      <c r="F22" s="254">
        <f t="shared" si="6"/>
        <v>5.0610000000000002E-2</v>
      </c>
      <c r="G22" s="254">
        <f t="shared" si="2"/>
        <v>5.3940000000000002E-2</v>
      </c>
      <c r="H22" s="254">
        <f t="shared" si="3"/>
        <v>5.6750000000000002E-2</v>
      </c>
      <c r="I22" s="254">
        <f t="shared" si="4"/>
        <v>5.9630000000000002E-2</v>
      </c>
      <c r="J22" s="254">
        <f t="shared" si="5"/>
        <v>6.2770000000000006E-2</v>
      </c>
      <c r="M22" s="218" t="s">
        <v>606</v>
      </c>
      <c r="N22" s="224"/>
      <c r="O22" s="218" t="s">
        <v>499</v>
      </c>
      <c r="P22" s="109">
        <v>1976</v>
      </c>
      <c r="Q22" s="109">
        <v>1854</v>
      </c>
      <c r="R22" s="109">
        <v>1762</v>
      </c>
      <c r="S22" s="109">
        <v>1677</v>
      </c>
      <c r="T22" s="109">
        <v>1593</v>
      </c>
      <c r="W22" s="119"/>
      <c r="AB22" s="126"/>
      <c r="AC22" s="132" t="s">
        <v>327</v>
      </c>
      <c r="AD22" s="132" t="s">
        <v>479</v>
      </c>
      <c r="AE22" s="132"/>
    </row>
    <row r="23" spans="2:31" x14ac:dyDescent="0.3">
      <c r="B23" s="216" t="s">
        <v>462</v>
      </c>
      <c r="C23" s="216" t="str">
        <f t="shared" si="0"/>
        <v>TBISPYD101</v>
      </c>
      <c r="D23" s="216"/>
      <c r="E23" s="216" t="str">
        <f t="shared" si="1"/>
        <v>TBI, TBI-C</v>
      </c>
      <c r="F23" s="254">
        <f t="shared" si="6"/>
        <v>8.4110000000000004E-2</v>
      </c>
      <c r="G23" s="254">
        <f t="shared" si="2"/>
        <v>8.9800000000000005E-2</v>
      </c>
      <c r="H23" s="254">
        <f t="shared" si="3"/>
        <v>9.4369999999999996E-2</v>
      </c>
      <c r="I23" s="254">
        <f t="shared" si="4"/>
        <v>9.9419999999999994E-2</v>
      </c>
      <c r="J23" s="254">
        <f t="shared" si="5"/>
        <v>0.10439</v>
      </c>
      <c r="M23" s="218" t="s">
        <v>422</v>
      </c>
      <c r="N23" s="224"/>
      <c r="O23" s="218" t="s">
        <v>499</v>
      </c>
      <c r="P23" s="109">
        <f>P11*0.9</f>
        <v>1188.9000000000001</v>
      </c>
      <c r="Q23" s="109">
        <f t="shared" ref="Q23:T23" si="9">Q11*0.9</f>
        <v>1113.596554199569</v>
      </c>
      <c r="R23" s="109">
        <f t="shared" si="9"/>
        <v>1059.7128499641062</v>
      </c>
      <c r="S23" s="109">
        <f t="shared" si="9"/>
        <v>1005.8291457286432</v>
      </c>
      <c r="T23" s="109">
        <f t="shared" si="9"/>
        <v>957.93251974156487</v>
      </c>
      <c r="W23" s="119" t="s">
        <v>573</v>
      </c>
      <c r="AB23" s="126"/>
      <c r="AC23" s="132"/>
      <c r="AD23" s="132"/>
      <c r="AE23" s="132"/>
    </row>
    <row r="24" spans="2:31" x14ac:dyDescent="0.3">
      <c r="B24" s="219" t="s">
        <v>462</v>
      </c>
      <c r="C24" s="219" t="str">
        <f t="shared" si="0"/>
        <v>TBISPYG101</v>
      </c>
      <c r="D24" s="219"/>
      <c r="E24" s="219" t="str">
        <f t="shared" si="1"/>
        <v>TBI, TBI-C</v>
      </c>
      <c r="F24" s="256">
        <f t="shared" si="6"/>
        <v>5.6230000000000002E-2</v>
      </c>
      <c r="G24" s="256">
        <f t="shared" si="2"/>
        <v>5.9929999999999997E-2</v>
      </c>
      <c r="H24" s="256">
        <f t="shared" si="3"/>
        <v>6.3060000000000005E-2</v>
      </c>
      <c r="I24" s="256">
        <f t="shared" si="4"/>
        <v>6.6259999999999999E-2</v>
      </c>
      <c r="J24" s="256">
        <f t="shared" si="5"/>
        <v>6.9750000000000006E-2</v>
      </c>
      <c r="M24" s="223" t="s">
        <v>423</v>
      </c>
      <c r="N24" s="225"/>
      <c r="O24" s="223" t="s">
        <v>499</v>
      </c>
      <c r="P24" s="113">
        <f>P16*0.9</f>
        <v>1778.4</v>
      </c>
      <c r="Q24" s="113">
        <f t="shared" ref="Q24:T24" si="10">Q16*0.9</f>
        <v>1668.6000000000001</v>
      </c>
      <c r="R24" s="113">
        <f t="shared" si="10"/>
        <v>1585.8</v>
      </c>
      <c r="S24" s="113">
        <f t="shared" si="10"/>
        <v>1509.3</v>
      </c>
      <c r="T24" s="113">
        <f t="shared" si="10"/>
        <v>1433.7</v>
      </c>
      <c r="W24" s="147" t="s">
        <v>574</v>
      </c>
      <c r="AB24" s="126"/>
      <c r="AC24" s="132"/>
      <c r="AD24" s="132"/>
      <c r="AE24" s="132"/>
    </row>
    <row r="25" spans="2:31" x14ac:dyDescent="0.3">
      <c r="B25" s="216" t="s">
        <v>558</v>
      </c>
      <c r="C25" s="216" t="str">
        <f t="shared" si="0"/>
        <v>TCARBDL101</v>
      </c>
      <c r="D25" s="216"/>
      <c r="E25" s="216" t="str">
        <f t="shared" si="1"/>
        <v>TCL</v>
      </c>
      <c r="F25" s="254">
        <f t="shared" ref="F25:F88" si="11">IF(P25=0, "-", ROUND(10^2/P25,5))</f>
        <v>0.57471000000000005</v>
      </c>
      <c r="G25" s="254">
        <f t="shared" si="2"/>
        <v>0.61350000000000005</v>
      </c>
      <c r="H25" s="254">
        <f t="shared" si="3"/>
        <v>0.64515999999999996</v>
      </c>
      <c r="I25" s="254">
        <f t="shared" si="4"/>
        <v>0.68027000000000004</v>
      </c>
      <c r="J25" s="254">
        <f t="shared" si="5"/>
        <v>0.71428999999999998</v>
      </c>
      <c r="M25" s="218" t="s">
        <v>43</v>
      </c>
      <c r="N25" s="224"/>
      <c r="O25" s="218" t="s">
        <v>45</v>
      </c>
      <c r="P25" s="109">
        <v>174</v>
      </c>
      <c r="Q25" s="109">
        <v>163</v>
      </c>
      <c r="R25" s="109">
        <v>155</v>
      </c>
      <c r="S25" s="109">
        <v>147</v>
      </c>
      <c r="T25" s="109">
        <v>140</v>
      </c>
      <c r="W25" s="119" t="s">
        <v>506</v>
      </c>
      <c r="AB25" s="134" t="s">
        <v>327</v>
      </c>
      <c r="AC25" s="127">
        <v>1</v>
      </c>
      <c r="AD25" s="128">
        <f>1/3.6</f>
        <v>0.27777777777777779</v>
      </c>
      <c r="AE25" s="126"/>
    </row>
    <row r="26" spans="2:31" x14ac:dyDescent="0.3">
      <c r="B26" s="216" t="s">
        <v>558</v>
      </c>
      <c r="C26" s="216" t="str">
        <f t="shared" si="0"/>
        <v>TCARBDL101P</v>
      </c>
      <c r="D26" s="216"/>
      <c r="E26" s="216" t="str">
        <f t="shared" si="1"/>
        <v>TCL-P</v>
      </c>
      <c r="F26" s="254">
        <f t="shared" si="11"/>
        <v>0.57471000000000005</v>
      </c>
      <c r="G26" s="254">
        <f t="shared" si="2"/>
        <v>0.61350000000000005</v>
      </c>
      <c r="H26" s="254">
        <f t="shared" si="3"/>
        <v>0.64515999999999996</v>
      </c>
      <c r="I26" s="254">
        <f t="shared" si="4"/>
        <v>0.68027000000000004</v>
      </c>
      <c r="J26" s="254">
        <f t="shared" si="5"/>
        <v>0.71428999999999998</v>
      </c>
      <c r="M26" s="218" t="s">
        <v>589</v>
      </c>
      <c r="N26" s="224"/>
      <c r="O26" s="218" t="s">
        <v>459</v>
      </c>
      <c r="P26" s="109">
        <v>174</v>
      </c>
      <c r="Q26" s="109">
        <v>163</v>
      </c>
      <c r="R26" s="109">
        <v>155</v>
      </c>
      <c r="S26" s="109">
        <v>147</v>
      </c>
      <c r="T26" s="109">
        <v>140</v>
      </c>
      <c r="W26" s="119" t="s">
        <v>506</v>
      </c>
      <c r="AB26" s="134" t="s">
        <v>479</v>
      </c>
      <c r="AC26" s="129">
        <v>3.6</v>
      </c>
      <c r="AD26" s="130">
        <v>1</v>
      </c>
      <c r="AE26" s="126"/>
    </row>
    <row r="27" spans="2:31" x14ac:dyDescent="0.3">
      <c r="B27" s="216" t="s">
        <v>558</v>
      </c>
      <c r="C27" s="216" t="str">
        <f t="shared" si="0"/>
        <v>TCARBDL901</v>
      </c>
      <c r="D27" s="216"/>
      <c r="E27" s="216" t="str">
        <f t="shared" si="1"/>
        <v>TCL-C</v>
      </c>
      <c r="F27" s="254">
        <f t="shared" si="11"/>
        <v>0.57471000000000005</v>
      </c>
      <c r="G27" s="254">
        <f t="shared" si="2"/>
        <v>0.61350000000000005</v>
      </c>
      <c r="H27" s="254">
        <f t="shared" si="3"/>
        <v>0.64515999999999996</v>
      </c>
      <c r="I27" s="254">
        <f t="shared" si="4"/>
        <v>0.68027000000000004</v>
      </c>
      <c r="J27" s="254">
        <f t="shared" si="5"/>
        <v>0.71428999999999998</v>
      </c>
      <c r="M27" s="218" t="s">
        <v>227</v>
      </c>
      <c r="N27" s="224"/>
      <c r="O27" s="218" t="s">
        <v>304</v>
      </c>
      <c r="P27" s="109">
        <v>174</v>
      </c>
      <c r="Q27" s="109">
        <v>163</v>
      </c>
      <c r="R27" s="109">
        <v>155</v>
      </c>
      <c r="S27" s="109">
        <v>147</v>
      </c>
      <c r="T27" s="109">
        <v>140</v>
      </c>
      <c r="W27" s="119" t="s">
        <v>506</v>
      </c>
      <c r="AB27" s="134"/>
      <c r="AC27" s="126"/>
      <c r="AD27" s="126"/>
      <c r="AE27" s="126"/>
    </row>
    <row r="28" spans="2:31" x14ac:dyDescent="0.3">
      <c r="B28" s="216" t="s">
        <v>558</v>
      </c>
      <c r="C28" s="216" t="str">
        <f t="shared" si="0"/>
        <v>TCARDST101</v>
      </c>
      <c r="D28" s="220"/>
      <c r="E28" s="216" t="str">
        <f t="shared" si="1"/>
        <v>TCL</v>
      </c>
      <c r="F28" s="254">
        <f t="shared" si="11"/>
        <v>0.57471000000000005</v>
      </c>
      <c r="G28" s="254">
        <f t="shared" si="2"/>
        <v>0.61350000000000005</v>
      </c>
      <c r="H28" s="254">
        <f t="shared" si="3"/>
        <v>0.64515999999999996</v>
      </c>
      <c r="I28" s="254">
        <f t="shared" si="4"/>
        <v>0.68027000000000004</v>
      </c>
      <c r="J28" s="254">
        <f t="shared" si="5"/>
        <v>0.71428999999999998</v>
      </c>
      <c r="M28" s="218" t="s">
        <v>47</v>
      </c>
      <c r="N28" s="218"/>
      <c r="O28" s="218" t="s">
        <v>45</v>
      </c>
      <c r="P28" s="109">
        <v>174</v>
      </c>
      <c r="Q28" s="109">
        <v>163</v>
      </c>
      <c r="R28" s="109">
        <v>155</v>
      </c>
      <c r="S28" s="109">
        <v>147</v>
      </c>
      <c r="T28" s="109">
        <v>140</v>
      </c>
      <c r="W28" s="119" t="s">
        <v>309</v>
      </c>
    </row>
    <row r="29" spans="2:31" x14ac:dyDescent="0.3">
      <c r="B29" s="216" t="s">
        <v>558</v>
      </c>
      <c r="C29" s="216" t="str">
        <f t="shared" si="0"/>
        <v>TCARDST101P</v>
      </c>
      <c r="D29" s="220"/>
      <c r="E29" s="216" t="str">
        <f t="shared" si="1"/>
        <v>TCL-P</v>
      </c>
      <c r="F29" s="254">
        <f t="shared" si="11"/>
        <v>0.57471000000000005</v>
      </c>
      <c r="G29" s="254">
        <f t="shared" si="2"/>
        <v>0.61350000000000005</v>
      </c>
      <c r="H29" s="254">
        <f t="shared" si="3"/>
        <v>0.64515999999999996</v>
      </c>
      <c r="I29" s="254">
        <f t="shared" si="4"/>
        <v>0.68027000000000004</v>
      </c>
      <c r="J29" s="254">
        <f t="shared" si="5"/>
        <v>0.71428999999999998</v>
      </c>
      <c r="M29" s="218" t="s">
        <v>578</v>
      </c>
      <c r="N29" s="218"/>
      <c r="O29" s="218" t="s">
        <v>459</v>
      </c>
      <c r="P29" s="109">
        <v>174</v>
      </c>
      <c r="Q29" s="109">
        <v>163</v>
      </c>
      <c r="R29" s="109">
        <v>155</v>
      </c>
      <c r="S29" s="109">
        <v>147</v>
      </c>
      <c r="T29" s="109">
        <v>140</v>
      </c>
      <c r="W29" s="119" t="s">
        <v>506</v>
      </c>
    </row>
    <row r="30" spans="2:31" x14ac:dyDescent="0.3">
      <c r="B30" s="216" t="s">
        <v>558</v>
      </c>
      <c r="C30" s="216" t="str">
        <f t="shared" si="0"/>
        <v>TCARDST901</v>
      </c>
      <c r="D30" s="220"/>
      <c r="E30" s="216" t="str">
        <f t="shared" si="1"/>
        <v>TCL-C</v>
      </c>
      <c r="F30" s="254">
        <f t="shared" si="11"/>
        <v>0.57471000000000005</v>
      </c>
      <c r="G30" s="254">
        <f t="shared" si="2"/>
        <v>0.61350000000000005</v>
      </c>
      <c r="H30" s="254">
        <f t="shared" si="3"/>
        <v>0.64515999999999996</v>
      </c>
      <c r="I30" s="254">
        <f t="shared" si="4"/>
        <v>0.68027000000000004</v>
      </c>
      <c r="J30" s="254">
        <f t="shared" si="5"/>
        <v>0.71428999999999998</v>
      </c>
      <c r="M30" s="218" t="s">
        <v>228</v>
      </c>
      <c r="N30" s="218"/>
      <c r="O30" s="218" t="s">
        <v>304</v>
      </c>
      <c r="P30" s="109">
        <v>174</v>
      </c>
      <c r="Q30" s="109">
        <v>163</v>
      </c>
      <c r="R30" s="109">
        <v>155</v>
      </c>
      <c r="S30" s="109">
        <v>147</v>
      </c>
      <c r="T30" s="109">
        <v>140</v>
      </c>
      <c r="W30" s="119" t="s">
        <v>506</v>
      </c>
    </row>
    <row r="31" spans="2:31" x14ac:dyDescent="0.3">
      <c r="B31" s="216" t="s">
        <v>558</v>
      </c>
      <c r="C31" s="216" t="str">
        <f t="shared" si="0"/>
        <v>TCARELC101</v>
      </c>
      <c r="D31" s="220"/>
      <c r="E31" s="216" t="str">
        <f t="shared" si="1"/>
        <v>TCL</v>
      </c>
      <c r="F31" s="254">
        <f t="shared" si="11"/>
        <v>1.2987</v>
      </c>
      <c r="G31" s="254">
        <f t="shared" si="2"/>
        <v>1.2987</v>
      </c>
      <c r="H31" s="254">
        <f t="shared" si="3"/>
        <v>1.3698600000000001</v>
      </c>
      <c r="I31" s="254">
        <f t="shared" si="4"/>
        <v>1.4285699999999999</v>
      </c>
      <c r="J31" s="254">
        <f t="shared" si="5"/>
        <v>1.51515</v>
      </c>
      <c r="M31" s="218" t="s">
        <v>49</v>
      </c>
      <c r="N31" s="218"/>
      <c r="O31" s="218" t="s">
        <v>45</v>
      </c>
      <c r="P31" s="109">
        <v>77</v>
      </c>
      <c r="Q31" s="109">
        <v>77</v>
      </c>
      <c r="R31" s="109">
        <v>73</v>
      </c>
      <c r="S31" s="109">
        <v>70</v>
      </c>
      <c r="T31" s="109">
        <v>66</v>
      </c>
      <c r="W31" s="119" t="s">
        <v>309</v>
      </c>
    </row>
    <row r="32" spans="2:31" x14ac:dyDescent="0.3">
      <c r="B32" s="216" t="s">
        <v>558</v>
      </c>
      <c r="C32" s="216" t="str">
        <f t="shared" si="0"/>
        <v>TCARELC101P</v>
      </c>
      <c r="D32" s="220"/>
      <c r="E32" s="216" t="str">
        <f t="shared" si="1"/>
        <v>TCL-P</v>
      </c>
      <c r="F32" s="254">
        <f t="shared" si="11"/>
        <v>1.2987</v>
      </c>
      <c r="G32" s="254">
        <f t="shared" si="2"/>
        <v>1.2987</v>
      </c>
      <c r="H32" s="254">
        <f t="shared" si="3"/>
        <v>1.3698600000000001</v>
      </c>
      <c r="I32" s="254">
        <f t="shared" si="4"/>
        <v>1.4285699999999999</v>
      </c>
      <c r="J32" s="254">
        <f t="shared" si="5"/>
        <v>1.51515</v>
      </c>
      <c r="M32" s="218" t="s">
        <v>579</v>
      </c>
      <c r="N32" s="218"/>
      <c r="O32" s="218" t="s">
        <v>459</v>
      </c>
      <c r="P32" s="109">
        <v>77</v>
      </c>
      <c r="Q32" s="109">
        <v>77</v>
      </c>
      <c r="R32" s="109">
        <v>73</v>
      </c>
      <c r="S32" s="109">
        <v>70</v>
      </c>
      <c r="T32" s="109">
        <v>66</v>
      </c>
      <c r="W32" s="119" t="s">
        <v>507</v>
      </c>
    </row>
    <row r="33" spans="2:23" x14ac:dyDescent="0.3">
      <c r="B33" s="216" t="s">
        <v>558</v>
      </c>
      <c r="C33" s="216" t="str">
        <f t="shared" si="0"/>
        <v>TCARELC901</v>
      </c>
      <c r="D33" s="220"/>
      <c r="E33" s="216" t="str">
        <f t="shared" si="1"/>
        <v>TCL-C</v>
      </c>
      <c r="F33" s="254">
        <f t="shared" si="11"/>
        <v>1.2987</v>
      </c>
      <c r="G33" s="254">
        <f t="shared" si="2"/>
        <v>1.2987</v>
      </c>
      <c r="H33" s="254">
        <f t="shared" si="3"/>
        <v>1.3698600000000001</v>
      </c>
      <c r="I33" s="254">
        <f t="shared" si="4"/>
        <v>1.4285699999999999</v>
      </c>
      <c r="J33" s="254">
        <f t="shared" si="5"/>
        <v>1.51515</v>
      </c>
      <c r="M33" s="218" t="s">
        <v>230</v>
      </c>
      <c r="N33" s="218"/>
      <c r="O33" s="218" t="s">
        <v>304</v>
      </c>
      <c r="P33" s="109">
        <v>77</v>
      </c>
      <c r="Q33" s="109">
        <v>77</v>
      </c>
      <c r="R33" s="109">
        <v>73</v>
      </c>
      <c r="S33" s="109">
        <v>70</v>
      </c>
      <c r="T33" s="109">
        <v>66</v>
      </c>
      <c r="W33" s="119" t="s">
        <v>507</v>
      </c>
    </row>
    <row r="34" spans="2:23" x14ac:dyDescent="0.3">
      <c r="B34" s="216" t="s">
        <v>558</v>
      </c>
      <c r="C34" s="216" t="str">
        <f t="shared" si="0"/>
        <v>TCARETH101</v>
      </c>
      <c r="D34" s="220"/>
      <c r="E34" s="216" t="str">
        <f t="shared" si="1"/>
        <v>TCL</v>
      </c>
      <c r="F34" s="254">
        <f t="shared" si="11"/>
        <v>0.51812999999999998</v>
      </c>
      <c r="G34" s="254">
        <f t="shared" si="2"/>
        <v>0.55249000000000004</v>
      </c>
      <c r="H34" s="254">
        <f t="shared" si="3"/>
        <v>0.58140000000000003</v>
      </c>
      <c r="I34" s="254">
        <f t="shared" si="4"/>
        <v>0.61350000000000005</v>
      </c>
      <c r="J34" s="254">
        <f t="shared" si="5"/>
        <v>0.64515999999999996</v>
      </c>
      <c r="M34" s="218" t="s">
        <v>50</v>
      </c>
      <c r="N34" s="218"/>
      <c r="O34" s="218" t="s">
        <v>45</v>
      </c>
      <c r="P34" s="109">
        <v>193</v>
      </c>
      <c r="Q34" s="109">
        <v>181</v>
      </c>
      <c r="R34" s="109">
        <v>172</v>
      </c>
      <c r="S34" s="109">
        <v>163</v>
      </c>
      <c r="T34" s="109">
        <v>155</v>
      </c>
      <c r="W34" s="119" t="s">
        <v>468</v>
      </c>
    </row>
    <row r="35" spans="2:23" x14ac:dyDescent="0.3">
      <c r="B35" s="216" t="s">
        <v>558</v>
      </c>
      <c r="C35" s="216" t="str">
        <f t="shared" si="0"/>
        <v>TCARETH101P</v>
      </c>
      <c r="D35" s="220"/>
      <c r="E35" s="216" t="str">
        <f t="shared" si="1"/>
        <v>TCL-P</v>
      </c>
      <c r="F35" s="254">
        <f t="shared" si="11"/>
        <v>0.51812999999999998</v>
      </c>
      <c r="G35" s="254">
        <f t="shared" si="2"/>
        <v>0.55249000000000004</v>
      </c>
      <c r="H35" s="254">
        <f t="shared" si="3"/>
        <v>0.58140000000000003</v>
      </c>
      <c r="I35" s="254">
        <f t="shared" si="4"/>
        <v>0.61350000000000005</v>
      </c>
      <c r="J35" s="254">
        <f t="shared" si="5"/>
        <v>0.64515999999999996</v>
      </c>
      <c r="M35" s="218" t="s">
        <v>580</v>
      </c>
      <c r="N35" s="218"/>
      <c r="O35" s="218" t="s">
        <v>459</v>
      </c>
      <c r="P35" s="109">
        <v>193</v>
      </c>
      <c r="Q35" s="109">
        <v>181</v>
      </c>
      <c r="R35" s="109">
        <v>172</v>
      </c>
      <c r="S35" s="109">
        <v>163</v>
      </c>
      <c r="T35" s="109">
        <v>155</v>
      </c>
      <c r="W35" s="119" t="s">
        <v>433</v>
      </c>
    </row>
    <row r="36" spans="2:23" x14ac:dyDescent="0.3">
      <c r="B36" s="216" t="s">
        <v>558</v>
      </c>
      <c r="C36" s="216" t="str">
        <f t="shared" si="0"/>
        <v>TCARETH901</v>
      </c>
      <c r="D36" s="216"/>
      <c r="E36" s="216" t="str">
        <f t="shared" si="1"/>
        <v>TCL-C</v>
      </c>
      <c r="F36" s="254">
        <f t="shared" si="11"/>
        <v>0.51812999999999998</v>
      </c>
      <c r="G36" s="254">
        <f t="shared" si="2"/>
        <v>0.55249000000000004</v>
      </c>
      <c r="H36" s="254">
        <f t="shared" si="3"/>
        <v>0.58140000000000003</v>
      </c>
      <c r="I36" s="254">
        <f t="shared" si="4"/>
        <v>0.61350000000000005</v>
      </c>
      <c r="J36" s="254">
        <f t="shared" si="5"/>
        <v>0.64515999999999996</v>
      </c>
      <c r="M36" s="218" t="s">
        <v>232</v>
      </c>
      <c r="N36" s="218"/>
      <c r="O36" s="218" t="s">
        <v>304</v>
      </c>
      <c r="P36" s="109">
        <v>193</v>
      </c>
      <c r="Q36" s="109">
        <v>181</v>
      </c>
      <c r="R36" s="109">
        <v>172</v>
      </c>
      <c r="S36" s="109">
        <v>163</v>
      </c>
      <c r="T36" s="109">
        <v>155</v>
      </c>
      <c r="W36" s="119" t="s">
        <v>433</v>
      </c>
    </row>
    <row r="37" spans="2:23" x14ac:dyDescent="0.3">
      <c r="B37" s="216" t="s">
        <v>558</v>
      </c>
      <c r="C37" s="216" t="str">
        <f t="shared" si="0"/>
        <v>TCARGAS101</v>
      </c>
      <c r="D37" s="216"/>
      <c r="E37" s="216" t="str">
        <f t="shared" si="1"/>
        <v>TCL</v>
      </c>
      <c r="F37" s="254">
        <f t="shared" si="11"/>
        <v>0.51812999999999998</v>
      </c>
      <c r="G37" s="254">
        <f t="shared" si="2"/>
        <v>0.55249000000000004</v>
      </c>
      <c r="H37" s="254">
        <f t="shared" si="3"/>
        <v>0.58140000000000003</v>
      </c>
      <c r="I37" s="254">
        <f t="shared" si="4"/>
        <v>0.61350000000000005</v>
      </c>
      <c r="J37" s="254">
        <f t="shared" si="5"/>
        <v>0.64515999999999996</v>
      </c>
      <c r="M37" s="218" t="s">
        <v>52</v>
      </c>
      <c r="N37" s="218"/>
      <c r="O37" s="218" t="s">
        <v>45</v>
      </c>
      <c r="P37" s="109">
        <v>193</v>
      </c>
      <c r="Q37" s="109">
        <v>181</v>
      </c>
      <c r="R37" s="109">
        <v>172</v>
      </c>
      <c r="S37" s="109">
        <v>163</v>
      </c>
      <c r="T37" s="109">
        <v>155</v>
      </c>
      <c r="W37" s="119" t="s">
        <v>309</v>
      </c>
    </row>
    <row r="38" spans="2:23" x14ac:dyDescent="0.3">
      <c r="B38" s="216" t="s">
        <v>558</v>
      </c>
      <c r="C38" s="216" t="str">
        <f t="shared" si="0"/>
        <v>TCARGAS101P</v>
      </c>
      <c r="D38" s="216"/>
      <c r="E38" s="216" t="str">
        <f t="shared" si="1"/>
        <v>TCL-P</v>
      </c>
      <c r="F38" s="254">
        <f t="shared" si="11"/>
        <v>0.51812999999999998</v>
      </c>
      <c r="G38" s="254">
        <f t="shared" si="2"/>
        <v>0.55249000000000004</v>
      </c>
      <c r="H38" s="254">
        <f t="shared" si="3"/>
        <v>0.58140000000000003</v>
      </c>
      <c r="I38" s="254">
        <f t="shared" si="4"/>
        <v>0.61350000000000005</v>
      </c>
      <c r="J38" s="254">
        <f t="shared" si="5"/>
        <v>0.64515999999999996</v>
      </c>
      <c r="M38" s="218" t="s">
        <v>581</v>
      </c>
      <c r="N38" s="218"/>
      <c r="O38" s="218" t="s">
        <v>459</v>
      </c>
      <c r="P38" s="109">
        <v>193</v>
      </c>
      <c r="Q38" s="109">
        <v>181</v>
      </c>
      <c r="R38" s="109">
        <v>172</v>
      </c>
      <c r="S38" s="109">
        <v>163</v>
      </c>
      <c r="T38" s="109">
        <v>155</v>
      </c>
      <c r="W38" s="119" t="s">
        <v>467</v>
      </c>
    </row>
    <row r="39" spans="2:23" x14ac:dyDescent="0.3">
      <c r="B39" s="216" t="s">
        <v>558</v>
      </c>
      <c r="C39" s="216" t="str">
        <f t="shared" si="0"/>
        <v>TCARGAS901</v>
      </c>
      <c r="D39" s="216"/>
      <c r="E39" s="216" t="str">
        <f t="shared" si="1"/>
        <v>TCL-C</v>
      </c>
      <c r="F39" s="254">
        <f t="shared" si="11"/>
        <v>0.51812999999999998</v>
      </c>
      <c r="G39" s="254">
        <f t="shared" si="2"/>
        <v>0.55249000000000004</v>
      </c>
      <c r="H39" s="254">
        <f t="shared" si="3"/>
        <v>0.58140000000000003</v>
      </c>
      <c r="I39" s="254">
        <f t="shared" si="4"/>
        <v>0.61350000000000005</v>
      </c>
      <c r="J39" s="254">
        <f t="shared" si="5"/>
        <v>0.64515999999999996</v>
      </c>
      <c r="M39" s="218" t="s">
        <v>234</v>
      </c>
      <c r="N39" s="218"/>
      <c r="O39" s="218" t="s">
        <v>304</v>
      </c>
      <c r="P39" s="109">
        <v>193</v>
      </c>
      <c r="Q39" s="109">
        <v>181</v>
      </c>
      <c r="R39" s="109">
        <v>172</v>
      </c>
      <c r="S39" s="109">
        <v>163</v>
      </c>
      <c r="T39" s="109">
        <v>155</v>
      </c>
      <c r="W39" s="119" t="s">
        <v>467</v>
      </c>
    </row>
    <row r="40" spans="2:23" x14ac:dyDescent="0.3">
      <c r="B40" s="216" t="s">
        <v>558</v>
      </c>
      <c r="C40" s="216" t="str">
        <f t="shared" si="0"/>
        <v>TCARGSL101</v>
      </c>
      <c r="D40" s="216"/>
      <c r="E40" s="216" t="str">
        <f t="shared" ref="E40:E71" si="12">O40</f>
        <v>TCL</v>
      </c>
      <c r="F40" s="254">
        <f t="shared" si="11"/>
        <v>0.51812999999999998</v>
      </c>
      <c r="G40" s="254">
        <f t="shared" si="2"/>
        <v>0.55249000000000004</v>
      </c>
      <c r="H40" s="254">
        <f t="shared" si="3"/>
        <v>0.58140000000000003</v>
      </c>
      <c r="I40" s="254">
        <f t="shared" si="4"/>
        <v>0.61350000000000005</v>
      </c>
      <c r="J40" s="254">
        <f t="shared" si="5"/>
        <v>0.64515999999999996</v>
      </c>
      <c r="M40" s="218" t="s">
        <v>55</v>
      </c>
      <c r="N40" s="218"/>
      <c r="O40" s="218" t="s">
        <v>45</v>
      </c>
      <c r="P40" s="109">
        <v>193</v>
      </c>
      <c r="Q40" s="109">
        <v>181</v>
      </c>
      <c r="R40" s="109">
        <v>172</v>
      </c>
      <c r="S40" s="109">
        <v>163</v>
      </c>
      <c r="T40" s="109">
        <v>155</v>
      </c>
      <c r="W40" s="119" t="s">
        <v>309</v>
      </c>
    </row>
    <row r="41" spans="2:23" x14ac:dyDescent="0.3">
      <c r="B41" s="216" t="s">
        <v>558</v>
      </c>
      <c r="C41" s="216" t="str">
        <f t="shared" si="0"/>
        <v>TCARGSL101P</v>
      </c>
      <c r="D41" s="216"/>
      <c r="E41" s="216" t="str">
        <f t="shared" si="12"/>
        <v>TCL-P</v>
      </c>
      <c r="F41" s="254">
        <f t="shared" si="11"/>
        <v>0.51812999999999998</v>
      </c>
      <c r="G41" s="254">
        <f t="shared" si="2"/>
        <v>0.55249000000000004</v>
      </c>
      <c r="H41" s="254">
        <f t="shared" si="3"/>
        <v>0.58140000000000003</v>
      </c>
      <c r="I41" s="254">
        <f t="shared" si="4"/>
        <v>0.61350000000000005</v>
      </c>
      <c r="J41" s="254">
        <f t="shared" si="5"/>
        <v>0.64515999999999996</v>
      </c>
      <c r="M41" s="218" t="s">
        <v>582</v>
      </c>
      <c r="N41" s="218"/>
      <c r="O41" s="218" t="s">
        <v>459</v>
      </c>
      <c r="P41" s="110">
        <v>193</v>
      </c>
      <c r="Q41" s="110">
        <v>181</v>
      </c>
      <c r="R41" s="110">
        <v>172</v>
      </c>
      <c r="S41" s="110">
        <v>163</v>
      </c>
      <c r="T41" s="110">
        <v>155</v>
      </c>
      <c r="W41" s="119"/>
    </row>
    <row r="42" spans="2:23" x14ac:dyDescent="0.3">
      <c r="B42" s="216" t="s">
        <v>558</v>
      </c>
      <c r="C42" s="216" t="str">
        <f t="shared" ref="C42:C73" si="13">M42</f>
        <v>TCARGSL901</v>
      </c>
      <c r="D42" s="216"/>
      <c r="E42" s="216" t="str">
        <f t="shared" si="12"/>
        <v>TCL-C</v>
      </c>
      <c r="F42" s="254">
        <f t="shared" si="11"/>
        <v>0.51812999999999998</v>
      </c>
      <c r="G42" s="254">
        <f t="shared" si="2"/>
        <v>0.55249000000000004</v>
      </c>
      <c r="H42" s="254">
        <f t="shared" si="3"/>
        <v>0.58140000000000003</v>
      </c>
      <c r="I42" s="254">
        <f t="shared" si="4"/>
        <v>0.61350000000000005</v>
      </c>
      <c r="J42" s="254">
        <f t="shared" si="5"/>
        <v>0.64515999999999996</v>
      </c>
      <c r="M42" s="218" t="s">
        <v>236</v>
      </c>
      <c r="N42" s="218"/>
      <c r="O42" s="218" t="s">
        <v>304</v>
      </c>
      <c r="P42" s="109">
        <v>193</v>
      </c>
      <c r="Q42" s="109">
        <v>181</v>
      </c>
      <c r="R42" s="109">
        <v>172</v>
      </c>
      <c r="S42" s="109">
        <v>163</v>
      </c>
      <c r="T42" s="109">
        <v>155</v>
      </c>
      <c r="W42" s="119" t="s">
        <v>309</v>
      </c>
    </row>
    <row r="43" spans="2:23" x14ac:dyDescent="0.3">
      <c r="B43" s="216" t="s">
        <v>558</v>
      </c>
      <c r="C43" s="216" t="str">
        <f t="shared" si="13"/>
        <v>TCARHFC101</v>
      </c>
      <c r="D43" s="216"/>
      <c r="E43" s="216" t="str">
        <f t="shared" si="12"/>
        <v>TCL</v>
      </c>
      <c r="F43" s="254">
        <f t="shared" si="11"/>
        <v>0.98038999999999998</v>
      </c>
      <c r="G43" s="254">
        <f t="shared" si="2"/>
        <v>0.98038999999999998</v>
      </c>
      <c r="H43" s="254">
        <f t="shared" si="3"/>
        <v>1.0869599999999999</v>
      </c>
      <c r="I43" s="254">
        <f t="shared" si="4"/>
        <v>1.20482</v>
      </c>
      <c r="J43" s="254">
        <f t="shared" si="5"/>
        <v>1.2658199999999999</v>
      </c>
      <c r="M43" s="218" t="s">
        <v>56</v>
      </c>
      <c r="N43" s="218"/>
      <c r="O43" s="218" t="s">
        <v>45</v>
      </c>
      <c r="P43" s="110">
        <v>102</v>
      </c>
      <c r="Q43" s="110">
        <v>102</v>
      </c>
      <c r="R43" s="110">
        <v>92</v>
      </c>
      <c r="S43" s="110">
        <v>83</v>
      </c>
      <c r="T43" s="110">
        <v>79</v>
      </c>
      <c r="W43" s="119" t="s">
        <v>309</v>
      </c>
    </row>
    <row r="44" spans="2:23" x14ac:dyDescent="0.3">
      <c r="B44" s="216" t="s">
        <v>558</v>
      </c>
      <c r="C44" s="216" t="str">
        <f t="shared" si="13"/>
        <v>TCARHFC101P</v>
      </c>
      <c r="D44" s="216"/>
      <c r="E44" s="216" t="str">
        <f t="shared" si="12"/>
        <v>TCL-P</v>
      </c>
      <c r="F44" s="254">
        <f t="shared" si="11"/>
        <v>0.98038999999999998</v>
      </c>
      <c r="G44" s="254">
        <f t="shared" si="2"/>
        <v>0.98038999999999998</v>
      </c>
      <c r="H44" s="254">
        <f t="shared" si="3"/>
        <v>1.0869599999999999</v>
      </c>
      <c r="I44" s="254">
        <f t="shared" si="4"/>
        <v>1.20482</v>
      </c>
      <c r="J44" s="254">
        <f t="shared" si="5"/>
        <v>1.2658199999999999</v>
      </c>
      <c r="M44" s="218" t="s">
        <v>583</v>
      </c>
      <c r="N44" s="218"/>
      <c r="O44" s="218" t="s">
        <v>459</v>
      </c>
      <c r="P44" s="110">
        <v>102</v>
      </c>
      <c r="Q44" s="110">
        <v>102</v>
      </c>
      <c r="R44" s="110">
        <v>92</v>
      </c>
      <c r="S44" s="110">
        <v>83</v>
      </c>
      <c r="T44" s="110">
        <v>79</v>
      </c>
      <c r="W44" s="119"/>
    </row>
    <row r="45" spans="2:23" x14ac:dyDescent="0.3">
      <c r="B45" s="216" t="s">
        <v>558</v>
      </c>
      <c r="C45" s="216" t="str">
        <f t="shared" si="13"/>
        <v>TCARHFC901</v>
      </c>
      <c r="D45" s="220"/>
      <c r="E45" s="216" t="str">
        <f t="shared" si="12"/>
        <v>TCL-C</v>
      </c>
      <c r="F45" s="254">
        <f t="shared" si="11"/>
        <v>0.98038999999999998</v>
      </c>
      <c r="G45" s="254">
        <f t="shared" si="2"/>
        <v>0.98038999999999998</v>
      </c>
      <c r="H45" s="254">
        <f t="shared" si="3"/>
        <v>1.0869599999999999</v>
      </c>
      <c r="I45" s="254">
        <f t="shared" si="4"/>
        <v>1.20482</v>
      </c>
      <c r="J45" s="254">
        <f t="shared" si="5"/>
        <v>1.2658199999999999</v>
      </c>
      <c r="M45" s="218" t="s">
        <v>238</v>
      </c>
      <c r="N45" s="224"/>
      <c r="O45" s="218" t="s">
        <v>304</v>
      </c>
      <c r="P45" s="110">
        <v>102</v>
      </c>
      <c r="Q45" s="110">
        <v>102</v>
      </c>
      <c r="R45" s="110">
        <v>92</v>
      </c>
      <c r="S45" s="110">
        <v>83</v>
      </c>
      <c r="T45" s="110">
        <v>79</v>
      </c>
      <c r="W45" s="119" t="s">
        <v>309</v>
      </c>
    </row>
    <row r="46" spans="2:23" x14ac:dyDescent="0.3">
      <c r="B46" s="216" t="s">
        <v>558</v>
      </c>
      <c r="C46" s="216" t="str">
        <f t="shared" si="13"/>
        <v>TCARHYD101</v>
      </c>
      <c r="D46" s="220"/>
      <c r="E46" s="216" t="str">
        <f t="shared" si="12"/>
        <v>TCL</v>
      </c>
      <c r="F46" s="254">
        <f t="shared" si="11"/>
        <v>0.70921999999999996</v>
      </c>
      <c r="G46" s="254">
        <f t="shared" si="2"/>
        <v>0.74626999999999999</v>
      </c>
      <c r="H46" s="254">
        <f t="shared" si="3"/>
        <v>0.82645000000000002</v>
      </c>
      <c r="I46" s="254">
        <f t="shared" si="4"/>
        <v>0.91742999999999997</v>
      </c>
      <c r="J46" s="254">
        <f t="shared" si="5"/>
        <v>1.02041</v>
      </c>
      <c r="M46" s="218" t="s">
        <v>58</v>
      </c>
      <c r="N46" s="218"/>
      <c r="O46" s="218" t="s">
        <v>45</v>
      </c>
      <c r="P46" s="110">
        <v>141</v>
      </c>
      <c r="Q46" s="110">
        <v>134</v>
      </c>
      <c r="R46" s="110">
        <v>121</v>
      </c>
      <c r="S46" s="110">
        <v>109</v>
      </c>
      <c r="T46" s="110">
        <v>98</v>
      </c>
      <c r="W46" s="119" t="s">
        <v>309</v>
      </c>
    </row>
    <row r="47" spans="2:23" x14ac:dyDescent="0.3">
      <c r="B47" s="216" t="s">
        <v>558</v>
      </c>
      <c r="C47" s="216" t="str">
        <f t="shared" si="13"/>
        <v>TCARHYD101P</v>
      </c>
      <c r="D47" s="220"/>
      <c r="E47" s="216" t="str">
        <f t="shared" si="12"/>
        <v>TCL-P</v>
      </c>
      <c r="F47" s="254">
        <f t="shared" si="11"/>
        <v>0.70921999999999996</v>
      </c>
      <c r="G47" s="254">
        <f t="shared" si="2"/>
        <v>0.74626999999999999</v>
      </c>
      <c r="H47" s="254">
        <f t="shared" si="3"/>
        <v>0.82645000000000002</v>
      </c>
      <c r="I47" s="254">
        <f t="shared" si="4"/>
        <v>0.91742999999999997</v>
      </c>
      <c r="J47" s="254">
        <f t="shared" si="5"/>
        <v>1.02041</v>
      </c>
      <c r="M47" s="218" t="s">
        <v>584</v>
      </c>
      <c r="N47" s="218"/>
      <c r="O47" s="218" t="s">
        <v>459</v>
      </c>
      <c r="P47" s="110">
        <v>141</v>
      </c>
      <c r="Q47" s="110">
        <v>134</v>
      </c>
      <c r="R47" s="110">
        <v>121</v>
      </c>
      <c r="S47" s="110">
        <v>109</v>
      </c>
      <c r="T47" s="110">
        <v>98</v>
      </c>
      <c r="W47" s="119"/>
    </row>
    <row r="48" spans="2:23" x14ac:dyDescent="0.3">
      <c r="B48" s="216" t="s">
        <v>558</v>
      </c>
      <c r="C48" s="216" t="str">
        <f t="shared" si="13"/>
        <v>TCARHYD901</v>
      </c>
      <c r="D48" s="220"/>
      <c r="E48" s="216" t="str">
        <f t="shared" si="12"/>
        <v>TCL-C</v>
      </c>
      <c r="F48" s="254">
        <f t="shared" si="11"/>
        <v>0.70921999999999996</v>
      </c>
      <c r="G48" s="254">
        <f t="shared" si="2"/>
        <v>0.74626999999999999</v>
      </c>
      <c r="H48" s="254">
        <f t="shared" si="3"/>
        <v>0.82645000000000002</v>
      </c>
      <c r="I48" s="254">
        <f t="shared" si="4"/>
        <v>0.91742999999999997</v>
      </c>
      <c r="J48" s="254">
        <f t="shared" si="5"/>
        <v>1.02041</v>
      </c>
      <c r="M48" s="218" t="s">
        <v>240</v>
      </c>
      <c r="N48" s="218"/>
      <c r="O48" s="218" t="s">
        <v>304</v>
      </c>
      <c r="P48" s="110">
        <v>141</v>
      </c>
      <c r="Q48" s="110">
        <v>134</v>
      </c>
      <c r="R48" s="110">
        <v>121</v>
      </c>
      <c r="S48" s="110">
        <v>109</v>
      </c>
      <c r="T48" s="110">
        <v>98</v>
      </c>
      <c r="W48" s="119" t="s">
        <v>309</v>
      </c>
    </row>
    <row r="49" spans="2:23" x14ac:dyDescent="0.3">
      <c r="B49" s="216" t="s">
        <v>558</v>
      </c>
      <c r="C49" s="216" t="str">
        <f t="shared" si="13"/>
        <v>TCARHYG101</v>
      </c>
      <c r="D49" s="220"/>
      <c r="E49" s="216" t="str">
        <f t="shared" si="12"/>
        <v>TCL</v>
      </c>
      <c r="F49" s="254">
        <f t="shared" si="11"/>
        <v>0.63693999999999995</v>
      </c>
      <c r="G49" s="254">
        <f t="shared" si="2"/>
        <v>0.67113999999999996</v>
      </c>
      <c r="H49" s="254">
        <f t="shared" si="3"/>
        <v>0.74626999999999999</v>
      </c>
      <c r="I49" s="254">
        <f t="shared" si="4"/>
        <v>0.82645000000000002</v>
      </c>
      <c r="J49" s="254">
        <f t="shared" si="5"/>
        <v>0.91742999999999997</v>
      </c>
      <c r="M49" s="218" t="s">
        <v>59</v>
      </c>
      <c r="N49" s="218"/>
      <c r="O49" s="218" t="s">
        <v>45</v>
      </c>
      <c r="P49" s="110">
        <v>157</v>
      </c>
      <c r="Q49" s="110">
        <v>149</v>
      </c>
      <c r="R49" s="110">
        <v>134</v>
      </c>
      <c r="S49" s="110">
        <v>121</v>
      </c>
      <c r="T49" s="110">
        <v>109</v>
      </c>
      <c r="W49" s="119" t="s">
        <v>309</v>
      </c>
    </row>
    <row r="50" spans="2:23" x14ac:dyDescent="0.3">
      <c r="B50" s="216" t="s">
        <v>558</v>
      </c>
      <c r="C50" s="216" t="str">
        <f t="shared" si="13"/>
        <v>TCARHYG101P</v>
      </c>
      <c r="D50" s="220"/>
      <c r="E50" s="216" t="str">
        <f t="shared" si="12"/>
        <v>TCL-P</v>
      </c>
      <c r="F50" s="254">
        <f t="shared" si="11"/>
        <v>0.63693999999999995</v>
      </c>
      <c r="G50" s="254">
        <f t="shared" si="2"/>
        <v>0.67113999999999996</v>
      </c>
      <c r="H50" s="254">
        <f t="shared" si="3"/>
        <v>0.74626999999999999</v>
      </c>
      <c r="I50" s="254">
        <f t="shared" si="4"/>
        <v>0.82645000000000002</v>
      </c>
      <c r="J50" s="254">
        <f t="shared" si="5"/>
        <v>0.91742999999999997</v>
      </c>
      <c r="M50" s="218" t="s">
        <v>585</v>
      </c>
      <c r="N50" s="218"/>
      <c r="O50" s="218" t="s">
        <v>459</v>
      </c>
      <c r="P50" s="110">
        <v>157</v>
      </c>
      <c r="Q50" s="110">
        <v>149</v>
      </c>
      <c r="R50" s="110">
        <v>134</v>
      </c>
      <c r="S50" s="110">
        <v>121</v>
      </c>
      <c r="T50" s="110">
        <v>109</v>
      </c>
      <c r="W50" s="119"/>
    </row>
    <row r="51" spans="2:23" x14ac:dyDescent="0.3">
      <c r="B51" s="216" t="s">
        <v>558</v>
      </c>
      <c r="C51" s="216" t="str">
        <f t="shared" si="13"/>
        <v>TCARHYG901</v>
      </c>
      <c r="D51" s="220"/>
      <c r="E51" s="216" t="str">
        <f t="shared" si="12"/>
        <v>TCL-C</v>
      </c>
      <c r="F51" s="254">
        <f t="shared" si="11"/>
        <v>0.63693999999999995</v>
      </c>
      <c r="G51" s="254">
        <f t="shared" si="2"/>
        <v>0.67113999999999996</v>
      </c>
      <c r="H51" s="254">
        <f t="shared" si="3"/>
        <v>0.74626999999999999</v>
      </c>
      <c r="I51" s="254">
        <f t="shared" si="4"/>
        <v>0.82645000000000002</v>
      </c>
      <c r="J51" s="254">
        <f t="shared" si="5"/>
        <v>0.91742999999999997</v>
      </c>
      <c r="M51" s="218" t="s">
        <v>242</v>
      </c>
      <c r="N51" s="218"/>
      <c r="O51" s="218" t="s">
        <v>304</v>
      </c>
      <c r="P51" s="110">
        <v>157</v>
      </c>
      <c r="Q51" s="110">
        <v>149</v>
      </c>
      <c r="R51" s="110">
        <v>134</v>
      </c>
      <c r="S51" s="110">
        <v>121</v>
      </c>
      <c r="T51" s="110">
        <v>109</v>
      </c>
      <c r="W51" s="119" t="s">
        <v>309</v>
      </c>
    </row>
    <row r="52" spans="2:23" x14ac:dyDescent="0.3">
      <c r="B52" s="216" t="s">
        <v>558</v>
      </c>
      <c r="C52" s="216" t="str">
        <f t="shared" si="13"/>
        <v>TCARLPG101</v>
      </c>
      <c r="D52" s="216"/>
      <c r="E52" s="216" t="str">
        <f t="shared" si="12"/>
        <v>TCL</v>
      </c>
      <c r="F52" s="254">
        <f t="shared" si="11"/>
        <v>0.51812999999999998</v>
      </c>
      <c r="G52" s="254">
        <f t="shared" si="2"/>
        <v>0.55249000000000004</v>
      </c>
      <c r="H52" s="254">
        <f t="shared" si="3"/>
        <v>0.58140000000000003</v>
      </c>
      <c r="I52" s="254">
        <f t="shared" si="4"/>
        <v>0.61350000000000005</v>
      </c>
      <c r="J52" s="254">
        <f t="shared" si="5"/>
        <v>0.64515999999999996</v>
      </c>
      <c r="M52" s="218" t="s">
        <v>60</v>
      </c>
      <c r="N52" s="218"/>
      <c r="O52" s="218" t="s">
        <v>45</v>
      </c>
      <c r="P52" s="109">
        <v>193</v>
      </c>
      <c r="Q52" s="109">
        <v>181</v>
      </c>
      <c r="R52" s="109">
        <v>172</v>
      </c>
      <c r="S52" s="109">
        <v>163</v>
      </c>
      <c r="T52" s="109">
        <v>155</v>
      </c>
      <c r="W52" s="119" t="s">
        <v>309</v>
      </c>
    </row>
    <row r="53" spans="2:23" x14ac:dyDescent="0.3">
      <c r="B53" s="216" t="s">
        <v>558</v>
      </c>
      <c r="C53" s="216" t="str">
        <f t="shared" si="13"/>
        <v>TCARLPG101P</v>
      </c>
      <c r="D53" s="216"/>
      <c r="E53" s="216" t="str">
        <f t="shared" si="12"/>
        <v>TCL-P</v>
      </c>
      <c r="F53" s="254">
        <f t="shared" si="11"/>
        <v>0.51812999999999998</v>
      </c>
      <c r="G53" s="254">
        <f t="shared" si="2"/>
        <v>0.55249000000000004</v>
      </c>
      <c r="H53" s="254">
        <f t="shared" si="3"/>
        <v>0.58140000000000003</v>
      </c>
      <c r="I53" s="254">
        <f t="shared" si="4"/>
        <v>0.61350000000000005</v>
      </c>
      <c r="J53" s="254">
        <f t="shared" si="5"/>
        <v>0.64515999999999996</v>
      </c>
      <c r="M53" s="218" t="s">
        <v>586</v>
      </c>
      <c r="N53" s="218"/>
      <c r="O53" s="218" t="s">
        <v>459</v>
      </c>
      <c r="P53" s="109">
        <v>193</v>
      </c>
      <c r="Q53" s="109">
        <v>181</v>
      </c>
      <c r="R53" s="109">
        <v>172</v>
      </c>
      <c r="S53" s="109">
        <v>163</v>
      </c>
      <c r="T53" s="109">
        <v>155</v>
      </c>
      <c r="W53" s="119"/>
    </row>
    <row r="54" spans="2:23" x14ac:dyDescent="0.3">
      <c r="B54" s="216" t="s">
        <v>558</v>
      </c>
      <c r="C54" s="216" t="str">
        <f t="shared" si="13"/>
        <v>TCARLPG901</v>
      </c>
      <c r="D54" s="216"/>
      <c r="E54" s="216" t="str">
        <f t="shared" si="12"/>
        <v>TCL-C</v>
      </c>
      <c r="F54" s="254">
        <f t="shared" si="11"/>
        <v>0.51812999999999998</v>
      </c>
      <c r="G54" s="254">
        <f t="shared" si="2"/>
        <v>0.55249000000000004</v>
      </c>
      <c r="H54" s="254">
        <f t="shared" si="3"/>
        <v>0.58140000000000003</v>
      </c>
      <c r="I54" s="254">
        <f t="shared" si="4"/>
        <v>0.61350000000000005</v>
      </c>
      <c r="J54" s="254">
        <f t="shared" si="5"/>
        <v>0.64515999999999996</v>
      </c>
      <c r="M54" s="218" t="s">
        <v>244</v>
      </c>
      <c r="N54" s="218"/>
      <c r="O54" s="218" t="s">
        <v>304</v>
      </c>
      <c r="P54" s="109">
        <v>193</v>
      </c>
      <c r="Q54" s="109">
        <v>181</v>
      </c>
      <c r="R54" s="109">
        <v>172</v>
      </c>
      <c r="S54" s="109">
        <v>163</v>
      </c>
      <c r="T54" s="109">
        <v>155</v>
      </c>
      <c r="W54" s="119" t="s">
        <v>309</v>
      </c>
    </row>
    <row r="55" spans="2:23" x14ac:dyDescent="0.3">
      <c r="B55" s="216" t="s">
        <v>558</v>
      </c>
      <c r="C55" s="216" t="str">
        <f t="shared" si="13"/>
        <v>TCARMTH101</v>
      </c>
      <c r="D55" s="216"/>
      <c r="E55" s="216" t="str">
        <f t="shared" si="12"/>
        <v>TCL</v>
      </c>
      <c r="F55" s="254">
        <f t="shared" si="11"/>
        <v>0.51812999999999998</v>
      </c>
      <c r="G55" s="254">
        <f t="shared" si="2"/>
        <v>0.55249000000000004</v>
      </c>
      <c r="H55" s="254">
        <f t="shared" si="3"/>
        <v>0.58140000000000003</v>
      </c>
      <c r="I55" s="254">
        <f t="shared" si="4"/>
        <v>0.61350000000000005</v>
      </c>
      <c r="J55" s="254">
        <f t="shared" si="5"/>
        <v>0.64515999999999996</v>
      </c>
      <c r="M55" s="218" t="s">
        <v>601</v>
      </c>
      <c r="N55" s="224"/>
      <c r="O55" s="218" t="s">
        <v>45</v>
      </c>
      <c r="P55" s="109">
        <v>193</v>
      </c>
      <c r="Q55" s="109">
        <v>181</v>
      </c>
      <c r="R55" s="109">
        <v>172</v>
      </c>
      <c r="S55" s="109">
        <v>163</v>
      </c>
      <c r="T55" s="109">
        <v>155</v>
      </c>
      <c r="W55" s="119" t="s">
        <v>309</v>
      </c>
    </row>
    <row r="56" spans="2:23" x14ac:dyDescent="0.3">
      <c r="B56" s="216" t="s">
        <v>558</v>
      </c>
      <c r="C56" s="216" t="str">
        <f t="shared" si="13"/>
        <v>TCARMTH101P</v>
      </c>
      <c r="D56" s="216"/>
      <c r="E56" s="216" t="str">
        <f t="shared" si="12"/>
        <v>TCL-P</v>
      </c>
      <c r="F56" s="254">
        <f t="shared" si="11"/>
        <v>0.51812999999999998</v>
      </c>
      <c r="G56" s="254">
        <f t="shared" si="2"/>
        <v>0.55249000000000004</v>
      </c>
      <c r="H56" s="254">
        <f t="shared" si="3"/>
        <v>0.58140000000000003</v>
      </c>
      <c r="I56" s="254">
        <f t="shared" si="4"/>
        <v>0.61350000000000005</v>
      </c>
      <c r="J56" s="254">
        <f t="shared" si="5"/>
        <v>0.64515999999999996</v>
      </c>
      <c r="M56" s="218" t="s">
        <v>604</v>
      </c>
      <c r="N56" s="224"/>
      <c r="O56" s="218" t="s">
        <v>459</v>
      </c>
      <c r="P56" s="109">
        <v>193</v>
      </c>
      <c r="Q56" s="109">
        <v>181</v>
      </c>
      <c r="R56" s="109">
        <v>172</v>
      </c>
      <c r="S56" s="109">
        <v>163</v>
      </c>
      <c r="T56" s="109">
        <v>155</v>
      </c>
      <c r="W56" s="119"/>
    </row>
    <row r="57" spans="2:23" x14ac:dyDescent="0.3">
      <c r="B57" s="216" t="s">
        <v>558</v>
      </c>
      <c r="C57" s="216" t="str">
        <f t="shared" si="13"/>
        <v>TCARMTH901</v>
      </c>
      <c r="D57" s="216"/>
      <c r="E57" s="216" t="str">
        <f t="shared" si="12"/>
        <v>TCL-C</v>
      </c>
      <c r="F57" s="254">
        <f t="shared" si="11"/>
        <v>0.51812999999999998</v>
      </c>
      <c r="G57" s="254">
        <f t="shared" si="2"/>
        <v>0.55249000000000004</v>
      </c>
      <c r="H57" s="254">
        <f t="shared" si="3"/>
        <v>0.58140000000000003</v>
      </c>
      <c r="I57" s="254">
        <f t="shared" si="4"/>
        <v>0.61350000000000005</v>
      </c>
      <c r="J57" s="254">
        <f t="shared" si="5"/>
        <v>0.64515999999999996</v>
      </c>
      <c r="M57" s="224" t="s">
        <v>602</v>
      </c>
      <c r="N57" s="224"/>
      <c r="O57" s="218" t="s">
        <v>304</v>
      </c>
      <c r="P57" s="109">
        <v>193</v>
      </c>
      <c r="Q57" s="109">
        <v>181</v>
      </c>
      <c r="R57" s="109">
        <v>172</v>
      </c>
      <c r="S57" s="109">
        <v>163</v>
      </c>
      <c r="T57" s="109">
        <v>155</v>
      </c>
      <c r="W57" s="119" t="s">
        <v>309</v>
      </c>
    </row>
    <row r="58" spans="2:23" x14ac:dyDescent="0.3">
      <c r="B58" s="216" t="s">
        <v>558</v>
      </c>
      <c r="C58" s="216" t="str">
        <f t="shared" si="13"/>
        <v>TCARPYD101</v>
      </c>
      <c r="D58" s="216"/>
      <c r="E58" s="216" t="str">
        <f t="shared" si="12"/>
        <v>TCL</v>
      </c>
      <c r="F58" s="254">
        <f t="shared" si="11"/>
        <v>0.85470000000000002</v>
      </c>
      <c r="G58" s="254">
        <f t="shared" si="2"/>
        <v>0.85470000000000002</v>
      </c>
      <c r="H58" s="254">
        <f t="shared" si="3"/>
        <v>0.94340000000000002</v>
      </c>
      <c r="I58" s="254">
        <f t="shared" si="4"/>
        <v>1.0416700000000001</v>
      </c>
      <c r="J58" s="254">
        <f t="shared" si="5"/>
        <v>1.16279</v>
      </c>
      <c r="M58" s="224" t="s">
        <v>63</v>
      </c>
      <c r="N58" s="224"/>
      <c r="O58" s="218" t="s">
        <v>45</v>
      </c>
      <c r="P58" s="109">
        <v>117</v>
      </c>
      <c r="Q58" s="109">
        <v>117</v>
      </c>
      <c r="R58" s="109">
        <v>106</v>
      </c>
      <c r="S58" s="109">
        <v>96</v>
      </c>
      <c r="T58" s="109">
        <v>86</v>
      </c>
      <c r="W58" s="119" t="s">
        <v>309</v>
      </c>
    </row>
    <row r="59" spans="2:23" x14ac:dyDescent="0.3">
      <c r="B59" s="216" t="s">
        <v>558</v>
      </c>
      <c r="C59" s="216" t="str">
        <f t="shared" si="13"/>
        <v>TCARPYD101P</v>
      </c>
      <c r="D59" s="216"/>
      <c r="E59" s="216" t="str">
        <f t="shared" si="12"/>
        <v>TCL-P</v>
      </c>
      <c r="F59" s="254">
        <f t="shared" si="11"/>
        <v>0.85470000000000002</v>
      </c>
      <c r="G59" s="254">
        <f t="shared" si="2"/>
        <v>0.85470000000000002</v>
      </c>
      <c r="H59" s="254">
        <f t="shared" si="3"/>
        <v>0.94340000000000002</v>
      </c>
      <c r="I59" s="254">
        <f t="shared" si="4"/>
        <v>1.0416700000000001</v>
      </c>
      <c r="J59" s="254">
        <f t="shared" si="5"/>
        <v>1.16279</v>
      </c>
      <c r="M59" s="224" t="s">
        <v>587</v>
      </c>
      <c r="N59" s="224"/>
      <c r="O59" s="218" t="s">
        <v>459</v>
      </c>
      <c r="P59" s="109">
        <v>117</v>
      </c>
      <c r="Q59" s="109">
        <v>117</v>
      </c>
      <c r="R59" s="109">
        <v>106</v>
      </c>
      <c r="S59" s="109">
        <v>96</v>
      </c>
      <c r="T59" s="109">
        <v>86</v>
      </c>
      <c r="W59" s="119"/>
    </row>
    <row r="60" spans="2:23" x14ac:dyDescent="0.3">
      <c r="B60" s="216" t="s">
        <v>558</v>
      </c>
      <c r="C60" s="216" t="str">
        <f t="shared" si="13"/>
        <v>TCARPYD901</v>
      </c>
      <c r="D60" s="216"/>
      <c r="E60" s="216" t="str">
        <f t="shared" si="12"/>
        <v>TCL-C</v>
      </c>
      <c r="F60" s="254">
        <f t="shared" si="11"/>
        <v>0.85470000000000002</v>
      </c>
      <c r="G60" s="254">
        <f t="shared" si="2"/>
        <v>0.85470000000000002</v>
      </c>
      <c r="H60" s="254">
        <f t="shared" si="3"/>
        <v>0.94340000000000002</v>
      </c>
      <c r="I60" s="254">
        <f t="shared" si="4"/>
        <v>1.0416700000000001</v>
      </c>
      <c r="J60" s="254">
        <f t="shared" si="5"/>
        <v>1.16279</v>
      </c>
      <c r="M60" s="224" t="s">
        <v>246</v>
      </c>
      <c r="N60" s="224"/>
      <c r="O60" s="218" t="s">
        <v>304</v>
      </c>
      <c r="P60" s="109">
        <v>117</v>
      </c>
      <c r="Q60" s="109">
        <v>117</v>
      </c>
      <c r="R60" s="109">
        <v>106</v>
      </c>
      <c r="S60" s="109">
        <v>96</v>
      </c>
      <c r="T60" s="109">
        <v>86</v>
      </c>
      <c r="W60" s="119" t="s">
        <v>309</v>
      </c>
    </row>
    <row r="61" spans="2:23" x14ac:dyDescent="0.3">
      <c r="B61" s="216" t="s">
        <v>558</v>
      </c>
      <c r="C61" s="216" t="str">
        <f t="shared" si="13"/>
        <v>TCARPYG101</v>
      </c>
      <c r="D61" s="216"/>
      <c r="E61" s="216" t="str">
        <f t="shared" si="12"/>
        <v>TCL</v>
      </c>
      <c r="F61" s="254">
        <f t="shared" si="11"/>
        <v>0.90908999999999995</v>
      </c>
      <c r="G61" s="254">
        <f t="shared" si="2"/>
        <v>0.90908999999999995</v>
      </c>
      <c r="H61" s="254">
        <f t="shared" si="3"/>
        <v>1.0101</v>
      </c>
      <c r="I61" s="254">
        <f t="shared" si="4"/>
        <v>1.11111</v>
      </c>
      <c r="J61" s="254">
        <f t="shared" si="5"/>
        <v>1.2345699999999999</v>
      </c>
      <c r="M61" s="224" t="s">
        <v>64</v>
      </c>
      <c r="N61" s="224"/>
      <c r="O61" s="218" t="s">
        <v>45</v>
      </c>
      <c r="P61" s="109">
        <v>110</v>
      </c>
      <c r="Q61" s="109">
        <v>110</v>
      </c>
      <c r="R61" s="109">
        <v>99</v>
      </c>
      <c r="S61" s="109">
        <v>90</v>
      </c>
      <c r="T61" s="109">
        <v>81</v>
      </c>
      <c r="W61" s="119" t="s">
        <v>309</v>
      </c>
    </row>
    <row r="62" spans="2:23" x14ac:dyDescent="0.3">
      <c r="B62" s="216" t="s">
        <v>558</v>
      </c>
      <c r="C62" s="216" t="str">
        <f t="shared" si="13"/>
        <v>TCARPYG101P</v>
      </c>
      <c r="D62" s="216"/>
      <c r="E62" s="216" t="str">
        <f t="shared" si="12"/>
        <v>TCL-P</v>
      </c>
      <c r="F62" s="254">
        <f t="shared" si="11"/>
        <v>0.90908999999999995</v>
      </c>
      <c r="G62" s="254">
        <f t="shared" si="2"/>
        <v>0.90908999999999995</v>
      </c>
      <c r="H62" s="254">
        <f t="shared" si="3"/>
        <v>1.0101</v>
      </c>
      <c r="I62" s="254">
        <f t="shared" si="4"/>
        <v>1.11111</v>
      </c>
      <c r="J62" s="254">
        <f t="shared" si="5"/>
        <v>1.2345699999999999</v>
      </c>
      <c r="M62" s="224" t="s">
        <v>588</v>
      </c>
      <c r="N62" s="224"/>
      <c r="O62" s="218" t="s">
        <v>459</v>
      </c>
      <c r="P62" s="109">
        <v>110</v>
      </c>
      <c r="Q62" s="109">
        <v>110</v>
      </c>
      <c r="R62" s="109">
        <v>99</v>
      </c>
      <c r="S62" s="109">
        <v>90</v>
      </c>
      <c r="T62" s="109">
        <v>81</v>
      </c>
      <c r="W62" s="119"/>
    </row>
    <row r="63" spans="2:23" x14ac:dyDescent="0.3">
      <c r="B63" s="219" t="s">
        <v>558</v>
      </c>
      <c r="C63" s="219" t="str">
        <f t="shared" si="13"/>
        <v>TCARPYG901</v>
      </c>
      <c r="D63" s="219"/>
      <c r="E63" s="219" t="str">
        <f t="shared" si="12"/>
        <v>TCL-C</v>
      </c>
      <c r="F63" s="256">
        <f t="shared" si="11"/>
        <v>0.90908999999999995</v>
      </c>
      <c r="G63" s="256">
        <f t="shared" si="2"/>
        <v>0.90908999999999995</v>
      </c>
      <c r="H63" s="256">
        <f t="shared" si="3"/>
        <v>1.0101</v>
      </c>
      <c r="I63" s="256">
        <f t="shared" si="4"/>
        <v>1.11111</v>
      </c>
      <c r="J63" s="256">
        <f t="shared" si="5"/>
        <v>1.2345699999999999</v>
      </c>
      <c r="M63" s="223" t="s">
        <v>248</v>
      </c>
      <c r="N63" s="225"/>
      <c r="O63" s="223" t="s">
        <v>304</v>
      </c>
      <c r="P63" s="113">
        <v>110</v>
      </c>
      <c r="Q63" s="113">
        <v>110</v>
      </c>
      <c r="R63" s="113">
        <v>99</v>
      </c>
      <c r="S63" s="113">
        <v>90</v>
      </c>
      <c r="T63" s="113">
        <v>81</v>
      </c>
      <c r="W63" s="147" t="s">
        <v>309</v>
      </c>
    </row>
    <row r="64" spans="2:23" x14ac:dyDescent="0.3">
      <c r="B64" s="216" t="s">
        <v>469</v>
      </c>
      <c r="C64" s="216" t="str">
        <f t="shared" si="13"/>
        <v>TFLEBDL101</v>
      </c>
      <c r="D64" s="216"/>
      <c r="E64" s="216" t="str">
        <f t="shared" si="12"/>
        <v>TFLL</v>
      </c>
      <c r="F64" s="254">
        <f t="shared" si="11"/>
        <v>0.57471000000000005</v>
      </c>
      <c r="G64" s="254">
        <f t="shared" si="2"/>
        <v>0.61350000000000005</v>
      </c>
      <c r="H64" s="254">
        <f t="shared" si="3"/>
        <v>0.64515999999999996</v>
      </c>
      <c r="I64" s="254">
        <f t="shared" si="4"/>
        <v>0.68027000000000004</v>
      </c>
      <c r="J64" s="254">
        <f t="shared" si="5"/>
        <v>0.71428999999999998</v>
      </c>
      <c r="M64" s="224" t="s">
        <v>133</v>
      </c>
      <c r="N64" s="224"/>
      <c r="O64" s="226" t="s">
        <v>347</v>
      </c>
      <c r="P64" s="109">
        <v>174</v>
      </c>
      <c r="Q64" s="109">
        <v>163</v>
      </c>
      <c r="R64" s="109">
        <v>155</v>
      </c>
      <c r="S64" s="109">
        <v>147</v>
      </c>
      <c r="T64" s="109">
        <v>140</v>
      </c>
      <c r="W64" s="119" t="s">
        <v>309</v>
      </c>
    </row>
    <row r="65" spans="2:23" x14ac:dyDescent="0.3">
      <c r="B65" s="216" t="s">
        <v>469</v>
      </c>
      <c r="C65" s="216" t="str">
        <f t="shared" si="13"/>
        <v>TFLEBDL901</v>
      </c>
      <c r="D65" s="216"/>
      <c r="E65" s="216" t="str">
        <f t="shared" si="12"/>
        <v>TFLL-C</v>
      </c>
      <c r="F65" s="254">
        <f t="shared" si="11"/>
        <v>0.57471000000000005</v>
      </c>
      <c r="G65" s="254">
        <f t="shared" si="2"/>
        <v>0.61350000000000005</v>
      </c>
      <c r="H65" s="254">
        <f t="shared" si="3"/>
        <v>0.64515999999999996</v>
      </c>
      <c r="I65" s="254">
        <f t="shared" si="4"/>
        <v>0.68027000000000004</v>
      </c>
      <c r="J65" s="254">
        <f t="shared" si="5"/>
        <v>0.71428999999999998</v>
      </c>
      <c r="M65" s="224" t="s">
        <v>250</v>
      </c>
      <c r="N65" s="224"/>
      <c r="O65" s="226" t="s">
        <v>494</v>
      </c>
      <c r="P65" s="109">
        <v>174</v>
      </c>
      <c r="Q65" s="109">
        <v>163</v>
      </c>
      <c r="R65" s="109">
        <v>155</v>
      </c>
      <c r="S65" s="109">
        <v>147</v>
      </c>
      <c r="T65" s="109">
        <v>140</v>
      </c>
      <c r="W65" s="119" t="s">
        <v>309</v>
      </c>
    </row>
    <row r="66" spans="2:23" x14ac:dyDescent="0.3">
      <c r="B66" s="216" t="s">
        <v>469</v>
      </c>
      <c r="C66" s="216" t="str">
        <f t="shared" si="13"/>
        <v>TFLEDME101</v>
      </c>
      <c r="D66" s="216"/>
      <c r="E66" s="216" t="str">
        <f t="shared" si="12"/>
        <v>TFLL</v>
      </c>
      <c r="F66" s="254">
        <f t="shared" si="11"/>
        <v>0.57471000000000005</v>
      </c>
      <c r="G66" s="254">
        <f t="shared" si="2"/>
        <v>0.61350000000000005</v>
      </c>
      <c r="H66" s="254">
        <f t="shared" si="3"/>
        <v>0.64515999999999996</v>
      </c>
      <c r="I66" s="254">
        <f t="shared" si="4"/>
        <v>0.68027000000000004</v>
      </c>
      <c r="J66" s="254">
        <f t="shared" si="5"/>
        <v>0.71428999999999998</v>
      </c>
      <c r="M66" s="224" t="s">
        <v>135</v>
      </c>
      <c r="N66" s="224"/>
      <c r="O66" s="226" t="s">
        <v>347</v>
      </c>
      <c r="P66" s="109">
        <v>174</v>
      </c>
      <c r="Q66" s="109">
        <v>163</v>
      </c>
      <c r="R66" s="109">
        <v>155</v>
      </c>
      <c r="S66" s="109">
        <v>147</v>
      </c>
      <c r="T66" s="109">
        <v>140</v>
      </c>
      <c r="W66" s="119" t="s">
        <v>432</v>
      </c>
    </row>
    <row r="67" spans="2:23" x14ac:dyDescent="0.3">
      <c r="B67" s="216" t="s">
        <v>469</v>
      </c>
      <c r="C67" s="216" t="str">
        <f t="shared" si="13"/>
        <v>TFLEDME901</v>
      </c>
      <c r="D67" s="216"/>
      <c r="E67" s="216" t="str">
        <f t="shared" si="12"/>
        <v>TFLL-C</v>
      </c>
      <c r="F67" s="254">
        <f t="shared" si="11"/>
        <v>0.57471000000000005</v>
      </c>
      <c r="G67" s="254">
        <f t="shared" si="2"/>
        <v>0.61350000000000005</v>
      </c>
      <c r="H67" s="254">
        <f t="shared" si="3"/>
        <v>0.64515999999999996</v>
      </c>
      <c r="I67" s="254">
        <f t="shared" si="4"/>
        <v>0.68027000000000004</v>
      </c>
      <c r="J67" s="254">
        <f t="shared" si="5"/>
        <v>0.71428999999999998</v>
      </c>
      <c r="M67" s="224" t="s">
        <v>252</v>
      </c>
      <c r="N67" s="224"/>
      <c r="O67" s="226" t="s">
        <v>494</v>
      </c>
      <c r="P67" s="109">
        <v>174</v>
      </c>
      <c r="Q67" s="109">
        <v>163</v>
      </c>
      <c r="R67" s="109">
        <v>155</v>
      </c>
      <c r="S67" s="109">
        <v>147</v>
      </c>
      <c r="T67" s="109">
        <v>140</v>
      </c>
      <c r="W67" s="119" t="s">
        <v>432</v>
      </c>
    </row>
    <row r="68" spans="2:23" x14ac:dyDescent="0.3">
      <c r="B68" s="216" t="s">
        <v>469</v>
      </c>
      <c r="C68" s="216" t="str">
        <f t="shared" si="13"/>
        <v>TFLEDST101</v>
      </c>
      <c r="D68" s="220"/>
      <c r="E68" s="216" t="str">
        <f t="shared" si="12"/>
        <v>TFLL</v>
      </c>
      <c r="F68" s="254">
        <f t="shared" si="11"/>
        <v>0.57471000000000005</v>
      </c>
      <c r="G68" s="254">
        <f t="shared" si="2"/>
        <v>0.61350000000000005</v>
      </c>
      <c r="H68" s="254">
        <f t="shared" si="3"/>
        <v>0.64515999999999996</v>
      </c>
      <c r="I68" s="254">
        <f t="shared" si="4"/>
        <v>0.68027000000000004</v>
      </c>
      <c r="J68" s="254">
        <f t="shared" si="5"/>
        <v>0.71428999999999998</v>
      </c>
      <c r="M68" s="218" t="s">
        <v>137</v>
      </c>
      <c r="N68" s="226"/>
      <c r="O68" s="226" t="s">
        <v>347</v>
      </c>
      <c r="P68" s="109">
        <v>174</v>
      </c>
      <c r="Q68" s="109">
        <v>163</v>
      </c>
      <c r="R68" s="109">
        <v>155</v>
      </c>
      <c r="S68" s="109">
        <v>147</v>
      </c>
      <c r="T68" s="109">
        <v>140</v>
      </c>
      <c r="W68" s="119" t="s">
        <v>309</v>
      </c>
    </row>
    <row r="69" spans="2:23" x14ac:dyDescent="0.3">
      <c r="B69" s="216" t="s">
        <v>469</v>
      </c>
      <c r="C69" s="216" t="str">
        <f t="shared" si="13"/>
        <v>TFLEDST901</v>
      </c>
      <c r="D69" s="221"/>
      <c r="E69" s="216" t="str">
        <f t="shared" si="12"/>
        <v>TFLL-C</v>
      </c>
      <c r="F69" s="254">
        <f t="shared" si="11"/>
        <v>0.57471000000000005</v>
      </c>
      <c r="G69" s="254">
        <f t="shared" si="2"/>
        <v>0.61350000000000005</v>
      </c>
      <c r="H69" s="254">
        <f t="shared" si="3"/>
        <v>0.64515999999999996</v>
      </c>
      <c r="I69" s="254">
        <f t="shared" si="4"/>
        <v>0.68027000000000004</v>
      </c>
      <c r="J69" s="254">
        <f t="shared" si="5"/>
        <v>0.71428999999999998</v>
      </c>
      <c r="M69" s="218" t="s">
        <v>254</v>
      </c>
      <c r="N69" s="226"/>
      <c r="O69" s="226" t="s">
        <v>494</v>
      </c>
      <c r="P69" s="109">
        <v>174</v>
      </c>
      <c r="Q69" s="109">
        <v>163</v>
      </c>
      <c r="R69" s="109">
        <v>155</v>
      </c>
      <c r="S69" s="109">
        <v>147</v>
      </c>
      <c r="T69" s="109">
        <v>140</v>
      </c>
      <c r="W69" s="119" t="s">
        <v>309</v>
      </c>
    </row>
    <row r="70" spans="2:23" x14ac:dyDescent="0.3">
      <c r="B70" s="216" t="s">
        <v>469</v>
      </c>
      <c r="C70" s="216" t="str">
        <f t="shared" si="13"/>
        <v>TFLEELC101</v>
      </c>
      <c r="D70" s="221"/>
      <c r="E70" s="216" t="str">
        <f t="shared" si="12"/>
        <v>TFLL</v>
      </c>
      <c r="F70" s="254">
        <f t="shared" si="11"/>
        <v>1.2987</v>
      </c>
      <c r="G70" s="254">
        <f t="shared" si="2"/>
        <v>1.2987</v>
      </c>
      <c r="H70" s="254">
        <f t="shared" si="3"/>
        <v>1.3698600000000001</v>
      </c>
      <c r="I70" s="254">
        <f t="shared" si="4"/>
        <v>1.4285699999999999</v>
      </c>
      <c r="J70" s="254">
        <f t="shared" si="5"/>
        <v>1.51515</v>
      </c>
      <c r="M70" s="218" t="s">
        <v>139</v>
      </c>
      <c r="N70" s="226"/>
      <c r="O70" s="226" t="s">
        <v>347</v>
      </c>
      <c r="P70" s="109">
        <v>77</v>
      </c>
      <c r="Q70" s="109">
        <v>77</v>
      </c>
      <c r="R70" s="109">
        <v>73</v>
      </c>
      <c r="S70" s="109">
        <v>70</v>
      </c>
      <c r="T70" s="109">
        <v>66</v>
      </c>
      <c r="W70" s="119" t="s">
        <v>309</v>
      </c>
    </row>
    <row r="71" spans="2:23" x14ac:dyDescent="0.3">
      <c r="B71" s="216" t="s">
        <v>469</v>
      </c>
      <c r="C71" s="216" t="str">
        <f t="shared" si="13"/>
        <v>TFLEELC901</v>
      </c>
      <c r="D71" s="221"/>
      <c r="E71" s="216" t="str">
        <f t="shared" si="12"/>
        <v>TFLL-C</v>
      </c>
      <c r="F71" s="254">
        <f t="shared" si="11"/>
        <v>1.2987</v>
      </c>
      <c r="G71" s="254">
        <f t="shared" si="2"/>
        <v>1.2987</v>
      </c>
      <c r="H71" s="254">
        <f t="shared" si="3"/>
        <v>1.3698600000000001</v>
      </c>
      <c r="I71" s="254">
        <f t="shared" si="4"/>
        <v>1.4285699999999999</v>
      </c>
      <c r="J71" s="254">
        <f t="shared" si="5"/>
        <v>1.51515</v>
      </c>
      <c r="M71" s="218" t="s">
        <v>256</v>
      </c>
      <c r="N71" s="226"/>
      <c r="O71" s="226" t="s">
        <v>494</v>
      </c>
      <c r="P71" s="109">
        <v>77</v>
      </c>
      <c r="Q71" s="109">
        <v>77</v>
      </c>
      <c r="R71" s="109">
        <v>73</v>
      </c>
      <c r="S71" s="109">
        <v>70</v>
      </c>
      <c r="T71" s="109">
        <v>66</v>
      </c>
      <c r="W71" s="119" t="s">
        <v>309</v>
      </c>
    </row>
    <row r="72" spans="2:23" x14ac:dyDescent="0.3">
      <c r="B72" s="216" t="s">
        <v>469</v>
      </c>
      <c r="C72" s="216" t="str">
        <f t="shared" si="13"/>
        <v>TFLEETH101</v>
      </c>
      <c r="D72" s="221"/>
      <c r="E72" s="216" t="str">
        <f t="shared" ref="E72:E103" si="14">O72</f>
        <v>TFLL</v>
      </c>
      <c r="F72" s="254">
        <f t="shared" si="11"/>
        <v>0.51812999999999998</v>
      </c>
      <c r="G72" s="254">
        <f t="shared" ref="G72:G135" si="15">IF(Q72=0, "-", ROUND(10^2/Q72,5))</f>
        <v>0.55249000000000004</v>
      </c>
      <c r="H72" s="254">
        <f t="shared" ref="H72:H135" si="16">IF(R72=0, "-", ROUND(10^2/R72,5))</f>
        <v>0.58140000000000003</v>
      </c>
      <c r="I72" s="254">
        <f t="shared" ref="I72:I135" si="17">IF(S72=0, "-", ROUND(10^2/S72,5))</f>
        <v>0.61350000000000005</v>
      </c>
      <c r="J72" s="254">
        <f t="shared" ref="J72:J135" si="18">IF(T72=0, "-", ROUND(10^2/T72,5))</f>
        <v>0.64515999999999996</v>
      </c>
      <c r="M72" s="218" t="s">
        <v>141</v>
      </c>
      <c r="N72" s="226"/>
      <c r="O72" s="226" t="s">
        <v>347</v>
      </c>
      <c r="P72" s="109">
        <v>193</v>
      </c>
      <c r="Q72" s="109">
        <v>181</v>
      </c>
      <c r="R72" s="109">
        <v>172</v>
      </c>
      <c r="S72" s="109">
        <v>163</v>
      </c>
      <c r="T72" s="109">
        <v>155</v>
      </c>
      <c r="W72" s="119" t="s">
        <v>309</v>
      </c>
    </row>
    <row r="73" spans="2:23" x14ac:dyDescent="0.3">
      <c r="B73" s="216" t="s">
        <v>469</v>
      </c>
      <c r="C73" s="216" t="str">
        <f t="shared" si="13"/>
        <v>TFLEETH901</v>
      </c>
      <c r="D73" s="221"/>
      <c r="E73" s="216" t="str">
        <f t="shared" si="14"/>
        <v>TFLL-C</v>
      </c>
      <c r="F73" s="254">
        <f t="shared" si="11"/>
        <v>0.51812999999999998</v>
      </c>
      <c r="G73" s="254">
        <f t="shared" si="15"/>
        <v>0.55249000000000004</v>
      </c>
      <c r="H73" s="254">
        <f t="shared" si="16"/>
        <v>0.58140000000000003</v>
      </c>
      <c r="I73" s="254">
        <f t="shared" si="17"/>
        <v>0.61350000000000005</v>
      </c>
      <c r="J73" s="254">
        <f t="shared" si="18"/>
        <v>0.64515999999999996</v>
      </c>
      <c r="M73" s="218" t="s">
        <v>258</v>
      </c>
      <c r="N73" s="226"/>
      <c r="O73" s="226" t="s">
        <v>494</v>
      </c>
      <c r="P73" s="109">
        <v>193</v>
      </c>
      <c r="Q73" s="109">
        <v>181</v>
      </c>
      <c r="R73" s="109">
        <v>172</v>
      </c>
      <c r="S73" s="109">
        <v>163</v>
      </c>
      <c r="T73" s="109">
        <v>155</v>
      </c>
      <c r="W73" s="119" t="s">
        <v>309</v>
      </c>
    </row>
    <row r="74" spans="2:23" x14ac:dyDescent="0.3">
      <c r="B74" s="216" t="s">
        <v>469</v>
      </c>
      <c r="C74" s="216" t="str">
        <f t="shared" ref="C74:C105" si="19">M74</f>
        <v>TFLEGAS101</v>
      </c>
      <c r="D74" s="221"/>
      <c r="E74" s="216" t="str">
        <f t="shared" si="14"/>
        <v>TFLL</v>
      </c>
      <c r="F74" s="254">
        <f t="shared" si="11"/>
        <v>0.51812999999999998</v>
      </c>
      <c r="G74" s="254">
        <f t="shared" si="15"/>
        <v>0.55249000000000004</v>
      </c>
      <c r="H74" s="254">
        <f t="shared" si="16"/>
        <v>0.58140000000000003</v>
      </c>
      <c r="I74" s="254">
        <f t="shared" si="17"/>
        <v>0.61350000000000005</v>
      </c>
      <c r="J74" s="254">
        <f t="shared" si="18"/>
        <v>0.64515999999999996</v>
      </c>
      <c r="M74" s="218" t="s">
        <v>143</v>
      </c>
      <c r="N74" s="226"/>
      <c r="O74" s="226" t="s">
        <v>347</v>
      </c>
      <c r="P74" s="109">
        <v>193</v>
      </c>
      <c r="Q74" s="109">
        <v>181</v>
      </c>
      <c r="R74" s="109">
        <v>172</v>
      </c>
      <c r="S74" s="109">
        <v>163</v>
      </c>
      <c r="T74" s="109">
        <v>155</v>
      </c>
      <c r="W74" s="119" t="s">
        <v>309</v>
      </c>
    </row>
    <row r="75" spans="2:23" x14ac:dyDescent="0.3">
      <c r="B75" s="216" t="s">
        <v>469</v>
      </c>
      <c r="C75" s="216" t="str">
        <f t="shared" si="19"/>
        <v>TFLEGAS901</v>
      </c>
      <c r="D75" s="221"/>
      <c r="E75" s="216" t="str">
        <f t="shared" si="14"/>
        <v>TFLL-C</v>
      </c>
      <c r="F75" s="254">
        <f t="shared" si="11"/>
        <v>0.51812999999999998</v>
      </c>
      <c r="G75" s="254">
        <f t="shared" si="15"/>
        <v>0.55249000000000004</v>
      </c>
      <c r="H75" s="254">
        <f t="shared" si="16"/>
        <v>0.58140000000000003</v>
      </c>
      <c r="I75" s="254">
        <f t="shared" si="17"/>
        <v>0.61350000000000005</v>
      </c>
      <c r="J75" s="254">
        <f t="shared" si="18"/>
        <v>0.64515999999999996</v>
      </c>
      <c r="M75" s="218" t="s">
        <v>260</v>
      </c>
      <c r="N75" s="226"/>
      <c r="O75" s="226" t="s">
        <v>494</v>
      </c>
      <c r="P75" s="109">
        <v>193</v>
      </c>
      <c r="Q75" s="109">
        <v>181</v>
      </c>
      <c r="R75" s="109">
        <v>172</v>
      </c>
      <c r="S75" s="109">
        <v>163</v>
      </c>
      <c r="T75" s="109">
        <v>155</v>
      </c>
      <c r="W75" s="119" t="s">
        <v>309</v>
      </c>
    </row>
    <row r="76" spans="2:23" s="39" customFormat="1" x14ac:dyDescent="0.3">
      <c r="B76" s="216" t="s">
        <v>469</v>
      </c>
      <c r="C76" s="216" t="str">
        <f t="shared" si="19"/>
        <v>TFLEGSL101</v>
      </c>
      <c r="D76" s="221"/>
      <c r="E76" s="216" t="str">
        <f t="shared" si="14"/>
        <v>TFLL</v>
      </c>
      <c r="F76" s="254">
        <f t="shared" si="11"/>
        <v>0.51812999999999998</v>
      </c>
      <c r="G76" s="254">
        <f t="shared" si="15"/>
        <v>0.55249000000000004</v>
      </c>
      <c r="H76" s="254">
        <f t="shared" si="16"/>
        <v>0.58140000000000003</v>
      </c>
      <c r="I76" s="254">
        <f t="shared" si="17"/>
        <v>0.61350000000000005</v>
      </c>
      <c r="J76" s="254">
        <f t="shared" si="18"/>
        <v>0.64515999999999996</v>
      </c>
      <c r="M76" s="218" t="s">
        <v>145</v>
      </c>
      <c r="N76" s="226"/>
      <c r="O76" s="226" t="s">
        <v>347</v>
      </c>
      <c r="P76" s="109">
        <v>193</v>
      </c>
      <c r="Q76" s="109">
        <v>181</v>
      </c>
      <c r="R76" s="109">
        <v>172</v>
      </c>
      <c r="S76" s="109">
        <v>163</v>
      </c>
      <c r="T76" s="109">
        <v>155</v>
      </c>
      <c r="W76" s="136" t="s">
        <v>309</v>
      </c>
    </row>
    <row r="77" spans="2:23" x14ac:dyDescent="0.3">
      <c r="B77" s="216" t="s">
        <v>469</v>
      </c>
      <c r="C77" s="216" t="str">
        <f t="shared" si="19"/>
        <v>TFLEGSL901</v>
      </c>
      <c r="D77" s="221"/>
      <c r="E77" s="216" t="str">
        <f t="shared" si="14"/>
        <v>TFLL-C</v>
      </c>
      <c r="F77" s="254">
        <f t="shared" si="11"/>
        <v>0.51812999999999998</v>
      </c>
      <c r="G77" s="254">
        <f t="shared" si="15"/>
        <v>0.55249000000000004</v>
      </c>
      <c r="H77" s="254">
        <f t="shared" si="16"/>
        <v>0.58140000000000003</v>
      </c>
      <c r="I77" s="254">
        <f t="shared" si="17"/>
        <v>0.61350000000000005</v>
      </c>
      <c r="J77" s="254">
        <f t="shared" si="18"/>
        <v>0.64515999999999996</v>
      </c>
      <c r="M77" s="218" t="s">
        <v>262</v>
      </c>
      <c r="N77" s="226"/>
      <c r="O77" s="226" t="s">
        <v>494</v>
      </c>
      <c r="P77" s="109">
        <v>193</v>
      </c>
      <c r="Q77" s="109">
        <v>181</v>
      </c>
      <c r="R77" s="109">
        <v>172</v>
      </c>
      <c r="S77" s="109">
        <v>163</v>
      </c>
      <c r="T77" s="109">
        <v>155</v>
      </c>
      <c r="W77" s="119" t="s">
        <v>309</v>
      </c>
    </row>
    <row r="78" spans="2:23" x14ac:dyDescent="0.3">
      <c r="B78" s="216" t="s">
        <v>469</v>
      </c>
      <c r="C78" s="216" t="str">
        <f t="shared" si="19"/>
        <v>TFLEHFC101</v>
      </c>
      <c r="D78" s="221"/>
      <c r="E78" s="216" t="str">
        <f t="shared" si="14"/>
        <v>TFLL</v>
      </c>
      <c r="F78" s="254">
        <f t="shared" si="11"/>
        <v>0.98038999999999998</v>
      </c>
      <c r="G78" s="254">
        <f t="shared" si="15"/>
        <v>0.98038999999999998</v>
      </c>
      <c r="H78" s="254">
        <f t="shared" si="16"/>
        <v>1.0869599999999999</v>
      </c>
      <c r="I78" s="254">
        <f t="shared" si="17"/>
        <v>1.20482</v>
      </c>
      <c r="J78" s="254">
        <f t="shared" si="18"/>
        <v>1.2658199999999999</v>
      </c>
      <c r="M78" s="218" t="s">
        <v>147</v>
      </c>
      <c r="N78" s="226"/>
      <c r="O78" s="226" t="s">
        <v>347</v>
      </c>
      <c r="P78" s="110">
        <v>102</v>
      </c>
      <c r="Q78" s="110">
        <v>102</v>
      </c>
      <c r="R78" s="110">
        <v>92</v>
      </c>
      <c r="S78" s="110">
        <v>83</v>
      </c>
      <c r="T78" s="110">
        <v>79</v>
      </c>
      <c r="W78" s="119"/>
    </row>
    <row r="79" spans="2:23" x14ac:dyDescent="0.3">
      <c r="B79" s="216" t="s">
        <v>469</v>
      </c>
      <c r="C79" s="216" t="str">
        <f t="shared" si="19"/>
        <v>TFLEHFC901</v>
      </c>
      <c r="D79" s="221"/>
      <c r="E79" s="216" t="str">
        <f t="shared" si="14"/>
        <v>TFLL-C</v>
      </c>
      <c r="F79" s="254">
        <f t="shared" si="11"/>
        <v>0.98038999999999998</v>
      </c>
      <c r="G79" s="254">
        <f t="shared" si="15"/>
        <v>0.98038999999999998</v>
      </c>
      <c r="H79" s="254">
        <f t="shared" si="16"/>
        <v>1.0869599999999999</v>
      </c>
      <c r="I79" s="254">
        <f t="shared" si="17"/>
        <v>1.20482</v>
      </c>
      <c r="J79" s="254">
        <f t="shared" si="18"/>
        <v>1.2658199999999999</v>
      </c>
      <c r="M79" s="218" t="s">
        <v>264</v>
      </c>
      <c r="N79" s="226"/>
      <c r="O79" s="226" t="s">
        <v>494</v>
      </c>
      <c r="P79" s="110">
        <v>102</v>
      </c>
      <c r="Q79" s="110">
        <v>102</v>
      </c>
      <c r="R79" s="110">
        <v>92</v>
      </c>
      <c r="S79" s="110">
        <v>83</v>
      </c>
      <c r="T79" s="110">
        <v>79</v>
      </c>
      <c r="W79" s="119"/>
    </row>
    <row r="80" spans="2:23" x14ac:dyDescent="0.3">
      <c r="B80" s="216" t="s">
        <v>469</v>
      </c>
      <c r="C80" s="216" t="str">
        <f t="shared" si="19"/>
        <v>TFLEHYD101</v>
      </c>
      <c r="D80" s="221"/>
      <c r="E80" s="216" t="str">
        <f t="shared" si="14"/>
        <v>TFLL</v>
      </c>
      <c r="F80" s="254">
        <f t="shared" si="11"/>
        <v>0.70921999999999996</v>
      </c>
      <c r="G80" s="254">
        <f t="shared" si="15"/>
        <v>0.74626999999999999</v>
      </c>
      <c r="H80" s="254">
        <f t="shared" si="16"/>
        <v>0.82645000000000002</v>
      </c>
      <c r="I80" s="254">
        <f t="shared" si="17"/>
        <v>0.91742999999999997</v>
      </c>
      <c r="J80" s="254">
        <f t="shared" si="18"/>
        <v>1.02041</v>
      </c>
      <c r="M80" s="218" t="s">
        <v>150</v>
      </c>
      <c r="N80" s="226"/>
      <c r="O80" s="226" t="s">
        <v>347</v>
      </c>
      <c r="P80" s="109">
        <v>141</v>
      </c>
      <c r="Q80" s="109">
        <v>134</v>
      </c>
      <c r="R80" s="109">
        <v>121</v>
      </c>
      <c r="S80" s="109">
        <v>109</v>
      </c>
      <c r="T80" s="109">
        <v>98</v>
      </c>
      <c r="W80" s="119"/>
    </row>
    <row r="81" spans="2:23" x14ac:dyDescent="0.3">
      <c r="B81" s="216" t="s">
        <v>469</v>
      </c>
      <c r="C81" s="216" t="str">
        <f t="shared" si="19"/>
        <v>TFLEHYD901</v>
      </c>
      <c r="D81" s="221"/>
      <c r="E81" s="216" t="str">
        <f t="shared" si="14"/>
        <v>TFLL-C</v>
      </c>
      <c r="F81" s="254">
        <f t="shared" si="11"/>
        <v>0.70921999999999996</v>
      </c>
      <c r="G81" s="254">
        <f t="shared" si="15"/>
        <v>0.74626999999999999</v>
      </c>
      <c r="H81" s="254">
        <f t="shared" si="16"/>
        <v>0.82645000000000002</v>
      </c>
      <c r="I81" s="254">
        <f t="shared" si="17"/>
        <v>0.91742999999999997</v>
      </c>
      <c r="J81" s="254">
        <f t="shared" si="18"/>
        <v>1.02041</v>
      </c>
      <c r="M81" s="218" t="s">
        <v>311</v>
      </c>
      <c r="N81" s="226"/>
      <c r="O81" s="226" t="s">
        <v>494</v>
      </c>
      <c r="P81" s="109">
        <v>141</v>
      </c>
      <c r="Q81" s="109">
        <v>134</v>
      </c>
      <c r="R81" s="109">
        <v>121</v>
      </c>
      <c r="S81" s="109">
        <v>109</v>
      </c>
      <c r="T81" s="109">
        <v>98</v>
      </c>
      <c r="W81" s="119"/>
    </row>
    <row r="82" spans="2:23" x14ac:dyDescent="0.3">
      <c r="B82" s="216" t="s">
        <v>469</v>
      </c>
      <c r="C82" s="216" t="str">
        <f t="shared" si="19"/>
        <v>TFLEHYG101</v>
      </c>
      <c r="D82" s="221"/>
      <c r="E82" s="216" t="str">
        <f t="shared" si="14"/>
        <v>TFLL</v>
      </c>
      <c r="F82" s="254">
        <f t="shared" si="11"/>
        <v>0.63693999999999995</v>
      </c>
      <c r="G82" s="254">
        <f t="shared" si="15"/>
        <v>0.67113999999999996</v>
      </c>
      <c r="H82" s="254">
        <f t="shared" si="16"/>
        <v>0.74626999999999999</v>
      </c>
      <c r="I82" s="254">
        <f t="shared" si="17"/>
        <v>0.82645000000000002</v>
      </c>
      <c r="J82" s="254">
        <f t="shared" si="18"/>
        <v>0.91742999999999997</v>
      </c>
      <c r="M82" s="218" t="s">
        <v>152</v>
      </c>
      <c r="N82" s="226"/>
      <c r="O82" s="226" t="s">
        <v>347</v>
      </c>
      <c r="P82" s="109">
        <v>157</v>
      </c>
      <c r="Q82" s="109">
        <v>149</v>
      </c>
      <c r="R82" s="109">
        <v>134</v>
      </c>
      <c r="S82" s="109">
        <v>121</v>
      </c>
      <c r="T82" s="109">
        <v>109</v>
      </c>
      <c r="W82" s="119"/>
    </row>
    <row r="83" spans="2:23" x14ac:dyDescent="0.3">
      <c r="B83" s="216" t="s">
        <v>469</v>
      </c>
      <c r="C83" s="216" t="str">
        <f t="shared" si="19"/>
        <v>TFLEHYG901</v>
      </c>
      <c r="D83" s="221"/>
      <c r="E83" s="216" t="str">
        <f t="shared" si="14"/>
        <v>TFLL-C</v>
      </c>
      <c r="F83" s="254">
        <f t="shared" si="11"/>
        <v>0.63693999999999995</v>
      </c>
      <c r="G83" s="254">
        <f t="shared" si="15"/>
        <v>0.67113999999999996</v>
      </c>
      <c r="H83" s="254">
        <f t="shared" si="16"/>
        <v>0.74626999999999999</v>
      </c>
      <c r="I83" s="254">
        <f t="shared" si="17"/>
        <v>0.82645000000000002</v>
      </c>
      <c r="J83" s="254">
        <f t="shared" si="18"/>
        <v>0.91742999999999997</v>
      </c>
      <c r="M83" s="218" t="s">
        <v>312</v>
      </c>
      <c r="N83" s="226"/>
      <c r="O83" s="226" t="s">
        <v>494</v>
      </c>
      <c r="P83" s="109">
        <v>157</v>
      </c>
      <c r="Q83" s="109">
        <v>149</v>
      </c>
      <c r="R83" s="109">
        <v>134</v>
      </c>
      <c r="S83" s="109">
        <v>121</v>
      </c>
      <c r="T83" s="109">
        <v>109</v>
      </c>
      <c r="W83" s="119"/>
    </row>
    <row r="84" spans="2:23" x14ac:dyDescent="0.3">
      <c r="B84" s="216" t="s">
        <v>469</v>
      </c>
      <c r="C84" s="216" t="str">
        <f t="shared" si="19"/>
        <v>TFLELPG101</v>
      </c>
      <c r="D84" s="221"/>
      <c r="E84" s="216" t="str">
        <f t="shared" si="14"/>
        <v>TFLL</v>
      </c>
      <c r="F84" s="254">
        <f t="shared" si="11"/>
        <v>0.51812999999999998</v>
      </c>
      <c r="G84" s="254">
        <f t="shared" si="15"/>
        <v>0.55249000000000004</v>
      </c>
      <c r="H84" s="254">
        <f t="shared" si="16"/>
        <v>0.58140000000000003</v>
      </c>
      <c r="I84" s="254">
        <f t="shared" si="17"/>
        <v>0.61350000000000005</v>
      </c>
      <c r="J84" s="254">
        <f t="shared" si="18"/>
        <v>0.64515999999999996</v>
      </c>
      <c r="M84" s="218" t="s">
        <v>149</v>
      </c>
      <c r="N84" s="226"/>
      <c r="O84" s="226" t="s">
        <v>347</v>
      </c>
      <c r="P84" s="109">
        <v>193</v>
      </c>
      <c r="Q84" s="109">
        <v>181</v>
      </c>
      <c r="R84" s="109">
        <v>172</v>
      </c>
      <c r="S84" s="109">
        <v>163</v>
      </c>
      <c r="T84" s="109">
        <v>155</v>
      </c>
      <c r="W84" s="119"/>
    </row>
    <row r="85" spans="2:23" x14ac:dyDescent="0.3">
      <c r="B85" s="216" t="s">
        <v>469</v>
      </c>
      <c r="C85" s="216" t="str">
        <f t="shared" si="19"/>
        <v>TFLELPG901</v>
      </c>
      <c r="D85" s="221"/>
      <c r="E85" s="216" t="str">
        <f t="shared" si="14"/>
        <v>TFLL-C</v>
      </c>
      <c r="F85" s="254">
        <f t="shared" si="11"/>
        <v>0.51812999999999998</v>
      </c>
      <c r="G85" s="254">
        <f t="shared" si="15"/>
        <v>0.55249000000000004</v>
      </c>
      <c r="H85" s="254">
        <f t="shared" si="16"/>
        <v>0.58140000000000003</v>
      </c>
      <c r="I85" s="254">
        <f t="shared" si="17"/>
        <v>0.61350000000000005</v>
      </c>
      <c r="J85" s="254">
        <f t="shared" si="18"/>
        <v>0.64515999999999996</v>
      </c>
      <c r="M85" s="218" t="s">
        <v>266</v>
      </c>
      <c r="N85" s="226"/>
      <c r="O85" s="226" t="s">
        <v>494</v>
      </c>
      <c r="P85" s="109">
        <v>193</v>
      </c>
      <c r="Q85" s="109">
        <v>181</v>
      </c>
      <c r="R85" s="109">
        <v>172</v>
      </c>
      <c r="S85" s="109">
        <v>163</v>
      </c>
      <c r="T85" s="109">
        <v>155</v>
      </c>
      <c r="W85" s="119"/>
    </row>
    <row r="86" spans="2:23" x14ac:dyDescent="0.3">
      <c r="B86" s="216" t="s">
        <v>469</v>
      </c>
      <c r="C86" s="216" t="str">
        <f t="shared" si="19"/>
        <v>TFLEMTH101</v>
      </c>
      <c r="D86" s="221"/>
      <c r="E86" s="216" t="str">
        <f t="shared" si="14"/>
        <v>TFLL</v>
      </c>
      <c r="F86" s="254">
        <f t="shared" si="11"/>
        <v>0.51812999999999998</v>
      </c>
      <c r="G86" s="254">
        <f t="shared" si="15"/>
        <v>0.55249000000000004</v>
      </c>
      <c r="H86" s="254">
        <f t="shared" si="16"/>
        <v>0.58140000000000003</v>
      </c>
      <c r="I86" s="254">
        <f t="shared" si="17"/>
        <v>0.61350000000000005</v>
      </c>
      <c r="J86" s="254">
        <f t="shared" si="18"/>
        <v>0.64515999999999996</v>
      </c>
      <c r="M86" s="218" t="s">
        <v>610</v>
      </c>
      <c r="N86" s="226"/>
      <c r="O86" s="226" t="s">
        <v>347</v>
      </c>
      <c r="P86" s="109">
        <v>193</v>
      </c>
      <c r="Q86" s="109">
        <v>181</v>
      </c>
      <c r="R86" s="109">
        <v>172</v>
      </c>
      <c r="S86" s="109">
        <v>163</v>
      </c>
      <c r="T86" s="109">
        <v>155</v>
      </c>
      <c r="W86" s="119"/>
    </row>
    <row r="87" spans="2:23" x14ac:dyDescent="0.3">
      <c r="B87" s="216" t="s">
        <v>469</v>
      </c>
      <c r="C87" s="216" t="str">
        <f t="shared" si="19"/>
        <v>TFLEMTH901</v>
      </c>
      <c r="D87" s="221"/>
      <c r="E87" s="216" t="str">
        <f t="shared" si="14"/>
        <v>TFLL-C</v>
      </c>
      <c r="F87" s="254">
        <f t="shared" si="11"/>
        <v>0.51812999999999998</v>
      </c>
      <c r="G87" s="254">
        <f t="shared" si="15"/>
        <v>0.55249000000000004</v>
      </c>
      <c r="H87" s="254">
        <f t="shared" si="16"/>
        <v>0.58140000000000003</v>
      </c>
      <c r="I87" s="254">
        <f t="shared" si="17"/>
        <v>0.61350000000000005</v>
      </c>
      <c r="J87" s="254">
        <f t="shared" si="18"/>
        <v>0.64515999999999996</v>
      </c>
      <c r="M87" s="218" t="s">
        <v>611</v>
      </c>
      <c r="N87" s="226"/>
      <c r="O87" s="226" t="s">
        <v>494</v>
      </c>
      <c r="P87" s="109">
        <v>193</v>
      </c>
      <c r="Q87" s="109">
        <v>181</v>
      </c>
      <c r="R87" s="109">
        <v>172</v>
      </c>
      <c r="S87" s="109">
        <v>163</v>
      </c>
      <c r="T87" s="109">
        <v>155</v>
      </c>
      <c r="W87" s="119"/>
    </row>
    <row r="88" spans="2:23" x14ac:dyDescent="0.3">
      <c r="B88" s="216" t="s">
        <v>469</v>
      </c>
      <c r="C88" s="216" t="str">
        <f t="shared" si="19"/>
        <v>TFLEPYD101</v>
      </c>
      <c r="D88" s="221"/>
      <c r="E88" s="216" t="str">
        <f t="shared" si="14"/>
        <v>TFLL</v>
      </c>
      <c r="F88" s="254">
        <f t="shared" si="11"/>
        <v>0.85470000000000002</v>
      </c>
      <c r="G88" s="254">
        <f t="shared" si="15"/>
        <v>0.85470000000000002</v>
      </c>
      <c r="H88" s="254">
        <f t="shared" si="16"/>
        <v>0.94340000000000002</v>
      </c>
      <c r="I88" s="254">
        <f t="shared" si="17"/>
        <v>1.0416700000000001</v>
      </c>
      <c r="J88" s="254">
        <f t="shared" si="18"/>
        <v>1.16279</v>
      </c>
      <c r="M88" s="218" t="s">
        <v>153</v>
      </c>
      <c r="N88" s="226"/>
      <c r="O88" s="226" t="s">
        <v>347</v>
      </c>
      <c r="P88" s="109">
        <v>117</v>
      </c>
      <c r="Q88" s="109">
        <v>117</v>
      </c>
      <c r="R88" s="109">
        <v>106</v>
      </c>
      <c r="S88" s="109">
        <v>96</v>
      </c>
      <c r="T88" s="109">
        <v>86</v>
      </c>
      <c r="W88" s="119"/>
    </row>
    <row r="89" spans="2:23" x14ac:dyDescent="0.3">
      <c r="B89" s="216" t="s">
        <v>469</v>
      </c>
      <c r="C89" s="216" t="str">
        <f t="shared" si="19"/>
        <v>TFLEPYD901</v>
      </c>
      <c r="D89" s="221"/>
      <c r="E89" s="216" t="str">
        <f t="shared" si="14"/>
        <v>TFLL-C</v>
      </c>
      <c r="F89" s="254">
        <f t="shared" ref="F89:F154" si="20">IF(P89=0, "-", ROUND(10^2/P89,5))</f>
        <v>0.85470000000000002</v>
      </c>
      <c r="G89" s="254">
        <f t="shared" si="15"/>
        <v>0.85470000000000002</v>
      </c>
      <c r="H89" s="254">
        <f t="shared" si="16"/>
        <v>0.94340000000000002</v>
      </c>
      <c r="I89" s="254">
        <f t="shared" si="17"/>
        <v>1.0416700000000001</v>
      </c>
      <c r="J89" s="254">
        <f t="shared" si="18"/>
        <v>1.16279</v>
      </c>
      <c r="M89" s="218" t="s">
        <v>313</v>
      </c>
      <c r="N89" s="226"/>
      <c r="O89" s="226" t="s">
        <v>494</v>
      </c>
      <c r="P89" s="109">
        <v>117</v>
      </c>
      <c r="Q89" s="109">
        <v>117</v>
      </c>
      <c r="R89" s="109">
        <v>106</v>
      </c>
      <c r="S89" s="109">
        <v>96</v>
      </c>
      <c r="T89" s="109">
        <v>86</v>
      </c>
      <c r="W89" s="119"/>
    </row>
    <row r="90" spans="2:23" x14ac:dyDescent="0.3">
      <c r="B90" s="216" t="s">
        <v>469</v>
      </c>
      <c r="C90" s="216" t="str">
        <f t="shared" si="19"/>
        <v>TFLEPYG101</v>
      </c>
      <c r="D90" s="221"/>
      <c r="E90" s="216" t="str">
        <f t="shared" si="14"/>
        <v>TFLL</v>
      </c>
      <c r="F90" s="254">
        <f t="shared" si="20"/>
        <v>0.90908999999999995</v>
      </c>
      <c r="G90" s="254">
        <f t="shared" si="15"/>
        <v>0.90908999999999995</v>
      </c>
      <c r="H90" s="254">
        <f t="shared" si="16"/>
        <v>1.0101</v>
      </c>
      <c r="I90" s="254">
        <f t="shared" si="17"/>
        <v>1.11111</v>
      </c>
      <c r="J90" s="254">
        <f t="shared" si="18"/>
        <v>1.2345699999999999</v>
      </c>
      <c r="M90" s="218" t="s">
        <v>155</v>
      </c>
      <c r="N90" s="226"/>
      <c r="O90" s="226" t="s">
        <v>347</v>
      </c>
      <c r="P90" s="109">
        <v>110</v>
      </c>
      <c r="Q90" s="109">
        <v>110</v>
      </c>
      <c r="R90" s="109">
        <v>99</v>
      </c>
      <c r="S90" s="109">
        <v>90</v>
      </c>
      <c r="T90" s="109">
        <v>81</v>
      </c>
      <c r="W90" s="119" t="s">
        <v>309</v>
      </c>
    </row>
    <row r="91" spans="2:23" x14ac:dyDescent="0.3">
      <c r="B91" s="219" t="s">
        <v>469</v>
      </c>
      <c r="C91" s="219" t="str">
        <f t="shared" si="19"/>
        <v>TFLEPYG901</v>
      </c>
      <c r="D91" s="222"/>
      <c r="E91" s="219" t="str">
        <f t="shared" si="14"/>
        <v>TFLL-C</v>
      </c>
      <c r="F91" s="256">
        <f t="shared" si="20"/>
        <v>0.90908999999999995</v>
      </c>
      <c r="G91" s="256">
        <f t="shared" si="15"/>
        <v>0.90908999999999995</v>
      </c>
      <c r="H91" s="256">
        <f t="shared" si="16"/>
        <v>1.0101</v>
      </c>
      <c r="I91" s="256">
        <f t="shared" si="17"/>
        <v>1.11111</v>
      </c>
      <c r="J91" s="256">
        <f t="shared" si="18"/>
        <v>1.2345699999999999</v>
      </c>
      <c r="M91" s="223" t="s">
        <v>314</v>
      </c>
      <c r="N91" s="227"/>
      <c r="O91" s="227" t="s">
        <v>494</v>
      </c>
      <c r="P91" s="113">
        <v>110</v>
      </c>
      <c r="Q91" s="113">
        <v>110</v>
      </c>
      <c r="R91" s="113">
        <v>99</v>
      </c>
      <c r="S91" s="113">
        <v>90</v>
      </c>
      <c r="T91" s="113">
        <v>81</v>
      </c>
      <c r="W91" s="147" t="s">
        <v>309</v>
      </c>
    </row>
    <row r="92" spans="2:23" x14ac:dyDescent="0.3">
      <c r="B92" s="216" t="s">
        <v>469</v>
      </c>
      <c r="C92" s="216" t="str">
        <f t="shared" si="19"/>
        <v>TFMEBDL101</v>
      </c>
      <c r="D92" s="221"/>
      <c r="E92" s="216" t="str">
        <f t="shared" si="14"/>
        <v>TFML</v>
      </c>
      <c r="F92" s="254">
        <f t="shared" si="20"/>
        <v>0.10185</v>
      </c>
      <c r="G92" s="254">
        <f t="shared" si="15"/>
        <v>0.10377</v>
      </c>
      <c r="H92" s="254">
        <f t="shared" si="16"/>
        <v>0.10680000000000001</v>
      </c>
      <c r="I92" s="254">
        <f t="shared" si="17"/>
        <v>0.10945000000000001</v>
      </c>
      <c r="J92" s="254">
        <f t="shared" si="18"/>
        <v>0.11224000000000001</v>
      </c>
      <c r="M92" s="218" t="s">
        <v>359</v>
      </c>
      <c r="N92" s="226"/>
      <c r="O92" s="226" t="s">
        <v>378</v>
      </c>
      <c r="P92" s="109">
        <f>P120/1.1</f>
        <v>981.81818181818176</v>
      </c>
      <c r="Q92" s="109">
        <f t="shared" ref="Q92:T92" si="21">Q120/1.1</f>
        <v>963.63636363636351</v>
      </c>
      <c r="R92" s="109">
        <f t="shared" si="21"/>
        <v>936.36363636363626</v>
      </c>
      <c r="S92" s="109">
        <f t="shared" si="21"/>
        <v>913.63636363636351</v>
      </c>
      <c r="T92" s="109">
        <f t="shared" si="21"/>
        <v>890.90909090909088</v>
      </c>
      <c r="W92" s="119" t="s">
        <v>534</v>
      </c>
    </row>
    <row r="93" spans="2:23" x14ac:dyDescent="0.3">
      <c r="B93" s="216" t="s">
        <v>469</v>
      </c>
      <c r="C93" s="216" t="str">
        <f t="shared" si="19"/>
        <v>TFMEBDL901</v>
      </c>
      <c r="D93" s="221"/>
      <c r="E93" s="216" t="str">
        <f t="shared" si="14"/>
        <v>TFML-C</v>
      </c>
      <c r="F93" s="254">
        <f t="shared" si="20"/>
        <v>0.10185</v>
      </c>
      <c r="G93" s="254">
        <f t="shared" si="15"/>
        <v>0.10377</v>
      </c>
      <c r="H93" s="254">
        <f t="shared" si="16"/>
        <v>0.10680000000000001</v>
      </c>
      <c r="I93" s="254">
        <f t="shared" si="17"/>
        <v>0.10945000000000001</v>
      </c>
      <c r="J93" s="254">
        <f t="shared" si="18"/>
        <v>0.11224000000000001</v>
      </c>
      <c r="M93" s="218" t="s">
        <v>444</v>
      </c>
      <c r="N93" s="226"/>
      <c r="O93" s="226" t="s">
        <v>495</v>
      </c>
      <c r="P93" s="109">
        <f t="shared" ref="P93:T93" si="22">P121/1.1</f>
        <v>981.81818181818176</v>
      </c>
      <c r="Q93" s="109">
        <f t="shared" si="22"/>
        <v>963.63636363636351</v>
      </c>
      <c r="R93" s="109">
        <f t="shared" si="22"/>
        <v>936.36363636363626</v>
      </c>
      <c r="S93" s="109">
        <f t="shared" si="22"/>
        <v>913.63636363636351</v>
      </c>
      <c r="T93" s="109">
        <f t="shared" si="22"/>
        <v>890.90909090909088</v>
      </c>
      <c r="W93" s="119" t="s">
        <v>534</v>
      </c>
    </row>
    <row r="94" spans="2:23" x14ac:dyDescent="0.3">
      <c r="B94" s="216" t="s">
        <v>469</v>
      </c>
      <c r="C94" s="216" t="str">
        <f t="shared" si="19"/>
        <v>TFMEDME101</v>
      </c>
      <c r="D94" s="221"/>
      <c r="E94" s="216" t="str">
        <f t="shared" si="14"/>
        <v>TFML</v>
      </c>
      <c r="F94" s="254">
        <f t="shared" si="20"/>
        <v>0.10185</v>
      </c>
      <c r="G94" s="254">
        <f t="shared" si="15"/>
        <v>0.10377</v>
      </c>
      <c r="H94" s="254">
        <f t="shared" si="16"/>
        <v>0.10680000000000001</v>
      </c>
      <c r="I94" s="254">
        <f t="shared" si="17"/>
        <v>0.10945000000000001</v>
      </c>
      <c r="J94" s="254">
        <f t="shared" si="18"/>
        <v>0.11224000000000001</v>
      </c>
      <c r="M94" s="218" t="s">
        <v>360</v>
      </c>
      <c r="N94" s="226"/>
      <c r="O94" s="226" t="s">
        <v>378</v>
      </c>
      <c r="P94" s="109">
        <f t="shared" ref="P94:T94" si="23">P122/1.1</f>
        <v>981.81818181818176</v>
      </c>
      <c r="Q94" s="109">
        <f t="shared" si="23"/>
        <v>963.63636363636351</v>
      </c>
      <c r="R94" s="109">
        <f t="shared" si="23"/>
        <v>936.36363636363626</v>
      </c>
      <c r="S94" s="109">
        <f t="shared" si="23"/>
        <v>913.63636363636351</v>
      </c>
      <c r="T94" s="109">
        <f t="shared" si="23"/>
        <v>890.90909090909088</v>
      </c>
      <c r="W94" s="119" t="s">
        <v>534</v>
      </c>
    </row>
    <row r="95" spans="2:23" x14ac:dyDescent="0.3">
      <c r="B95" s="216" t="s">
        <v>469</v>
      </c>
      <c r="C95" s="216" t="str">
        <f t="shared" si="19"/>
        <v>TFMEDME901</v>
      </c>
      <c r="D95" s="221"/>
      <c r="E95" s="216" t="str">
        <f t="shared" si="14"/>
        <v>TFML-C</v>
      </c>
      <c r="F95" s="254">
        <f t="shared" si="20"/>
        <v>0.10185</v>
      </c>
      <c r="G95" s="254">
        <f t="shared" si="15"/>
        <v>0.10377</v>
      </c>
      <c r="H95" s="254">
        <f t="shared" si="16"/>
        <v>0.10680000000000001</v>
      </c>
      <c r="I95" s="254">
        <f t="shared" si="17"/>
        <v>0.10945000000000001</v>
      </c>
      <c r="J95" s="254">
        <f t="shared" si="18"/>
        <v>0.11224000000000001</v>
      </c>
      <c r="M95" s="218" t="s">
        <v>445</v>
      </c>
      <c r="N95" s="226"/>
      <c r="O95" s="226" t="s">
        <v>495</v>
      </c>
      <c r="P95" s="109">
        <f t="shared" ref="P95:T95" si="24">P123/1.1</f>
        <v>981.81818181818176</v>
      </c>
      <c r="Q95" s="109">
        <f t="shared" si="24"/>
        <v>963.63636363636351</v>
      </c>
      <c r="R95" s="109">
        <f t="shared" si="24"/>
        <v>936.36363636363626</v>
      </c>
      <c r="S95" s="109">
        <f t="shared" si="24"/>
        <v>913.63636363636351</v>
      </c>
      <c r="T95" s="109">
        <f t="shared" si="24"/>
        <v>890.90909090909088</v>
      </c>
      <c r="W95" s="119" t="s">
        <v>534</v>
      </c>
    </row>
    <row r="96" spans="2:23" x14ac:dyDescent="0.3">
      <c r="B96" s="216" t="s">
        <v>469</v>
      </c>
      <c r="C96" s="216" t="str">
        <f t="shared" si="19"/>
        <v>TFMEDST101</v>
      </c>
      <c r="D96" s="221"/>
      <c r="E96" s="216" t="str">
        <f t="shared" si="14"/>
        <v>TFML</v>
      </c>
      <c r="F96" s="254">
        <f t="shared" si="20"/>
        <v>0.10185</v>
      </c>
      <c r="G96" s="254">
        <f t="shared" si="15"/>
        <v>0.10377</v>
      </c>
      <c r="H96" s="254">
        <f t="shared" si="16"/>
        <v>0.10680000000000001</v>
      </c>
      <c r="I96" s="254">
        <f t="shared" si="17"/>
        <v>0.10945000000000001</v>
      </c>
      <c r="J96" s="254">
        <f t="shared" si="18"/>
        <v>0.11224000000000001</v>
      </c>
      <c r="M96" s="218" t="s">
        <v>361</v>
      </c>
      <c r="N96" s="226"/>
      <c r="O96" s="226" t="s">
        <v>378</v>
      </c>
      <c r="P96" s="109">
        <f t="shared" ref="P96:T96" si="25">P124/1.1</f>
        <v>981.81818181818176</v>
      </c>
      <c r="Q96" s="109">
        <f t="shared" si="25"/>
        <v>963.63636363636351</v>
      </c>
      <c r="R96" s="109">
        <f t="shared" si="25"/>
        <v>936.36363636363626</v>
      </c>
      <c r="S96" s="109">
        <f t="shared" si="25"/>
        <v>913.63636363636351</v>
      </c>
      <c r="T96" s="109">
        <f t="shared" si="25"/>
        <v>890.90909090909088</v>
      </c>
      <c r="W96" s="119" t="s">
        <v>534</v>
      </c>
    </row>
    <row r="97" spans="2:23" x14ac:dyDescent="0.3">
      <c r="B97" s="216" t="s">
        <v>469</v>
      </c>
      <c r="C97" s="216" t="str">
        <f t="shared" si="19"/>
        <v>TFMEDST901</v>
      </c>
      <c r="D97" s="221"/>
      <c r="E97" s="216" t="str">
        <f t="shared" si="14"/>
        <v>TFML-C</v>
      </c>
      <c r="F97" s="254">
        <f t="shared" si="20"/>
        <v>0.10185</v>
      </c>
      <c r="G97" s="254">
        <f t="shared" si="15"/>
        <v>0.10377</v>
      </c>
      <c r="H97" s="254">
        <f t="shared" si="16"/>
        <v>0.10680000000000001</v>
      </c>
      <c r="I97" s="254">
        <f t="shared" si="17"/>
        <v>0.10945000000000001</v>
      </c>
      <c r="J97" s="254">
        <f t="shared" si="18"/>
        <v>0.11224000000000001</v>
      </c>
      <c r="M97" s="218" t="s">
        <v>446</v>
      </c>
      <c r="N97" s="226"/>
      <c r="O97" s="226" t="s">
        <v>495</v>
      </c>
      <c r="P97" s="109">
        <f t="shared" ref="P97:T97" si="26">P125/1.1</f>
        <v>981.81818181818176</v>
      </c>
      <c r="Q97" s="109">
        <f t="shared" si="26"/>
        <v>963.63636363636351</v>
      </c>
      <c r="R97" s="109">
        <f t="shared" si="26"/>
        <v>936.36363636363626</v>
      </c>
      <c r="S97" s="109">
        <f t="shared" si="26"/>
        <v>913.63636363636351</v>
      </c>
      <c r="T97" s="109">
        <f t="shared" si="26"/>
        <v>890.90909090909088</v>
      </c>
      <c r="W97" s="119" t="s">
        <v>534</v>
      </c>
    </row>
    <row r="98" spans="2:23" x14ac:dyDescent="0.3">
      <c r="B98" s="216" t="s">
        <v>469</v>
      </c>
      <c r="C98" s="216" t="str">
        <f t="shared" si="19"/>
        <v>TFMEELC101</v>
      </c>
      <c r="D98" s="221"/>
      <c r="E98" s="216" t="str">
        <f t="shared" si="14"/>
        <v>TFML</v>
      </c>
      <c r="F98" s="159">
        <f t="shared" si="20"/>
        <v>90.909090000000006</v>
      </c>
      <c r="G98" s="159">
        <f t="shared" si="15"/>
        <v>90.909090000000006</v>
      </c>
      <c r="H98" s="159">
        <f t="shared" si="16"/>
        <v>90.909090000000006</v>
      </c>
      <c r="I98" s="159">
        <f t="shared" si="17"/>
        <v>90.909090000000006</v>
      </c>
      <c r="J98" s="159">
        <f t="shared" si="18"/>
        <v>90.909090000000006</v>
      </c>
      <c r="M98" s="218" t="s">
        <v>362</v>
      </c>
      <c r="N98" s="226"/>
      <c r="O98" s="226" t="s">
        <v>378</v>
      </c>
      <c r="P98" s="249">
        <v>1.1000000000000001</v>
      </c>
      <c r="Q98" s="249">
        <v>1.1000000000000001</v>
      </c>
      <c r="R98" s="249">
        <v>1.1000000000000001</v>
      </c>
      <c r="S98" s="249">
        <v>1.1000000000000001</v>
      </c>
      <c r="T98" s="249">
        <v>1.1000000000000001</v>
      </c>
      <c r="W98" s="119" t="s">
        <v>310</v>
      </c>
    </row>
    <row r="99" spans="2:23" x14ac:dyDescent="0.3">
      <c r="B99" s="216" t="s">
        <v>469</v>
      </c>
      <c r="C99" s="216" t="str">
        <f t="shared" si="19"/>
        <v>TFMEELC901</v>
      </c>
      <c r="D99" s="221"/>
      <c r="E99" s="216" t="str">
        <f t="shared" si="14"/>
        <v>TFML-C</v>
      </c>
      <c r="F99" s="159">
        <f t="shared" si="20"/>
        <v>90.909090000000006</v>
      </c>
      <c r="G99" s="159">
        <f t="shared" si="15"/>
        <v>90.909090000000006</v>
      </c>
      <c r="H99" s="159">
        <f t="shared" si="16"/>
        <v>90.909090000000006</v>
      </c>
      <c r="I99" s="159">
        <f t="shared" si="17"/>
        <v>90.909090000000006</v>
      </c>
      <c r="J99" s="159">
        <f t="shared" si="18"/>
        <v>90.909090000000006</v>
      </c>
      <c r="M99" s="218" t="s">
        <v>447</v>
      </c>
      <c r="N99" s="226"/>
      <c r="O99" s="226" t="s">
        <v>495</v>
      </c>
      <c r="P99" s="249">
        <v>1.1000000000000001</v>
      </c>
      <c r="Q99" s="249">
        <v>1.1000000000000001</v>
      </c>
      <c r="R99" s="249">
        <v>1.1000000000000001</v>
      </c>
      <c r="S99" s="249">
        <v>1.1000000000000001</v>
      </c>
      <c r="T99" s="249">
        <v>1.1000000000000001</v>
      </c>
      <c r="W99" s="119" t="s">
        <v>310</v>
      </c>
    </row>
    <row r="100" spans="2:23" x14ac:dyDescent="0.3">
      <c r="B100" s="216" t="s">
        <v>469</v>
      </c>
      <c r="C100" s="216" t="str">
        <f t="shared" si="19"/>
        <v>TFMEETH101</v>
      </c>
      <c r="D100" s="221"/>
      <c r="E100" s="216" t="str">
        <f t="shared" si="14"/>
        <v>TFML</v>
      </c>
      <c r="F100" s="254">
        <f t="shared" si="20"/>
        <v>0.10185</v>
      </c>
      <c r="G100" s="254">
        <f t="shared" si="15"/>
        <v>0.10377</v>
      </c>
      <c r="H100" s="254">
        <f t="shared" si="16"/>
        <v>0.10680000000000001</v>
      </c>
      <c r="I100" s="254">
        <f t="shared" si="17"/>
        <v>0.10945000000000001</v>
      </c>
      <c r="J100" s="254">
        <f t="shared" si="18"/>
        <v>0.11224000000000001</v>
      </c>
      <c r="M100" s="218" t="s">
        <v>363</v>
      </c>
      <c r="N100" s="226"/>
      <c r="O100" s="226" t="s">
        <v>378</v>
      </c>
      <c r="P100" s="109">
        <f>P126/1.1</f>
        <v>981.81818181818176</v>
      </c>
      <c r="Q100" s="109">
        <f>Q126/1.1</f>
        <v>963.63636363636351</v>
      </c>
      <c r="R100" s="109">
        <f>R126/1.1</f>
        <v>936.36363636363626</v>
      </c>
      <c r="S100" s="109">
        <f>S126/1.1</f>
        <v>913.63636363636351</v>
      </c>
      <c r="T100" s="109">
        <f>T126/1.1</f>
        <v>890.90909090909088</v>
      </c>
      <c r="W100" s="119" t="s">
        <v>534</v>
      </c>
    </row>
    <row r="101" spans="2:23" x14ac:dyDescent="0.3">
      <c r="B101" s="216" t="s">
        <v>469</v>
      </c>
      <c r="C101" s="216" t="str">
        <f t="shared" si="19"/>
        <v>TFMEETH901</v>
      </c>
      <c r="D101" s="221"/>
      <c r="E101" s="216" t="str">
        <f t="shared" si="14"/>
        <v>TFML-C</v>
      </c>
      <c r="F101" s="254">
        <f t="shared" si="20"/>
        <v>0.10185</v>
      </c>
      <c r="G101" s="254">
        <f t="shared" si="15"/>
        <v>0.10377</v>
      </c>
      <c r="H101" s="254">
        <f t="shared" si="16"/>
        <v>0.10680000000000001</v>
      </c>
      <c r="I101" s="254">
        <f t="shared" si="17"/>
        <v>0.10945000000000001</v>
      </c>
      <c r="J101" s="254">
        <f t="shared" si="18"/>
        <v>0.11224000000000001</v>
      </c>
      <c r="M101" s="218" t="s">
        <v>448</v>
      </c>
      <c r="N101" s="226"/>
      <c r="O101" s="226" t="s">
        <v>495</v>
      </c>
      <c r="P101" s="109">
        <f t="shared" ref="P101:T101" si="27">P127/1.1</f>
        <v>981.81818181818176</v>
      </c>
      <c r="Q101" s="109">
        <f t="shared" si="27"/>
        <v>963.63636363636351</v>
      </c>
      <c r="R101" s="109">
        <f t="shared" si="27"/>
        <v>936.36363636363626</v>
      </c>
      <c r="S101" s="109">
        <f t="shared" si="27"/>
        <v>913.63636363636351</v>
      </c>
      <c r="T101" s="109">
        <f t="shared" si="27"/>
        <v>890.90909090909088</v>
      </c>
      <c r="W101" s="119" t="s">
        <v>534</v>
      </c>
    </row>
    <row r="102" spans="2:23" x14ac:dyDescent="0.3">
      <c r="B102" s="216" t="s">
        <v>469</v>
      </c>
      <c r="C102" s="216" t="str">
        <f t="shared" si="19"/>
        <v>TFMEGAS101</v>
      </c>
      <c r="D102" s="221"/>
      <c r="E102" s="216" t="str">
        <f t="shared" si="14"/>
        <v>TFML</v>
      </c>
      <c r="F102" s="254">
        <f t="shared" si="20"/>
        <v>9.2439999999999994E-2</v>
      </c>
      <c r="G102" s="254">
        <f t="shared" si="15"/>
        <v>9.3619999999999995E-2</v>
      </c>
      <c r="H102" s="254">
        <f t="shared" si="16"/>
        <v>9.7350000000000006E-2</v>
      </c>
      <c r="I102" s="254">
        <f t="shared" si="17"/>
        <v>0.1</v>
      </c>
      <c r="J102" s="254">
        <f t="shared" si="18"/>
        <v>0.1028</v>
      </c>
      <c r="M102" s="218" t="s">
        <v>364</v>
      </c>
      <c r="N102" s="226"/>
      <c r="O102" s="226" t="s">
        <v>378</v>
      </c>
      <c r="P102" s="109">
        <f t="shared" ref="P102:T102" si="28">P128/1.1</f>
        <v>1081.8181818181818</v>
      </c>
      <c r="Q102" s="109">
        <f t="shared" si="28"/>
        <v>1068.181818181818</v>
      </c>
      <c r="R102" s="109">
        <f t="shared" si="28"/>
        <v>1027.2727272727273</v>
      </c>
      <c r="S102" s="109">
        <f t="shared" si="28"/>
        <v>999.99999999999989</v>
      </c>
      <c r="T102" s="109">
        <f t="shared" si="28"/>
        <v>972.72727272727263</v>
      </c>
      <c r="W102" s="119" t="s">
        <v>534</v>
      </c>
    </row>
    <row r="103" spans="2:23" x14ac:dyDescent="0.3">
      <c r="B103" s="216" t="s">
        <v>469</v>
      </c>
      <c r="C103" s="216" t="str">
        <f t="shared" si="19"/>
        <v>TFMEGAS901</v>
      </c>
      <c r="D103" s="221"/>
      <c r="E103" s="216" t="str">
        <f t="shared" si="14"/>
        <v>TFML-C</v>
      </c>
      <c r="F103" s="254">
        <f t="shared" si="20"/>
        <v>9.2439999999999994E-2</v>
      </c>
      <c r="G103" s="254">
        <f t="shared" si="15"/>
        <v>9.3619999999999995E-2</v>
      </c>
      <c r="H103" s="254">
        <f t="shared" si="16"/>
        <v>9.7350000000000006E-2</v>
      </c>
      <c r="I103" s="254">
        <f t="shared" si="17"/>
        <v>0.1</v>
      </c>
      <c r="J103" s="254">
        <f t="shared" si="18"/>
        <v>0.1028</v>
      </c>
      <c r="M103" s="218" t="s">
        <v>449</v>
      </c>
      <c r="N103" s="226"/>
      <c r="O103" s="226" t="s">
        <v>495</v>
      </c>
      <c r="P103" s="109">
        <f t="shared" ref="P103:T103" si="29">P129/1.1</f>
        <v>1081.8181818181818</v>
      </c>
      <c r="Q103" s="109">
        <f t="shared" si="29"/>
        <v>1068.181818181818</v>
      </c>
      <c r="R103" s="109">
        <f t="shared" si="29"/>
        <v>1027.2727272727273</v>
      </c>
      <c r="S103" s="109">
        <f t="shared" si="29"/>
        <v>999.99999999999989</v>
      </c>
      <c r="T103" s="109">
        <f t="shared" si="29"/>
        <v>972.72727272727263</v>
      </c>
      <c r="W103" s="119" t="s">
        <v>534</v>
      </c>
    </row>
    <row r="104" spans="2:23" x14ac:dyDescent="0.3">
      <c r="B104" s="216" t="s">
        <v>469</v>
      </c>
      <c r="C104" s="216" t="str">
        <f t="shared" si="19"/>
        <v>TFMEGSL101</v>
      </c>
      <c r="D104" s="221"/>
      <c r="E104" s="216" t="str">
        <f t="shared" ref="E104:E131" si="30">O104</f>
        <v>TFML</v>
      </c>
      <c r="F104" s="254">
        <f t="shared" si="20"/>
        <v>9.2439999999999994E-2</v>
      </c>
      <c r="G104" s="254">
        <f t="shared" si="15"/>
        <v>9.3619999999999995E-2</v>
      </c>
      <c r="H104" s="254">
        <f t="shared" si="16"/>
        <v>9.7350000000000006E-2</v>
      </c>
      <c r="I104" s="254">
        <f t="shared" si="17"/>
        <v>0.1</v>
      </c>
      <c r="J104" s="254">
        <f t="shared" si="18"/>
        <v>0.1028</v>
      </c>
      <c r="M104" s="218" t="s">
        <v>365</v>
      </c>
      <c r="N104" s="226"/>
      <c r="O104" s="226" t="s">
        <v>378</v>
      </c>
      <c r="P104" s="109">
        <f t="shared" ref="P104:T104" si="31">P130/1.1</f>
        <v>1081.8181818181818</v>
      </c>
      <c r="Q104" s="109">
        <f t="shared" si="31"/>
        <v>1068.181818181818</v>
      </c>
      <c r="R104" s="109">
        <f t="shared" si="31"/>
        <v>1027.2727272727273</v>
      </c>
      <c r="S104" s="109">
        <f t="shared" si="31"/>
        <v>999.99999999999989</v>
      </c>
      <c r="T104" s="109">
        <f t="shared" si="31"/>
        <v>972.72727272727263</v>
      </c>
      <c r="W104" s="119" t="s">
        <v>534</v>
      </c>
    </row>
    <row r="105" spans="2:23" x14ac:dyDescent="0.3">
      <c r="B105" s="216" t="s">
        <v>469</v>
      </c>
      <c r="C105" s="216" t="str">
        <f t="shared" si="19"/>
        <v>TFMEGSL901</v>
      </c>
      <c r="D105" s="221"/>
      <c r="E105" s="216" t="str">
        <f t="shared" si="30"/>
        <v>TFML-C</v>
      </c>
      <c r="F105" s="254">
        <f t="shared" si="20"/>
        <v>9.2439999999999994E-2</v>
      </c>
      <c r="G105" s="254">
        <f t="shared" si="15"/>
        <v>9.3619999999999995E-2</v>
      </c>
      <c r="H105" s="254">
        <f t="shared" si="16"/>
        <v>9.7350000000000006E-2</v>
      </c>
      <c r="I105" s="254">
        <f t="shared" si="17"/>
        <v>0.1</v>
      </c>
      <c r="J105" s="254">
        <f t="shared" si="18"/>
        <v>0.1028</v>
      </c>
      <c r="M105" s="218" t="s">
        <v>450</v>
      </c>
      <c r="N105" s="226"/>
      <c r="O105" s="226" t="s">
        <v>495</v>
      </c>
      <c r="P105" s="109">
        <f t="shared" ref="P105:T105" si="32">P131/1.1</f>
        <v>1081.8181818181818</v>
      </c>
      <c r="Q105" s="109">
        <f t="shared" si="32"/>
        <v>1068.181818181818</v>
      </c>
      <c r="R105" s="109">
        <f t="shared" si="32"/>
        <v>1027.2727272727273</v>
      </c>
      <c r="S105" s="109">
        <f t="shared" si="32"/>
        <v>999.99999999999989</v>
      </c>
      <c r="T105" s="109">
        <f t="shared" si="32"/>
        <v>972.72727272727263</v>
      </c>
      <c r="W105" s="119" t="s">
        <v>534</v>
      </c>
    </row>
    <row r="106" spans="2:23" x14ac:dyDescent="0.3">
      <c r="B106" s="216" t="s">
        <v>469</v>
      </c>
      <c r="C106" s="216" t="str">
        <f t="shared" ref="C106:C135" si="33">M106</f>
        <v>TFMEHFC101</v>
      </c>
      <c r="D106" s="221"/>
      <c r="E106" s="216" t="str">
        <f t="shared" si="30"/>
        <v>TFML</v>
      </c>
      <c r="F106" s="254">
        <f t="shared" si="20"/>
        <v>0.16922999999999999</v>
      </c>
      <c r="G106" s="254">
        <f t="shared" si="15"/>
        <v>0.17188000000000001</v>
      </c>
      <c r="H106" s="254">
        <f t="shared" si="16"/>
        <v>0.18032999999999999</v>
      </c>
      <c r="I106" s="254">
        <f t="shared" si="17"/>
        <v>0.18487000000000001</v>
      </c>
      <c r="J106" s="254">
        <f t="shared" si="18"/>
        <v>0.18966</v>
      </c>
      <c r="M106" s="218" t="s">
        <v>367</v>
      </c>
      <c r="N106" s="226"/>
      <c r="O106" s="226" t="s">
        <v>378</v>
      </c>
      <c r="P106" s="109">
        <f t="shared" ref="P106:T106" si="34">P132/1.1</f>
        <v>590.90909090909088</v>
      </c>
      <c r="Q106" s="109">
        <f t="shared" si="34"/>
        <v>581.81818181818176</v>
      </c>
      <c r="R106" s="109">
        <f t="shared" si="34"/>
        <v>554.5454545454545</v>
      </c>
      <c r="S106" s="109">
        <f t="shared" si="34"/>
        <v>540.90909090909088</v>
      </c>
      <c r="T106" s="109">
        <f t="shared" si="34"/>
        <v>527.27272727272725</v>
      </c>
      <c r="W106" s="119" t="s">
        <v>534</v>
      </c>
    </row>
    <row r="107" spans="2:23" x14ac:dyDescent="0.3">
      <c r="B107" s="216" t="s">
        <v>469</v>
      </c>
      <c r="C107" s="216" t="str">
        <f t="shared" si="33"/>
        <v>TFMEHFC901</v>
      </c>
      <c r="D107" s="221"/>
      <c r="E107" s="216" t="str">
        <f t="shared" si="30"/>
        <v>TFML-C</v>
      </c>
      <c r="F107" s="254">
        <f t="shared" si="20"/>
        <v>0.16922999999999999</v>
      </c>
      <c r="G107" s="254">
        <f t="shared" si="15"/>
        <v>0.17188000000000001</v>
      </c>
      <c r="H107" s="254">
        <f t="shared" si="16"/>
        <v>0.18032999999999999</v>
      </c>
      <c r="I107" s="254">
        <f t="shared" si="17"/>
        <v>0.18487000000000001</v>
      </c>
      <c r="J107" s="254">
        <f t="shared" si="18"/>
        <v>0.18966</v>
      </c>
      <c r="M107" s="218" t="s">
        <v>453</v>
      </c>
      <c r="N107" s="226"/>
      <c r="O107" s="226" t="s">
        <v>495</v>
      </c>
      <c r="P107" s="109">
        <f t="shared" ref="P107:T107" si="35">P133/1.1</f>
        <v>590.90909090909088</v>
      </c>
      <c r="Q107" s="109">
        <f t="shared" si="35"/>
        <v>581.81818181818176</v>
      </c>
      <c r="R107" s="109">
        <f t="shared" si="35"/>
        <v>554.5454545454545</v>
      </c>
      <c r="S107" s="109">
        <f t="shared" si="35"/>
        <v>540.90909090909088</v>
      </c>
      <c r="T107" s="109">
        <f t="shared" si="35"/>
        <v>527.27272727272725</v>
      </c>
      <c r="W107" s="119" t="s">
        <v>534</v>
      </c>
    </row>
    <row r="108" spans="2:23" x14ac:dyDescent="0.3">
      <c r="B108" s="216" t="s">
        <v>469</v>
      </c>
      <c r="C108" s="216" t="str">
        <f t="shared" si="33"/>
        <v>TFMEHYD101</v>
      </c>
      <c r="D108" s="221"/>
      <c r="E108" s="216" t="str">
        <f t="shared" si="30"/>
        <v>TFML</v>
      </c>
      <c r="F108" s="254">
        <f t="shared" si="20"/>
        <v>0.1134</v>
      </c>
      <c r="G108" s="254">
        <f t="shared" si="15"/>
        <v>0.11579</v>
      </c>
      <c r="H108" s="254">
        <f t="shared" si="16"/>
        <v>0.11957</v>
      </c>
      <c r="I108" s="254">
        <f t="shared" si="17"/>
        <v>0.12222</v>
      </c>
      <c r="J108" s="254">
        <f t="shared" si="18"/>
        <v>0.125</v>
      </c>
      <c r="M108" s="218" t="s">
        <v>366</v>
      </c>
      <c r="N108" s="226"/>
      <c r="O108" s="226" t="s">
        <v>378</v>
      </c>
      <c r="P108" s="109">
        <f t="shared" ref="P108:T108" si="36">P134/1.1</f>
        <v>881.81818181818176</v>
      </c>
      <c r="Q108" s="109">
        <f t="shared" si="36"/>
        <v>863.63636363636351</v>
      </c>
      <c r="R108" s="109">
        <f t="shared" si="36"/>
        <v>836.36363636363626</v>
      </c>
      <c r="S108" s="109">
        <f t="shared" si="36"/>
        <v>818.18181818181813</v>
      </c>
      <c r="T108" s="109">
        <f t="shared" si="36"/>
        <v>799.99999999999989</v>
      </c>
      <c r="W108" s="119" t="s">
        <v>534</v>
      </c>
    </row>
    <row r="109" spans="2:23" x14ac:dyDescent="0.3">
      <c r="B109" s="216" t="s">
        <v>469</v>
      </c>
      <c r="C109" s="216" t="str">
        <f t="shared" si="33"/>
        <v>TFMEHYD901</v>
      </c>
      <c r="D109" s="221"/>
      <c r="E109" s="216" t="str">
        <f t="shared" si="30"/>
        <v>TFML-C</v>
      </c>
      <c r="F109" s="254">
        <f t="shared" si="20"/>
        <v>0.1134</v>
      </c>
      <c r="G109" s="254">
        <f t="shared" si="15"/>
        <v>0.11579</v>
      </c>
      <c r="H109" s="254">
        <f t="shared" si="16"/>
        <v>0.11957</v>
      </c>
      <c r="I109" s="254">
        <f t="shared" si="17"/>
        <v>0.12222</v>
      </c>
      <c r="J109" s="254">
        <f t="shared" si="18"/>
        <v>0.125</v>
      </c>
      <c r="M109" s="218" t="s">
        <v>451</v>
      </c>
      <c r="N109" s="226"/>
      <c r="O109" s="226" t="s">
        <v>495</v>
      </c>
      <c r="P109" s="109">
        <f t="shared" ref="P109:T109" si="37">P135/1.1</f>
        <v>881.81818181818176</v>
      </c>
      <c r="Q109" s="109">
        <f t="shared" si="37"/>
        <v>863.63636363636351</v>
      </c>
      <c r="R109" s="109">
        <f t="shared" si="37"/>
        <v>836.36363636363626</v>
      </c>
      <c r="S109" s="109">
        <f t="shared" si="37"/>
        <v>818.18181818181813</v>
      </c>
      <c r="T109" s="109">
        <f t="shared" si="37"/>
        <v>799.99999999999989</v>
      </c>
      <c r="W109" s="119" t="s">
        <v>534</v>
      </c>
    </row>
    <row r="110" spans="2:23" x14ac:dyDescent="0.3">
      <c r="B110" s="216" t="s">
        <v>469</v>
      </c>
      <c r="C110" s="216" t="str">
        <f t="shared" si="33"/>
        <v>TFMEHYG101</v>
      </c>
      <c r="D110" s="221"/>
      <c r="E110" s="216" t="str">
        <f t="shared" si="30"/>
        <v>TFML</v>
      </c>
      <c r="F110" s="254">
        <f t="shared" si="20"/>
        <v>0.10292</v>
      </c>
      <c r="G110" s="254">
        <f t="shared" si="15"/>
        <v>0.10446</v>
      </c>
      <c r="H110" s="254">
        <f t="shared" si="16"/>
        <v>0.10897999999999999</v>
      </c>
      <c r="I110" s="254">
        <f t="shared" si="17"/>
        <v>0.11167000000000001</v>
      </c>
      <c r="J110" s="254">
        <f t="shared" si="18"/>
        <v>0.11448999999999999</v>
      </c>
      <c r="M110" s="218" t="s">
        <v>425</v>
      </c>
      <c r="N110" s="226"/>
      <c r="O110" s="226" t="s">
        <v>378</v>
      </c>
      <c r="P110" s="109">
        <f t="shared" ref="P110:T110" si="38">P136/1.1</f>
        <v>971.63299663299654</v>
      </c>
      <c r="Q110" s="109">
        <f t="shared" si="38"/>
        <v>957.33276157804448</v>
      </c>
      <c r="R110" s="109">
        <f t="shared" si="38"/>
        <v>917.5639894086496</v>
      </c>
      <c r="S110" s="109">
        <f t="shared" si="38"/>
        <v>895.52238805970148</v>
      </c>
      <c r="T110" s="109">
        <f t="shared" si="38"/>
        <v>873.46938775510205</v>
      </c>
      <c r="W110" s="119" t="s">
        <v>534</v>
      </c>
    </row>
    <row r="111" spans="2:23" x14ac:dyDescent="0.3">
      <c r="B111" s="216" t="s">
        <v>469</v>
      </c>
      <c r="C111" s="216" t="str">
        <f t="shared" si="33"/>
        <v>TFMEHYG901</v>
      </c>
      <c r="D111" s="221"/>
      <c r="E111" s="216" t="str">
        <f t="shared" si="30"/>
        <v>TFML-C</v>
      </c>
      <c r="F111" s="254">
        <f t="shared" si="20"/>
        <v>0.10292</v>
      </c>
      <c r="G111" s="254">
        <f t="shared" si="15"/>
        <v>0.10446</v>
      </c>
      <c r="H111" s="254">
        <f t="shared" si="16"/>
        <v>0.10897999999999999</v>
      </c>
      <c r="I111" s="254">
        <f t="shared" si="17"/>
        <v>0.11167000000000001</v>
      </c>
      <c r="J111" s="254">
        <f t="shared" si="18"/>
        <v>0.11448999999999999</v>
      </c>
      <c r="M111" s="218" t="s">
        <v>452</v>
      </c>
      <c r="N111" s="226"/>
      <c r="O111" s="226" t="s">
        <v>495</v>
      </c>
      <c r="P111" s="109">
        <f t="shared" ref="P111:T111" si="39">P137/1.1</f>
        <v>971.63299663299654</v>
      </c>
      <c r="Q111" s="109">
        <f t="shared" si="39"/>
        <v>957.33276157804448</v>
      </c>
      <c r="R111" s="109">
        <f t="shared" si="39"/>
        <v>917.5639894086496</v>
      </c>
      <c r="S111" s="109">
        <f t="shared" si="39"/>
        <v>895.52238805970148</v>
      </c>
      <c r="T111" s="109">
        <f t="shared" si="39"/>
        <v>873.46938775510205</v>
      </c>
      <c r="W111" s="119" t="s">
        <v>534</v>
      </c>
    </row>
    <row r="112" spans="2:23" x14ac:dyDescent="0.3">
      <c r="B112" s="216" t="s">
        <v>469</v>
      </c>
      <c r="C112" s="216" t="str">
        <f t="shared" si="33"/>
        <v>TFMELPG101</v>
      </c>
      <c r="D112" s="221"/>
      <c r="E112" s="216" t="str">
        <f t="shared" si="30"/>
        <v>TFML</v>
      </c>
      <c r="F112" s="254">
        <f t="shared" si="20"/>
        <v>9.2439999999999994E-2</v>
      </c>
      <c r="G112" s="254">
        <f t="shared" si="15"/>
        <v>9.3619999999999995E-2</v>
      </c>
      <c r="H112" s="254">
        <f t="shared" si="16"/>
        <v>9.7350000000000006E-2</v>
      </c>
      <c r="I112" s="254">
        <f t="shared" si="17"/>
        <v>0.1</v>
      </c>
      <c r="J112" s="254">
        <f t="shared" si="18"/>
        <v>0.1028</v>
      </c>
      <c r="M112" s="218" t="s">
        <v>427</v>
      </c>
      <c r="N112" s="226"/>
      <c r="O112" s="226" t="s">
        <v>378</v>
      </c>
      <c r="P112" s="109">
        <f t="shared" ref="P112:T112" si="40">P138/1.1</f>
        <v>1081.8181818181818</v>
      </c>
      <c r="Q112" s="109">
        <f t="shared" si="40"/>
        <v>1068.181818181818</v>
      </c>
      <c r="R112" s="109">
        <f t="shared" si="40"/>
        <v>1027.2727272727273</v>
      </c>
      <c r="S112" s="109">
        <f t="shared" si="40"/>
        <v>999.99999999999989</v>
      </c>
      <c r="T112" s="109">
        <f t="shared" si="40"/>
        <v>972.72727272727263</v>
      </c>
      <c r="W112" s="119" t="s">
        <v>534</v>
      </c>
    </row>
    <row r="113" spans="2:23" x14ac:dyDescent="0.3">
      <c r="B113" s="216" t="s">
        <v>469</v>
      </c>
      <c r="C113" s="216" t="str">
        <f t="shared" si="33"/>
        <v>TFMELPG901</v>
      </c>
      <c r="D113" s="221"/>
      <c r="E113" s="216" t="str">
        <f t="shared" si="30"/>
        <v>TFML-C</v>
      </c>
      <c r="F113" s="254">
        <f t="shared" si="20"/>
        <v>9.2439999999999994E-2</v>
      </c>
      <c r="G113" s="254">
        <f t="shared" si="15"/>
        <v>9.3619999999999995E-2</v>
      </c>
      <c r="H113" s="254">
        <f t="shared" si="16"/>
        <v>9.7350000000000006E-2</v>
      </c>
      <c r="I113" s="254">
        <f t="shared" si="17"/>
        <v>0.1</v>
      </c>
      <c r="J113" s="254">
        <f t="shared" si="18"/>
        <v>0.1028</v>
      </c>
      <c r="M113" s="218" t="s">
        <v>454</v>
      </c>
      <c r="N113" s="226"/>
      <c r="O113" s="226" t="s">
        <v>495</v>
      </c>
      <c r="P113" s="109">
        <f t="shared" ref="P113:T113" si="41">P139/1.1</f>
        <v>1081.8181818181818</v>
      </c>
      <c r="Q113" s="109">
        <f t="shared" si="41"/>
        <v>1068.181818181818</v>
      </c>
      <c r="R113" s="109">
        <f t="shared" si="41"/>
        <v>1027.2727272727273</v>
      </c>
      <c r="S113" s="109">
        <f t="shared" si="41"/>
        <v>999.99999999999989</v>
      </c>
      <c r="T113" s="109">
        <f t="shared" si="41"/>
        <v>972.72727272727263</v>
      </c>
      <c r="W113" s="119" t="s">
        <v>534</v>
      </c>
    </row>
    <row r="114" spans="2:23" x14ac:dyDescent="0.3">
      <c r="B114" s="216" t="s">
        <v>469</v>
      </c>
      <c r="C114" s="216" t="str">
        <f t="shared" si="33"/>
        <v>TFMEMTH101</v>
      </c>
      <c r="D114" s="221"/>
      <c r="E114" s="216" t="str">
        <f t="shared" si="30"/>
        <v>TFML</v>
      </c>
      <c r="F114" s="254">
        <f t="shared" si="20"/>
        <v>9.2439999999999994E-2</v>
      </c>
      <c r="G114" s="254">
        <f t="shared" si="15"/>
        <v>9.3619999999999995E-2</v>
      </c>
      <c r="H114" s="254">
        <f t="shared" si="16"/>
        <v>9.7350000000000006E-2</v>
      </c>
      <c r="I114" s="254">
        <f t="shared" si="17"/>
        <v>0.1</v>
      </c>
      <c r="J114" s="254">
        <f t="shared" si="18"/>
        <v>0.1028</v>
      </c>
      <c r="M114" s="218" t="s">
        <v>612</v>
      </c>
      <c r="N114" s="226"/>
      <c r="O114" s="226" t="s">
        <v>378</v>
      </c>
      <c r="P114" s="109">
        <f t="shared" ref="P114:T114" si="42">P140/1.1</f>
        <v>1081.8181818181818</v>
      </c>
      <c r="Q114" s="109">
        <f t="shared" si="42"/>
        <v>1068.181818181818</v>
      </c>
      <c r="R114" s="109">
        <f t="shared" si="42"/>
        <v>1027.2727272727273</v>
      </c>
      <c r="S114" s="109">
        <f t="shared" si="42"/>
        <v>999.99999999999989</v>
      </c>
      <c r="T114" s="109">
        <f t="shared" si="42"/>
        <v>972.72727272727263</v>
      </c>
      <c r="W114" s="119" t="s">
        <v>534</v>
      </c>
    </row>
    <row r="115" spans="2:23" x14ac:dyDescent="0.3">
      <c r="B115" s="216" t="s">
        <v>469</v>
      </c>
      <c r="C115" s="216" t="str">
        <f t="shared" si="33"/>
        <v>TFMEMTH901</v>
      </c>
      <c r="D115" s="221"/>
      <c r="E115" s="216" t="str">
        <f t="shared" si="30"/>
        <v>TFML-C</v>
      </c>
      <c r="F115" s="254">
        <f t="shared" si="20"/>
        <v>9.2439999999999994E-2</v>
      </c>
      <c r="G115" s="254">
        <f t="shared" si="15"/>
        <v>9.3619999999999995E-2</v>
      </c>
      <c r="H115" s="254">
        <f t="shared" si="16"/>
        <v>9.7350000000000006E-2</v>
      </c>
      <c r="I115" s="254">
        <f t="shared" si="17"/>
        <v>0.1</v>
      </c>
      <c r="J115" s="254">
        <f t="shared" si="18"/>
        <v>0.1028</v>
      </c>
      <c r="M115" s="218" t="s">
        <v>607</v>
      </c>
      <c r="N115" s="226"/>
      <c r="O115" s="226" t="s">
        <v>495</v>
      </c>
      <c r="P115" s="109">
        <f t="shared" ref="P115:T115" si="43">P141/1.1</f>
        <v>1081.8181818181818</v>
      </c>
      <c r="Q115" s="109">
        <f t="shared" si="43"/>
        <v>1068.181818181818</v>
      </c>
      <c r="R115" s="109">
        <f t="shared" si="43"/>
        <v>1027.2727272727273</v>
      </c>
      <c r="S115" s="109">
        <f t="shared" si="43"/>
        <v>999.99999999999989</v>
      </c>
      <c r="T115" s="109">
        <f t="shared" si="43"/>
        <v>972.72727272727263</v>
      </c>
      <c r="W115" s="119" t="s">
        <v>534</v>
      </c>
    </row>
    <row r="116" spans="2:23" x14ac:dyDescent="0.3">
      <c r="B116" s="216" t="s">
        <v>469</v>
      </c>
      <c r="C116" s="216" t="str">
        <f t="shared" si="33"/>
        <v>TFMEPYD101</v>
      </c>
      <c r="D116" s="221"/>
      <c r="E116" s="216" t="str">
        <f t="shared" si="30"/>
        <v>TFML</v>
      </c>
      <c r="F116" s="254">
        <f t="shared" si="20"/>
        <v>0.10185</v>
      </c>
      <c r="G116" s="254">
        <f t="shared" si="15"/>
        <v>0.10377</v>
      </c>
      <c r="H116" s="254">
        <f t="shared" si="16"/>
        <v>0.10680000000000001</v>
      </c>
      <c r="I116" s="254">
        <f t="shared" si="17"/>
        <v>0.10945000000000001</v>
      </c>
      <c r="J116" s="254">
        <f t="shared" si="18"/>
        <v>0.11224000000000001</v>
      </c>
      <c r="M116" s="218" t="s">
        <v>424</v>
      </c>
      <c r="N116" s="226"/>
      <c r="O116" s="226" t="s">
        <v>378</v>
      </c>
      <c r="P116" s="109">
        <f t="shared" ref="P116:T116" si="44">P142/1.1</f>
        <v>981.81818181818176</v>
      </c>
      <c r="Q116" s="109">
        <f t="shared" si="44"/>
        <v>963.63636363636351</v>
      </c>
      <c r="R116" s="109">
        <f t="shared" si="44"/>
        <v>936.36363636363626</v>
      </c>
      <c r="S116" s="109">
        <f t="shared" si="44"/>
        <v>913.63636363636351</v>
      </c>
      <c r="T116" s="109">
        <f t="shared" si="44"/>
        <v>890.90909090909088</v>
      </c>
      <c r="W116" s="119" t="s">
        <v>534</v>
      </c>
    </row>
    <row r="117" spans="2:23" x14ac:dyDescent="0.3">
      <c r="B117" s="216" t="s">
        <v>469</v>
      </c>
      <c r="C117" s="216" t="str">
        <f t="shared" si="33"/>
        <v>TFMEPYD901</v>
      </c>
      <c r="D117" s="221"/>
      <c r="E117" s="216" t="str">
        <f t="shared" si="30"/>
        <v>TFML-C</v>
      </c>
      <c r="F117" s="254">
        <f t="shared" si="20"/>
        <v>0.10185</v>
      </c>
      <c r="G117" s="254">
        <f t="shared" si="15"/>
        <v>0.10377</v>
      </c>
      <c r="H117" s="254">
        <f t="shared" si="16"/>
        <v>0.10680000000000001</v>
      </c>
      <c r="I117" s="254">
        <f t="shared" si="17"/>
        <v>0.10945000000000001</v>
      </c>
      <c r="J117" s="254">
        <f t="shared" si="18"/>
        <v>0.11224000000000001</v>
      </c>
      <c r="M117" s="218" t="s">
        <v>456</v>
      </c>
      <c r="N117" s="226"/>
      <c r="O117" s="226" t="s">
        <v>495</v>
      </c>
      <c r="P117" s="109">
        <f t="shared" ref="P117:T117" si="45">P143/1.1</f>
        <v>981.81818181818176</v>
      </c>
      <c r="Q117" s="109">
        <f t="shared" si="45"/>
        <v>963.63636363636351</v>
      </c>
      <c r="R117" s="109">
        <f t="shared" si="45"/>
        <v>936.36363636363626</v>
      </c>
      <c r="S117" s="109">
        <f t="shared" si="45"/>
        <v>913.63636363636351</v>
      </c>
      <c r="T117" s="109">
        <f t="shared" si="45"/>
        <v>890.90909090909088</v>
      </c>
      <c r="W117" s="119" t="s">
        <v>534</v>
      </c>
    </row>
    <row r="118" spans="2:23" x14ac:dyDescent="0.3">
      <c r="B118" s="216" t="s">
        <v>469</v>
      </c>
      <c r="C118" s="216" t="str">
        <f t="shared" si="33"/>
        <v>TFMEPYG101</v>
      </c>
      <c r="D118" s="221"/>
      <c r="E118" s="216" t="str">
        <f t="shared" si="30"/>
        <v>TFML</v>
      </c>
      <c r="F118" s="254">
        <f t="shared" si="20"/>
        <v>9.2439999999999994E-2</v>
      </c>
      <c r="G118" s="254">
        <f t="shared" si="15"/>
        <v>9.3619999999999995E-2</v>
      </c>
      <c r="H118" s="254">
        <f t="shared" si="16"/>
        <v>9.7350000000000006E-2</v>
      </c>
      <c r="I118" s="254">
        <f t="shared" si="17"/>
        <v>0.1</v>
      </c>
      <c r="J118" s="254">
        <f t="shared" si="18"/>
        <v>0.1028</v>
      </c>
      <c r="M118" s="218" t="s">
        <v>426</v>
      </c>
      <c r="N118" s="226"/>
      <c r="O118" s="226" t="s">
        <v>378</v>
      </c>
      <c r="P118" s="109">
        <f t="shared" ref="P118:T118" si="46">P144/1.1</f>
        <v>1081.8181818181818</v>
      </c>
      <c r="Q118" s="109">
        <f t="shared" si="46"/>
        <v>1068.181818181818</v>
      </c>
      <c r="R118" s="109">
        <f t="shared" si="46"/>
        <v>1027.2727272727273</v>
      </c>
      <c r="S118" s="109">
        <f t="shared" si="46"/>
        <v>999.99999999999989</v>
      </c>
      <c r="T118" s="109">
        <f t="shared" si="46"/>
        <v>972.72727272727263</v>
      </c>
      <c r="W118" s="119" t="s">
        <v>534</v>
      </c>
    </row>
    <row r="119" spans="2:23" x14ac:dyDescent="0.3">
      <c r="B119" s="219" t="s">
        <v>469</v>
      </c>
      <c r="C119" s="219" t="str">
        <f t="shared" si="33"/>
        <v>TFMEPYG901</v>
      </c>
      <c r="D119" s="222"/>
      <c r="E119" s="219" t="str">
        <f t="shared" si="30"/>
        <v>TFML-C</v>
      </c>
      <c r="F119" s="256">
        <f t="shared" si="20"/>
        <v>9.2439999999999994E-2</v>
      </c>
      <c r="G119" s="256">
        <f t="shared" si="15"/>
        <v>9.3619999999999995E-2</v>
      </c>
      <c r="H119" s="256">
        <f t="shared" si="16"/>
        <v>9.7350000000000006E-2</v>
      </c>
      <c r="I119" s="256">
        <f t="shared" si="17"/>
        <v>0.1</v>
      </c>
      <c r="J119" s="256">
        <f t="shared" si="18"/>
        <v>0.1028</v>
      </c>
      <c r="M119" s="223" t="s">
        <v>457</v>
      </c>
      <c r="N119" s="227"/>
      <c r="O119" s="227" t="s">
        <v>495</v>
      </c>
      <c r="P119" s="113">
        <f t="shared" ref="P119:T119" si="47">P145/1.1</f>
        <v>1081.8181818181818</v>
      </c>
      <c r="Q119" s="113">
        <f t="shared" si="47"/>
        <v>1068.181818181818</v>
      </c>
      <c r="R119" s="113">
        <f t="shared" si="47"/>
        <v>1027.2727272727273</v>
      </c>
      <c r="S119" s="113">
        <f t="shared" si="47"/>
        <v>999.99999999999989</v>
      </c>
      <c r="T119" s="113">
        <f t="shared" si="47"/>
        <v>972.72727272727263</v>
      </c>
      <c r="W119" s="147" t="s">
        <v>534</v>
      </c>
    </row>
    <row r="120" spans="2:23" x14ac:dyDescent="0.3">
      <c r="B120" s="216" t="s">
        <v>469</v>
      </c>
      <c r="C120" s="216" t="str">
        <f t="shared" si="33"/>
        <v>TFREBDL101</v>
      </c>
      <c r="D120" s="221"/>
      <c r="E120" s="216" t="str">
        <f t="shared" si="30"/>
        <v>TFRL</v>
      </c>
      <c r="F120" s="254">
        <f t="shared" si="20"/>
        <v>9.2590000000000006E-2</v>
      </c>
      <c r="G120" s="254">
        <f t="shared" si="15"/>
        <v>9.4339999999999993E-2</v>
      </c>
      <c r="H120" s="254">
        <f t="shared" si="16"/>
        <v>9.7089999999999996E-2</v>
      </c>
      <c r="I120" s="254">
        <f t="shared" si="17"/>
        <v>9.9500000000000005E-2</v>
      </c>
      <c r="J120" s="254">
        <f t="shared" si="18"/>
        <v>0.10204000000000001</v>
      </c>
      <c r="M120" s="218" t="s">
        <v>156</v>
      </c>
      <c r="N120" s="226"/>
      <c r="O120" s="226" t="s">
        <v>348</v>
      </c>
      <c r="P120" s="109">
        <v>1080</v>
      </c>
      <c r="Q120" s="109">
        <v>1060</v>
      </c>
      <c r="R120" s="109">
        <v>1030</v>
      </c>
      <c r="S120" s="109">
        <v>1005</v>
      </c>
      <c r="T120" s="109">
        <v>980</v>
      </c>
      <c r="W120" s="119" t="s">
        <v>309</v>
      </c>
    </row>
    <row r="121" spans="2:23" x14ac:dyDescent="0.3">
      <c r="B121" s="216" t="s">
        <v>469</v>
      </c>
      <c r="C121" s="216" t="str">
        <f t="shared" si="33"/>
        <v>TFREBDL901</v>
      </c>
      <c r="D121" s="221"/>
      <c r="E121" s="216" t="str">
        <f t="shared" si="30"/>
        <v>TFRL-C</v>
      </c>
      <c r="F121" s="254">
        <f t="shared" si="20"/>
        <v>9.2590000000000006E-2</v>
      </c>
      <c r="G121" s="254">
        <f t="shared" si="15"/>
        <v>9.4339999999999993E-2</v>
      </c>
      <c r="H121" s="254">
        <f t="shared" si="16"/>
        <v>9.7089999999999996E-2</v>
      </c>
      <c r="I121" s="254">
        <f t="shared" si="17"/>
        <v>9.9500000000000005E-2</v>
      </c>
      <c r="J121" s="254">
        <f t="shared" si="18"/>
        <v>0.10204000000000001</v>
      </c>
      <c r="M121" s="218" t="s">
        <v>267</v>
      </c>
      <c r="N121" s="226"/>
      <c r="O121" s="226" t="s">
        <v>496</v>
      </c>
      <c r="P121" s="109">
        <v>1080</v>
      </c>
      <c r="Q121" s="109">
        <v>1060</v>
      </c>
      <c r="R121" s="109">
        <v>1030</v>
      </c>
      <c r="S121" s="109">
        <v>1005</v>
      </c>
      <c r="T121" s="109">
        <v>980</v>
      </c>
      <c r="W121" s="119" t="s">
        <v>309</v>
      </c>
    </row>
    <row r="122" spans="2:23" x14ac:dyDescent="0.3">
      <c r="B122" s="216" t="s">
        <v>469</v>
      </c>
      <c r="C122" s="216" t="str">
        <f t="shared" si="33"/>
        <v>TFREDME101</v>
      </c>
      <c r="D122" s="221"/>
      <c r="E122" s="216" t="str">
        <f t="shared" si="30"/>
        <v>TFRL</v>
      </c>
      <c r="F122" s="254">
        <f t="shared" si="20"/>
        <v>9.2590000000000006E-2</v>
      </c>
      <c r="G122" s="254">
        <f t="shared" si="15"/>
        <v>9.4339999999999993E-2</v>
      </c>
      <c r="H122" s="254">
        <f t="shared" si="16"/>
        <v>9.7089999999999996E-2</v>
      </c>
      <c r="I122" s="254">
        <f t="shared" si="17"/>
        <v>9.9500000000000005E-2</v>
      </c>
      <c r="J122" s="254">
        <f t="shared" si="18"/>
        <v>0.10204000000000001</v>
      </c>
      <c r="M122" s="218" t="s">
        <v>158</v>
      </c>
      <c r="N122" s="226"/>
      <c r="O122" s="226" t="s">
        <v>348</v>
      </c>
      <c r="P122" s="109">
        <v>1080</v>
      </c>
      <c r="Q122" s="109">
        <v>1060</v>
      </c>
      <c r="R122" s="109">
        <v>1030</v>
      </c>
      <c r="S122" s="109">
        <v>1005</v>
      </c>
      <c r="T122" s="109">
        <v>980</v>
      </c>
      <c r="W122" s="119" t="s">
        <v>432</v>
      </c>
    </row>
    <row r="123" spans="2:23" x14ac:dyDescent="0.3">
      <c r="B123" s="216" t="s">
        <v>469</v>
      </c>
      <c r="C123" s="216" t="str">
        <f t="shared" si="33"/>
        <v>TFREDME901</v>
      </c>
      <c r="D123" s="221"/>
      <c r="E123" s="216" t="str">
        <f t="shared" si="30"/>
        <v>TFRL-C</v>
      </c>
      <c r="F123" s="254">
        <f t="shared" si="20"/>
        <v>9.2590000000000006E-2</v>
      </c>
      <c r="G123" s="254">
        <f t="shared" si="15"/>
        <v>9.4339999999999993E-2</v>
      </c>
      <c r="H123" s="254">
        <f t="shared" si="16"/>
        <v>9.7089999999999996E-2</v>
      </c>
      <c r="I123" s="254">
        <f t="shared" si="17"/>
        <v>9.9500000000000005E-2</v>
      </c>
      <c r="J123" s="254">
        <f t="shared" si="18"/>
        <v>0.10204000000000001</v>
      </c>
      <c r="M123" s="218" t="s">
        <v>269</v>
      </c>
      <c r="N123" s="226"/>
      <c r="O123" s="226" t="s">
        <v>496</v>
      </c>
      <c r="P123" s="109">
        <v>1080</v>
      </c>
      <c r="Q123" s="109">
        <v>1060</v>
      </c>
      <c r="R123" s="109">
        <v>1030</v>
      </c>
      <c r="S123" s="109">
        <v>1005</v>
      </c>
      <c r="T123" s="109">
        <v>980</v>
      </c>
      <c r="W123" s="119" t="s">
        <v>432</v>
      </c>
    </row>
    <row r="124" spans="2:23" x14ac:dyDescent="0.3">
      <c r="B124" s="216" t="s">
        <v>469</v>
      </c>
      <c r="C124" s="216" t="str">
        <f t="shared" si="33"/>
        <v>TFREDST101</v>
      </c>
      <c r="D124" s="221"/>
      <c r="E124" s="216" t="str">
        <f t="shared" si="30"/>
        <v>TFRL</v>
      </c>
      <c r="F124" s="254">
        <f t="shared" si="20"/>
        <v>9.2590000000000006E-2</v>
      </c>
      <c r="G124" s="254">
        <f t="shared" si="15"/>
        <v>9.4339999999999993E-2</v>
      </c>
      <c r="H124" s="254">
        <f t="shared" si="16"/>
        <v>9.7089999999999996E-2</v>
      </c>
      <c r="I124" s="254">
        <f t="shared" si="17"/>
        <v>9.9500000000000005E-2</v>
      </c>
      <c r="J124" s="254">
        <f t="shared" si="18"/>
        <v>0.10204000000000001</v>
      </c>
      <c r="M124" s="218" t="s">
        <v>160</v>
      </c>
      <c r="N124" s="226"/>
      <c r="O124" s="226" t="s">
        <v>348</v>
      </c>
      <c r="P124" s="109">
        <v>1080</v>
      </c>
      <c r="Q124" s="109">
        <v>1060</v>
      </c>
      <c r="R124" s="109">
        <v>1030</v>
      </c>
      <c r="S124" s="109">
        <v>1005</v>
      </c>
      <c r="T124" s="109">
        <v>980</v>
      </c>
      <c r="W124" s="119" t="s">
        <v>309</v>
      </c>
    </row>
    <row r="125" spans="2:23" x14ac:dyDescent="0.3">
      <c r="B125" s="216" t="s">
        <v>469</v>
      </c>
      <c r="C125" s="216" t="str">
        <f t="shared" si="33"/>
        <v>TFREDST901</v>
      </c>
      <c r="D125" s="221"/>
      <c r="E125" s="216" t="str">
        <f t="shared" si="30"/>
        <v>TFRL-C</v>
      </c>
      <c r="F125" s="254">
        <f t="shared" si="20"/>
        <v>9.2590000000000006E-2</v>
      </c>
      <c r="G125" s="254">
        <f t="shared" si="15"/>
        <v>9.4339999999999993E-2</v>
      </c>
      <c r="H125" s="254">
        <f t="shared" si="16"/>
        <v>9.7089999999999996E-2</v>
      </c>
      <c r="I125" s="254">
        <f t="shared" si="17"/>
        <v>9.9500000000000005E-2</v>
      </c>
      <c r="J125" s="254">
        <f t="shared" si="18"/>
        <v>0.10204000000000001</v>
      </c>
      <c r="M125" s="218" t="s">
        <v>271</v>
      </c>
      <c r="N125" s="226"/>
      <c r="O125" s="226" t="s">
        <v>496</v>
      </c>
      <c r="P125" s="109">
        <v>1080</v>
      </c>
      <c r="Q125" s="109">
        <v>1060</v>
      </c>
      <c r="R125" s="109">
        <v>1030</v>
      </c>
      <c r="S125" s="109">
        <v>1005</v>
      </c>
      <c r="T125" s="109">
        <v>980</v>
      </c>
      <c r="W125" s="119" t="s">
        <v>309</v>
      </c>
    </row>
    <row r="126" spans="2:23" x14ac:dyDescent="0.3">
      <c r="B126" s="216" t="s">
        <v>469</v>
      </c>
      <c r="C126" s="216" t="str">
        <f t="shared" si="33"/>
        <v>TFREETH101</v>
      </c>
      <c r="D126" s="221"/>
      <c r="E126" s="216" t="str">
        <f t="shared" si="30"/>
        <v>TFRL</v>
      </c>
      <c r="F126" s="254">
        <f t="shared" si="20"/>
        <v>9.2590000000000006E-2</v>
      </c>
      <c r="G126" s="254">
        <f t="shared" si="15"/>
        <v>9.4339999999999993E-2</v>
      </c>
      <c r="H126" s="254">
        <f t="shared" si="16"/>
        <v>9.7089999999999996E-2</v>
      </c>
      <c r="I126" s="254">
        <f t="shared" si="17"/>
        <v>9.9500000000000005E-2</v>
      </c>
      <c r="J126" s="254">
        <f t="shared" si="18"/>
        <v>0.10204000000000001</v>
      </c>
      <c r="M126" s="218" t="s">
        <v>163</v>
      </c>
      <c r="N126" s="226"/>
      <c r="O126" s="226" t="s">
        <v>348</v>
      </c>
      <c r="P126" s="109">
        <f>P124</f>
        <v>1080</v>
      </c>
      <c r="Q126" s="109">
        <f t="shared" ref="Q126:T126" si="48">Q124</f>
        <v>1060</v>
      </c>
      <c r="R126" s="109">
        <f t="shared" si="48"/>
        <v>1030</v>
      </c>
      <c r="S126" s="109">
        <f t="shared" si="48"/>
        <v>1005</v>
      </c>
      <c r="T126" s="109">
        <f t="shared" si="48"/>
        <v>980</v>
      </c>
      <c r="W126" s="119" t="s">
        <v>663</v>
      </c>
    </row>
    <row r="127" spans="2:23" x14ac:dyDescent="0.3">
      <c r="B127" s="216" t="s">
        <v>469</v>
      </c>
      <c r="C127" s="216" t="str">
        <f t="shared" si="33"/>
        <v>TFREETH901</v>
      </c>
      <c r="D127" s="221"/>
      <c r="E127" s="216" t="str">
        <f t="shared" si="30"/>
        <v>TFRL-C</v>
      </c>
      <c r="F127" s="254">
        <f t="shared" si="20"/>
        <v>9.2590000000000006E-2</v>
      </c>
      <c r="G127" s="254">
        <f t="shared" si="15"/>
        <v>9.4339999999999993E-2</v>
      </c>
      <c r="H127" s="254">
        <f t="shared" si="16"/>
        <v>9.7089999999999996E-2</v>
      </c>
      <c r="I127" s="254">
        <f t="shared" si="17"/>
        <v>9.9500000000000005E-2</v>
      </c>
      <c r="J127" s="254">
        <f t="shared" si="18"/>
        <v>0.10204000000000001</v>
      </c>
      <c r="M127" s="218" t="s">
        <v>274</v>
      </c>
      <c r="N127" s="226"/>
      <c r="O127" s="226" t="s">
        <v>496</v>
      </c>
      <c r="P127" s="109">
        <f t="shared" ref="P127:T127" si="49">P125</f>
        <v>1080</v>
      </c>
      <c r="Q127" s="109">
        <f t="shared" si="49"/>
        <v>1060</v>
      </c>
      <c r="R127" s="109">
        <f t="shared" si="49"/>
        <v>1030</v>
      </c>
      <c r="S127" s="109">
        <f t="shared" si="49"/>
        <v>1005</v>
      </c>
      <c r="T127" s="109">
        <f t="shared" si="49"/>
        <v>980</v>
      </c>
      <c r="W127" s="119" t="s">
        <v>663</v>
      </c>
    </row>
    <row r="128" spans="2:23" x14ac:dyDescent="0.3">
      <c r="B128" s="216" t="s">
        <v>469</v>
      </c>
      <c r="C128" s="216" t="str">
        <f t="shared" si="33"/>
        <v>TFREGAS101</v>
      </c>
      <c r="D128" s="221"/>
      <c r="E128" s="216" t="str">
        <f t="shared" si="30"/>
        <v>TFRL</v>
      </c>
      <c r="F128" s="254">
        <f t="shared" si="20"/>
        <v>8.4029999999999994E-2</v>
      </c>
      <c r="G128" s="254">
        <f t="shared" si="15"/>
        <v>8.5110000000000005E-2</v>
      </c>
      <c r="H128" s="254">
        <f t="shared" si="16"/>
        <v>8.8499999999999995E-2</v>
      </c>
      <c r="I128" s="254">
        <f t="shared" si="17"/>
        <v>9.0910000000000005E-2</v>
      </c>
      <c r="J128" s="254">
        <f t="shared" si="18"/>
        <v>9.3460000000000001E-2</v>
      </c>
      <c r="M128" s="218" t="s">
        <v>165</v>
      </c>
      <c r="N128" s="226"/>
      <c r="O128" s="226" t="s">
        <v>348</v>
      </c>
      <c r="P128" s="109">
        <v>1190</v>
      </c>
      <c r="Q128" s="109">
        <v>1175</v>
      </c>
      <c r="R128" s="109">
        <v>1130</v>
      </c>
      <c r="S128" s="109">
        <v>1100</v>
      </c>
      <c r="T128" s="109">
        <v>1070</v>
      </c>
      <c r="W128" s="119" t="s">
        <v>625</v>
      </c>
    </row>
    <row r="129" spans="2:23" x14ac:dyDescent="0.3">
      <c r="B129" s="216" t="s">
        <v>469</v>
      </c>
      <c r="C129" s="216" t="str">
        <f t="shared" si="33"/>
        <v>TFREGAS901</v>
      </c>
      <c r="D129" s="221"/>
      <c r="E129" s="216" t="str">
        <f t="shared" si="30"/>
        <v>TFRL-C</v>
      </c>
      <c r="F129" s="254">
        <f t="shared" si="20"/>
        <v>8.4029999999999994E-2</v>
      </c>
      <c r="G129" s="254">
        <f t="shared" si="15"/>
        <v>8.5110000000000005E-2</v>
      </c>
      <c r="H129" s="254">
        <f t="shared" si="16"/>
        <v>8.8499999999999995E-2</v>
      </c>
      <c r="I129" s="254">
        <f t="shared" si="17"/>
        <v>9.0910000000000005E-2</v>
      </c>
      <c r="J129" s="254">
        <f t="shared" si="18"/>
        <v>9.3460000000000001E-2</v>
      </c>
      <c r="M129" s="218" t="s">
        <v>276</v>
      </c>
      <c r="N129" s="226"/>
      <c r="O129" s="226" t="s">
        <v>496</v>
      </c>
      <c r="P129" s="109">
        <v>1190</v>
      </c>
      <c r="Q129" s="109">
        <v>1175</v>
      </c>
      <c r="R129" s="109">
        <v>1130</v>
      </c>
      <c r="S129" s="109">
        <v>1100</v>
      </c>
      <c r="T129" s="109">
        <v>1070</v>
      </c>
      <c r="W129" s="119" t="s">
        <v>625</v>
      </c>
    </row>
    <row r="130" spans="2:23" x14ac:dyDescent="0.3">
      <c r="B130" s="216" t="s">
        <v>469</v>
      </c>
      <c r="C130" s="216" t="str">
        <f t="shared" si="33"/>
        <v>TFREGSL101</v>
      </c>
      <c r="D130" s="221"/>
      <c r="E130" s="216" t="str">
        <f t="shared" si="30"/>
        <v>TFRL</v>
      </c>
      <c r="F130" s="254">
        <f t="shared" si="20"/>
        <v>8.4029999999999994E-2</v>
      </c>
      <c r="G130" s="254">
        <f t="shared" si="15"/>
        <v>8.5110000000000005E-2</v>
      </c>
      <c r="H130" s="254">
        <f t="shared" si="16"/>
        <v>8.8499999999999995E-2</v>
      </c>
      <c r="I130" s="254">
        <f t="shared" si="17"/>
        <v>9.0910000000000005E-2</v>
      </c>
      <c r="J130" s="254">
        <f t="shared" si="18"/>
        <v>9.3460000000000001E-2</v>
      </c>
      <c r="M130" s="218" t="s">
        <v>167</v>
      </c>
      <c r="N130" s="226"/>
      <c r="O130" s="226" t="s">
        <v>348</v>
      </c>
      <c r="P130" s="109">
        <v>1190</v>
      </c>
      <c r="Q130" s="109">
        <v>1175</v>
      </c>
      <c r="R130" s="109">
        <v>1130</v>
      </c>
      <c r="S130" s="109">
        <v>1100</v>
      </c>
      <c r="T130" s="109">
        <v>1070</v>
      </c>
      <c r="W130" s="119" t="s">
        <v>309</v>
      </c>
    </row>
    <row r="131" spans="2:23" x14ac:dyDescent="0.3">
      <c r="B131" s="216" t="s">
        <v>469</v>
      </c>
      <c r="C131" s="216" t="str">
        <f t="shared" si="33"/>
        <v>TFREGSL901</v>
      </c>
      <c r="D131" s="221"/>
      <c r="E131" s="216" t="str">
        <f t="shared" si="30"/>
        <v>TFRL-C</v>
      </c>
      <c r="F131" s="254">
        <f t="shared" si="20"/>
        <v>8.4029999999999994E-2</v>
      </c>
      <c r="G131" s="254">
        <f t="shared" si="15"/>
        <v>8.5110000000000005E-2</v>
      </c>
      <c r="H131" s="254">
        <f t="shared" si="16"/>
        <v>8.8499999999999995E-2</v>
      </c>
      <c r="I131" s="254">
        <f t="shared" si="17"/>
        <v>9.0910000000000005E-2</v>
      </c>
      <c r="J131" s="254">
        <f t="shared" si="18"/>
        <v>9.3460000000000001E-2</v>
      </c>
      <c r="M131" s="218" t="s">
        <v>278</v>
      </c>
      <c r="N131" s="226"/>
      <c r="O131" s="226" t="s">
        <v>496</v>
      </c>
      <c r="P131" s="109">
        <v>1190</v>
      </c>
      <c r="Q131" s="109">
        <v>1175</v>
      </c>
      <c r="R131" s="109">
        <v>1130</v>
      </c>
      <c r="S131" s="109">
        <v>1100</v>
      </c>
      <c r="T131" s="109">
        <v>1070</v>
      </c>
      <c r="W131" s="119" t="s">
        <v>309</v>
      </c>
    </row>
    <row r="132" spans="2:23" x14ac:dyDescent="0.3">
      <c r="B132" s="216" t="s">
        <v>469</v>
      </c>
      <c r="C132" s="216" t="str">
        <f>M132</f>
        <v>TFREHFC101</v>
      </c>
      <c r="D132" s="221"/>
      <c r="E132" s="216" t="str">
        <f>O132</f>
        <v>TFRL</v>
      </c>
      <c r="F132" s="254">
        <f t="shared" si="20"/>
        <v>0.15384999999999999</v>
      </c>
      <c r="G132" s="254">
        <f t="shared" si="15"/>
        <v>0.15625</v>
      </c>
      <c r="H132" s="254">
        <f t="shared" si="16"/>
        <v>0.16392999999999999</v>
      </c>
      <c r="I132" s="254">
        <f t="shared" si="17"/>
        <v>0.16807</v>
      </c>
      <c r="J132" s="254">
        <f t="shared" si="18"/>
        <v>0.17241000000000001</v>
      </c>
      <c r="M132" s="218" t="s">
        <v>169</v>
      </c>
      <c r="N132" s="226"/>
      <c r="O132" s="226" t="s">
        <v>348</v>
      </c>
      <c r="P132" s="109">
        <v>650</v>
      </c>
      <c r="Q132" s="109">
        <v>640</v>
      </c>
      <c r="R132" s="109">
        <v>610</v>
      </c>
      <c r="S132" s="109">
        <v>595</v>
      </c>
      <c r="T132" s="109">
        <v>580</v>
      </c>
      <c r="W132" s="119"/>
    </row>
    <row r="133" spans="2:23" x14ac:dyDescent="0.3">
      <c r="B133" s="216" t="s">
        <v>469</v>
      </c>
      <c r="C133" s="216" t="str">
        <f>M133</f>
        <v>TFREHFC901</v>
      </c>
      <c r="D133" s="221"/>
      <c r="E133" s="216" t="str">
        <f>O133</f>
        <v>TFRL-C</v>
      </c>
      <c r="F133" s="254">
        <f t="shared" si="20"/>
        <v>0.15384999999999999</v>
      </c>
      <c r="G133" s="254">
        <f t="shared" si="15"/>
        <v>0.15625</v>
      </c>
      <c r="H133" s="254">
        <f t="shared" si="16"/>
        <v>0.16392999999999999</v>
      </c>
      <c r="I133" s="254">
        <f t="shared" si="17"/>
        <v>0.16807</v>
      </c>
      <c r="J133" s="254">
        <f t="shared" si="18"/>
        <v>0.17241000000000001</v>
      </c>
      <c r="M133" s="218" t="s">
        <v>280</v>
      </c>
      <c r="N133" s="226"/>
      <c r="O133" s="226" t="s">
        <v>496</v>
      </c>
      <c r="P133" s="109">
        <v>650</v>
      </c>
      <c r="Q133" s="109">
        <v>640</v>
      </c>
      <c r="R133" s="109">
        <v>610</v>
      </c>
      <c r="S133" s="109">
        <v>595</v>
      </c>
      <c r="T133" s="109">
        <v>580</v>
      </c>
      <c r="W133" s="119"/>
    </row>
    <row r="134" spans="2:23" x14ac:dyDescent="0.3">
      <c r="B134" s="216" t="s">
        <v>469</v>
      </c>
      <c r="C134" s="216" t="str">
        <f t="shared" si="33"/>
        <v>TFREHYD101</v>
      </c>
      <c r="D134" s="221"/>
      <c r="E134" s="216" t="str">
        <f t="shared" ref="E134:E149" si="50">O134</f>
        <v>TFRL</v>
      </c>
      <c r="F134" s="254">
        <f t="shared" si="20"/>
        <v>0.10309</v>
      </c>
      <c r="G134" s="254">
        <f t="shared" si="15"/>
        <v>0.10526000000000001</v>
      </c>
      <c r="H134" s="254">
        <f t="shared" si="16"/>
        <v>0.1087</v>
      </c>
      <c r="I134" s="254">
        <f t="shared" si="17"/>
        <v>0.11111</v>
      </c>
      <c r="J134" s="254">
        <f t="shared" si="18"/>
        <v>0.11364</v>
      </c>
      <c r="M134" s="218" t="s">
        <v>358</v>
      </c>
      <c r="N134" s="226"/>
      <c r="O134" s="226" t="s">
        <v>348</v>
      </c>
      <c r="P134" s="109">
        <v>970</v>
      </c>
      <c r="Q134" s="109">
        <v>950</v>
      </c>
      <c r="R134" s="109">
        <v>920</v>
      </c>
      <c r="S134" s="109">
        <v>900</v>
      </c>
      <c r="T134" s="109">
        <v>880</v>
      </c>
      <c r="W134" s="119" t="s">
        <v>309</v>
      </c>
    </row>
    <row r="135" spans="2:23" x14ac:dyDescent="0.3">
      <c r="B135" s="216" t="s">
        <v>469</v>
      </c>
      <c r="C135" s="216" t="str">
        <f t="shared" si="33"/>
        <v>TFREHYD901</v>
      </c>
      <c r="D135" s="221"/>
      <c r="E135" s="216" t="str">
        <f t="shared" si="50"/>
        <v>TFRL-C</v>
      </c>
      <c r="F135" s="254">
        <f t="shared" si="20"/>
        <v>0.10309</v>
      </c>
      <c r="G135" s="254">
        <f t="shared" si="15"/>
        <v>0.10526000000000001</v>
      </c>
      <c r="H135" s="254">
        <f t="shared" si="16"/>
        <v>0.1087</v>
      </c>
      <c r="I135" s="254">
        <f t="shared" si="17"/>
        <v>0.11111</v>
      </c>
      <c r="J135" s="254">
        <f t="shared" si="18"/>
        <v>0.11364</v>
      </c>
      <c r="M135" s="218" t="s">
        <v>438</v>
      </c>
      <c r="N135" s="226"/>
      <c r="O135" s="226" t="s">
        <v>496</v>
      </c>
      <c r="P135" s="109">
        <v>970</v>
      </c>
      <c r="Q135" s="109">
        <v>950</v>
      </c>
      <c r="R135" s="109">
        <v>920</v>
      </c>
      <c r="S135" s="109">
        <v>900</v>
      </c>
      <c r="T135" s="109">
        <v>880</v>
      </c>
      <c r="W135" s="119" t="s">
        <v>309</v>
      </c>
    </row>
    <row r="136" spans="2:23" x14ac:dyDescent="0.3">
      <c r="B136" s="216" t="s">
        <v>469</v>
      </c>
      <c r="C136" s="216" t="str">
        <f t="shared" ref="C136:C149" si="51">M136</f>
        <v>TFREHYG101</v>
      </c>
      <c r="D136" s="221"/>
      <c r="E136" s="216" t="str">
        <f t="shared" si="50"/>
        <v>TFRL</v>
      </c>
      <c r="F136" s="254">
        <f t="shared" si="20"/>
        <v>9.3560000000000004E-2</v>
      </c>
      <c r="G136" s="254">
        <f t="shared" ref="G136:G156" si="52">IF(Q136=0, "-", ROUND(10^2/Q136,5))</f>
        <v>9.4960000000000003E-2</v>
      </c>
      <c r="H136" s="254">
        <f t="shared" ref="H136:H156" si="53">IF(R136=0, "-", ROUND(10^2/R136,5))</f>
        <v>9.9080000000000001E-2</v>
      </c>
      <c r="I136" s="254">
        <f t="shared" ref="I136:I156" si="54">IF(S136=0, "-", ROUND(10^2/S136,5))</f>
        <v>0.10152</v>
      </c>
      <c r="J136" s="254">
        <f t="shared" ref="J136:J156" si="55">IF(T136=0, "-", ROUND(10^2/T136,5))</f>
        <v>0.10408000000000001</v>
      </c>
      <c r="M136" s="218" t="s">
        <v>428</v>
      </c>
      <c r="N136" s="226"/>
      <c r="O136" s="226" t="s">
        <v>348</v>
      </c>
      <c r="P136" s="109">
        <v>1068.7962962962963</v>
      </c>
      <c r="Q136" s="109">
        <v>1053.066037735849</v>
      </c>
      <c r="R136" s="109">
        <v>1009.3203883495146</v>
      </c>
      <c r="S136" s="109">
        <v>985.07462686567169</v>
      </c>
      <c r="T136" s="109">
        <v>960.81632653061229</v>
      </c>
      <c r="W136" s="119" t="s">
        <v>570</v>
      </c>
    </row>
    <row r="137" spans="2:23" x14ac:dyDescent="0.3">
      <c r="B137" s="216" t="s">
        <v>469</v>
      </c>
      <c r="C137" s="216" t="str">
        <f t="shared" si="51"/>
        <v>TFREHYG901</v>
      </c>
      <c r="D137" s="221"/>
      <c r="E137" s="216" t="str">
        <f t="shared" si="50"/>
        <v>TFRL-C</v>
      </c>
      <c r="F137" s="254">
        <f t="shared" si="20"/>
        <v>9.3560000000000004E-2</v>
      </c>
      <c r="G137" s="254">
        <f t="shared" si="52"/>
        <v>9.4960000000000003E-2</v>
      </c>
      <c r="H137" s="254">
        <f t="shared" si="53"/>
        <v>9.9080000000000001E-2</v>
      </c>
      <c r="I137" s="254">
        <f t="shared" si="54"/>
        <v>0.10152</v>
      </c>
      <c r="J137" s="254">
        <f t="shared" si="55"/>
        <v>0.10408000000000001</v>
      </c>
      <c r="M137" s="218" t="s">
        <v>439</v>
      </c>
      <c r="N137" s="226"/>
      <c r="O137" s="226" t="s">
        <v>496</v>
      </c>
      <c r="P137" s="109">
        <v>1068.7962962962963</v>
      </c>
      <c r="Q137" s="109">
        <v>1053.066037735849</v>
      </c>
      <c r="R137" s="109">
        <v>1009.3203883495146</v>
      </c>
      <c r="S137" s="109">
        <v>985.07462686567169</v>
      </c>
      <c r="T137" s="109">
        <v>960.81632653061229</v>
      </c>
      <c r="W137" s="119" t="s">
        <v>570</v>
      </c>
    </row>
    <row r="138" spans="2:23" x14ac:dyDescent="0.3">
      <c r="B138" s="216" t="s">
        <v>469</v>
      </c>
      <c r="C138" s="216" t="str">
        <f t="shared" si="51"/>
        <v>TFRELPG101</v>
      </c>
      <c r="D138" s="221"/>
      <c r="E138" s="216" t="str">
        <f t="shared" si="50"/>
        <v>TFRL</v>
      </c>
      <c r="F138" s="254">
        <f t="shared" si="20"/>
        <v>8.4029999999999994E-2</v>
      </c>
      <c r="G138" s="254">
        <f t="shared" si="52"/>
        <v>8.5110000000000005E-2</v>
      </c>
      <c r="H138" s="254">
        <f t="shared" si="53"/>
        <v>8.8499999999999995E-2</v>
      </c>
      <c r="I138" s="254">
        <f t="shared" si="54"/>
        <v>9.0910000000000005E-2</v>
      </c>
      <c r="J138" s="254">
        <f t="shared" si="55"/>
        <v>9.3460000000000001E-2</v>
      </c>
      <c r="M138" s="218" t="s">
        <v>429</v>
      </c>
      <c r="N138" s="226"/>
      <c r="O138" s="226" t="s">
        <v>348</v>
      </c>
      <c r="P138" s="109">
        <v>1190</v>
      </c>
      <c r="Q138" s="109">
        <v>1175</v>
      </c>
      <c r="R138" s="109">
        <v>1130</v>
      </c>
      <c r="S138" s="109">
        <v>1100</v>
      </c>
      <c r="T138" s="109">
        <v>1070</v>
      </c>
      <c r="W138" s="119" t="s">
        <v>661</v>
      </c>
    </row>
    <row r="139" spans="2:23" x14ac:dyDescent="0.3">
      <c r="B139" s="216" t="s">
        <v>469</v>
      </c>
      <c r="C139" s="216" t="str">
        <f t="shared" si="51"/>
        <v>TFRELPG901</v>
      </c>
      <c r="D139" s="221"/>
      <c r="E139" s="216" t="str">
        <f t="shared" si="50"/>
        <v>TFRL-C</v>
      </c>
      <c r="F139" s="254">
        <f t="shared" si="20"/>
        <v>8.4029999999999994E-2</v>
      </c>
      <c r="G139" s="254">
        <f t="shared" si="52"/>
        <v>8.5110000000000005E-2</v>
      </c>
      <c r="H139" s="254">
        <f t="shared" si="53"/>
        <v>8.8499999999999995E-2</v>
      </c>
      <c r="I139" s="254">
        <f t="shared" si="54"/>
        <v>9.0910000000000005E-2</v>
      </c>
      <c r="J139" s="254">
        <f t="shared" si="55"/>
        <v>9.3460000000000001E-2</v>
      </c>
      <c r="M139" s="218" t="s">
        <v>440</v>
      </c>
      <c r="N139" s="226"/>
      <c r="O139" s="226" t="s">
        <v>496</v>
      </c>
      <c r="P139" s="109">
        <v>1190</v>
      </c>
      <c r="Q139" s="109">
        <v>1175</v>
      </c>
      <c r="R139" s="109">
        <v>1130</v>
      </c>
      <c r="S139" s="109">
        <v>1100</v>
      </c>
      <c r="T139" s="109">
        <v>1070</v>
      </c>
      <c r="W139" s="119" t="s">
        <v>661</v>
      </c>
    </row>
    <row r="140" spans="2:23" x14ac:dyDescent="0.3">
      <c r="B140" s="216" t="s">
        <v>469</v>
      </c>
      <c r="C140" s="216" t="str">
        <f t="shared" si="51"/>
        <v>TFREMTH101</v>
      </c>
      <c r="D140" s="221"/>
      <c r="E140" s="216" t="str">
        <f t="shared" si="50"/>
        <v>TFRL</v>
      </c>
      <c r="F140" s="254">
        <f t="shared" si="20"/>
        <v>8.4029999999999994E-2</v>
      </c>
      <c r="G140" s="254">
        <f t="shared" si="52"/>
        <v>8.5110000000000005E-2</v>
      </c>
      <c r="H140" s="254">
        <f t="shared" si="53"/>
        <v>8.8499999999999995E-2</v>
      </c>
      <c r="I140" s="254">
        <f t="shared" si="54"/>
        <v>9.0910000000000005E-2</v>
      </c>
      <c r="J140" s="254">
        <f t="shared" si="55"/>
        <v>9.3460000000000001E-2</v>
      </c>
      <c r="M140" s="218" t="s">
        <v>608</v>
      </c>
      <c r="N140" s="226"/>
      <c r="O140" s="226" t="s">
        <v>348</v>
      </c>
      <c r="P140" s="109">
        <v>1190</v>
      </c>
      <c r="Q140" s="109">
        <v>1175</v>
      </c>
      <c r="R140" s="109">
        <v>1130</v>
      </c>
      <c r="S140" s="109">
        <v>1100</v>
      </c>
      <c r="T140" s="109">
        <v>1070</v>
      </c>
      <c r="W140" s="119"/>
    </row>
    <row r="141" spans="2:23" x14ac:dyDescent="0.3">
      <c r="B141" s="216" t="s">
        <v>469</v>
      </c>
      <c r="C141" s="216" t="str">
        <f t="shared" si="51"/>
        <v>TFREMTH901</v>
      </c>
      <c r="D141" s="221"/>
      <c r="E141" s="216" t="str">
        <f t="shared" si="50"/>
        <v>TFRL-C</v>
      </c>
      <c r="F141" s="254">
        <f t="shared" si="20"/>
        <v>8.4029999999999994E-2</v>
      </c>
      <c r="G141" s="254">
        <f t="shared" si="52"/>
        <v>8.5110000000000005E-2</v>
      </c>
      <c r="H141" s="254">
        <f t="shared" si="53"/>
        <v>8.8499999999999995E-2</v>
      </c>
      <c r="I141" s="254">
        <f t="shared" si="54"/>
        <v>9.0910000000000005E-2</v>
      </c>
      <c r="J141" s="254">
        <f t="shared" si="55"/>
        <v>9.3460000000000001E-2</v>
      </c>
      <c r="M141" s="218" t="s">
        <v>609</v>
      </c>
      <c r="N141" s="226"/>
      <c r="O141" s="226" t="s">
        <v>496</v>
      </c>
      <c r="P141" s="109">
        <v>1190</v>
      </c>
      <c r="Q141" s="109">
        <v>1175</v>
      </c>
      <c r="R141" s="109">
        <v>1130</v>
      </c>
      <c r="S141" s="109">
        <v>1100</v>
      </c>
      <c r="T141" s="109">
        <v>1070</v>
      </c>
      <c r="W141" s="119"/>
    </row>
    <row r="142" spans="2:23" x14ac:dyDescent="0.3">
      <c r="B142" s="216" t="s">
        <v>469</v>
      </c>
      <c r="C142" s="216" t="str">
        <f t="shared" si="51"/>
        <v>TFREPYD101</v>
      </c>
      <c r="D142" s="221"/>
      <c r="E142" s="216" t="str">
        <f t="shared" si="50"/>
        <v>TFRL</v>
      </c>
      <c r="F142" s="254">
        <f t="shared" si="20"/>
        <v>9.2590000000000006E-2</v>
      </c>
      <c r="G142" s="254">
        <f t="shared" si="52"/>
        <v>9.4339999999999993E-2</v>
      </c>
      <c r="H142" s="254">
        <f t="shared" si="53"/>
        <v>9.7089999999999996E-2</v>
      </c>
      <c r="I142" s="254">
        <f t="shared" si="54"/>
        <v>9.9500000000000005E-2</v>
      </c>
      <c r="J142" s="254">
        <f t="shared" si="55"/>
        <v>0.10204000000000001</v>
      </c>
      <c r="M142" s="218" t="s">
        <v>430</v>
      </c>
      <c r="N142" s="226"/>
      <c r="O142" s="226" t="s">
        <v>348</v>
      </c>
      <c r="P142" s="109">
        <v>1080</v>
      </c>
      <c r="Q142" s="109">
        <v>1060</v>
      </c>
      <c r="R142" s="109">
        <v>1030</v>
      </c>
      <c r="S142" s="109">
        <v>1005</v>
      </c>
      <c r="T142" s="109">
        <v>980</v>
      </c>
      <c r="W142" s="119" t="s">
        <v>473</v>
      </c>
    </row>
    <row r="143" spans="2:23" x14ac:dyDescent="0.3">
      <c r="B143" s="216" t="s">
        <v>469</v>
      </c>
      <c r="C143" s="216" t="str">
        <f t="shared" si="51"/>
        <v>TFREPYD901</v>
      </c>
      <c r="D143" s="221"/>
      <c r="E143" s="216" t="str">
        <f t="shared" si="50"/>
        <v>TFRL-C</v>
      </c>
      <c r="F143" s="254">
        <f t="shared" si="20"/>
        <v>9.2590000000000006E-2</v>
      </c>
      <c r="G143" s="254">
        <f t="shared" si="52"/>
        <v>9.4339999999999993E-2</v>
      </c>
      <c r="H143" s="254">
        <f t="shared" si="53"/>
        <v>9.7089999999999996E-2</v>
      </c>
      <c r="I143" s="254">
        <f t="shared" si="54"/>
        <v>9.9500000000000005E-2</v>
      </c>
      <c r="J143" s="254">
        <f t="shared" si="55"/>
        <v>0.10204000000000001</v>
      </c>
      <c r="M143" s="218" t="s">
        <v>442</v>
      </c>
      <c r="N143" s="226"/>
      <c r="O143" s="226" t="s">
        <v>496</v>
      </c>
      <c r="P143" s="109">
        <v>1080</v>
      </c>
      <c r="Q143" s="109">
        <v>1060</v>
      </c>
      <c r="R143" s="109">
        <v>1030</v>
      </c>
      <c r="S143" s="109">
        <v>1005</v>
      </c>
      <c r="T143" s="109">
        <v>980</v>
      </c>
      <c r="W143" s="119" t="s">
        <v>473</v>
      </c>
    </row>
    <row r="144" spans="2:23" x14ac:dyDescent="0.3">
      <c r="B144" s="216" t="s">
        <v>469</v>
      </c>
      <c r="C144" s="216" t="str">
        <f t="shared" si="51"/>
        <v>TFREPYG101</v>
      </c>
      <c r="D144" s="221"/>
      <c r="E144" s="216" t="str">
        <f t="shared" si="50"/>
        <v>TFRL</v>
      </c>
      <c r="F144" s="254">
        <f t="shared" si="20"/>
        <v>8.4029999999999994E-2</v>
      </c>
      <c r="G144" s="254">
        <f t="shared" si="52"/>
        <v>8.5110000000000005E-2</v>
      </c>
      <c r="H144" s="254">
        <f t="shared" si="53"/>
        <v>8.8499999999999995E-2</v>
      </c>
      <c r="I144" s="254">
        <f t="shared" si="54"/>
        <v>9.0910000000000005E-2</v>
      </c>
      <c r="J144" s="254">
        <f t="shared" si="55"/>
        <v>9.3460000000000001E-2</v>
      </c>
      <c r="M144" s="218" t="s">
        <v>431</v>
      </c>
      <c r="N144" s="226"/>
      <c r="O144" s="226" t="s">
        <v>348</v>
      </c>
      <c r="P144" s="109">
        <v>1190</v>
      </c>
      <c r="Q144" s="109">
        <v>1175</v>
      </c>
      <c r="R144" s="109">
        <v>1130</v>
      </c>
      <c r="S144" s="109">
        <v>1100</v>
      </c>
      <c r="T144" s="109">
        <v>1070</v>
      </c>
      <c r="W144" s="119" t="s">
        <v>474</v>
      </c>
    </row>
    <row r="145" spans="2:23" x14ac:dyDescent="0.3">
      <c r="B145" s="219" t="s">
        <v>469</v>
      </c>
      <c r="C145" s="219" t="str">
        <f t="shared" si="51"/>
        <v>TFREPYG901</v>
      </c>
      <c r="D145" s="222"/>
      <c r="E145" s="219" t="str">
        <f t="shared" si="50"/>
        <v>TFRL-C</v>
      </c>
      <c r="F145" s="256">
        <f t="shared" si="20"/>
        <v>8.4029999999999994E-2</v>
      </c>
      <c r="G145" s="256">
        <f t="shared" si="52"/>
        <v>8.5110000000000005E-2</v>
      </c>
      <c r="H145" s="256">
        <f t="shared" si="53"/>
        <v>8.8499999999999995E-2</v>
      </c>
      <c r="I145" s="256">
        <f t="shared" si="54"/>
        <v>9.0910000000000005E-2</v>
      </c>
      <c r="J145" s="256">
        <f t="shared" si="55"/>
        <v>9.3460000000000001E-2</v>
      </c>
      <c r="M145" s="223" t="s">
        <v>443</v>
      </c>
      <c r="N145" s="227"/>
      <c r="O145" s="227" t="s">
        <v>496</v>
      </c>
      <c r="P145" s="113">
        <v>1190</v>
      </c>
      <c r="Q145" s="113">
        <v>1175</v>
      </c>
      <c r="R145" s="113">
        <v>1130</v>
      </c>
      <c r="S145" s="113">
        <v>1100</v>
      </c>
      <c r="T145" s="113">
        <v>1070</v>
      </c>
      <c r="W145" s="147" t="s">
        <v>474</v>
      </c>
    </row>
    <row r="146" spans="2:23" x14ac:dyDescent="0.3">
      <c r="B146" s="216" t="s">
        <v>470</v>
      </c>
      <c r="C146" s="216" t="str">
        <f t="shared" si="51"/>
        <v>TNA101</v>
      </c>
      <c r="D146" s="221"/>
      <c r="E146" s="216" t="str">
        <f t="shared" si="50"/>
        <v>TNA, TNA-C</v>
      </c>
      <c r="F146" s="292">
        <f t="shared" si="20"/>
        <v>1.7000000000000001E-4</v>
      </c>
      <c r="G146" s="292">
        <f t="shared" si="52"/>
        <v>1.7000000000000001E-4</v>
      </c>
      <c r="H146" s="292">
        <f t="shared" si="53"/>
        <v>1.7000000000000001E-4</v>
      </c>
      <c r="I146" s="292">
        <f t="shared" si="54"/>
        <v>1.7000000000000001E-4</v>
      </c>
      <c r="J146" s="292">
        <f t="shared" si="55"/>
        <v>1.7000000000000001E-4</v>
      </c>
      <c r="M146" s="218" t="s">
        <v>284</v>
      </c>
      <c r="N146" s="218"/>
      <c r="O146" s="218" t="s">
        <v>500</v>
      </c>
      <c r="P146" s="115">
        <v>600000</v>
      </c>
      <c r="Q146" s="115">
        <v>600000</v>
      </c>
      <c r="R146" s="115">
        <v>600000</v>
      </c>
      <c r="S146" s="115">
        <v>600000</v>
      </c>
      <c r="T146" s="115">
        <v>600000</v>
      </c>
      <c r="W146" s="137" t="s">
        <v>662</v>
      </c>
    </row>
    <row r="147" spans="2:23" x14ac:dyDescent="0.3">
      <c r="B147" s="216" t="s">
        <v>470</v>
      </c>
      <c r="C147" s="216" t="str">
        <f t="shared" si="51"/>
        <v>TNB101</v>
      </c>
      <c r="D147" s="221"/>
      <c r="E147" s="216" t="str">
        <f t="shared" si="50"/>
        <v>TNB, TNB-C</v>
      </c>
      <c r="F147" s="292">
        <f t="shared" si="20"/>
        <v>1.7000000000000001E-4</v>
      </c>
      <c r="G147" s="292">
        <f t="shared" si="52"/>
        <v>1.7000000000000001E-4</v>
      </c>
      <c r="H147" s="292">
        <f t="shared" si="53"/>
        <v>1.7000000000000001E-4</v>
      </c>
      <c r="I147" s="292">
        <f t="shared" si="54"/>
        <v>1.7000000000000001E-4</v>
      </c>
      <c r="J147" s="292">
        <f t="shared" si="55"/>
        <v>1.7000000000000001E-4</v>
      </c>
      <c r="M147" s="218" t="s">
        <v>188</v>
      </c>
      <c r="N147" s="226"/>
      <c r="O147" s="226" t="s">
        <v>501</v>
      </c>
      <c r="P147" s="115">
        <v>600000</v>
      </c>
      <c r="Q147" s="115">
        <v>600000</v>
      </c>
      <c r="R147" s="115">
        <v>600000</v>
      </c>
      <c r="S147" s="115">
        <v>600000</v>
      </c>
      <c r="T147" s="115">
        <v>600000</v>
      </c>
      <c r="W147" s="137" t="s">
        <v>662</v>
      </c>
    </row>
    <row r="148" spans="2:23" x14ac:dyDescent="0.3">
      <c r="B148" s="216" t="s">
        <v>470</v>
      </c>
      <c r="C148" s="216" t="str">
        <f t="shared" si="51"/>
        <v>TNB201</v>
      </c>
      <c r="D148" s="221"/>
      <c r="E148" s="216" t="str">
        <f t="shared" si="50"/>
        <v>TNB, TNB-C</v>
      </c>
      <c r="F148" s="292">
        <f t="shared" ref="F148:F149" si="56">IF(P148=0, "-", ROUND(10^2/P148,5))</f>
        <v>1.7000000000000001E-4</v>
      </c>
      <c r="G148" s="292">
        <f t="shared" ref="G148:G149" si="57">IF(Q148=0, "-", ROUND(10^2/Q148,5))</f>
        <v>1.7000000000000001E-4</v>
      </c>
      <c r="H148" s="292">
        <f t="shared" ref="H148:H149" si="58">IF(R148=0, "-", ROUND(10^2/R148,5))</f>
        <v>1.7000000000000001E-4</v>
      </c>
      <c r="I148" s="292">
        <f t="shared" ref="I148:I149" si="59">IF(S148=0, "-", ROUND(10^2/S148,5))</f>
        <v>1.7000000000000001E-4</v>
      </c>
      <c r="J148" s="292">
        <f t="shared" ref="J148:J149" si="60">IF(T148=0, "-", ROUND(10^2/T148,5))</f>
        <v>1.7000000000000001E-4</v>
      </c>
      <c r="M148" s="218" t="s">
        <v>694</v>
      </c>
      <c r="N148" s="226"/>
      <c r="O148" s="226" t="s">
        <v>501</v>
      </c>
      <c r="P148" s="115">
        <v>600000</v>
      </c>
      <c r="Q148" s="115">
        <v>600000</v>
      </c>
      <c r="R148" s="115">
        <v>600000</v>
      </c>
      <c r="S148" s="115">
        <v>600000</v>
      </c>
      <c r="T148" s="115">
        <v>600000</v>
      </c>
      <c r="W148" s="137"/>
    </row>
    <row r="149" spans="2:23" x14ac:dyDescent="0.3">
      <c r="B149" s="219" t="s">
        <v>470</v>
      </c>
      <c r="C149" s="219" t="str">
        <f t="shared" si="51"/>
        <v>TNB301</v>
      </c>
      <c r="D149" s="222"/>
      <c r="E149" s="219" t="str">
        <f t="shared" si="50"/>
        <v>TNB, TNB-C</v>
      </c>
      <c r="F149" s="293">
        <f t="shared" si="56"/>
        <v>1.7000000000000001E-4</v>
      </c>
      <c r="G149" s="293">
        <f t="shared" si="57"/>
        <v>1.7000000000000001E-4</v>
      </c>
      <c r="H149" s="293">
        <f t="shared" si="58"/>
        <v>1.7000000000000001E-4</v>
      </c>
      <c r="I149" s="293">
        <f t="shared" si="59"/>
        <v>1.7000000000000001E-4</v>
      </c>
      <c r="J149" s="293">
        <f t="shared" si="60"/>
        <v>1.7000000000000001E-4</v>
      </c>
      <c r="M149" s="223" t="s">
        <v>696</v>
      </c>
      <c r="N149" s="227"/>
      <c r="O149" s="227" t="s">
        <v>501</v>
      </c>
      <c r="P149" s="200">
        <v>600000</v>
      </c>
      <c r="Q149" s="200">
        <v>600000</v>
      </c>
      <c r="R149" s="200">
        <v>600000</v>
      </c>
      <c r="S149" s="200">
        <v>600000</v>
      </c>
      <c r="T149" s="200">
        <v>600000</v>
      </c>
      <c r="W149" s="137"/>
    </row>
    <row r="150" spans="2:23" x14ac:dyDescent="0.3">
      <c r="B150" s="216" t="s">
        <v>466</v>
      </c>
      <c r="C150" s="216" t="str">
        <f t="shared" ref="C150:C156" si="61">M150</f>
        <v>TTFLDST100</v>
      </c>
      <c r="D150" s="221"/>
      <c r="E150" s="216" t="str">
        <f t="shared" ref="E150:E156" si="62">O150</f>
        <v>TTF</v>
      </c>
      <c r="F150" s="254">
        <f t="shared" si="20"/>
        <v>5.2500000000000003E-3</v>
      </c>
      <c r="G150" s="254">
        <f t="shared" si="52"/>
        <v>5.2500000000000003E-3</v>
      </c>
      <c r="H150" s="254">
        <f t="shared" si="53"/>
        <v>5.2500000000000003E-3</v>
      </c>
      <c r="I150" s="254">
        <f t="shared" si="54"/>
        <v>5.2500000000000003E-3</v>
      </c>
      <c r="J150" s="254">
        <f t="shared" si="55"/>
        <v>5.2500000000000003E-3</v>
      </c>
      <c r="M150" s="218" t="s">
        <v>325</v>
      </c>
      <c r="N150" s="218"/>
      <c r="O150" s="218" t="s">
        <v>176</v>
      </c>
      <c r="P150" s="109">
        <v>19047.507701473412</v>
      </c>
      <c r="Q150" s="109">
        <v>19047.507701473412</v>
      </c>
      <c r="R150" s="109">
        <v>19047.507701473412</v>
      </c>
      <c r="S150" s="109">
        <v>19047.507701473412</v>
      </c>
      <c r="T150" s="109">
        <v>19047.507701473412</v>
      </c>
      <c r="W150" s="119"/>
    </row>
    <row r="151" spans="2:23" x14ac:dyDescent="0.3">
      <c r="B151" s="216" t="s">
        <v>466</v>
      </c>
      <c r="C151" s="216" t="str">
        <f t="shared" si="61"/>
        <v>TTFLELC100</v>
      </c>
      <c r="D151" s="221"/>
      <c r="E151" s="216" t="str">
        <f t="shared" si="62"/>
        <v>TTF</v>
      </c>
      <c r="F151" s="254">
        <f t="shared" si="20"/>
        <v>1.1350000000000001E-2</v>
      </c>
      <c r="G151" s="254">
        <f t="shared" si="52"/>
        <v>1.1350000000000001E-2</v>
      </c>
      <c r="H151" s="254">
        <f t="shared" si="53"/>
        <v>1.1350000000000001E-2</v>
      </c>
      <c r="I151" s="254">
        <f t="shared" si="54"/>
        <v>1.1350000000000001E-2</v>
      </c>
      <c r="J151" s="254">
        <f t="shared" si="55"/>
        <v>1.1350000000000001E-2</v>
      </c>
      <c r="M151" s="218" t="s">
        <v>326</v>
      </c>
      <c r="N151" s="218"/>
      <c r="O151" s="218" t="s">
        <v>176</v>
      </c>
      <c r="P151" s="109">
        <v>8806.7745601407314</v>
      </c>
      <c r="Q151" s="109">
        <v>8806.7745601407314</v>
      </c>
      <c r="R151" s="109">
        <v>8806.7745601407314</v>
      </c>
      <c r="S151" s="109">
        <v>8806.7745601407314</v>
      </c>
      <c r="T151" s="109">
        <v>8806.7745601407314</v>
      </c>
      <c r="W151" s="119"/>
    </row>
    <row r="152" spans="2:23" x14ac:dyDescent="0.3">
      <c r="B152" s="216" t="s">
        <v>466</v>
      </c>
      <c r="C152" s="216" t="str">
        <f t="shared" si="61"/>
        <v>TTPHELC100</v>
      </c>
      <c r="D152" s="221"/>
      <c r="E152" s="216" t="str">
        <f t="shared" si="62"/>
        <v>TTP</v>
      </c>
      <c r="F152" s="254">
        <f t="shared" si="20"/>
        <v>2.0889999999999999E-2</v>
      </c>
      <c r="G152" s="254">
        <f t="shared" si="52"/>
        <v>2.0889999999999999E-2</v>
      </c>
      <c r="H152" s="254">
        <f t="shared" si="53"/>
        <v>2.0889999999999999E-2</v>
      </c>
      <c r="I152" s="254">
        <f t="shared" si="54"/>
        <v>2.0889999999999999E-2</v>
      </c>
      <c r="J152" s="254">
        <f t="shared" si="55"/>
        <v>2.0889999999999999E-2</v>
      </c>
      <c r="M152" s="218" t="s">
        <v>322</v>
      </c>
      <c r="N152" s="218"/>
      <c r="O152" s="218" t="s">
        <v>118</v>
      </c>
      <c r="P152" s="109">
        <v>4786.2637868171787</v>
      </c>
      <c r="Q152" s="109">
        <v>4786.2637868171787</v>
      </c>
      <c r="R152" s="109">
        <v>4786.2637868171787</v>
      </c>
      <c r="S152" s="109">
        <v>4786.2637868171787</v>
      </c>
      <c r="T152" s="109">
        <v>4786.2637868171787</v>
      </c>
      <c r="W152" s="119"/>
    </row>
    <row r="153" spans="2:23" x14ac:dyDescent="0.3">
      <c r="B153" s="216" t="s">
        <v>466</v>
      </c>
      <c r="C153" s="216" t="str">
        <f t="shared" si="61"/>
        <v>TTPLDST100</v>
      </c>
      <c r="D153" s="221"/>
      <c r="E153" s="216" t="str">
        <f t="shared" si="62"/>
        <v>TTP</v>
      </c>
      <c r="F153" s="254">
        <f t="shared" si="20"/>
        <v>2.76E-2</v>
      </c>
      <c r="G153" s="254">
        <f t="shared" si="52"/>
        <v>2.76E-2</v>
      </c>
      <c r="H153" s="254">
        <f t="shared" si="53"/>
        <v>2.76E-2</v>
      </c>
      <c r="I153" s="254">
        <f t="shared" si="54"/>
        <v>2.76E-2</v>
      </c>
      <c r="J153" s="254">
        <f t="shared" si="55"/>
        <v>2.76E-2</v>
      </c>
      <c r="M153" s="218" t="s">
        <v>323</v>
      </c>
      <c r="N153" s="218"/>
      <c r="O153" s="218" t="s">
        <v>118</v>
      </c>
      <c r="P153" s="109">
        <v>3622.881513776686</v>
      </c>
      <c r="Q153" s="109">
        <v>3622.881513776686</v>
      </c>
      <c r="R153" s="109">
        <v>3622.881513776686</v>
      </c>
      <c r="S153" s="109">
        <v>3622.881513776686</v>
      </c>
      <c r="T153" s="109">
        <v>3622.881513776686</v>
      </c>
      <c r="W153" s="119"/>
    </row>
    <row r="154" spans="2:23" x14ac:dyDescent="0.3">
      <c r="B154" s="216" t="s">
        <v>466</v>
      </c>
      <c r="C154" s="216" t="str">
        <f t="shared" si="61"/>
        <v>TTPLELC100</v>
      </c>
      <c r="D154" s="221"/>
      <c r="E154" s="216" t="str">
        <f t="shared" si="62"/>
        <v>TTP</v>
      </c>
      <c r="F154" s="254">
        <f t="shared" si="20"/>
        <v>2.0889999999999999E-2</v>
      </c>
      <c r="G154" s="254">
        <f t="shared" si="52"/>
        <v>2.0889999999999999E-2</v>
      </c>
      <c r="H154" s="254">
        <f t="shared" si="53"/>
        <v>2.0889999999999999E-2</v>
      </c>
      <c r="I154" s="254">
        <f t="shared" si="54"/>
        <v>2.0889999999999999E-2</v>
      </c>
      <c r="J154" s="254">
        <f t="shared" si="55"/>
        <v>2.0889999999999999E-2</v>
      </c>
      <c r="M154" s="218" t="s">
        <v>321</v>
      </c>
      <c r="N154" s="218"/>
      <c r="O154" s="218" t="s">
        <v>118</v>
      </c>
      <c r="P154" s="109">
        <v>4786.2637868171787</v>
      </c>
      <c r="Q154" s="109">
        <v>4786.2637868171787</v>
      </c>
      <c r="R154" s="109">
        <v>4786.2637868171787</v>
      </c>
      <c r="S154" s="109">
        <v>4786.2637868171787</v>
      </c>
      <c r="T154" s="109">
        <v>4786.2637868171787</v>
      </c>
      <c r="W154" s="119"/>
    </row>
    <row r="155" spans="2:23" x14ac:dyDescent="0.3">
      <c r="B155" s="216" t="s">
        <v>466</v>
      </c>
      <c r="C155" s="216" t="str">
        <f t="shared" si="61"/>
        <v>TTPRDST100</v>
      </c>
      <c r="D155" s="221"/>
      <c r="E155" s="216" t="str">
        <f t="shared" si="62"/>
        <v>TTP</v>
      </c>
      <c r="F155" s="254">
        <f t="shared" ref="F155:F156" si="63">IF(P155=0, "-", ROUND(10^2/P155,5))</f>
        <v>2.76E-2</v>
      </c>
      <c r="G155" s="254">
        <f t="shared" si="52"/>
        <v>2.76E-2</v>
      </c>
      <c r="H155" s="254">
        <f t="shared" si="53"/>
        <v>2.76E-2</v>
      </c>
      <c r="I155" s="254">
        <f t="shared" si="54"/>
        <v>2.76E-2</v>
      </c>
      <c r="J155" s="254">
        <f t="shared" si="55"/>
        <v>2.76E-2</v>
      </c>
      <c r="M155" s="218" t="s">
        <v>324</v>
      </c>
      <c r="N155" s="218"/>
      <c r="O155" s="218" t="s">
        <v>118</v>
      </c>
      <c r="P155" s="109">
        <v>3622.881513776686</v>
      </c>
      <c r="Q155" s="109">
        <v>3622.881513776686</v>
      </c>
      <c r="R155" s="109">
        <v>3622.881513776686</v>
      </c>
      <c r="S155" s="109">
        <v>3622.881513776686</v>
      </c>
      <c r="T155" s="109">
        <v>3622.881513776686</v>
      </c>
      <c r="W155" s="119"/>
    </row>
    <row r="156" spans="2:23" x14ac:dyDescent="0.3">
      <c r="B156" s="216" t="s">
        <v>466</v>
      </c>
      <c r="C156" s="216" t="str">
        <f t="shared" si="61"/>
        <v>TTPRELC100</v>
      </c>
      <c r="D156" s="221"/>
      <c r="E156" s="216" t="str">
        <f t="shared" si="62"/>
        <v>TTP</v>
      </c>
      <c r="F156" s="254">
        <f t="shared" si="63"/>
        <v>2.0889999999999999E-2</v>
      </c>
      <c r="G156" s="254">
        <f t="shared" si="52"/>
        <v>2.0889999999999999E-2</v>
      </c>
      <c r="H156" s="254">
        <f t="shared" si="53"/>
        <v>2.0889999999999999E-2</v>
      </c>
      <c r="I156" s="254">
        <f t="shared" si="54"/>
        <v>2.0889999999999999E-2</v>
      </c>
      <c r="J156" s="254">
        <f t="shared" si="55"/>
        <v>2.0889999999999999E-2</v>
      </c>
      <c r="M156" s="218" t="s">
        <v>320</v>
      </c>
      <c r="N156" s="218"/>
      <c r="O156" s="218" t="s">
        <v>118</v>
      </c>
      <c r="P156" s="109">
        <v>4786.2637868171787</v>
      </c>
      <c r="Q156" s="109">
        <v>4786.2637868171787</v>
      </c>
      <c r="R156" s="109">
        <v>4786.2637868171787</v>
      </c>
      <c r="S156" s="109">
        <v>4786.2637868171787</v>
      </c>
      <c r="T156" s="109">
        <v>4786.2637868171787</v>
      </c>
      <c r="W156" s="119"/>
    </row>
    <row r="157" spans="2:23" x14ac:dyDescent="0.3">
      <c r="C157" s="97"/>
      <c r="D157" s="97"/>
      <c r="E157" s="97"/>
      <c r="F157" s="97"/>
      <c r="G157" s="94"/>
      <c r="H157" s="94"/>
      <c r="I157" s="94"/>
      <c r="J157" s="94"/>
      <c r="K157" s="94"/>
      <c r="M157" s="97"/>
      <c r="N157" s="92"/>
      <c r="O157" s="97"/>
      <c r="P157" s="97"/>
      <c r="Q157" s="94"/>
      <c r="R157" s="94"/>
      <c r="S157" s="94"/>
      <c r="T157" s="94"/>
      <c r="U157" s="94"/>
      <c r="W157" s="119"/>
    </row>
    <row r="158" spans="2:23" x14ac:dyDescent="0.3">
      <c r="B158" s="89" t="s">
        <v>315</v>
      </c>
      <c r="C158" s="90"/>
      <c r="D158" s="90"/>
      <c r="E158" s="90"/>
      <c r="F158" s="90"/>
      <c r="G158" s="91"/>
      <c r="H158" s="90"/>
      <c r="M158" s="89" t="s">
        <v>567</v>
      </c>
      <c r="N158" s="90"/>
      <c r="O158" s="90"/>
    </row>
    <row r="159" spans="2:23" x14ac:dyDescent="0.3">
      <c r="B159" s="216" t="s">
        <v>671</v>
      </c>
      <c r="C159" s="92"/>
      <c r="D159" s="92"/>
      <c r="E159" s="92"/>
      <c r="F159" s="92"/>
      <c r="G159" s="93"/>
      <c r="H159" s="94"/>
      <c r="I159" s="94"/>
      <c r="J159" s="94"/>
      <c r="M159" s="218" t="s">
        <v>307</v>
      </c>
      <c r="N159" s="92"/>
      <c r="O159" s="92"/>
    </row>
    <row r="160" spans="2:23" x14ac:dyDescent="0.3">
      <c r="B160" s="95" t="s">
        <v>569</v>
      </c>
      <c r="M160" s="95" t="s">
        <v>509</v>
      </c>
    </row>
    <row r="161" spans="2:23" x14ac:dyDescent="0.3">
      <c r="B161" s="106" t="s">
        <v>460</v>
      </c>
      <c r="C161" s="106" t="s">
        <v>2</v>
      </c>
      <c r="D161" s="106" t="s">
        <v>4</v>
      </c>
      <c r="E161" s="106" t="s">
        <v>6</v>
      </c>
      <c r="F161" s="107">
        <v>2020</v>
      </c>
      <c r="G161" s="107">
        <v>2025</v>
      </c>
      <c r="H161" s="107">
        <v>2030</v>
      </c>
      <c r="I161" s="107">
        <v>2040</v>
      </c>
      <c r="J161" s="107">
        <v>2050</v>
      </c>
      <c r="M161" s="106" t="s">
        <v>2</v>
      </c>
      <c r="N161" s="106" t="s">
        <v>4</v>
      </c>
      <c r="O161" s="106" t="s">
        <v>6</v>
      </c>
      <c r="P161" s="107">
        <v>2016</v>
      </c>
      <c r="Q161" s="107">
        <v>2020</v>
      </c>
      <c r="R161" s="107">
        <v>2030</v>
      </c>
      <c r="S161" s="107">
        <v>2040</v>
      </c>
      <c r="T161" s="107">
        <v>2050</v>
      </c>
      <c r="W161" s="106" t="s">
        <v>572</v>
      </c>
    </row>
    <row r="162" spans="2:23" x14ac:dyDescent="0.3">
      <c r="B162" s="96"/>
      <c r="C162" s="96"/>
      <c r="D162" s="96"/>
      <c r="E162" s="96"/>
      <c r="F162" s="96"/>
      <c r="G162" s="96"/>
      <c r="H162" s="96"/>
      <c r="I162" s="96"/>
      <c r="J162" s="96"/>
      <c r="M162" s="96"/>
      <c r="N162" s="96"/>
      <c r="O162" s="96"/>
      <c r="P162" s="96"/>
      <c r="Q162" s="96"/>
      <c r="R162" s="96"/>
      <c r="S162" s="96"/>
      <c r="T162" s="96"/>
      <c r="W162" s="106"/>
    </row>
    <row r="163" spans="2:23" x14ac:dyDescent="0.3">
      <c r="B163" s="216" t="s">
        <v>462</v>
      </c>
      <c r="C163" s="216" t="str">
        <f t="shared" ref="C163:C193" si="64">M163</f>
        <v>TBUSBDL101</v>
      </c>
      <c r="D163" s="221"/>
      <c r="E163" s="216" t="str">
        <f t="shared" ref="E163:E193" si="65">O163</f>
        <v>TBU, TBU-C</v>
      </c>
      <c r="F163" s="254">
        <f t="shared" ref="F163:F226" si="66">IF(P163=0, "-", ROUND(10^2/P163,5))</f>
        <v>7.1940000000000004E-2</v>
      </c>
      <c r="G163" s="254">
        <f t="shared" ref="G163:G226" si="67">IF(Q163=0, "-", ROUND(10^2/Q163,5))</f>
        <v>7.6980000000000007E-2</v>
      </c>
      <c r="H163" s="254">
        <f t="shared" ref="H163:H226" si="68">IF(R163=0, "-", ROUND(10^2/R163,5))</f>
        <v>8.0909999999999996E-2</v>
      </c>
      <c r="I163" s="254">
        <f t="shared" ref="I163:I226" si="69">IF(S163=0, "-", ROUND(10^2/S163,5))</f>
        <v>8.5250000000000006E-2</v>
      </c>
      <c r="J163" s="254">
        <f t="shared" ref="J163:J226" si="70">IF(T163=0, "-", ROUND(10^2/T163,5))</f>
        <v>8.9450000000000002E-2</v>
      </c>
      <c r="M163" s="218" t="s">
        <v>66</v>
      </c>
      <c r="N163" s="218"/>
      <c r="O163" s="218" t="s">
        <v>505</v>
      </c>
      <c r="P163" s="109">
        <v>1390</v>
      </c>
      <c r="Q163" s="109">
        <v>1299</v>
      </c>
      <c r="R163" s="109">
        <v>1236</v>
      </c>
      <c r="S163" s="109">
        <v>1173</v>
      </c>
      <c r="T163" s="109">
        <v>1118</v>
      </c>
      <c r="W163" s="119" t="s">
        <v>316</v>
      </c>
    </row>
    <row r="164" spans="2:23" x14ac:dyDescent="0.3">
      <c r="B164" s="216" t="s">
        <v>462</v>
      </c>
      <c r="C164" s="216" t="str">
        <f t="shared" si="64"/>
        <v>TBUSDME101</v>
      </c>
      <c r="D164" s="221"/>
      <c r="E164" s="216" t="str">
        <f t="shared" si="65"/>
        <v>TBU, TBU-C</v>
      </c>
      <c r="F164" s="254">
        <f t="shared" si="66"/>
        <v>7.1940000000000004E-2</v>
      </c>
      <c r="G164" s="254">
        <f t="shared" si="67"/>
        <v>7.6980000000000007E-2</v>
      </c>
      <c r="H164" s="254">
        <f t="shared" si="68"/>
        <v>8.0909999999999996E-2</v>
      </c>
      <c r="I164" s="254">
        <f t="shared" si="69"/>
        <v>8.5250000000000006E-2</v>
      </c>
      <c r="J164" s="254">
        <f t="shared" si="70"/>
        <v>8.9450000000000002E-2</v>
      </c>
      <c r="M164" s="218" t="s">
        <v>69</v>
      </c>
      <c r="N164" s="218"/>
      <c r="O164" s="218" t="s">
        <v>505</v>
      </c>
      <c r="P164" s="109">
        <v>1390</v>
      </c>
      <c r="Q164" s="109">
        <v>1299</v>
      </c>
      <c r="R164" s="109">
        <v>1236</v>
      </c>
      <c r="S164" s="109">
        <v>1173</v>
      </c>
      <c r="T164" s="109">
        <v>1118</v>
      </c>
      <c r="W164" s="119"/>
    </row>
    <row r="165" spans="2:23" x14ac:dyDescent="0.3">
      <c r="B165" s="216" t="s">
        <v>462</v>
      </c>
      <c r="C165" s="216" t="str">
        <f t="shared" si="64"/>
        <v>TBUSDST101</v>
      </c>
      <c r="D165" s="221"/>
      <c r="E165" s="216" t="str">
        <f t="shared" si="65"/>
        <v>TBU, TBU-C</v>
      </c>
      <c r="F165" s="254">
        <f t="shared" si="66"/>
        <v>7.1940000000000004E-2</v>
      </c>
      <c r="G165" s="254">
        <f t="shared" si="67"/>
        <v>7.6980000000000007E-2</v>
      </c>
      <c r="H165" s="254">
        <f t="shared" si="68"/>
        <v>8.0909999999999996E-2</v>
      </c>
      <c r="I165" s="254">
        <f t="shared" si="69"/>
        <v>8.5250000000000006E-2</v>
      </c>
      <c r="J165" s="254">
        <f t="shared" si="70"/>
        <v>8.9450000000000002E-2</v>
      </c>
      <c r="M165" s="218" t="s">
        <v>72</v>
      </c>
      <c r="N165" s="218"/>
      <c r="O165" s="218" t="s">
        <v>505</v>
      </c>
      <c r="P165" s="109">
        <v>1390</v>
      </c>
      <c r="Q165" s="109">
        <v>1299</v>
      </c>
      <c r="R165" s="109">
        <v>1236</v>
      </c>
      <c r="S165" s="109">
        <v>1173</v>
      </c>
      <c r="T165" s="109">
        <v>1118</v>
      </c>
      <c r="W165" s="119" t="s">
        <v>317</v>
      </c>
    </row>
    <row r="166" spans="2:23" x14ac:dyDescent="0.3">
      <c r="B166" s="216" t="s">
        <v>462</v>
      </c>
      <c r="C166" s="216" t="str">
        <f t="shared" si="64"/>
        <v>TBUSELC101</v>
      </c>
      <c r="D166" s="221"/>
      <c r="E166" s="216" t="str">
        <f t="shared" si="65"/>
        <v>TBU, TBU-C</v>
      </c>
      <c r="F166" s="254">
        <f t="shared" si="66"/>
        <v>0.17985999999999999</v>
      </c>
      <c r="G166" s="254">
        <f t="shared" si="67"/>
        <v>0.17985999999999999</v>
      </c>
      <c r="H166" s="254">
        <f t="shared" si="68"/>
        <v>0.18970999999999999</v>
      </c>
      <c r="I166" s="254">
        <f t="shared" si="69"/>
        <v>0.19783999999999999</v>
      </c>
      <c r="J166" s="254">
        <f t="shared" si="70"/>
        <v>0.20982999999999999</v>
      </c>
      <c r="M166" s="218" t="s">
        <v>74</v>
      </c>
      <c r="N166" s="218"/>
      <c r="O166" s="218" t="s">
        <v>505</v>
      </c>
      <c r="P166" s="109">
        <f>P165/2.5</f>
        <v>556</v>
      </c>
      <c r="Q166" s="109">
        <f>P166*Q31/P31</f>
        <v>556</v>
      </c>
      <c r="R166" s="109">
        <f>Q166*R31/Q31</f>
        <v>527.11688311688317</v>
      </c>
      <c r="S166" s="109">
        <f>R166*S31/R31</f>
        <v>505.45454545454555</v>
      </c>
      <c r="T166" s="109">
        <f>S166*T31/S31</f>
        <v>476.57142857142867</v>
      </c>
      <c r="W166" s="119" t="s">
        <v>310</v>
      </c>
    </row>
    <row r="167" spans="2:23" x14ac:dyDescent="0.3">
      <c r="B167" s="216" t="s">
        <v>462</v>
      </c>
      <c r="C167" s="216" t="str">
        <f t="shared" si="64"/>
        <v>TBUSETH101</v>
      </c>
      <c r="D167" s="221"/>
      <c r="E167" s="216" t="str">
        <f t="shared" si="65"/>
        <v>TBU, TBU-C</v>
      </c>
      <c r="F167" s="254">
        <f t="shared" si="66"/>
        <v>6.8349999999999994E-2</v>
      </c>
      <c r="G167" s="254">
        <f t="shared" si="67"/>
        <v>7.3130000000000001E-2</v>
      </c>
      <c r="H167" s="254">
        <f t="shared" si="68"/>
        <v>7.6859999999999998E-2</v>
      </c>
      <c r="I167" s="254">
        <f t="shared" si="69"/>
        <v>8.0990000000000006E-2</v>
      </c>
      <c r="J167" s="254">
        <f t="shared" si="70"/>
        <v>8.4970000000000004E-2</v>
      </c>
      <c r="M167" s="218" t="s">
        <v>76</v>
      </c>
      <c r="N167" s="218"/>
      <c r="O167" s="218" t="s">
        <v>505</v>
      </c>
      <c r="P167" s="109">
        <f>P165/0.95</f>
        <v>1463.1578947368421</v>
      </c>
      <c r="Q167" s="109">
        <f t="shared" ref="Q167:T167" si="71">Q165/0.95</f>
        <v>1367.3684210526317</v>
      </c>
      <c r="R167" s="109">
        <f t="shared" si="71"/>
        <v>1301.0526315789475</v>
      </c>
      <c r="S167" s="109">
        <f t="shared" si="71"/>
        <v>1234.7368421052631</v>
      </c>
      <c r="T167" s="109">
        <f t="shared" si="71"/>
        <v>1176.8421052631579</v>
      </c>
      <c r="W167" s="119" t="s">
        <v>703</v>
      </c>
    </row>
    <row r="168" spans="2:23" x14ac:dyDescent="0.3">
      <c r="B168" s="216" t="s">
        <v>462</v>
      </c>
      <c r="C168" s="216" t="str">
        <f t="shared" si="64"/>
        <v>TBUSGAS101</v>
      </c>
      <c r="D168" s="221"/>
      <c r="E168" s="216" t="str">
        <f t="shared" si="65"/>
        <v>TBU, TBU-C</v>
      </c>
      <c r="F168" s="254">
        <f t="shared" si="66"/>
        <v>4.8079999999999998E-2</v>
      </c>
      <c r="G168" s="254">
        <f t="shared" si="67"/>
        <v>5.1360000000000003E-2</v>
      </c>
      <c r="H168" s="254">
        <f t="shared" si="68"/>
        <v>5.4050000000000001E-2</v>
      </c>
      <c r="I168" s="254">
        <f t="shared" si="69"/>
        <v>5.679E-2</v>
      </c>
      <c r="J168" s="254">
        <f t="shared" si="70"/>
        <v>5.9769999999999997E-2</v>
      </c>
      <c r="M168" s="218" t="s">
        <v>78</v>
      </c>
      <c r="N168" s="218"/>
      <c r="O168" s="218" t="s">
        <v>505</v>
      </c>
      <c r="P168" s="109">
        <v>2080</v>
      </c>
      <c r="Q168" s="109">
        <v>1947</v>
      </c>
      <c r="R168" s="109">
        <v>1850</v>
      </c>
      <c r="S168" s="109">
        <v>1761</v>
      </c>
      <c r="T168" s="109">
        <v>1673</v>
      </c>
      <c r="W168" s="119" t="s">
        <v>512</v>
      </c>
    </row>
    <row r="169" spans="2:23" x14ac:dyDescent="0.3">
      <c r="B169" s="216" t="s">
        <v>462</v>
      </c>
      <c r="C169" s="216" t="str">
        <f t="shared" si="64"/>
        <v>TBUSGSL101</v>
      </c>
      <c r="D169" s="221"/>
      <c r="E169" s="216" t="str">
        <f t="shared" si="65"/>
        <v>TBU, TBU-C</v>
      </c>
      <c r="F169" s="254">
        <f t="shared" si="66"/>
        <v>4.8079999999999998E-2</v>
      </c>
      <c r="G169" s="254">
        <f t="shared" si="67"/>
        <v>5.1360000000000003E-2</v>
      </c>
      <c r="H169" s="254">
        <f t="shared" si="68"/>
        <v>5.4050000000000001E-2</v>
      </c>
      <c r="I169" s="254">
        <f t="shared" si="69"/>
        <v>5.679E-2</v>
      </c>
      <c r="J169" s="254">
        <f t="shared" si="70"/>
        <v>5.9769999999999997E-2</v>
      </c>
      <c r="M169" s="218" t="s">
        <v>80</v>
      </c>
      <c r="N169" s="218"/>
      <c r="O169" s="218" t="s">
        <v>505</v>
      </c>
      <c r="P169" s="109">
        <v>2080</v>
      </c>
      <c r="Q169" s="109">
        <v>1947</v>
      </c>
      <c r="R169" s="109">
        <v>1850</v>
      </c>
      <c r="S169" s="109">
        <v>1761</v>
      </c>
      <c r="T169" s="109">
        <v>1673</v>
      </c>
      <c r="W169" s="119" t="s">
        <v>513</v>
      </c>
    </row>
    <row r="170" spans="2:23" x14ac:dyDescent="0.3">
      <c r="B170" s="216" t="s">
        <v>462</v>
      </c>
      <c r="C170" s="216" t="str">
        <f t="shared" si="64"/>
        <v>TBUSHYD101</v>
      </c>
      <c r="D170" s="221"/>
      <c r="E170" s="216" t="str">
        <f t="shared" si="65"/>
        <v>TBU, TBU-C</v>
      </c>
      <c r="F170" s="254">
        <f t="shared" si="66"/>
        <v>7.9939999999999997E-2</v>
      </c>
      <c r="G170" s="254">
        <f t="shared" si="67"/>
        <v>8.5540000000000005E-2</v>
      </c>
      <c r="H170" s="254">
        <f t="shared" si="68"/>
        <v>8.9899999999999994E-2</v>
      </c>
      <c r="I170" s="254">
        <f t="shared" si="69"/>
        <v>9.4719999999999999E-2</v>
      </c>
      <c r="J170" s="254">
        <f t="shared" si="70"/>
        <v>9.9379999999999996E-2</v>
      </c>
      <c r="M170" s="218" t="s">
        <v>352</v>
      </c>
      <c r="N170" s="218"/>
      <c r="O170" s="218" t="s">
        <v>505</v>
      </c>
      <c r="P170" s="109">
        <f>P165*0.9</f>
        <v>1251</v>
      </c>
      <c r="Q170" s="109">
        <f t="shared" ref="Q170:T170" si="72">Q165*0.9</f>
        <v>1169.1000000000001</v>
      </c>
      <c r="R170" s="109">
        <f t="shared" si="72"/>
        <v>1112.4000000000001</v>
      </c>
      <c r="S170" s="109">
        <f t="shared" si="72"/>
        <v>1055.7</v>
      </c>
      <c r="T170" s="109">
        <f t="shared" si="72"/>
        <v>1006.2</v>
      </c>
      <c r="W170" s="119" t="s">
        <v>692</v>
      </c>
    </row>
    <row r="171" spans="2:23" x14ac:dyDescent="0.3">
      <c r="B171" s="216" t="s">
        <v>462</v>
      </c>
      <c r="C171" s="216" t="str">
        <f t="shared" si="64"/>
        <v>TBUSHYG101</v>
      </c>
      <c r="D171" s="221"/>
      <c r="E171" s="216" t="str">
        <f t="shared" si="65"/>
        <v>TBU, TBU-C</v>
      </c>
      <c r="F171" s="254">
        <f t="shared" si="66"/>
        <v>5.3420000000000002E-2</v>
      </c>
      <c r="G171" s="254">
        <f t="shared" si="67"/>
        <v>5.7070000000000003E-2</v>
      </c>
      <c r="H171" s="254">
        <f t="shared" si="68"/>
        <v>6.0060000000000002E-2</v>
      </c>
      <c r="I171" s="254">
        <f t="shared" si="69"/>
        <v>6.3100000000000003E-2</v>
      </c>
      <c r="J171" s="254">
        <f t="shared" si="70"/>
        <v>6.6409999999999997E-2</v>
      </c>
      <c r="M171" s="218" t="s">
        <v>389</v>
      </c>
      <c r="N171" s="218"/>
      <c r="O171" s="218" t="s">
        <v>505</v>
      </c>
      <c r="P171" s="109">
        <f>P169*0.9</f>
        <v>1872</v>
      </c>
      <c r="Q171" s="109">
        <f t="shared" ref="Q171:T171" si="73">Q169*0.9</f>
        <v>1752.3</v>
      </c>
      <c r="R171" s="109">
        <f t="shared" si="73"/>
        <v>1665</v>
      </c>
      <c r="S171" s="109">
        <f t="shared" si="73"/>
        <v>1584.9</v>
      </c>
      <c r="T171" s="109">
        <f t="shared" si="73"/>
        <v>1505.7</v>
      </c>
      <c r="W171" s="119" t="s">
        <v>693</v>
      </c>
    </row>
    <row r="172" spans="2:23" x14ac:dyDescent="0.3">
      <c r="B172" s="216" t="s">
        <v>462</v>
      </c>
      <c r="C172" s="216" t="str">
        <f t="shared" si="64"/>
        <v>TBUSHFC101</v>
      </c>
      <c r="D172" s="221"/>
      <c r="E172" s="216" t="str">
        <f t="shared" si="65"/>
        <v>TBU, TBU-C</v>
      </c>
      <c r="F172" s="254">
        <f t="shared" si="66"/>
        <v>0.11990000000000001</v>
      </c>
      <c r="G172" s="254">
        <f t="shared" si="67"/>
        <v>0.1283</v>
      </c>
      <c r="H172" s="254">
        <f t="shared" si="68"/>
        <v>0.13483999999999999</v>
      </c>
      <c r="I172" s="254">
        <f t="shared" si="69"/>
        <v>0.14208999999999999</v>
      </c>
      <c r="J172" s="254">
        <f t="shared" si="70"/>
        <v>0.14907999999999999</v>
      </c>
      <c r="M172" s="218" t="s">
        <v>82</v>
      </c>
      <c r="N172" s="218"/>
      <c r="O172" s="218" t="s">
        <v>505</v>
      </c>
      <c r="P172" s="109">
        <f>P165*0.6</f>
        <v>834</v>
      </c>
      <c r="Q172" s="109">
        <f>Q165*0.6</f>
        <v>779.4</v>
      </c>
      <c r="R172" s="109">
        <f>R165*0.6</f>
        <v>741.6</v>
      </c>
      <c r="S172" s="109">
        <f>S165*0.6</f>
        <v>703.8</v>
      </c>
      <c r="T172" s="109">
        <f>T165*0.6</f>
        <v>670.8</v>
      </c>
      <c r="W172" s="119" t="s">
        <v>514</v>
      </c>
    </row>
    <row r="173" spans="2:23" x14ac:dyDescent="0.3">
      <c r="B173" s="216" t="s">
        <v>462</v>
      </c>
      <c r="C173" s="216" t="str">
        <f t="shared" si="64"/>
        <v>TBUSLPG101</v>
      </c>
      <c r="D173" s="221"/>
      <c r="E173" s="216" t="str">
        <f t="shared" si="65"/>
        <v>TBU, TBU-C</v>
      </c>
      <c r="F173" s="254">
        <f t="shared" si="66"/>
        <v>4.8079999999999998E-2</v>
      </c>
      <c r="G173" s="254">
        <f t="shared" si="67"/>
        <v>5.1360000000000003E-2</v>
      </c>
      <c r="H173" s="254">
        <f t="shared" si="68"/>
        <v>5.4050000000000001E-2</v>
      </c>
      <c r="I173" s="254">
        <f t="shared" si="69"/>
        <v>5.679E-2</v>
      </c>
      <c r="J173" s="254">
        <f t="shared" si="70"/>
        <v>5.9769999999999997E-2</v>
      </c>
      <c r="M173" s="218" t="s">
        <v>84</v>
      </c>
      <c r="N173" s="218"/>
      <c r="O173" s="218" t="s">
        <v>505</v>
      </c>
      <c r="P173" s="109">
        <v>2080</v>
      </c>
      <c r="Q173" s="109">
        <v>1947</v>
      </c>
      <c r="R173" s="109">
        <v>1850</v>
      </c>
      <c r="S173" s="109">
        <v>1761</v>
      </c>
      <c r="T173" s="109">
        <v>1673</v>
      </c>
      <c r="W173" s="119"/>
    </row>
    <row r="174" spans="2:23" x14ac:dyDescent="0.3">
      <c r="B174" s="216" t="s">
        <v>462</v>
      </c>
      <c r="C174" s="216" t="str">
        <f t="shared" si="64"/>
        <v>TBUSMDE101</v>
      </c>
      <c r="D174" s="221"/>
      <c r="E174" s="216" t="str">
        <f t="shared" si="65"/>
        <v>TBU, TBU-C</v>
      </c>
      <c r="F174" s="254">
        <f t="shared" si="66"/>
        <v>7.1940000000000004E-2</v>
      </c>
      <c r="G174" s="254">
        <f t="shared" si="67"/>
        <v>7.6980000000000007E-2</v>
      </c>
      <c r="H174" s="254">
        <f t="shared" si="68"/>
        <v>8.0909999999999996E-2</v>
      </c>
      <c r="I174" s="254">
        <f t="shared" si="69"/>
        <v>8.5250000000000006E-2</v>
      </c>
      <c r="J174" s="254">
        <f t="shared" si="70"/>
        <v>8.9450000000000002E-2</v>
      </c>
      <c r="M174" s="218" t="s">
        <v>85</v>
      </c>
      <c r="N174" s="218"/>
      <c r="O174" s="218" t="s">
        <v>505</v>
      </c>
      <c r="P174" s="109">
        <v>1390</v>
      </c>
      <c r="Q174" s="109">
        <v>1299</v>
      </c>
      <c r="R174" s="109">
        <v>1236</v>
      </c>
      <c r="S174" s="109">
        <v>1173</v>
      </c>
      <c r="T174" s="109">
        <v>1118</v>
      </c>
      <c r="W174" s="119" t="s">
        <v>510</v>
      </c>
    </row>
    <row r="175" spans="2:23" x14ac:dyDescent="0.3">
      <c r="B175" s="216" t="s">
        <v>462</v>
      </c>
      <c r="C175" s="216" t="str">
        <f t="shared" si="64"/>
        <v>TBUSMTH101</v>
      </c>
      <c r="D175" s="221"/>
      <c r="E175" s="216" t="str">
        <f t="shared" si="65"/>
        <v>TBU, TBU-C</v>
      </c>
      <c r="F175" s="254">
        <f t="shared" si="66"/>
        <v>4.8079999999999998E-2</v>
      </c>
      <c r="G175" s="254">
        <f t="shared" si="67"/>
        <v>5.1360000000000003E-2</v>
      </c>
      <c r="H175" s="254">
        <f t="shared" si="68"/>
        <v>5.4050000000000001E-2</v>
      </c>
      <c r="I175" s="254">
        <f t="shared" si="69"/>
        <v>5.679E-2</v>
      </c>
      <c r="J175" s="254">
        <f t="shared" si="70"/>
        <v>5.9769999999999997E-2</v>
      </c>
      <c r="M175" s="218" t="s">
        <v>605</v>
      </c>
      <c r="N175" s="218"/>
      <c r="O175" s="218" t="s">
        <v>505</v>
      </c>
      <c r="P175" s="109">
        <v>2080</v>
      </c>
      <c r="Q175" s="109">
        <v>1947</v>
      </c>
      <c r="R175" s="109">
        <v>1850</v>
      </c>
      <c r="S175" s="109">
        <v>1761</v>
      </c>
      <c r="T175" s="109">
        <v>1673</v>
      </c>
      <c r="W175" s="119"/>
    </row>
    <row r="176" spans="2:23" x14ac:dyDescent="0.3">
      <c r="B176" s="216" t="s">
        <v>462</v>
      </c>
      <c r="C176" s="216" t="str">
        <f t="shared" si="64"/>
        <v>TBUSPYD101</v>
      </c>
      <c r="D176" s="221"/>
      <c r="E176" s="216" t="str">
        <f t="shared" si="65"/>
        <v>TBU, TBU-C</v>
      </c>
      <c r="F176" s="254">
        <f t="shared" si="66"/>
        <v>0.10277</v>
      </c>
      <c r="G176" s="254">
        <f t="shared" si="67"/>
        <v>0.10997</v>
      </c>
      <c r="H176" s="254">
        <f t="shared" si="68"/>
        <v>0.11558</v>
      </c>
      <c r="I176" s="254">
        <f t="shared" si="69"/>
        <v>0.12179</v>
      </c>
      <c r="J176" s="254">
        <f t="shared" si="70"/>
        <v>0.12778</v>
      </c>
      <c r="M176" s="218" t="s">
        <v>354</v>
      </c>
      <c r="N176" s="218"/>
      <c r="O176" s="218" t="s">
        <v>505</v>
      </c>
      <c r="P176" s="109">
        <f>P165*0.7</f>
        <v>972.99999999999989</v>
      </c>
      <c r="Q176" s="109">
        <f t="shared" ref="Q176:T176" si="74">Q165*0.7</f>
        <v>909.3</v>
      </c>
      <c r="R176" s="109">
        <f t="shared" si="74"/>
        <v>865.19999999999993</v>
      </c>
      <c r="S176" s="109">
        <f t="shared" si="74"/>
        <v>821.09999999999991</v>
      </c>
      <c r="T176" s="109">
        <f t="shared" si="74"/>
        <v>782.59999999999991</v>
      </c>
      <c r="W176" s="119" t="s">
        <v>689</v>
      </c>
    </row>
    <row r="177" spans="2:23" x14ac:dyDescent="0.3">
      <c r="B177" s="219" t="s">
        <v>462</v>
      </c>
      <c r="C177" s="219" t="str">
        <f t="shared" si="64"/>
        <v>TBUSPYG101</v>
      </c>
      <c r="D177" s="222"/>
      <c r="E177" s="219" t="str">
        <f t="shared" si="65"/>
        <v>TBU, TBU-C</v>
      </c>
      <c r="F177" s="256">
        <f t="shared" si="66"/>
        <v>6.8680000000000005E-2</v>
      </c>
      <c r="G177" s="256">
        <f t="shared" si="67"/>
        <v>7.3370000000000005E-2</v>
      </c>
      <c r="H177" s="256">
        <f t="shared" si="68"/>
        <v>7.7219999999999997E-2</v>
      </c>
      <c r="I177" s="256">
        <f t="shared" si="69"/>
        <v>8.1119999999999998E-2</v>
      </c>
      <c r="J177" s="256">
        <f t="shared" si="70"/>
        <v>8.5389999999999994E-2</v>
      </c>
      <c r="M177" s="223" t="s">
        <v>392</v>
      </c>
      <c r="N177" s="223"/>
      <c r="O177" s="223" t="s">
        <v>505</v>
      </c>
      <c r="P177" s="113">
        <f>P169*0.7</f>
        <v>1456</v>
      </c>
      <c r="Q177" s="113">
        <f t="shared" ref="Q177:T177" si="75">Q169*0.7</f>
        <v>1362.8999999999999</v>
      </c>
      <c r="R177" s="113">
        <f t="shared" si="75"/>
        <v>1295</v>
      </c>
      <c r="S177" s="113">
        <f t="shared" si="75"/>
        <v>1232.6999999999998</v>
      </c>
      <c r="T177" s="113">
        <f t="shared" si="75"/>
        <v>1171.0999999999999</v>
      </c>
      <c r="W177" s="147" t="s">
        <v>690</v>
      </c>
    </row>
    <row r="178" spans="2:23" x14ac:dyDescent="0.3">
      <c r="B178" s="216" t="s">
        <v>463</v>
      </c>
      <c r="C178" s="216" t="str">
        <f t="shared" si="64"/>
        <v>TCARBDL101</v>
      </c>
      <c r="D178" s="221"/>
      <c r="E178" s="216" t="str">
        <f t="shared" si="65"/>
        <v>TCS</v>
      </c>
      <c r="F178" s="254">
        <f t="shared" si="66"/>
        <v>0.50251000000000001</v>
      </c>
      <c r="G178" s="254">
        <f t="shared" si="67"/>
        <v>0.53763000000000005</v>
      </c>
      <c r="H178" s="254">
        <f t="shared" si="68"/>
        <v>0.56496999999999997</v>
      </c>
      <c r="I178" s="254">
        <f t="shared" si="69"/>
        <v>0.59523999999999999</v>
      </c>
      <c r="J178" s="254">
        <f t="shared" si="70"/>
        <v>0.625</v>
      </c>
      <c r="M178" s="218" t="s">
        <v>43</v>
      </c>
      <c r="N178" s="218"/>
      <c r="O178" s="218" t="s">
        <v>46</v>
      </c>
      <c r="P178" s="109">
        <v>199</v>
      </c>
      <c r="Q178" s="109">
        <v>186</v>
      </c>
      <c r="R178" s="109">
        <v>177</v>
      </c>
      <c r="S178" s="109">
        <v>168</v>
      </c>
      <c r="T178" s="109">
        <v>160</v>
      </c>
      <c r="W178" s="119" t="s">
        <v>309</v>
      </c>
    </row>
    <row r="179" spans="2:23" x14ac:dyDescent="0.3">
      <c r="B179" s="216" t="s">
        <v>463</v>
      </c>
      <c r="C179" s="216" t="str">
        <f t="shared" si="64"/>
        <v>TCARBDL101P</v>
      </c>
      <c r="D179" s="221"/>
      <c r="E179" s="216" t="str">
        <f t="shared" si="65"/>
        <v>TCS-P</v>
      </c>
      <c r="F179" s="254">
        <f t="shared" si="66"/>
        <v>0.50251000000000001</v>
      </c>
      <c r="G179" s="254">
        <f t="shared" si="67"/>
        <v>0.53763000000000005</v>
      </c>
      <c r="H179" s="254">
        <f t="shared" si="68"/>
        <v>0.56496999999999997</v>
      </c>
      <c r="I179" s="254">
        <f t="shared" si="69"/>
        <v>0.59523999999999999</v>
      </c>
      <c r="J179" s="254">
        <f t="shared" si="70"/>
        <v>0.625</v>
      </c>
      <c r="M179" s="218" t="s">
        <v>589</v>
      </c>
      <c r="N179" s="218"/>
      <c r="O179" s="218" t="s">
        <v>472</v>
      </c>
      <c r="P179" s="109">
        <v>199</v>
      </c>
      <c r="Q179" s="109">
        <v>186</v>
      </c>
      <c r="R179" s="109">
        <v>177</v>
      </c>
      <c r="S179" s="109">
        <v>168</v>
      </c>
      <c r="T179" s="109">
        <v>160</v>
      </c>
      <c r="W179" s="119"/>
    </row>
    <row r="180" spans="2:23" x14ac:dyDescent="0.3">
      <c r="B180" s="216" t="s">
        <v>463</v>
      </c>
      <c r="C180" s="216" t="str">
        <f t="shared" si="64"/>
        <v>TCARBDL901</v>
      </c>
      <c r="D180" s="221"/>
      <c r="E180" s="216" t="str">
        <f t="shared" si="65"/>
        <v>TCS-C</v>
      </c>
      <c r="F180" s="254">
        <f t="shared" si="66"/>
        <v>0.50251000000000001</v>
      </c>
      <c r="G180" s="254">
        <f t="shared" si="67"/>
        <v>0.53763000000000005</v>
      </c>
      <c r="H180" s="254">
        <f t="shared" si="68"/>
        <v>0.56496999999999997</v>
      </c>
      <c r="I180" s="254">
        <f t="shared" si="69"/>
        <v>0.59523999999999999</v>
      </c>
      <c r="J180" s="254">
        <f t="shared" si="70"/>
        <v>0.625</v>
      </c>
      <c r="M180" s="218" t="s">
        <v>227</v>
      </c>
      <c r="N180" s="218"/>
      <c r="O180" s="218" t="s">
        <v>303</v>
      </c>
      <c r="P180" s="109">
        <v>199</v>
      </c>
      <c r="Q180" s="109">
        <v>186</v>
      </c>
      <c r="R180" s="109">
        <v>177</v>
      </c>
      <c r="S180" s="109">
        <v>168</v>
      </c>
      <c r="T180" s="109">
        <v>160</v>
      </c>
      <c r="W180" s="119"/>
    </row>
    <row r="181" spans="2:23" x14ac:dyDescent="0.3">
      <c r="B181" s="216" t="s">
        <v>463</v>
      </c>
      <c r="C181" s="216" t="str">
        <f t="shared" si="64"/>
        <v>TCARDST101</v>
      </c>
      <c r="D181" s="221"/>
      <c r="E181" s="216" t="str">
        <f t="shared" si="65"/>
        <v>TCS</v>
      </c>
      <c r="F181" s="254">
        <f t="shared" si="66"/>
        <v>0.50251000000000001</v>
      </c>
      <c r="G181" s="254">
        <f t="shared" si="67"/>
        <v>0.53763000000000005</v>
      </c>
      <c r="H181" s="254">
        <f t="shared" si="68"/>
        <v>0.56496999999999997</v>
      </c>
      <c r="I181" s="254">
        <f t="shared" si="69"/>
        <v>0.59523999999999999</v>
      </c>
      <c r="J181" s="254">
        <f t="shared" si="70"/>
        <v>0.625</v>
      </c>
      <c r="M181" s="218" t="s">
        <v>47</v>
      </c>
      <c r="N181" s="218"/>
      <c r="O181" s="218" t="s">
        <v>46</v>
      </c>
      <c r="P181" s="109">
        <v>199</v>
      </c>
      <c r="Q181" s="109">
        <v>186</v>
      </c>
      <c r="R181" s="109">
        <v>177</v>
      </c>
      <c r="S181" s="109">
        <v>168</v>
      </c>
      <c r="T181" s="109">
        <v>160</v>
      </c>
      <c r="W181" s="119" t="s">
        <v>309</v>
      </c>
    </row>
    <row r="182" spans="2:23" x14ac:dyDescent="0.3">
      <c r="B182" s="216" t="s">
        <v>463</v>
      </c>
      <c r="C182" s="216" t="str">
        <f t="shared" si="64"/>
        <v>TCARDST101P</v>
      </c>
      <c r="D182" s="221"/>
      <c r="E182" s="216" t="str">
        <f t="shared" si="65"/>
        <v>TCS-P</v>
      </c>
      <c r="F182" s="254">
        <f t="shared" si="66"/>
        <v>0.50251000000000001</v>
      </c>
      <c r="G182" s="254">
        <f t="shared" si="67"/>
        <v>0.53763000000000005</v>
      </c>
      <c r="H182" s="254">
        <f t="shared" si="68"/>
        <v>0.56496999999999997</v>
      </c>
      <c r="I182" s="254">
        <f t="shared" si="69"/>
        <v>0.59523999999999999</v>
      </c>
      <c r="J182" s="254">
        <f t="shared" si="70"/>
        <v>0.625</v>
      </c>
      <c r="M182" s="218" t="s">
        <v>578</v>
      </c>
      <c r="N182" s="218"/>
      <c r="O182" s="218" t="s">
        <v>472</v>
      </c>
      <c r="P182" s="109">
        <v>199</v>
      </c>
      <c r="Q182" s="109">
        <v>186</v>
      </c>
      <c r="R182" s="109">
        <v>177</v>
      </c>
      <c r="S182" s="109">
        <v>168</v>
      </c>
      <c r="T182" s="109">
        <v>160</v>
      </c>
      <c r="W182" s="119"/>
    </row>
    <row r="183" spans="2:23" x14ac:dyDescent="0.3">
      <c r="B183" s="216" t="s">
        <v>463</v>
      </c>
      <c r="C183" s="216" t="str">
        <f t="shared" si="64"/>
        <v>TCARDST901</v>
      </c>
      <c r="D183" s="221"/>
      <c r="E183" s="216" t="str">
        <f t="shared" si="65"/>
        <v>TCS-C</v>
      </c>
      <c r="F183" s="254">
        <f t="shared" si="66"/>
        <v>0.50251000000000001</v>
      </c>
      <c r="G183" s="254">
        <f t="shared" si="67"/>
        <v>0.53763000000000005</v>
      </c>
      <c r="H183" s="254">
        <f t="shared" si="68"/>
        <v>0.56496999999999997</v>
      </c>
      <c r="I183" s="254">
        <f t="shared" si="69"/>
        <v>0.59523999999999999</v>
      </c>
      <c r="J183" s="254">
        <f t="shared" si="70"/>
        <v>0.625</v>
      </c>
      <c r="M183" s="218" t="s">
        <v>228</v>
      </c>
      <c r="N183" s="218"/>
      <c r="O183" s="218" t="s">
        <v>303</v>
      </c>
      <c r="P183" s="109">
        <v>199</v>
      </c>
      <c r="Q183" s="109">
        <v>186</v>
      </c>
      <c r="R183" s="109">
        <v>177</v>
      </c>
      <c r="S183" s="109">
        <v>168</v>
      </c>
      <c r="T183" s="109">
        <v>160</v>
      </c>
      <c r="W183" s="119" t="s">
        <v>309</v>
      </c>
    </row>
    <row r="184" spans="2:23" x14ac:dyDescent="0.3">
      <c r="B184" s="216" t="s">
        <v>463</v>
      </c>
      <c r="C184" s="216" t="str">
        <f t="shared" si="64"/>
        <v>TCARELC101</v>
      </c>
      <c r="D184" s="221"/>
      <c r="E184" s="216" t="str">
        <f t="shared" si="65"/>
        <v>TCS</v>
      </c>
      <c r="F184" s="254">
        <f t="shared" si="66"/>
        <v>1.6129</v>
      </c>
      <c r="G184" s="254">
        <f t="shared" si="67"/>
        <v>1.6129</v>
      </c>
      <c r="H184" s="254">
        <f t="shared" si="68"/>
        <v>1.69492</v>
      </c>
      <c r="I184" s="254">
        <f t="shared" si="69"/>
        <v>1.7857099999999999</v>
      </c>
      <c r="J184" s="254">
        <f t="shared" si="70"/>
        <v>1.88679</v>
      </c>
      <c r="M184" s="218" t="s">
        <v>49</v>
      </c>
      <c r="N184" s="218"/>
      <c r="O184" s="218" t="s">
        <v>46</v>
      </c>
      <c r="P184" s="109">
        <v>62</v>
      </c>
      <c r="Q184" s="109">
        <v>62</v>
      </c>
      <c r="R184" s="109">
        <v>59</v>
      </c>
      <c r="S184" s="109">
        <v>56</v>
      </c>
      <c r="T184" s="109">
        <v>53</v>
      </c>
      <c r="W184" s="119" t="s">
        <v>309</v>
      </c>
    </row>
    <row r="185" spans="2:23" x14ac:dyDescent="0.3">
      <c r="B185" s="216" t="s">
        <v>463</v>
      </c>
      <c r="C185" s="216" t="str">
        <f t="shared" si="64"/>
        <v>TCARELC101P</v>
      </c>
      <c r="D185" s="221"/>
      <c r="E185" s="216" t="str">
        <f t="shared" si="65"/>
        <v>TCS-P</v>
      </c>
      <c r="F185" s="254">
        <f t="shared" si="66"/>
        <v>1.6129</v>
      </c>
      <c r="G185" s="254">
        <f t="shared" si="67"/>
        <v>1.6129</v>
      </c>
      <c r="H185" s="254">
        <f t="shared" si="68"/>
        <v>1.69492</v>
      </c>
      <c r="I185" s="254">
        <f t="shared" si="69"/>
        <v>1.7857099999999999</v>
      </c>
      <c r="J185" s="254">
        <f t="shared" si="70"/>
        <v>1.88679</v>
      </c>
      <c r="M185" s="218" t="s">
        <v>579</v>
      </c>
      <c r="N185" s="218"/>
      <c r="O185" s="218" t="s">
        <v>472</v>
      </c>
      <c r="P185" s="109">
        <v>62</v>
      </c>
      <c r="Q185" s="109">
        <v>62</v>
      </c>
      <c r="R185" s="109">
        <v>59</v>
      </c>
      <c r="S185" s="109">
        <v>56</v>
      </c>
      <c r="T185" s="109">
        <v>53</v>
      </c>
      <c r="W185" s="119"/>
    </row>
    <row r="186" spans="2:23" x14ac:dyDescent="0.3">
      <c r="B186" s="216" t="s">
        <v>463</v>
      </c>
      <c r="C186" s="216" t="str">
        <f t="shared" si="64"/>
        <v>TCARELC901</v>
      </c>
      <c r="D186" s="221"/>
      <c r="E186" s="216" t="str">
        <f t="shared" si="65"/>
        <v>TCS-C</v>
      </c>
      <c r="F186" s="254">
        <f t="shared" si="66"/>
        <v>1.6129</v>
      </c>
      <c r="G186" s="254">
        <f t="shared" si="67"/>
        <v>1.6129</v>
      </c>
      <c r="H186" s="254">
        <f t="shared" si="68"/>
        <v>1.69492</v>
      </c>
      <c r="I186" s="254">
        <f t="shared" si="69"/>
        <v>1.7857099999999999</v>
      </c>
      <c r="J186" s="254">
        <f t="shared" si="70"/>
        <v>1.88679</v>
      </c>
      <c r="M186" s="218" t="s">
        <v>230</v>
      </c>
      <c r="N186" s="218"/>
      <c r="O186" s="218" t="s">
        <v>303</v>
      </c>
      <c r="P186" s="109">
        <v>62</v>
      </c>
      <c r="Q186" s="109">
        <v>62</v>
      </c>
      <c r="R186" s="109">
        <v>59</v>
      </c>
      <c r="S186" s="109">
        <v>56</v>
      </c>
      <c r="T186" s="109">
        <v>53</v>
      </c>
      <c r="W186" s="119" t="s">
        <v>309</v>
      </c>
    </row>
    <row r="187" spans="2:23" x14ac:dyDescent="0.3">
      <c r="B187" s="216" t="s">
        <v>463</v>
      </c>
      <c r="C187" s="216" t="str">
        <f t="shared" si="64"/>
        <v>TCARETH101</v>
      </c>
      <c r="D187" s="221"/>
      <c r="E187" s="216" t="str">
        <f t="shared" si="65"/>
        <v>TCS</v>
      </c>
      <c r="F187" s="254">
        <f t="shared" si="66"/>
        <v>0.42553000000000002</v>
      </c>
      <c r="G187" s="254">
        <f t="shared" si="67"/>
        <v>0.45455000000000001</v>
      </c>
      <c r="H187" s="254">
        <f t="shared" si="68"/>
        <v>0.47847000000000001</v>
      </c>
      <c r="I187" s="254">
        <f t="shared" si="69"/>
        <v>0.50251000000000001</v>
      </c>
      <c r="J187" s="254">
        <f t="shared" si="70"/>
        <v>0.52910000000000001</v>
      </c>
      <c r="M187" s="218" t="s">
        <v>50</v>
      </c>
      <c r="N187" s="218"/>
      <c r="O187" s="218" t="s">
        <v>46</v>
      </c>
      <c r="P187" s="109">
        <v>235</v>
      </c>
      <c r="Q187" s="109">
        <v>220</v>
      </c>
      <c r="R187" s="109">
        <v>209</v>
      </c>
      <c r="S187" s="109">
        <v>199</v>
      </c>
      <c r="T187" s="109">
        <v>189</v>
      </c>
      <c r="W187" s="119" t="s">
        <v>309</v>
      </c>
    </row>
    <row r="188" spans="2:23" x14ac:dyDescent="0.3">
      <c r="B188" s="216" t="s">
        <v>463</v>
      </c>
      <c r="C188" s="216" t="str">
        <f t="shared" si="64"/>
        <v>TCARETH101P</v>
      </c>
      <c r="D188" s="221"/>
      <c r="E188" s="216" t="str">
        <f t="shared" si="65"/>
        <v>TCS-P</v>
      </c>
      <c r="F188" s="254">
        <f t="shared" si="66"/>
        <v>0.42553000000000002</v>
      </c>
      <c r="G188" s="254">
        <f t="shared" si="67"/>
        <v>0.45455000000000001</v>
      </c>
      <c r="H188" s="254">
        <f t="shared" si="68"/>
        <v>0.47847000000000001</v>
      </c>
      <c r="I188" s="254">
        <f t="shared" si="69"/>
        <v>0.50251000000000001</v>
      </c>
      <c r="J188" s="254">
        <f t="shared" si="70"/>
        <v>0.52910000000000001</v>
      </c>
      <c r="M188" s="218" t="s">
        <v>580</v>
      </c>
      <c r="N188" s="218"/>
      <c r="O188" s="218" t="s">
        <v>472</v>
      </c>
      <c r="P188" s="109">
        <v>235</v>
      </c>
      <c r="Q188" s="109">
        <v>220</v>
      </c>
      <c r="R188" s="109">
        <v>209</v>
      </c>
      <c r="S188" s="109">
        <v>199</v>
      </c>
      <c r="T188" s="109">
        <v>189</v>
      </c>
      <c r="W188" s="119"/>
    </row>
    <row r="189" spans="2:23" x14ac:dyDescent="0.3">
      <c r="B189" s="216" t="s">
        <v>463</v>
      </c>
      <c r="C189" s="216" t="str">
        <f t="shared" si="64"/>
        <v>TCARETH901</v>
      </c>
      <c r="D189" s="221"/>
      <c r="E189" s="216" t="str">
        <f t="shared" si="65"/>
        <v>TCS-C</v>
      </c>
      <c r="F189" s="254">
        <f t="shared" si="66"/>
        <v>0.42553000000000002</v>
      </c>
      <c r="G189" s="254">
        <f t="shared" si="67"/>
        <v>0.45455000000000001</v>
      </c>
      <c r="H189" s="254">
        <f t="shared" si="68"/>
        <v>0.47847000000000001</v>
      </c>
      <c r="I189" s="254">
        <f t="shared" si="69"/>
        <v>0.50251000000000001</v>
      </c>
      <c r="J189" s="254">
        <f t="shared" si="70"/>
        <v>0.52910000000000001</v>
      </c>
      <c r="M189" s="218" t="s">
        <v>232</v>
      </c>
      <c r="N189" s="218"/>
      <c r="O189" s="218" t="s">
        <v>303</v>
      </c>
      <c r="P189" s="109">
        <v>235</v>
      </c>
      <c r="Q189" s="109">
        <v>220</v>
      </c>
      <c r="R189" s="109">
        <v>209</v>
      </c>
      <c r="S189" s="109">
        <v>199</v>
      </c>
      <c r="T189" s="109">
        <v>189</v>
      </c>
      <c r="W189" s="119" t="s">
        <v>309</v>
      </c>
    </row>
    <row r="190" spans="2:23" x14ac:dyDescent="0.3">
      <c r="B190" s="216" t="s">
        <v>463</v>
      </c>
      <c r="C190" s="216" t="str">
        <f t="shared" si="64"/>
        <v>TCARGAS101</v>
      </c>
      <c r="D190" s="221"/>
      <c r="E190" s="216" t="str">
        <f t="shared" si="65"/>
        <v>TCS</v>
      </c>
      <c r="F190" s="254">
        <f t="shared" si="66"/>
        <v>0.42553000000000002</v>
      </c>
      <c r="G190" s="254">
        <f t="shared" si="67"/>
        <v>0.45455000000000001</v>
      </c>
      <c r="H190" s="254">
        <f t="shared" si="68"/>
        <v>0.47847000000000001</v>
      </c>
      <c r="I190" s="254">
        <f t="shared" si="69"/>
        <v>0.50251000000000001</v>
      </c>
      <c r="J190" s="254">
        <f t="shared" si="70"/>
        <v>0.52910000000000001</v>
      </c>
      <c r="M190" s="218" t="s">
        <v>52</v>
      </c>
      <c r="N190" s="218"/>
      <c r="O190" s="218" t="s">
        <v>46</v>
      </c>
      <c r="P190" s="109">
        <v>235</v>
      </c>
      <c r="Q190" s="109">
        <v>220</v>
      </c>
      <c r="R190" s="109">
        <v>209</v>
      </c>
      <c r="S190" s="109">
        <v>199</v>
      </c>
      <c r="T190" s="109">
        <v>189</v>
      </c>
      <c r="W190" s="119" t="s">
        <v>309</v>
      </c>
    </row>
    <row r="191" spans="2:23" x14ac:dyDescent="0.3">
      <c r="B191" s="216" t="s">
        <v>463</v>
      </c>
      <c r="C191" s="216" t="str">
        <f t="shared" si="64"/>
        <v>TCARGAS101P</v>
      </c>
      <c r="D191" s="221"/>
      <c r="E191" s="216" t="str">
        <f t="shared" si="65"/>
        <v>TCS-P</v>
      </c>
      <c r="F191" s="254">
        <f t="shared" si="66"/>
        <v>0.42553000000000002</v>
      </c>
      <c r="G191" s="254">
        <f t="shared" si="67"/>
        <v>0.45455000000000001</v>
      </c>
      <c r="H191" s="254">
        <f t="shared" si="68"/>
        <v>0.47847000000000001</v>
      </c>
      <c r="I191" s="254">
        <f t="shared" si="69"/>
        <v>0.50251000000000001</v>
      </c>
      <c r="J191" s="254">
        <f t="shared" si="70"/>
        <v>0.52910000000000001</v>
      </c>
      <c r="M191" s="218" t="s">
        <v>581</v>
      </c>
      <c r="N191" s="218"/>
      <c r="O191" s="218" t="s">
        <v>472</v>
      </c>
      <c r="P191" s="109">
        <v>235</v>
      </c>
      <c r="Q191" s="109">
        <v>220</v>
      </c>
      <c r="R191" s="109">
        <v>209</v>
      </c>
      <c r="S191" s="109">
        <v>199</v>
      </c>
      <c r="T191" s="109">
        <v>189</v>
      </c>
      <c r="W191" s="119"/>
    </row>
    <row r="192" spans="2:23" x14ac:dyDescent="0.3">
      <c r="B192" s="216" t="s">
        <v>463</v>
      </c>
      <c r="C192" s="216" t="str">
        <f t="shared" si="64"/>
        <v>TCARGAS901</v>
      </c>
      <c r="D192" s="221"/>
      <c r="E192" s="216" t="str">
        <f t="shared" si="65"/>
        <v>TCS-C</v>
      </c>
      <c r="F192" s="254">
        <f t="shared" si="66"/>
        <v>0.42553000000000002</v>
      </c>
      <c r="G192" s="254">
        <f t="shared" si="67"/>
        <v>0.45455000000000001</v>
      </c>
      <c r="H192" s="254">
        <f t="shared" si="68"/>
        <v>0.47847000000000001</v>
      </c>
      <c r="I192" s="254">
        <f t="shared" si="69"/>
        <v>0.50251000000000001</v>
      </c>
      <c r="J192" s="254">
        <f t="shared" si="70"/>
        <v>0.52910000000000001</v>
      </c>
      <c r="M192" s="218" t="s">
        <v>234</v>
      </c>
      <c r="N192" s="218"/>
      <c r="O192" s="218" t="s">
        <v>303</v>
      </c>
      <c r="P192" s="109">
        <v>235</v>
      </c>
      <c r="Q192" s="109">
        <v>220</v>
      </c>
      <c r="R192" s="109">
        <v>209</v>
      </c>
      <c r="S192" s="109">
        <v>199</v>
      </c>
      <c r="T192" s="109">
        <v>189</v>
      </c>
      <c r="W192" s="119" t="s">
        <v>309</v>
      </c>
    </row>
    <row r="193" spans="2:23" x14ac:dyDescent="0.3">
      <c r="B193" s="216" t="s">
        <v>463</v>
      </c>
      <c r="C193" s="216" t="str">
        <f t="shared" si="64"/>
        <v>TCARGSL101</v>
      </c>
      <c r="D193" s="221"/>
      <c r="E193" s="216" t="str">
        <f t="shared" si="65"/>
        <v>TCS</v>
      </c>
      <c r="F193" s="254">
        <f t="shared" si="66"/>
        <v>0.42553000000000002</v>
      </c>
      <c r="G193" s="254">
        <f t="shared" si="67"/>
        <v>0.45455000000000001</v>
      </c>
      <c r="H193" s="254">
        <f t="shared" si="68"/>
        <v>0.47847000000000001</v>
      </c>
      <c r="I193" s="254">
        <f t="shared" si="69"/>
        <v>0.50251000000000001</v>
      </c>
      <c r="J193" s="254">
        <f t="shared" si="70"/>
        <v>0.52910000000000001</v>
      </c>
      <c r="M193" s="218" t="s">
        <v>55</v>
      </c>
      <c r="N193" s="218"/>
      <c r="O193" s="218" t="s">
        <v>46</v>
      </c>
      <c r="P193" s="109">
        <v>235</v>
      </c>
      <c r="Q193" s="109">
        <v>220</v>
      </c>
      <c r="R193" s="109">
        <v>209</v>
      </c>
      <c r="S193" s="109">
        <v>199</v>
      </c>
      <c r="T193" s="109">
        <v>189</v>
      </c>
      <c r="W193" s="119" t="s">
        <v>310</v>
      </c>
    </row>
    <row r="194" spans="2:23" x14ac:dyDescent="0.3">
      <c r="B194" s="216" t="s">
        <v>463</v>
      </c>
      <c r="C194" s="216" t="str">
        <f t="shared" ref="C194:C225" si="76">M194</f>
        <v>TCARGSL101P</v>
      </c>
      <c r="D194" s="221"/>
      <c r="E194" s="216" t="str">
        <f t="shared" ref="E194:E225" si="77">O194</f>
        <v>TCS-P</v>
      </c>
      <c r="F194" s="254">
        <f t="shared" si="66"/>
        <v>0.42553000000000002</v>
      </c>
      <c r="G194" s="254">
        <f t="shared" si="67"/>
        <v>0.45455000000000001</v>
      </c>
      <c r="H194" s="254">
        <f t="shared" si="68"/>
        <v>0.47847000000000001</v>
      </c>
      <c r="I194" s="254">
        <f t="shared" si="69"/>
        <v>0.50251000000000001</v>
      </c>
      <c r="J194" s="254">
        <f t="shared" si="70"/>
        <v>0.52910000000000001</v>
      </c>
      <c r="M194" s="218" t="s">
        <v>582</v>
      </c>
      <c r="N194" s="218"/>
      <c r="O194" s="218" t="s">
        <v>472</v>
      </c>
      <c r="P194" s="109">
        <v>235</v>
      </c>
      <c r="Q194" s="109">
        <v>220</v>
      </c>
      <c r="R194" s="109">
        <v>209</v>
      </c>
      <c r="S194" s="109">
        <v>199</v>
      </c>
      <c r="T194" s="109">
        <v>189</v>
      </c>
      <c r="W194" s="119"/>
    </row>
    <row r="195" spans="2:23" x14ac:dyDescent="0.3">
      <c r="B195" s="216" t="s">
        <v>463</v>
      </c>
      <c r="C195" s="216" t="str">
        <f t="shared" si="76"/>
        <v>TCARGSL901</v>
      </c>
      <c r="D195" s="221"/>
      <c r="E195" s="216" t="str">
        <f t="shared" si="77"/>
        <v>TCS-C</v>
      </c>
      <c r="F195" s="254">
        <f t="shared" si="66"/>
        <v>0.42553000000000002</v>
      </c>
      <c r="G195" s="254">
        <f t="shared" si="67"/>
        <v>0.45455000000000001</v>
      </c>
      <c r="H195" s="254">
        <f t="shared" si="68"/>
        <v>0.47847000000000001</v>
      </c>
      <c r="I195" s="254">
        <f t="shared" si="69"/>
        <v>0.50251000000000001</v>
      </c>
      <c r="J195" s="254">
        <f t="shared" si="70"/>
        <v>0.52910000000000001</v>
      </c>
      <c r="M195" s="218" t="s">
        <v>236</v>
      </c>
      <c r="N195" s="218"/>
      <c r="O195" s="218" t="s">
        <v>303</v>
      </c>
      <c r="P195" s="109">
        <v>235</v>
      </c>
      <c r="Q195" s="109">
        <v>220</v>
      </c>
      <c r="R195" s="109">
        <v>209</v>
      </c>
      <c r="S195" s="109">
        <v>199</v>
      </c>
      <c r="T195" s="109">
        <v>189</v>
      </c>
      <c r="W195" s="119"/>
    </row>
    <row r="196" spans="2:23" x14ac:dyDescent="0.3">
      <c r="B196" s="216" t="s">
        <v>463</v>
      </c>
      <c r="C196" s="216" t="str">
        <f t="shared" si="76"/>
        <v>TCARHFC101</v>
      </c>
      <c r="D196" s="221"/>
      <c r="E196" s="216" t="str">
        <f t="shared" si="77"/>
        <v>TCS</v>
      </c>
      <c r="F196" s="254">
        <f t="shared" si="66"/>
        <v>0.80645</v>
      </c>
      <c r="G196" s="254">
        <f t="shared" si="67"/>
        <v>0.80645</v>
      </c>
      <c r="H196" s="254">
        <f t="shared" si="68"/>
        <v>0.89285999999999999</v>
      </c>
      <c r="I196" s="254">
        <f t="shared" si="69"/>
        <v>0.99009999999999998</v>
      </c>
      <c r="J196" s="254">
        <f t="shared" si="70"/>
        <v>1.0989</v>
      </c>
      <c r="M196" s="218" t="s">
        <v>56</v>
      </c>
      <c r="N196" s="218"/>
      <c r="O196" s="218" t="s">
        <v>46</v>
      </c>
      <c r="P196" s="109">
        <v>124</v>
      </c>
      <c r="Q196" s="109">
        <v>124</v>
      </c>
      <c r="R196" s="109">
        <v>112</v>
      </c>
      <c r="S196" s="109">
        <v>101</v>
      </c>
      <c r="T196" s="109">
        <v>91</v>
      </c>
      <c r="W196" s="119"/>
    </row>
    <row r="197" spans="2:23" x14ac:dyDescent="0.3">
      <c r="B197" s="216" t="s">
        <v>463</v>
      </c>
      <c r="C197" s="216" t="str">
        <f t="shared" si="76"/>
        <v>TCARHFC101P</v>
      </c>
      <c r="D197" s="221"/>
      <c r="E197" s="216" t="str">
        <f t="shared" si="77"/>
        <v>TCS-P</v>
      </c>
      <c r="F197" s="254">
        <f t="shared" si="66"/>
        <v>0.80645</v>
      </c>
      <c r="G197" s="254">
        <f t="shared" si="67"/>
        <v>0.80645</v>
      </c>
      <c r="H197" s="254">
        <f t="shared" si="68"/>
        <v>0.89285999999999999</v>
      </c>
      <c r="I197" s="254">
        <f t="shared" si="69"/>
        <v>0.99009999999999998</v>
      </c>
      <c r="J197" s="254">
        <f t="shared" si="70"/>
        <v>1.0989</v>
      </c>
      <c r="M197" s="218" t="s">
        <v>583</v>
      </c>
      <c r="N197" s="218"/>
      <c r="O197" s="218" t="s">
        <v>472</v>
      </c>
      <c r="P197" s="109">
        <v>124</v>
      </c>
      <c r="Q197" s="109">
        <v>124</v>
      </c>
      <c r="R197" s="109">
        <v>112</v>
      </c>
      <c r="S197" s="109">
        <v>101</v>
      </c>
      <c r="T197" s="109">
        <v>91</v>
      </c>
      <c r="W197" s="119"/>
    </row>
    <row r="198" spans="2:23" x14ac:dyDescent="0.3">
      <c r="B198" s="216" t="s">
        <v>463</v>
      </c>
      <c r="C198" s="216" t="str">
        <f t="shared" si="76"/>
        <v>TCARHFC901</v>
      </c>
      <c r="D198" s="221"/>
      <c r="E198" s="216" t="str">
        <f t="shared" si="77"/>
        <v>TCS-C</v>
      </c>
      <c r="F198" s="254">
        <f t="shared" si="66"/>
        <v>0.80645</v>
      </c>
      <c r="G198" s="254">
        <f t="shared" si="67"/>
        <v>0.80645</v>
      </c>
      <c r="H198" s="254">
        <f t="shared" si="68"/>
        <v>0.89285999999999999</v>
      </c>
      <c r="I198" s="254">
        <f t="shared" si="69"/>
        <v>0.99009999999999998</v>
      </c>
      <c r="J198" s="254">
        <f t="shared" si="70"/>
        <v>1.0989</v>
      </c>
      <c r="M198" s="218" t="s">
        <v>238</v>
      </c>
      <c r="N198" s="218"/>
      <c r="O198" s="218" t="s">
        <v>303</v>
      </c>
      <c r="P198" s="109">
        <v>124</v>
      </c>
      <c r="Q198" s="109">
        <v>124</v>
      </c>
      <c r="R198" s="109">
        <v>112</v>
      </c>
      <c r="S198" s="109">
        <v>101</v>
      </c>
      <c r="T198" s="109">
        <v>91</v>
      </c>
      <c r="W198" s="119"/>
    </row>
    <row r="199" spans="2:23" x14ac:dyDescent="0.3">
      <c r="B199" s="216" t="s">
        <v>463</v>
      </c>
      <c r="C199" s="216" t="str">
        <f t="shared" si="76"/>
        <v>TCARHYD101</v>
      </c>
      <c r="D199" s="221"/>
      <c r="E199" s="216" t="str">
        <f t="shared" si="77"/>
        <v>TCS</v>
      </c>
      <c r="F199" s="254">
        <f t="shared" si="66"/>
        <v>0.62112000000000001</v>
      </c>
      <c r="G199" s="254">
        <f t="shared" si="67"/>
        <v>0.65788999999999997</v>
      </c>
      <c r="H199" s="254">
        <f t="shared" si="68"/>
        <v>0.72992999999999997</v>
      </c>
      <c r="I199" s="254">
        <f t="shared" si="69"/>
        <v>0.80645</v>
      </c>
      <c r="J199" s="254">
        <f t="shared" si="70"/>
        <v>0.89285999999999999</v>
      </c>
      <c r="M199" s="218" t="s">
        <v>58</v>
      </c>
      <c r="N199" s="218"/>
      <c r="O199" s="218" t="s">
        <v>46</v>
      </c>
      <c r="P199" s="109">
        <v>161</v>
      </c>
      <c r="Q199" s="109">
        <v>152</v>
      </c>
      <c r="R199" s="109">
        <v>137</v>
      </c>
      <c r="S199" s="109">
        <v>124</v>
      </c>
      <c r="T199" s="109">
        <v>112</v>
      </c>
      <c r="W199" s="119"/>
    </row>
    <row r="200" spans="2:23" x14ac:dyDescent="0.3">
      <c r="B200" s="216" t="s">
        <v>463</v>
      </c>
      <c r="C200" s="216" t="str">
        <f t="shared" si="76"/>
        <v>TCARHYD101P</v>
      </c>
      <c r="D200" s="221"/>
      <c r="E200" s="216" t="str">
        <f t="shared" si="77"/>
        <v>TCS-P</v>
      </c>
      <c r="F200" s="254">
        <f t="shared" si="66"/>
        <v>0.62112000000000001</v>
      </c>
      <c r="G200" s="254">
        <f t="shared" si="67"/>
        <v>0.65788999999999997</v>
      </c>
      <c r="H200" s="254">
        <f t="shared" si="68"/>
        <v>0.72992999999999997</v>
      </c>
      <c r="I200" s="254">
        <f t="shared" si="69"/>
        <v>0.80645</v>
      </c>
      <c r="J200" s="254">
        <f t="shared" si="70"/>
        <v>0.89285999999999999</v>
      </c>
      <c r="M200" s="218" t="s">
        <v>584</v>
      </c>
      <c r="N200" s="218"/>
      <c r="O200" s="218" t="s">
        <v>472</v>
      </c>
      <c r="P200" s="109">
        <v>161</v>
      </c>
      <c r="Q200" s="109">
        <v>152</v>
      </c>
      <c r="R200" s="109">
        <v>137</v>
      </c>
      <c r="S200" s="109">
        <v>124</v>
      </c>
      <c r="T200" s="109">
        <v>112</v>
      </c>
      <c r="W200" s="119"/>
    </row>
    <row r="201" spans="2:23" x14ac:dyDescent="0.3">
      <c r="B201" s="216" t="s">
        <v>463</v>
      </c>
      <c r="C201" s="216" t="str">
        <f t="shared" si="76"/>
        <v>TCARHYD901</v>
      </c>
      <c r="D201" s="221"/>
      <c r="E201" s="216" t="str">
        <f t="shared" si="77"/>
        <v>TCS-C</v>
      </c>
      <c r="F201" s="254">
        <f t="shared" si="66"/>
        <v>0.62112000000000001</v>
      </c>
      <c r="G201" s="254">
        <f t="shared" si="67"/>
        <v>0.65788999999999997</v>
      </c>
      <c r="H201" s="254">
        <f t="shared" si="68"/>
        <v>0.72992999999999997</v>
      </c>
      <c r="I201" s="254">
        <f t="shared" si="69"/>
        <v>0.80645</v>
      </c>
      <c r="J201" s="254">
        <f t="shared" si="70"/>
        <v>0.89285999999999999</v>
      </c>
      <c r="M201" s="218" t="s">
        <v>240</v>
      </c>
      <c r="N201" s="218"/>
      <c r="O201" s="218" t="s">
        <v>303</v>
      </c>
      <c r="P201" s="109">
        <v>161</v>
      </c>
      <c r="Q201" s="109">
        <v>152</v>
      </c>
      <c r="R201" s="109">
        <v>137</v>
      </c>
      <c r="S201" s="109">
        <v>124</v>
      </c>
      <c r="T201" s="109">
        <v>112</v>
      </c>
      <c r="W201" s="119"/>
    </row>
    <row r="202" spans="2:23" x14ac:dyDescent="0.3">
      <c r="B202" s="216" t="s">
        <v>463</v>
      </c>
      <c r="C202" s="216" t="str">
        <f t="shared" si="76"/>
        <v>TCARHYG101</v>
      </c>
      <c r="D202" s="221"/>
      <c r="E202" s="216" t="str">
        <f t="shared" si="77"/>
        <v>TCS</v>
      </c>
      <c r="F202" s="254">
        <f t="shared" si="66"/>
        <v>0.52356000000000003</v>
      </c>
      <c r="G202" s="254">
        <f t="shared" si="67"/>
        <v>0.55249000000000004</v>
      </c>
      <c r="H202" s="254">
        <f t="shared" si="68"/>
        <v>0.61350000000000005</v>
      </c>
      <c r="I202" s="254">
        <f t="shared" si="69"/>
        <v>0.68027000000000004</v>
      </c>
      <c r="J202" s="254">
        <f t="shared" si="70"/>
        <v>0.75187999999999999</v>
      </c>
      <c r="M202" s="218" t="s">
        <v>59</v>
      </c>
      <c r="N202" s="218"/>
      <c r="O202" s="218" t="s">
        <v>46</v>
      </c>
      <c r="P202" s="109">
        <v>191</v>
      </c>
      <c r="Q202" s="109">
        <v>181</v>
      </c>
      <c r="R202" s="109">
        <v>163</v>
      </c>
      <c r="S202" s="109">
        <v>147</v>
      </c>
      <c r="T202" s="109">
        <v>133</v>
      </c>
      <c r="W202" s="119"/>
    </row>
    <row r="203" spans="2:23" x14ac:dyDescent="0.3">
      <c r="B203" s="216" t="s">
        <v>463</v>
      </c>
      <c r="C203" s="216" t="str">
        <f t="shared" si="76"/>
        <v>TCARHYG101P</v>
      </c>
      <c r="D203" s="221"/>
      <c r="E203" s="216" t="str">
        <f t="shared" si="77"/>
        <v>TCS-P</v>
      </c>
      <c r="F203" s="254">
        <f t="shared" si="66"/>
        <v>0.52356000000000003</v>
      </c>
      <c r="G203" s="254">
        <f t="shared" si="67"/>
        <v>0.55249000000000004</v>
      </c>
      <c r="H203" s="254">
        <f t="shared" si="68"/>
        <v>0.61350000000000005</v>
      </c>
      <c r="I203" s="254">
        <f t="shared" si="69"/>
        <v>0.68027000000000004</v>
      </c>
      <c r="J203" s="254">
        <f t="shared" si="70"/>
        <v>0.75187999999999999</v>
      </c>
      <c r="M203" s="218" t="s">
        <v>585</v>
      </c>
      <c r="N203" s="218"/>
      <c r="O203" s="218" t="s">
        <v>472</v>
      </c>
      <c r="P203" s="109">
        <v>191</v>
      </c>
      <c r="Q203" s="109">
        <v>181</v>
      </c>
      <c r="R203" s="109">
        <v>163</v>
      </c>
      <c r="S203" s="109">
        <v>147</v>
      </c>
      <c r="T203" s="109">
        <v>133</v>
      </c>
      <c r="W203" s="119"/>
    </row>
    <row r="204" spans="2:23" x14ac:dyDescent="0.3">
      <c r="B204" s="216" t="s">
        <v>463</v>
      </c>
      <c r="C204" s="216" t="str">
        <f t="shared" si="76"/>
        <v>TCARHYG901</v>
      </c>
      <c r="D204" s="221"/>
      <c r="E204" s="216" t="str">
        <f t="shared" si="77"/>
        <v>TCS-C</v>
      </c>
      <c r="F204" s="254">
        <f t="shared" si="66"/>
        <v>0.52356000000000003</v>
      </c>
      <c r="G204" s="254">
        <f t="shared" si="67"/>
        <v>0.55249000000000004</v>
      </c>
      <c r="H204" s="254">
        <f t="shared" si="68"/>
        <v>0.61350000000000005</v>
      </c>
      <c r="I204" s="254">
        <f t="shared" si="69"/>
        <v>0.68027000000000004</v>
      </c>
      <c r="J204" s="254">
        <f t="shared" si="70"/>
        <v>0.75187999999999999</v>
      </c>
      <c r="M204" s="218" t="s">
        <v>242</v>
      </c>
      <c r="N204" s="218"/>
      <c r="O204" s="218" t="s">
        <v>303</v>
      </c>
      <c r="P204" s="109">
        <v>191</v>
      </c>
      <c r="Q204" s="109">
        <v>181</v>
      </c>
      <c r="R204" s="109">
        <v>163</v>
      </c>
      <c r="S204" s="109">
        <v>147</v>
      </c>
      <c r="T204" s="109">
        <v>133</v>
      </c>
      <c r="W204" s="119"/>
    </row>
    <row r="205" spans="2:23" x14ac:dyDescent="0.3">
      <c r="B205" s="216" t="s">
        <v>463</v>
      </c>
      <c r="C205" s="216" t="str">
        <f t="shared" si="76"/>
        <v>TCARLPG101</v>
      </c>
      <c r="D205" s="221"/>
      <c r="E205" s="216" t="str">
        <f t="shared" si="77"/>
        <v>TCS</v>
      </c>
      <c r="F205" s="254">
        <f t="shared" si="66"/>
        <v>0.42553000000000002</v>
      </c>
      <c r="G205" s="254">
        <f t="shared" si="67"/>
        <v>0.45455000000000001</v>
      </c>
      <c r="H205" s="254">
        <f t="shared" si="68"/>
        <v>0.47847000000000001</v>
      </c>
      <c r="I205" s="254">
        <f t="shared" si="69"/>
        <v>0.50251000000000001</v>
      </c>
      <c r="J205" s="254">
        <f t="shared" si="70"/>
        <v>0.52910000000000001</v>
      </c>
      <c r="M205" s="218" t="s">
        <v>60</v>
      </c>
      <c r="N205" s="218"/>
      <c r="O205" s="218" t="s">
        <v>46</v>
      </c>
      <c r="P205" s="109">
        <v>235</v>
      </c>
      <c r="Q205" s="109">
        <v>220</v>
      </c>
      <c r="R205" s="109">
        <v>209</v>
      </c>
      <c r="S205" s="109">
        <v>199</v>
      </c>
      <c r="T205" s="109">
        <v>189</v>
      </c>
      <c r="W205" s="119"/>
    </row>
    <row r="206" spans="2:23" x14ac:dyDescent="0.3">
      <c r="B206" s="216" t="s">
        <v>463</v>
      </c>
      <c r="C206" s="216" t="str">
        <f t="shared" si="76"/>
        <v>TCARLPG101P</v>
      </c>
      <c r="D206" s="221"/>
      <c r="E206" s="216" t="str">
        <f t="shared" si="77"/>
        <v>TCS-P</v>
      </c>
      <c r="F206" s="254">
        <f t="shared" si="66"/>
        <v>0.42553000000000002</v>
      </c>
      <c r="G206" s="254">
        <f t="shared" si="67"/>
        <v>0.45455000000000001</v>
      </c>
      <c r="H206" s="254">
        <f t="shared" si="68"/>
        <v>0.47847000000000001</v>
      </c>
      <c r="I206" s="254">
        <f t="shared" si="69"/>
        <v>0.50251000000000001</v>
      </c>
      <c r="J206" s="254">
        <f t="shared" si="70"/>
        <v>0.52910000000000001</v>
      </c>
      <c r="M206" s="218" t="s">
        <v>586</v>
      </c>
      <c r="N206" s="218"/>
      <c r="O206" s="218" t="s">
        <v>472</v>
      </c>
      <c r="P206" s="109">
        <v>235</v>
      </c>
      <c r="Q206" s="109">
        <v>220</v>
      </c>
      <c r="R206" s="109">
        <v>209</v>
      </c>
      <c r="S206" s="109">
        <v>199</v>
      </c>
      <c r="T206" s="109">
        <v>189</v>
      </c>
      <c r="W206" s="119"/>
    </row>
    <row r="207" spans="2:23" x14ac:dyDescent="0.3">
      <c r="B207" s="216" t="s">
        <v>463</v>
      </c>
      <c r="C207" s="216" t="str">
        <f t="shared" si="76"/>
        <v>TCARLPG901</v>
      </c>
      <c r="D207" s="221"/>
      <c r="E207" s="216" t="str">
        <f t="shared" si="77"/>
        <v>TCS-C</v>
      </c>
      <c r="F207" s="254">
        <f t="shared" si="66"/>
        <v>0.42553000000000002</v>
      </c>
      <c r="G207" s="254">
        <f t="shared" si="67"/>
        <v>0.45455000000000001</v>
      </c>
      <c r="H207" s="254">
        <f t="shared" si="68"/>
        <v>0.47847000000000001</v>
      </c>
      <c r="I207" s="254">
        <f t="shared" si="69"/>
        <v>0.50251000000000001</v>
      </c>
      <c r="J207" s="254">
        <f t="shared" si="70"/>
        <v>0.52910000000000001</v>
      </c>
      <c r="M207" s="218" t="s">
        <v>244</v>
      </c>
      <c r="N207" s="218"/>
      <c r="O207" s="218" t="s">
        <v>303</v>
      </c>
      <c r="P207" s="109">
        <v>235</v>
      </c>
      <c r="Q207" s="109">
        <v>220</v>
      </c>
      <c r="R207" s="109">
        <v>209</v>
      </c>
      <c r="S207" s="109">
        <v>199</v>
      </c>
      <c r="T207" s="109">
        <v>189</v>
      </c>
      <c r="W207" s="119"/>
    </row>
    <row r="208" spans="2:23" x14ac:dyDescent="0.3">
      <c r="B208" s="216" t="s">
        <v>463</v>
      </c>
      <c r="C208" s="216" t="str">
        <f t="shared" si="76"/>
        <v>TCARMTH101</v>
      </c>
      <c r="D208" s="221"/>
      <c r="E208" s="216" t="str">
        <f t="shared" si="77"/>
        <v>TCS</v>
      </c>
      <c r="F208" s="254">
        <f t="shared" si="66"/>
        <v>0.42553000000000002</v>
      </c>
      <c r="G208" s="254">
        <f t="shared" si="67"/>
        <v>0.45455000000000001</v>
      </c>
      <c r="H208" s="254">
        <f t="shared" si="68"/>
        <v>0.47847000000000001</v>
      </c>
      <c r="I208" s="254">
        <f t="shared" si="69"/>
        <v>0.50251000000000001</v>
      </c>
      <c r="J208" s="254">
        <f t="shared" si="70"/>
        <v>0.52910000000000001</v>
      </c>
      <c r="M208" s="218" t="s">
        <v>601</v>
      </c>
      <c r="N208" s="218"/>
      <c r="O208" s="218" t="s">
        <v>46</v>
      </c>
      <c r="P208" s="109">
        <v>235</v>
      </c>
      <c r="Q208" s="109">
        <v>220</v>
      </c>
      <c r="R208" s="109">
        <v>209</v>
      </c>
      <c r="S208" s="109">
        <v>199</v>
      </c>
      <c r="T208" s="109">
        <v>189</v>
      </c>
      <c r="W208" s="119"/>
    </row>
    <row r="209" spans="2:23" x14ac:dyDescent="0.3">
      <c r="B209" s="216" t="s">
        <v>463</v>
      </c>
      <c r="C209" s="216" t="str">
        <f t="shared" si="76"/>
        <v>TCARMTH101P</v>
      </c>
      <c r="D209" s="221"/>
      <c r="E209" s="216" t="str">
        <f t="shared" si="77"/>
        <v>TCS-P</v>
      </c>
      <c r="F209" s="254">
        <f t="shared" si="66"/>
        <v>0.42553000000000002</v>
      </c>
      <c r="G209" s="254">
        <f t="shared" si="67"/>
        <v>0.45455000000000001</v>
      </c>
      <c r="H209" s="254">
        <f t="shared" si="68"/>
        <v>0.47847000000000001</v>
      </c>
      <c r="I209" s="254">
        <f t="shared" si="69"/>
        <v>0.50251000000000001</v>
      </c>
      <c r="J209" s="254">
        <f t="shared" si="70"/>
        <v>0.52910000000000001</v>
      </c>
      <c r="M209" s="218" t="s">
        <v>604</v>
      </c>
      <c r="N209" s="218"/>
      <c r="O209" s="218" t="s">
        <v>472</v>
      </c>
      <c r="P209" s="109">
        <v>235</v>
      </c>
      <c r="Q209" s="109">
        <v>220</v>
      </c>
      <c r="R209" s="109">
        <v>209</v>
      </c>
      <c r="S209" s="109">
        <v>199</v>
      </c>
      <c r="T209" s="109">
        <v>189</v>
      </c>
      <c r="W209" s="119"/>
    </row>
    <row r="210" spans="2:23" x14ac:dyDescent="0.3">
      <c r="B210" s="216" t="s">
        <v>463</v>
      </c>
      <c r="C210" s="216" t="str">
        <f t="shared" si="76"/>
        <v>TCARMTH901</v>
      </c>
      <c r="D210" s="221"/>
      <c r="E210" s="216" t="str">
        <f t="shared" si="77"/>
        <v>TCS-C</v>
      </c>
      <c r="F210" s="254">
        <f t="shared" si="66"/>
        <v>0.42553000000000002</v>
      </c>
      <c r="G210" s="254">
        <f t="shared" si="67"/>
        <v>0.45455000000000001</v>
      </c>
      <c r="H210" s="254">
        <f t="shared" si="68"/>
        <v>0.47847000000000001</v>
      </c>
      <c r="I210" s="254">
        <f t="shared" si="69"/>
        <v>0.50251000000000001</v>
      </c>
      <c r="J210" s="254">
        <f t="shared" si="70"/>
        <v>0.52910000000000001</v>
      </c>
      <c r="M210" s="218" t="s">
        <v>602</v>
      </c>
      <c r="N210" s="218"/>
      <c r="O210" s="218" t="s">
        <v>303</v>
      </c>
      <c r="P210" s="109">
        <v>235</v>
      </c>
      <c r="Q210" s="109">
        <v>220</v>
      </c>
      <c r="R210" s="109">
        <v>209</v>
      </c>
      <c r="S210" s="109">
        <v>199</v>
      </c>
      <c r="T210" s="109">
        <v>189</v>
      </c>
      <c r="W210" s="119"/>
    </row>
    <row r="211" spans="2:23" x14ac:dyDescent="0.3">
      <c r="B211" s="216" t="s">
        <v>463</v>
      </c>
      <c r="C211" s="216" t="str">
        <f t="shared" si="76"/>
        <v>TCARPYD101</v>
      </c>
      <c r="D211" s="221"/>
      <c r="E211" s="216" t="str">
        <f t="shared" si="77"/>
        <v>TCS</v>
      </c>
      <c r="F211" s="254">
        <f t="shared" si="66"/>
        <v>1.0869599999999999</v>
      </c>
      <c r="G211" s="254">
        <f t="shared" si="67"/>
        <v>1.0638300000000001</v>
      </c>
      <c r="H211" s="254">
        <f t="shared" si="68"/>
        <v>1.13636</v>
      </c>
      <c r="I211" s="254">
        <f t="shared" si="69"/>
        <v>1.2195100000000001</v>
      </c>
      <c r="J211" s="254">
        <f t="shared" si="70"/>
        <v>1.31579</v>
      </c>
      <c r="M211" s="218" t="s">
        <v>63</v>
      </c>
      <c r="N211" s="218"/>
      <c r="O211" s="218" t="s">
        <v>46</v>
      </c>
      <c r="P211" s="109">
        <v>92</v>
      </c>
      <c r="Q211" s="109">
        <v>94</v>
      </c>
      <c r="R211" s="109">
        <v>88</v>
      </c>
      <c r="S211" s="109">
        <v>82</v>
      </c>
      <c r="T211" s="109">
        <v>76</v>
      </c>
      <c r="W211" s="119"/>
    </row>
    <row r="212" spans="2:23" x14ac:dyDescent="0.3">
      <c r="B212" s="216" t="s">
        <v>463</v>
      </c>
      <c r="C212" s="216" t="str">
        <f t="shared" si="76"/>
        <v>TCARPYD101P</v>
      </c>
      <c r="D212" s="221"/>
      <c r="E212" s="216" t="str">
        <f t="shared" si="77"/>
        <v>TCS-P</v>
      </c>
      <c r="F212" s="254">
        <f t="shared" si="66"/>
        <v>1.0869599999999999</v>
      </c>
      <c r="G212" s="254">
        <f t="shared" si="67"/>
        <v>1.0638300000000001</v>
      </c>
      <c r="H212" s="254">
        <f t="shared" si="68"/>
        <v>1.13636</v>
      </c>
      <c r="I212" s="254">
        <f t="shared" si="69"/>
        <v>1.2195100000000001</v>
      </c>
      <c r="J212" s="254">
        <f t="shared" si="70"/>
        <v>1.31579</v>
      </c>
      <c r="M212" s="218" t="s">
        <v>587</v>
      </c>
      <c r="N212" s="218"/>
      <c r="O212" s="218" t="s">
        <v>472</v>
      </c>
      <c r="P212" s="109">
        <v>92</v>
      </c>
      <c r="Q212" s="109">
        <v>94</v>
      </c>
      <c r="R212" s="109">
        <v>88</v>
      </c>
      <c r="S212" s="109">
        <v>82</v>
      </c>
      <c r="T212" s="109">
        <v>76</v>
      </c>
      <c r="W212" s="119"/>
    </row>
    <row r="213" spans="2:23" x14ac:dyDescent="0.3">
      <c r="B213" s="216" t="s">
        <v>463</v>
      </c>
      <c r="C213" s="216" t="str">
        <f t="shared" si="76"/>
        <v>TCARPYD901</v>
      </c>
      <c r="D213" s="221"/>
      <c r="E213" s="216" t="str">
        <f t="shared" si="77"/>
        <v>TCS-C</v>
      </c>
      <c r="F213" s="254">
        <f t="shared" si="66"/>
        <v>1.0869599999999999</v>
      </c>
      <c r="G213" s="254">
        <f t="shared" si="67"/>
        <v>1.0638300000000001</v>
      </c>
      <c r="H213" s="254">
        <f t="shared" si="68"/>
        <v>1.13636</v>
      </c>
      <c r="I213" s="254">
        <f t="shared" si="69"/>
        <v>1.2195100000000001</v>
      </c>
      <c r="J213" s="254">
        <f t="shared" si="70"/>
        <v>1.31579</v>
      </c>
      <c r="M213" s="218" t="s">
        <v>246</v>
      </c>
      <c r="N213" s="218"/>
      <c r="O213" s="218" t="s">
        <v>303</v>
      </c>
      <c r="P213" s="109">
        <v>92</v>
      </c>
      <c r="Q213" s="109">
        <v>94</v>
      </c>
      <c r="R213" s="109">
        <v>88</v>
      </c>
      <c r="S213" s="109">
        <v>82</v>
      </c>
      <c r="T213" s="109">
        <v>76</v>
      </c>
      <c r="W213" s="119"/>
    </row>
    <row r="214" spans="2:23" x14ac:dyDescent="0.3">
      <c r="B214" s="216" t="s">
        <v>463</v>
      </c>
      <c r="C214" s="216" t="str">
        <f t="shared" si="76"/>
        <v>TCARPYG101</v>
      </c>
      <c r="D214" s="221"/>
      <c r="E214" s="216" t="str">
        <f t="shared" si="77"/>
        <v>TCS</v>
      </c>
      <c r="F214" s="254">
        <f t="shared" si="66"/>
        <v>1.0101</v>
      </c>
      <c r="G214" s="254">
        <f t="shared" si="67"/>
        <v>0.99009999999999998</v>
      </c>
      <c r="H214" s="254">
        <f t="shared" si="68"/>
        <v>1.05263</v>
      </c>
      <c r="I214" s="254">
        <f t="shared" si="69"/>
        <v>1.1235999999999999</v>
      </c>
      <c r="J214" s="254">
        <f t="shared" si="70"/>
        <v>1.19048</v>
      </c>
      <c r="M214" s="218" t="s">
        <v>64</v>
      </c>
      <c r="N214" s="218"/>
      <c r="O214" s="218" t="s">
        <v>46</v>
      </c>
      <c r="P214" s="109">
        <v>99</v>
      </c>
      <c r="Q214" s="109">
        <v>101</v>
      </c>
      <c r="R214" s="109">
        <v>95</v>
      </c>
      <c r="S214" s="109">
        <v>89</v>
      </c>
      <c r="T214" s="109">
        <v>84</v>
      </c>
      <c r="W214" s="119"/>
    </row>
    <row r="215" spans="2:23" x14ac:dyDescent="0.3">
      <c r="B215" s="216" t="s">
        <v>463</v>
      </c>
      <c r="C215" s="216" t="str">
        <f t="shared" si="76"/>
        <v>TCARPYG101P</v>
      </c>
      <c r="D215" s="221"/>
      <c r="E215" s="216" t="str">
        <f t="shared" si="77"/>
        <v>TCS-P</v>
      </c>
      <c r="F215" s="254">
        <f t="shared" si="66"/>
        <v>1.0101</v>
      </c>
      <c r="G215" s="254">
        <f t="shared" si="67"/>
        <v>0.99009999999999998</v>
      </c>
      <c r="H215" s="254">
        <f t="shared" si="68"/>
        <v>1.05263</v>
      </c>
      <c r="I215" s="254">
        <f t="shared" si="69"/>
        <v>1.1235999999999999</v>
      </c>
      <c r="J215" s="254">
        <f t="shared" si="70"/>
        <v>1.19048</v>
      </c>
      <c r="M215" s="218" t="s">
        <v>588</v>
      </c>
      <c r="N215" s="218"/>
      <c r="O215" s="218" t="s">
        <v>472</v>
      </c>
      <c r="P215" s="109">
        <v>99</v>
      </c>
      <c r="Q215" s="109">
        <v>101</v>
      </c>
      <c r="R215" s="109">
        <v>95</v>
      </c>
      <c r="S215" s="109">
        <v>89</v>
      </c>
      <c r="T215" s="109">
        <v>84</v>
      </c>
      <c r="W215" s="119"/>
    </row>
    <row r="216" spans="2:23" x14ac:dyDescent="0.3">
      <c r="B216" s="219" t="s">
        <v>463</v>
      </c>
      <c r="C216" s="219" t="str">
        <f t="shared" si="76"/>
        <v>TCARPYG901</v>
      </c>
      <c r="D216" s="222"/>
      <c r="E216" s="219" t="str">
        <f t="shared" si="77"/>
        <v>TCS-C</v>
      </c>
      <c r="F216" s="256">
        <f t="shared" si="66"/>
        <v>1.0101</v>
      </c>
      <c r="G216" s="256">
        <f t="shared" si="67"/>
        <v>0.99009999999999998</v>
      </c>
      <c r="H216" s="256">
        <f t="shared" si="68"/>
        <v>1.05263</v>
      </c>
      <c r="I216" s="256">
        <f t="shared" si="69"/>
        <v>1.1235999999999999</v>
      </c>
      <c r="J216" s="256">
        <f t="shared" si="70"/>
        <v>1.19048</v>
      </c>
      <c r="M216" s="223" t="s">
        <v>248</v>
      </c>
      <c r="N216" s="223"/>
      <c r="O216" s="223" t="s">
        <v>303</v>
      </c>
      <c r="P216" s="113">
        <v>99</v>
      </c>
      <c r="Q216" s="113">
        <v>101</v>
      </c>
      <c r="R216" s="113">
        <v>95</v>
      </c>
      <c r="S216" s="113">
        <v>89</v>
      </c>
      <c r="T216" s="113">
        <v>84</v>
      </c>
      <c r="W216" s="147"/>
    </row>
    <row r="217" spans="2:23" x14ac:dyDescent="0.3">
      <c r="B217" s="216" t="s">
        <v>469</v>
      </c>
      <c r="C217" s="216" t="str">
        <f t="shared" si="76"/>
        <v>TFLEBDL101</v>
      </c>
      <c r="D217" s="221"/>
      <c r="E217" s="216" t="str">
        <f t="shared" si="77"/>
        <v>TFLS</v>
      </c>
      <c r="F217" s="254">
        <f t="shared" si="66"/>
        <v>0.50251000000000001</v>
      </c>
      <c r="G217" s="254">
        <f t="shared" si="67"/>
        <v>0.53763000000000005</v>
      </c>
      <c r="H217" s="254">
        <f t="shared" si="68"/>
        <v>0.56496999999999997</v>
      </c>
      <c r="I217" s="254">
        <f t="shared" si="69"/>
        <v>0.59523999999999999</v>
      </c>
      <c r="J217" s="254">
        <f t="shared" si="70"/>
        <v>0.625</v>
      </c>
      <c r="M217" s="218" t="s">
        <v>133</v>
      </c>
      <c r="N217" s="218"/>
      <c r="O217" s="218" t="s">
        <v>349</v>
      </c>
      <c r="P217" s="109">
        <v>199</v>
      </c>
      <c r="Q217" s="109">
        <v>186</v>
      </c>
      <c r="R217" s="109">
        <v>177</v>
      </c>
      <c r="S217" s="109">
        <v>168</v>
      </c>
      <c r="T217" s="109">
        <v>160</v>
      </c>
      <c r="V217" s="135"/>
      <c r="W217" s="119" t="s">
        <v>666</v>
      </c>
    </row>
    <row r="218" spans="2:23" x14ac:dyDescent="0.3">
      <c r="B218" s="216" t="s">
        <v>469</v>
      </c>
      <c r="C218" s="216" t="str">
        <f t="shared" si="76"/>
        <v>TFLEBDL901</v>
      </c>
      <c r="D218" s="221"/>
      <c r="E218" s="216" t="str">
        <f t="shared" si="77"/>
        <v>TFLS-C</v>
      </c>
      <c r="F218" s="254">
        <f t="shared" si="66"/>
        <v>0.50251000000000001</v>
      </c>
      <c r="G218" s="254">
        <f t="shared" si="67"/>
        <v>0.53763000000000005</v>
      </c>
      <c r="H218" s="254">
        <f t="shared" si="68"/>
        <v>0.56496999999999997</v>
      </c>
      <c r="I218" s="254">
        <f t="shared" si="69"/>
        <v>0.59523999999999999</v>
      </c>
      <c r="J218" s="254">
        <f t="shared" si="70"/>
        <v>0.625</v>
      </c>
      <c r="M218" s="218" t="s">
        <v>250</v>
      </c>
      <c r="N218" s="218"/>
      <c r="O218" s="218" t="s">
        <v>493</v>
      </c>
      <c r="P218" s="109">
        <v>199</v>
      </c>
      <c r="Q218" s="109">
        <v>186</v>
      </c>
      <c r="R218" s="109">
        <v>177</v>
      </c>
      <c r="S218" s="109">
        <v>168</v>
      </c>
      <c r="T218" s="109">
        <v>160</v>
      </c>
      <c r="V218" s="135"/>
      <c r="W218" s="119" t="s">
        <v>666</v>
      </c>
    </row>
    <row r="219" spans="2:23" x14ac:dyDescent="0.3">
      <c r="B219" s="216" t="s">
        <v>469</v>
      </c>
      <c r="C219" s="216" t="str">
        <f t="shared" si="76"/>
        <v>TFLEDME101</v>
      </c>
      <c r="D219" s="221"/>
      <c r="E219" s="216" t="str">
        <f t="shared" si="77"/>
        <v>TFLS</v>
      </c>
      <c r="F219" s="254">
        <f t="shared" si="66"/>
        <v>0.50251000000000001</v>
      </c>
      <c r="G219" s="254">
        <f t="shared" si="67"/>
        <v>0.53763000000000005</v>
      </c>
      <c r="H219" s="254">
        <f t="shared" si="68"/>
        <v>0.56496999999999997</v>
      </c>
      <c r="I219" s="254">
        <f t="shared" si="69"/>
        <v>0.59523999999999999</v>
      </c>
      <c r="J219" s="254">
        <f t="shared" si="70"/>
        <v>0.625</v>
      </c>
      <c r="M219" s="218" t="s">
        <v>135</v>
      </c>
      <c r="N219" s="218"/>
      <c r="O219" s="218" t="s">
        <v>349</v>
      </c>
      <c r="P219" s="109">
        <v>199</v>
      </c>
      <c r="Q219" s="109">
        <v>186</v>
      </c>
      <c r="R219" s="109">
        <v>177</v>
      </c>
      <c r="S219" s="109">
        <v>168</v>
      </c>
      <c r="T219" s="109">
        <v>160</v>
      </c>
      <c r="V219" s="135"/>
      <c r="W219" s="119" t="s">
        <v>666</v>
      </c>
    </row>
    <row r="220" spans="2:23" x14ac:dyDescent="0.3">
      <c r="B220" s="216" t="s">
        <v>469</v>
      </c>
      <c r="C220" s="216" t="str">
        <f t="shared" si="76"/>
        <v>TFLEDME901</v>
      </c>
      <c r="D220" s="221"/>
      <c r="E220" s="216" t="str">
        <f t="shared" si="77"/>
        <v>TFLS-C</v>
      </c>
      <c r="F220" s="254">
        <f t="shared" si="66"/>
        <v>0.50251000000000001</v>
      </c>
      <c r="G220" s="254">
        <f t="shared" si="67"/>
        <v>0.53763000000000005</v>
      </c>
      <c r="H220" s="254">
        <f t="shared" si="68"/>
        <v>0.56496999999999997</v>
      </c>
      <c r="I220" s="254">
        <f t="shared" si="69"/>
        <v>0.59523999999999999</v>
      </c>
      <c r="J220" s="254">
        <f t="shared" si="70"/>
        <v>0.625</v>
      </c>
      <c r="M220" s="218" t="s">
        <v>252</v>
      </c>
      <c r="N220" s="218"/>
      <c r="O220" s="218" t="s">
        <v>493</v>
      </c>
      <c r="P220" s="109">
        <v>199</v>
      </c>
      <c r="Q220" s="109">
        <v>186</v>
      </c>
      <c r="R220" s="109">
        <v>177</v>
      </c>
      <c r="S220" s="109">
        <v>168</v>
      </c>
      <c r="T220" s="109">
        <v>160</v>
      </c>
      <c r="V220" s="135"/>
      <c r="W220" s="119" t="s">
        <v>666</v>
      </c>
    </row>
    <row r="221" spans="2:23" x14ac:dyDescent="0.3">
      <c r="B221" s="216" t="s">
        <v>469</v>
      </c>
      <c r="C221" s="216" t="str">
        <f t="shared" si="76"/>
        <v>TFLEDST101</v>
      </c>
      <c r="D221" s="221"/>
      <c r="E221" s="216" t="str">
        <f t="shared" si="77"/>
        <v>TFLS</v>
      </c>
      <c r="F221" s="254">
        <f t="shared" si="66"/>
        <v>0.50251000000000001</v>
      </c>
      <c r="G221" s="254">
        <f t="shared" si="67"/>
        <v>0.53763000000000005</v>
      </c>
      <c r="H221" s="254">
        <f t="shared" si="68"/>
        <v>0.56496999999999997</v>
      </c>
      <c r="I221" s="254">
        <f t="shared" si="69"/>
        <v>0.59523999999999999</v>
      </c>
      <c r="J221" s="254">
        <f t="shared" si="70"/>
        <v>0.625</v>
      </c>
      <c r="M221" s="218" t="s">
        <v>137</v>
      </c>
      <c r="N221" s="218"/>
      <c r="O221" s="218" t="s">
        <v>349</v>
      </c>
      <c r="P221" s="109">
        <v>199</v>
      </c>
      <c r="Q221" s="109">
        <v>186</v>
      </c>
      <c r="R221" s="109">
        <v>177</v>
      </c>
      <c r="S221" s="109">
        <v>168</v>
      </c>
      <c r="T221" s="109">
        <v>160</v>
      </c>
      <c r="V221" s="135"/>
      <c r="W221" s="119" t="s">
        <v>309</v>
      </c>
    </row>
    <row r="222" spans="2:23" x14ac:dyDescent="0.3">
      <c r="B222" s="216" t="s">
        <v>469</v>
      </c>
      <c r="C222" s="216" t="str">
        <f t="shared" si="76"/>
        <v>TFLEDST901</v>
      </c>
      <c r="D222" s="221"/>
      <c r="E222" s="216" t="str">
        <f t="shared" si="77"/>
        <v>TFLS-C</v>
      </c>
      <c r="F222" s="254">
        <f t="shared" si="66"/>
        <v>0.50251000000000001</v>
      </c>
      <c r="G222" s="254">
        <f t="shared" si="67"/>
        <v>0.53763000000000005</v>
      </c>
      <c r="H222" s="254">
        <f t="shared" si="68"/>
        <v>0.56496999999999997</v>
      </c>
      <c r="I222" s="254">
        <f t="shared" si="69"/>
        <v>0.59523999999999999</v>
      </c>
      <c r="J222" s="254">
        <f t="shared" si="70"/>
        <v>0.625</v>
      </c>
      <c r="M222" s="218" t="s">
        <v>254</v>
      </c>
      <c r="N222" s="218"/>
      <c r="O222" s="218" t="s">
        <v>493</v>
      </c>
      <c r="P222" s="109">
        <v>199</v>
      </c>
      <c r="Q222" s="109">
        <v>186</v>
      </c>
      <c r="R222" s="109">
        <v>177</v>
      </c>
      <c r="S222" s="109">
        <v>168</v>
      </c>
      <c r="T222" s="109">
        <v>160</v>
      </c>
      <c r="V222" s="135"/>
      <c r="W222" s="119" t="s">
        <v>309</v>
      </c>
    </row>
    <row r="223" spans="2:23" x14ac:dyDescent="0.3">
      <c r="B223" s="216" t="s">
        <v>469</v>
      </c>
      <c r="C223" s="216" t="str">
        <f t="shared" si="76"/>
        <v>TFLEELC101</v>
      </c>
      <c r="D223" s="221"/>
      <c r="E223" s="216" t="str">
        <f t="shared" si="77"/>
        <v>TFLS</v>
      </c>
      <c r="F223" s="254">
        <f t="shared" si="66"/>
        <v>1.6129</v>
      </c>
      <c r="G223" s="254">
        <f t="shared" si="67"/>
        <v>1.6129</v>
      </c>
      <c r="H223" s="254">
        <f t="shared" si="68"/>
        <v>1.69492</v>
      </c>
      <c r="I223" s="254">
        <f t="shared" si="69"/>
        <v>1.7857099999999999</v>
      </c>
      <c r="J223" s="254">
        <f t="shared" si="70"/>
        <v>1.88679</v>
      </c>
      <c r="M223" s="218" t="s">
        <v>139</v>
      </c>
      <c r="N223" s="218"/>
      <c r="O223" s="218" t="s">
        <v>349</v>
      </c>
      <c r="P223" s="109">
        <v>62</v>
      </c>
      <c r="Q223" s="109">
        <v>62</v>
      </c>
      <c r="R223" s="109">
        <v>59</v>
      </c>
      <c r="S223" s="109">
        <v>56</v>
      </c>
      <c r="T223" s="109">
        <v>53</v>
      </c>
      <c r="V223" s="135"/>
      <c r="W223" s="119" t="s">
        <v>309</v>
      </c>
    </row>
    <row r="224" spans="2:23" x14ac:dyDescent="0.3">
      <c r="B224" s="216" t="s">
        <v>469</v>
      </c>
      <c r="C224" s="216" t="str">
        <f t="shared" si="76"/>
        <v>TFLEELC901</v>
      </c>
      <c r="D224" s="221"/>
      <c r="E224" s="216" t="str">
        <f t="shared" si="77"/>
        <v>TFLS-C</v>
      </c>
      <c r="F224" s="254">
        <f t="shared" si="66"/>
        <v>1.6129</v>
      </c>
      <c r="G224" s="254">
        <f t="shared" si="67"/>
        <v>1.6129</v>
      </c>
      <c r="H224" s="254">
        <f t="shared" si="68"/>
        <v>1.69492</v>
      </c>
      <c r="I224" s="254">
        <f t="shared" si="69"/>
        <v>1.7857099999999999</v>
      </c>
      <c r="J224" s="254">
        <f t="shared" si="70"/>
        <v>1.88679</v>
      </c>
      <c r="M224" s="218" t="s">
        <v>256</v>
      </c>
      <c r="N224" s="218"/>
      <c r="O224" s="218" t="s">
        <v>493</v>
      </c>
      <c r="P224" s="109">
        <v>62</v>
      </c>
      <c r="Q224" s="109">
        <v>62</v>
      </c>
      <c r="R224" s="109">
        <v>59</v>
      </c>
      <c r="S224" s="109">
        <v>56</v>
      </c>
      <c r="T224" s="109">
        <v>53</v>
      </c>
      <c r="V224" s="135"/>
      <c r="W224" s="119" t="s">
        <v>309</v>
      </c>
    </row>
    <row r="225" spans="2:23" x14ac:dyDescent="0.3">
      <c r="B225" s="216" t="s">
        <v>469</v>
      </c>
      <c r="C225" s="216" t="str">
        <f t="shared" si="76"/>
        <v>TFLEETH101</v>
      </c>
      <c r="D225" s="221"/>
      <c r="E225" s="216" t="str">
        <f t="shared" si="77"/>
        <v>TFLS</v>
      </c>
      <c r="F225" s="254">
        <f t="shared" si="66"/>
        <v>0.42553000000000002</v>
      </c>
      <c r="G225" s="254">
        <f t="shared" si="67"/>
        <v>0.45455000000000001</v>
      </c>
      <c r="H225" s="254">
        <f t="shared" si="68"/>
        <v>0.47847000000000001</v>
      </c>
      <c r="I225" s="254">
        <f t="shared" si="69"/>
        <v>0.50251000000000001</v>
      </c>
      <c r="J225" s="254">
        <f t="shared" si="70"/>
        <v>0.52910000000000001</v>
      </c>
      <c r="M225" s="218" t="s">
        <v>141</v>
      </c>
      <c r="N225" s="218"/>
      <c r="O225" s="218" t="s">
        <v>349</v>
      </c>
      <c r="P225" s="109">
        <v>235</v>
      </c>
      <c r="Q225" s="109">
        <v>220</v>
      </c>
      <c r="R225" s="109">
        <v>209</v>
      </c>
      <c r="S225" s="109">
        <v>199</v>
      </c>
      <c r="T225" s="109">
        <v>189</v>
      </c>
      <c r="V225" s="135"/>
      <c r="W225" s="119" t="s">
        <v>309</v>
      </c>
    </row>
    <row r="226" spans="2:23" x14ac:dyDescent="0.3">
      <c r="B226" s="216" t="s">
        <v>469</v>
      </c>
      <c r="C226" s="216" t="str">
        <f t="shared" ref="C226:C261" si="78">M226</f>
        <v>TFLEETH901</v>
      </c>
      <c r="D226" s="221"/>
      <c r="E226" s="216" t="str">
        <f t="shared" ref="E226:E261" si="79">O226</f>
        <v>TFLS-C</v>
      </c>
      <c r="F226" s="254">
        <f t="shared" si="66"/>
        <v>0.42553000000000002</v>
      </c>
      <c r="G226" s="254">
        <f t="shared" si="67"/>
        <v>0.45455000000000001</v>
      </c>
      <c r="H226" s="254">
        <f t="shared" si="68"/>
        <v>0.47847000000000001</v>
      </c>
      <c r="I226" s="254">
        <f t="shared" si="69"/>
        <v>0.50251000000000001</v>
      </c>
      <c r="J226" s="254">
        <f t="shared" si="70"/>
        <v>0.52910000000000001</v>
      </c>
      <c r="M226" s="218" t="s">
        <v>258</v>
      </c>
      <c r="N226" s="218"/>
      <c r="O226" s="218" t="s">
        <v>493</v>
      </c>
      <c r="P226" s="109">
        <v>235</v>
      </c>
      <c r="Q226" s="109">
        <v>220</v>
      </c>
      <c r="R226" s="109">
        <v>209</v>
      </c>
      <c r="S226" s="109">
        <v>199</v>
      </c>
      <c r="T226" s="109">
        <v>189</v>
      </c>
      <c r="V226" s="135"/>
      <c r="W226" s="119" t="s">
        <v>309</v>
      </c>
    </row>
    <row r="227" spans="2:23" x14ac:dyDescent="0.3">
      <c r="B227" s="216" t="s">
        <v>469</v>
      </c>
      <c r="C227" s="216" t="str">
        <f t="shared" si="78"/>
        <v>TFLEGAS101</v>
      </c>
      <c r="D227" s="221"/>
      <c r="E227" s="216" t="str">
        <f t="shared" si="79"/>
        <v>TFLS</v>
      </c>
      <c r="F227" s="254">
        <f t="shared" ref="F227:F290" si="80">IF(P227=0, "-", ROUND(10^2/P227,5))</f>
        <v>0.42553000000000002</v>
      </c>
      <c r="G227" s="254">
        <f t="shared" ref="G227:G290" si="81">IF(Q227=0, "-", ROUND(10^2/Q227,5))</f>
        <v>0.45455000000000001</v>
      </c>
      <c r="H227" s="254">
        <f t="shared" ref="H227:H290" si="82">IF(R227=0, "-", ROUND(10^2/R227,5))</f>
        <v>0.47847000000000001</v>
      </c>
      <c r="I227" s="254">
        <f t="shared" ref="I227:I290" si="83">IF(S227=0, "-", ROUND(10^2/S227,5))</f>
        <v>0.50251000000000001</v>
      </c>
      <c r="J227" s="254">
        <f t="shared" ref="J227:J290" si="84">IF(T227=0, "-", ROUND(10^2/T227,5))</f>
        <v>0.52910000000000001</v>
      </c>
      <c r="M227" s="218" t="s">
        <v>143</v>
      </c>
      <c r="N227" s="218"/>
      <c r="O227" s="218" t="s">
        <v>349</v>
      </c>
      <c r="P227" s="109">
        <v>235</v>
      </c>
      <c r="Q227" s="109">
        <v>220</v>
      </c>
      <c r="R227" s="109">
        <v>209</v>
      </c>
      <c r="S227" s="109">
        <v>199</v>
      </c>
      <c r="T227" s="109">
        <v>189</v>
      </c>
      <c r="V227" s="135"/>
      <c r="W227" s="119" t="s">
        <v>309</v>
      </c>
    </row>
    <row r="228" spans="2:23" x14ac:dyDescent="0.3">
      <c r="B228" s="216" t="s">
        <v>469</v>
      </c>
      <c r="C228" s="216" t="str">
        <f t="shared" si="78"/>
        <v>TFLEGAS901</v>
      </c>
      <c r="D228" s="221"/>
      <c r="E228" s="216" t="str">
        <f t="shared" si="79"/>
        <v>TFLS-C</v>
      </c>
      <c r="F228" s="254">
        <f t="shared" si="80"/>
        <v>0.42553000000000002</v>
      </c>
      <c r="G228" s="254">
        <f t="shared" si="81"/>
        <v>0.45455000000000001</v>
      </c>
      <c r="H228" s="254">
        <f t="shared" si="82"/>
        <v>0.47847000000000001</v>
      </c>
      <c r="I228" s="254">
        <f t="shared" si="83"/>
        <v>0.50251000000000001</v>
      </c>
      <c r="J228" s="254">
        <f t="shared" si="84"/>
        <v>0.52910000000000001</v>
      </c>
      <c r="M228" s="218" t="s">
        <v>260</v>
      </c>
      <c r="N228" s="218"/>
      <c r="O228" s="218" t="s">
        <v>493</v>
      </c>
      <c r="P228" s="109">
        <v>235</v>
      </c>
      <c r="Q228" s="109">
        <v>220</v>
      </c>
      <c r="R228" s="109">
        <v>209</v>
      </c>
      <c r="S228" s="109">
        <v>199</v>
      </c>
      <c r="T228" s="109">
        <v>189</v>
      </c>
      <c r="V228" s="135"/>
      <c r="W228" s="119" t="s">
        <v>309</v>
      </c>
    </row>
    <row r="229" spans="2:23" s="95" customFormat="1" x14ac:dyDescent="0.3">
      <c r="B229" s="216" t="s">
        <v>469</v>
      </c>
      <c r="C229" s="216" t="str">
        <f t="shared" si="78"/>
        <v>TFLEGSL101</v>
      </c>
      <c r="D229" s="221"/>
      <c r="E229" s="216" t="str">
        <f t="shared" si="79"/>
        <v>TFLS</v>
      </c>
      <c r="F229" s="254">
        <f t="shared" si="80"/>
        <v>0.42553000000000002</v>
      </c>
      <c r="G229" s="254">
        <f t="shared" si="81"/>
        <v>0.45455000000000001</v>
      </c>
      <c r="H229" s="254">
        <f t="shared" si="82"/>
        <v>0.47847000000000001</v>
      </c>
      <c r="I229" s="254">
        <f t="shared" si="83"/>
        <v>0.50251000000000001</v>
      </c>
      <c r="J229" s="254">
        <f t="shared" si="84"/>
        <v>0.52910000000000001</v>
      </c>
      <c r="M229" s="218" t="s">
        <v>145</v>
      </c>
      <c r="N229" s="218"/>
      <c r="O229" s="218" t="s">
        <v>349</v>
      </c>
      <c r="P229" s="109">
        <v>235</v>
      </c>
      <c r="Q229" s="109">
        <v>220</v>
      </c>
      <c r="R229" s="109">
        <v>209</v>
      </c>
      <c r="S229" s="109">
        <v>199</v>
      </c>
      <c r="T229" s="109">
        <v>189</v>
      </c>
      <c r="V229" s="135"/>
      <c r="W229" s="137" t="s">
        <v>309</v>
      </c>
    </row>
    <row r="230" spans="2:23" x14ac:dyDescent="0.3">
      <c r="B230" s="216" t="s">
        <v>469</v>
      </c>
      <c r="C230" s="216" t="str">
        <f t="shared" si="78"/>
        <v>TFLEGSL901</v>
      </c>
      <c r="D230" s="221"/>
      <c r="E230" s="216" t="str">
        <f t="shared" si="79"/>
        <v>TFLS-C</v>
      </c>
      <c r="F230" s="254">
        <f t="shared" si="80"/>
        <v>0.42553000000000002</v>
      </c>
      <c r="G230" s="254">
        <f t="shared" si="81"/>
        <v>0.45455000000000001</v>
      </c>
      <c r="H230" s="254">
        <f t="shared" si="82"/>
        <v>0.47847000000000001</v>
      </c>
      <c r="I230" s="254">
        <f t="shared" si="83"/>
        <v>0.50251000000000001</v>
      </c>
      <c r="J230" s="254">
        <f t="shared" si="84"/>
        <v>0.52910000000000001</v>
      </c>
      <c r="M230" s="218" t="s">
        <v>262</v>
      </c>
      <c r="N230" s="218"/>
      <c r="O230" s="218" t="s">
        <v>493</v>
      </c>
      <c r="P230" s="109">
        <v>235</v>
      </c>
      <c r="Q230" s="109">
        <v>220</v>
      </c>
      <c r="R230" s="109">
        <v>209</v>
      </c>
      <c r="S230" s="109">
        <v>199</v>
      </c>
      <c r="T230" s="109">
        <v>189</v>
      </c>
      <c r="V230" s="135"/>
      <c r="W230" s="119" t="s">
        <v>309</v>
      </c>
    </row>
    <row r="231" spans="2:23" x14ac:dyDescent="0.3">
      <c r="B231" s="216" t="s">
        <v>469</v>
      </c>
      <c r="C231" s="216" t="str">
        <f t="shared" si="78"/>
        <v>TFLEHFC101</v>
      </c>
      <c r="D231" s="221"/>
      <c r="E231" s="216" t="str">
        <f t="shared" si="79"/>
        <v>TFLS</v>
      </c>
      <c r="F231" s="254">
        <f t="shared" si="80"/>
        <v>0.80645</v>
      </c>
      <c r="G231" s="254">
        <f t="shared" si="81"/>
        <v>0.80645</v>
      </c>
      <c r="H231" s="254">
        <f t="shared" si="82"/>
        <v>0.89285999999999999</v>
      </c>
      <c r="I231" s="254">
        <f t="shared" si="83"/>
        <v>0.99009999999999998</v>
      </c>
      <c r="J231" s="254">
        <f t="shared" si="84"/>
        <v>1.0989</v>
      </c>
      <c r="M231" s="218" t="s">
        <v>147</v>
      </c>
      <c r="N231" s="218"/>
      <c r="O231" s="218" t="s">
        <v>349</v>
      </c>
      <c r="P231" s="109">
        <v>124</v>
      </c>
      <c r="Q231" s="109">
        <v>124</v>
      </c>
      <c r="R231" s="109">
        <v>112</v>
      </c>
      <c r="S231" s="109">
        <v>101</v>
      </c>
      <c r="T231" s="109">
        <v>91</v>
      </c>
      <c r="V231" s="135"/>
      <c r="W231" s="119"/>
    </row>
    <row r="232" spans="2:23" x14ac:dyDescent="0.3">
      <c r="B232" s="216" t="s">
        <v>469</v>
      </c>
      <c r="C232" s="216" t="str">
        <f t="shared" si="78"/>
        <v>TFLEHFC901</v>
      </c>
      <c r="D232" s="221"/>
      <c r="E232" s="216" t="str">
        <f t="shared" si="79"/>
        <v>TFLS-C</v>
      </c>
      <c r="F232" s="254">
        <f t="shared" si="80"/>
        <v>0.80645</v>
      </c>
      <c r="G232" s="254">
        <f t="shared" si="81"/>
        <v>0.80645</v>
      </c>
      <c r="H232" s="254">
        <f t="shared" si="82"/>
        <v>0.89285999999999999</v>
      </c>
      <c r="I232" s="254">
        <f t="shared" si="83"/>
        <v>0.99009999999999998</v>
      </c>
      <c r="J232" s="254">
        <f t="shared" si="84"/>
        <v>1.0989</v>
      </c>
      <c r="M232" s="218" t="s">
        <v>264</v>
      </c>
      <c r="N232" s="218"/>
      <c r="O232" s="218" t="s">
        <v>493</v>
      </c>
      <c r="P232" s="109">
        <v>124</v>
      </c>
      <c r="Q232" s="109">
        <v>124</v>
      </c>
      <c r="R232" s="109">
        <v>112</v>
      </c>
      <c r="S232" s="109">
        <v>101</v>
      </c>
      <c r="T232" s="109">
        <v>91</v>
      </c>
      <c r="V232" s="135"/>
      <c r="W232" s="119"/>
    </row>
    <row r="233" spans="2:23" x14ac:dyDescent="0.3">
      <c r="B233" s="216" t="s">
        <v>469</v>
      </c>
      <c r="C233" s="216" t="str">
        <f t="shared" si="78"/>
        <v>TFLEHYD101</v>
      </c>
      <c r="D233" s="221"/>
      <c r="E233" s="216" t="str">
        <f t="shared" si="79"/>
        <v>TFLS</v>
      </c>
      <c r="F233" s="254">
        <f t="shared" si="80"/>
        <v>0.62112000000000001</v>
      </c>
      <c r="G233" s="254">
        <f t="shared" si="81"/>
        <v>0.65788999999999997</v>
      </c>
      <c r="H233" s="254">
        <f t="shared" si="82"/>
        <v>0.72992999999999997</v>
      </c>
      <c r="I233" s="254">
        <f t="shared" si="83"/>
        <v>0.80645</v>
      </c>
      <c r="J233" s="254">
        <f t="shared" si="84"/>
        <v>0.89285999999999999</v>
      </c>
      <c r="M233" s="218" t="s">
        <v>150</v>
      </c>
      <c r="N233" s="218"/>
      <c r="O233" s="218" t="s">
        <v>349</v>
      </c>
      <c r="P233" s="109">
        <v>161</v>
      </c>
      <c r="Q233" s="109">
        <v>152</v>
      </c>
      <c r="R233" s="109">
        <v>137</v>
      </c>
      <c r="S233" s="109">
        <v>124</v>
      </c>
      <c r="T233" s="109">
        <v>112</v>
      </c>
      <c r="V233" s="135"/>
      <c r="W233" s="119" t="s">
        <v>309</v>
      </c>
    </row>
    <row r="234" spans="2:23" x14ac:dyDescent="0.3">
      <c r="B234" s="216" t="s">
        <v>469</v>
      </c>
      <c r="C234" s="216" t="str">
        <f t="shared" si="78"/>
        <v>TFLEHYD901</v>
      </c>
      <c r="D234" s="221"/>
      <c r="E234" s="216" t="str">
        <f t="shared" si="79"/>
        <v>TFLS-C</v>
      </c>
      <c r="F234" s="254">
        <f t="shared" si="80"/>
        <v>0.62112000000000001</v>
      </c>
      <c r="G234" s="254">
        <f t="shared" si="81"/>
        <v>0.65788999999999997</v>
      </c>
      <c r="H234" s="254">
        <f t="shared" si="82"/>
        <v>0.72992999999999997</v>
      </c>
      <c r="I234" s="254">
        <f t="shared" si="83"/>
        <v>0.80645</v>
      </c>
      <c r="J234" s="254">
        <f t="shared" si="84"/>
        <v>0.89285999999999999</v>
      </c>
      <c r="M234" s="218" t="s">
        <v>311</v>
      </c>
      <c r="N234" s="218"/>
      <c r="O234" s="218" t="s">
        <v>493</v>
      </c>
      <c r="P234" s="109">
        <v>161</v>
      </c>
      <c r="Q234" s="109">
        <v>152</v>
      </c>
      <c r="R234" s="109">
        <v>137</v>
      </c>
      <c r="S234" s="109">
        <v>124</v>
      </c>
      <c r="T234" s="109">
        <v>112</v>
      </c>
      <c r="V234" s="135"/>
      <c r="W234" s="119" t="s">
        <v>309</v>
      </c>
    </row>
    <row r="235" spans="2:23" x14ac:dyDescent="0.3">
      <c r="B235" s="216" t="s">
        <v>469</v>
      </c>
      <c r="C235" s="216" t="str">
        <f t="shared" si="78"/>
        <v>TFLEHYG101</v>
      </c>
      <c r="D235" s="221"/>
      <c r="E235" s="216" t="str">
        <f t="shared" si="79"/>
        <v>TFLS</v>
      </c>
      <c r="F235" s="254">
        <f t="shared" si="80"/>
        <v>0.52356000000000003</v>
      </c>
      <c r="G235" s="254">
        <f t="shared" si="81"/>
        <v>0.55249000000000004</v>
      </c>
      <c r="H235" s="254">
        <f t="shared" si="82"/>
        <v>0.61350000000000005</v>
      </c>
      <c r="I235" s="254">
        <f t="shared" si="83"/>
        <v>0.68027000000000004</v>
      </c>
      <c r="J235" s="254">
        <f t="shared" si="84"/>
        <v>0.75187999999999999</v>
      </c>
      <c r="M235" s="218" t="s">
        <v>152</v>
      </c>
      <c r="N235" s="218"/>
      <c r="O235" s="218" t="s">
        <v>349</v>
      </c>
      <c r="P235" s="109">
        <v>191</v>
      </c>
      <c r="Q235" s="109">
        <v>181</v>
      </c>
      <c r="R235" s="109">
        <v>163</v>
      </c>
      <c r="S235" s="109">
        <v>147</v>
      </c>
      <c r="T235" s="109">
        <v>133</v>
      </c>
      <c r="V235" s="135"/>
      <c r="W235" s="119" t="s">
        <v>309</v>
      </c>
    </row>
    <row r="236" spans="2:23" x14ac:dyDescent="0.3">
      <c r="B236" s="216" t="s">
        <v>469</v>
      </c>
      <c r="C236" s="216" t="str">
        <f t="shared" si="78"/>
        <v>TFLEHYG901</v>
      </c>
      <c r="D236" s="221"/>
      <c r="E236" s="216" t="str">
        <f t="shared" si="79"/>
        <v>TFLS-C</v>
      </c>
      <c r="F236" s="254">
        <f t="shared" si="80"/>
        <v>0.52356000000000003</v>
      </c>
      <c r="G236" s="254">
        <f t="shared" si="81"/>
        <v>0.55249000000000004</v>
      </c>
      <c r="H236" s="254">
        <f t="shared" si="82"/>
        <v>0.61350000000000005</v>
      </c>
      <c r="I236" s="254">
        <f t="shared" si="83"/>
        <v>0.68027000000000004</v>
      </c>
      <c r="J236" s="254">
        <f t="shared" si="84"/>
        <v>0.75187999999999999</v>
      </c>
      <c r="M236" s="218" t="s">
        <v>312</v>
      </c>
      <c r="N236" s="218"/>
      <c r="O236" s="218" t="s">
        <v>493</v>
      </c>
      <c r="P236" s="109">
        <v>191</v>
      </c>
      <c r="Q236" s="109">
        <v>181</v>
      </c>
      <c r="R236" s="109">
        <v>163</v>
      </c>
      <c r="S236" s="109">
        <v>147</v>
      </c>
      <c r="T236" s="109">
        <v>133</v>
      </c>
      <c r="V236" s="135"/>
      <c r="W236" s="119" t="s">
        <v>309</v>
      </c>
    </row>
    <row r="237" spans="2:23" x14ac:dyDescent="0.3">
      <c r="B237" s="216" t="s">
        <v>469</v>
      </c>
      <c r="C237" s="216" t="str">
        <f t="shared" si="78"/>
        <v>TFLELPG101</v>
      </c>
      <c r="D237" s="221"/>
      <c r="E237" s="216" t="str">
        <f t="shared" si="79"/>
        <v>TFLS</v>
      </c>
      <c r="F237" s="254">
        <f t="shared" si="80"/>
        <v>0.42553000000000002</v>
      </c>
      <c r="G237" s="254">
        <f t="shared" si="81"/>
        <v>0.45455000000000001</v>
      </c>
      <c r="H237" s="254">
        <f t="shared" si="82"/>
        <v>0.47847000000000001</v>
      </c>
      <c r="I237" s="254">
        <f t="shared" si="83"/>
        <v>0.50251000000000001</v>
      </c>
      <c r="J237" s="254">
        <f t="shared" si="84"/>
        <v>0.52910000000000001</v>
      </c>
      <c r="M237" s="218" t="s">
        <v>149</v>
      </c>
      <c r="N237" s="218"/>
      <c r="O237" s="218" t="s">
        <v>349</v>
      </c>
      <c r="P237" s="109">
        <v>235</v>
      </c>
      <c r="Q237" s="109">
        <v>220</v>
      </c>
      <c r="R237" s="109">
        <v>209</v>
      </c>
      <c r="S237" s="109">
        <v>199</v>
      </c>
      <c r="T237" s="109">
        <v>189</v>
      </c>
      <c r="V237" s="135"/>
      <c r="W237" s="119" t="s">
        <v>309</v>
      </c>
    </row>
    <row r="238" spans="2:23" x14ac:dyDescent="0.3">
      <c r="B238" s="216" t="s">
        <v>469</v>
      </c>
      <c r="C238" s="216" t="str">
        <f t="shared" si="78"/>
        <v>TFLELPG901</v>
      </c>
      <c r="D238" s="221"/>
      <c r="E238" s="216" t="str">
        <f t="shared" si="79"/>
        <v>TFLS-C</v>
      </c>
      <c r="F238" s="254">
        <f t="shared" si="80"/>
        <v>0.42553000000000002</v>
      </c>
      <c r="G238" s="254">
        <f t="shared" si="81"/>
        <v>0.45455000000000001</v>
      </c>
      <c r="H238" s="254">
        <f t="shared" si="82"/>
        <v>0.47847000000000001</v>
      </c>
      <c r="I238" s="254">
        <f t="shared" si="83"/>
        <v>0.50251000000000001</v>
      </c>
      <c r="J238" s="254">
        <f t="shared" si="84"/>
        <v>0.52910000000000001</v>
      </c>
      <c r="M238" s="218" t="s">
        <v>266</v>
      </c>
      <c r="N238" s="218"/>
      <c r="O238" s="218" t="s">
        <v>493</v>
      </c>
      <c r="P238" s="109">
        <v>235</v>
      </c>
      <c r="Q238" s="109">
        <v>220</v>
      </c>
      <c r="R238" s="109">
        <v>209</v>
      </c>
      <c r="S238" s="109">
        <v>199</v>
      </c>
      <c r="T238" s="109">
        <v>189</v>
      </c>
      <c r="V238" s="135"/>
      <c r="W238" s="119" t="s">
        <v>309</v>
      </c>
    </row>
    <row r="239" spans="2:23" x14ac:dyDescent="0.3">
      <c r="B239" s="216" t="s">
        <v>469</v>
      </c>
      <c r="C239" s="216" t="str">
        <f t="shared" si="78"/>
        <v>TFLEMTH101</v>
      </c>
      <c r="D239" s="221"/>
      <c r="E239" s="216" t="str">
        <f t="shared" si="79"/>
        <v>TFLS</v>
      </c>
      <c r="F239" s="254">
        <f t="shared" si="80"/>
        <v>0.42553000000000002</v>
      </c>
      <c r="G239" s="254">
        <f t="shared" si="81"/>
        <v>0.45455000000000001</v>
      </c>
      <c r="H239" s="254">
        <f t="shared" si="82"/>
        <v>0.47847000000000001</v>
      </c>
      <c r="I239" s="254">
        <f t="shared" si="83"/>
        <v>0.50251000000000001</v>
      </c>
      <c r="J239" s="254">
        <f t="shared" si="84"/>
        <v>0.52910000000000001</v>
      </c>
      <c r="M239" s="218" t="s">
        <v>610</v>
      </c>
      <c r="N239" s="218"/>
      <c r="O239" s="218" t="s">
        <v>349</v>
      </c>
      <c r="P239" s="109">
        <v>235</v>
      </c>
      <c r="Q239" s="109">
        <v>220</v>
      </c>
      <c r="R239" s="109">
        <v>209</v>
      </c>
      <c r="S239" s="109">
        <v>199</v>
      </c>
      <c r="T239" s="109">
        <v>189</v>
      </c>
      <c r="V239" s="135"/>
      <c r="W239" s="119" t="s">
        <v>309</v>
      </c>
    </row>
    <row r="240" spans="2:23" x14ac:dyDescent="0.3">
      <c r="B240" s="216" t="s">
        <v>469</v>
      </c>
      <c r="C240" s="216" t="str">
        <f t="shared" si="78"/>
        <v>TFLEMTH901</v>
      </c>
      <c r="D240" s="221"/>
      <c r="E240" s="216" t="str">
        <f t="shared" si="79"/>
        <v>TFLS-C</v>
      </c>
      <c r="F240" s="254">
        <f t="shared" si="80"/>
        <v>0.42553000000000002</v>
      </c>
      <c r="G240" s="254">
        <f t="shared" si="81"/>
        <v>0.45455000000000001</v>
      </c>
      <c r="H240" s="254">
        <f t="shared" si="82"/>
        <v>0.47847000000000001</v>
      </c>
      <c r="I240" s="254">
        <f t="shared" si="83"/>
        <v>0.50251000000000001</v>
      </c>
      <c r="J240" s="254">
        <f t="shared" si="84"/>
        <v>0.52910000000000001</v>
      </c>
      <c r="M240" s="218" t="s">
        <v>611</v>
      </c>
      <c r="N240" s="218"/>
      <c r="O240" s="218" t="s">
        <v>493</v>
      </c>
      <c r="P240" s="109">
        <v>235</v>
      </c>
      <c r="Q240" s="109">
        <v>220</v>
      </c>
      <c r="R240" s="109">
        <v>209</v>
      </c>
      <c r="S240" s="109">
        <v>199</v>
      </c>
      <c r="T240" s="109">
        <v>189</v>
      </c>
      <c r="V240" s="135"/>
      <c r="W240" s="119" t="s">
        <v>309</v>
      </c>
    </row>
    <row r="241" spans="2:23" x14ac:dyDescent="0.3">
      <c r="B241" s="216" t="s">
        <v>469</v>
      </c>
      <c r="C241" s="216" t="str">
        <f t="shared" si="78"/>
        <v>TFLEPYD101</v>
      </c>
      <c r="D241" s="221"/>
      <c r="E241" s="216" t="str">
        <f t="shared" si="79"/>
        <v>TFLS</v>
      </c>
      <c r="F241" s="254">
        <f t="shared" si="80"/>
        <v>1.0869599999999999</v>
      </c>
      <c r="G241" s="254">
        <f t="shared" si="81"/>
        <v>1.0638300000000001</v>
      </c>
      <c r="H241" s="254">
        <f t="shared" si="82"/>
        <v>1.13636</v>
      </c>
      <c r="I241" s="254">
        <f t="shared" si="83"/>
        <v>1.2195100000000001</v>
      </c>
      <c r="J241" s="254">
        <f t="shared" si="84"/>
        <v>1.31579</v>
      </c>
      <c r="M241" s="218" t="s">
        <v>153</v>
      </c>
      <c r="N241" s="218"/>
      <c r="O241" s="218" t="s">
        <v>349</v>
      </c>
      <c r="P241" s="109">
        <v>92</v>
      </c>
      <c r="Q241" s="109">
        <v>94</v>
      </c>
      <c r="R241" s="109">
        <v>88</v>
      </c>
      <c r="S241" s="109">
        <v>82</v>
      </c>
      <c r="T241" s="109">
        <v>76</v>
      </c>
      <c r="V241" s="135"/>
      <c r="W241" s="119" t="s">
        <v>309</v>
      </c>
    </row>
    <row r="242" spans="2:23" s="95" customFormat="1" x14ac:dyDescent="0.3">
      <c r="B242" s="216" t="s">
        <v>469</v>
      </c>
      <c r="C242" s="216" t="str">
        <f t="shared" si="78"/>
        <v>TFLEPYD901</v>
      </c>
      <c r="D242" s="221"/>
      <c r="E242" s="216" t="str">
        <f t="shared" si="79"/>
        <v>TFLS-C</v>
      </c>
      <c r="F242" s="254">
        <f t="shared" si="80"/>
        <v>1.0869599999999999</v>
      </c>
      <c r="G242" s="254">
        <f t="shared" si="81"/>
        <v>1.0638300000000001</v>
      </c>
      <c r="H242" s="254">
        <f t="shared" si="82"/>
        <v>1.13636</v>
      </c>
      <c r="I242" s="254">
        <f t="shared" si="83"/>
        <v>1.2195100000000001</v>
      </c>
      <c r="J242" s="254">
        <f t="shared" si="84"/>
        <v>1.31579</v>
      </c>
      <c r="M242" s="218" t="s">
        <v>313</v>
      </c>
      <c r="N242" s="218"/>
      <c r="O242" s="218" t="s">
        <v>493</v>
      </c>
      <c r="P242" s="109">
        <v>92</v>
      </c>
      <c r="Q242" s="109">
        <v>94</v>
      </c>
      <c r="R242" s="109">
        <v>88</v>
      </c>
      <c r="S242" s="109">
        <v>82</v>
      </c>
      <c r="T242" s="109">
        <v>76</v>
      </c>
      <c r="V242" s="135"/>
      <c r="W242" s="137" t="s">
        <v>309</v>
      </c>
    </row>
    <row r="243" spans="2:23" x14ac:dyDescent="0.3">
      <c r="B243" s="216" t="s">
        <v>469</v>
      </c>
      <c r="C243" s="216" t="str">
        <f t="shared" si="78"/>
        <v>TFLEPYG101</v>
      </c>
      <c r="D243" s="221"/>
      <c r="E243" s="216" t="str">
        <f t="shared" si="79"/>
        <v>TFLS</v>
      </c>
      <c r="F243" s="254">
        <f t="shared" si="80"/>
        <v>1.0101</v>
      </c>
      <c r="G243" s="254">
        <f t="shared" si="81"/>
        <v>0.99009999999999998</v>
      </c>
      <c r="H243" s="254">
        <f t="shared" si="82"/>
        <v>1.05263</v>
      </c>
      <c r="I243" s="254">
        <f t="shared" si="83"/>
        <v>1.1235999999999999</v>
      </c>
      <c r="J243" s="254">
        <f t="shared" si="84"/>
        <v>1.19048</v>
      </c>
      <c r="M243" s="218" t="s">
        <v>155</v>
      </c>
      <c r="N243" s="218"/>
      <c r="O243" s="218" t="s">
        <v>349</v>
      </c>
      <c r="P243" s="109">
        <v>99</v>
      </c>
      <c r="Q243" s="109">
        <v>101</v>
      </c>
      <c r="R243" s="109">
        <v>95</v>
      </c>
      <c r="S243" s="109">
        <v>89</v>
      </c>
      <c r="T243" s="109">
        <v>84</v>
      </c>
      <c r="V243" s="135"/>
      <c r="W243" s="119" t="s">
        <v>309</v>
      </c>
    </row>
    <row r="244" spans="2:23" x14ac:dyDescent="0.3">
      <c r="B244" s="219" t="s">
        <v>469</v>
      </c>
      <c r="C244" s="219" t="str">
        <f t="shared" si="78"/>
        <v>TFLEPYG901</v>
      </c>
      <c r="D244" s="222"/>
      <c r="E244" s="219" t="str">
        <f t="shared" si="79"/>
        <v>TFLS-C</v>
      </c>
      <c r="F244" s="256">
        <f t="shared" si="80"/>
        <v>1.0101</v>
      </c>
      <c r="G244" s="256">
        <f t="shared" si="81"/>
        <v>0.99009999999999998</v>
      </c>
      <c r="H244" s="256">
        <f t="shared" si="82"/>
        <v>1.05263</v>
      </c>
      <c r="I244" s="256">
        <f t="shared" si="83"/>
        <v>1.1235999999999999</v>
      </c>
      <c r="J244" s="256">
        <f t="shared" si="84"/>
        <v>1.19048</v>
      </c>
      <c r="M244" s="223" t="s">
        <v>314</v>
      </c>
      <c r="N244" s="227"/>
      <c r="O244" s="227" t="s">
        <v>493</v>
      </c>
      <c r="P244" s="113">
        <v>99</v>
      </c>
      <c r="Q244" s="113">
        <v>101</v>
      </c>
      <c r="R244" s="113">
        <v>95</v>
      </c>
      <c r="S244" s="113">
        <v>89</v>
      </c>
      <c r="T244" s="113">
        <v>84</v>
      </c>
      <c r="V244" s="135"/>
      <c r="W244" s="147" t="s">
        <v>309</v>
      </c>
    </row>
    <row r="245" spans="2:23" x14ac:dyDescent="0.3">
      <c r="B245" s="216" t="s">
        <v>469</v>
      </c>
      <c r="C245" s="216" t="str">
        <f t="shared" si="78"/>
        <v>TFMEBDL101</v>
      </c>
      <c r="D245" s="221"/>
      <c r="E245" s="216" t="str">
        <f t="shared" si="79"/>
        <v>TFMS</v>
      </c>
      <c r="F245" s="254">
        <f t="shared" si="80"/>
        <v>7.4069999999999997E-2</v>
      </c>
      <c r="G245" s="254">
        <f t="shared" si="81"/>
        <v>7.5469999999999995E-2</v>
      </c>
      <c r="H245" s="254">
        <f t="shared" si="82"/>
        <v>7.7670000000000003E-2</v>
      </c>
      <c r="I245" s="254">
        <f t="shared" si="83"/>
        <v>7.9600000000000004E-2</v>
      </c>
      <c r="J245" s="254">
        <f t="shared" si="84"/>
        <v>8.1629999999999994E-2</v>
      </c>
      <c r="M245" s="218" t="s">
        <v>359</v>
      </c>
      <c r="N245" s="226"/>
      <c r="O245" s="226" t="s">
        <v>379</v>
      </c>
      <c r="P245" s="109">
        <v>1350</v>
      </c>
      <c r="Q245" s="109">
        <v>1325</v>
      </c>
      <c r="R245" s="109">
        <v>1287.5</v>
      </c>
      <c r="S245" s="109">
        <v>1256.25</v>
      </c>
      <c r="T245" s="109">
        <v>1225</v>
      </c>
      <c r="V245" s="135"/>
      <c r="W245" s="119" t="s">
        <v>502</v>
      </c>
    </row>
    <row r="246" spans="2:23" x14ac:dyDescent="0.3">
      <c r="B246" s="216" t="s">
        <v>469</v>
      </c>
      <c r="C246" s="216" t="str">
        <f t="shared" si="78"/>
        <v>TFMEBDL901</v>
      </c>
      <c r="D246" s="221"/>
      <c r="E246" s="216" t="str">
        <f t="shared" si="79"/>
        <v>TFMS-C</v>
      </c>
      <c r="F246" s="254">
        <f t="shared" si="80"/>
        <v>7.4069999999999997E-2</v>
      </c>
      <c r="G246" s="254">
        <f t="shared" si="81"/>
        <v>7.5469999999999995E-2</v>
      </c>
      <c r="H246" s="254">
        <f t="shared" si="82"/>
        <v>7.7670000000000003E-2</v>
      </c>
      <c r="I246" s="254">
        <f t="shared" si="83"/>
        <v>7.9600000000000004E-2</v>
      </c>
      <c r="J246" s="254">
        <f t="shared" si="84"/>
        <v>8.1629999999999994E-2</v>
      </c>
      <c r="M246" s="218" t="s">
        <v>444</v>
      </c>
      <c r="N246" s="226"/>
      <c r="O246" s="226" t="s">
        <v>503</v>
      </c>
      <c r="P246" s="109">
        <v>1350</v>
      </c>
      <c r="Q246" s="109">
        <v>1325</v>
      </c>
      <c r="R246" s="109">
        <v>1287.5</v>
      </c>
      <c r="S246" s="109">
        <v>1256.25</v>
      </c>
      <c r="T246" s="109">
        <v>1225</v>
      </c>
      <c r="V246" s="135"/>
      <c r="W246" s="119" t="s">
        <v>502</v>
      </c>
    </row>
    <row r="247" spans="2:23" x14ac:dyDescent="0.3">
      <c r="B247" s="216" t="s">
        <v>469</v>
      </c>
      <c r="C247" s="216" t="str">
        <f t="shared" si="78"/>
        <v>TFMEDME101</v>
      </c>
      <c r="D247" s="221"/>
      <c r="E247" s="216" t="str">
        <f t="shared" si="79"/>
        <v>TFMS</v>
      </c>
      <c r="F247" s="254">
        <f t="shared" si="80"/>
        <v>7.4069999999999997E-2</v>
      </c>
      <c r="G247" s="254">
        <f t="shared" si="81"/>
        <v>7.5469999999999995E-2</v>
      </c>
      <c r="H247" s="254">
        <f t="shared" si="82"/>
        <v>7.7670000000000003E-2</v>
      </c>
      <c r="I247" s="254">
        <f t="shared" si="83"/>
        <v>7.9600000000000004E-2</v>
      </c>
      <c r="J247" s="254">
        <f t="shared" si="84"/>
        <v>8.1629999999999994E-2</v>
      </c>
      <c r="M247" s="218" t="s">
        <v>360</v>
      </c>
      <c r="N247" s="226"/>
      <c r="O247" s="226" t="s">
        <v>379</v>
      </c>
      <c r="P247" s="109">
        <v>1350</v>
      </c>
      <c r="Q247" s="109">
        <v>1325</v>
      </c>
      <c r="R247" s="109">
        <v>1287.5</v>
      </c>
      <c r="S247" s="109">
        <v>1256.25</v>
      </c>
      <c r="T247" s="109">
        <v>1225</v>
      </c>
      <c r="V247" s="135"/>
      <c r="W247" s="119" t="s">
        <v>502</v>
      </c>
    </row>
    <row r="248" spans="2:23" x14ac:dyDescent="0.3">
      <c r="B248" s="216" t="s">
        <v>469</v>
      </c>
      <c r="C248" s="216" t="str">
        <f t="shared" si="78"/>
        <v>TFMEDME901</v>
      </c>
      <c r="D248" s="221"/>
      <c r="E248" s="216" t="str">
        <f t="shared" si="79"/>
        <v>TFMS-C</v>
      </c>
      <c r="F248" s="254">
        <f t="shared" si="80"/>
        <v>7.4069999999999997E-2</v>
      </c>
      <c r="G248" s="254">
        <f t="shared" si="81"/>
        <v>7.5469999999999995E-2</v>
      </c>
      <c r="H248" s="254">
        <f t="shared" si="82"/>
        <v>7.7670000000000003E-2</v>
      </c>
      <c r="I248" s="254">
        <f t="shared" si="83"/>
        <v>7.9600000000000004E-2</v>
      </c>
      <c r="J248" s="254">
        <f t="shared" si="84"/>
        <v>8.1629999999999994E-2</v>
      </c>
      <c r="M248" s="218" t="s">
        <v>445</v>
      </c>
      <c r="N248" s="226"/>
      <c r="O248" s="226" t="s">
        <v>503</v>
      </c>
      <c r="P248" s="109">
        <v>1350</v>
      </c>
      <c r="Q248" s="109">
        <v>1325</v>
      </c>
      <c r="R248" s="109">
        <v>1287.5</v>
      </c>
      <c r="S248" s="109">
        <v>1256.25</v>
      </c>
      <c r="T248" s="109">
        <v>1225</v>
      </c>
      <c r="V248" s="135"/>
      <c r="W248" s="119" t="s">
        <v>502</v>
      </c>
    </row>
    <row r="249" spans="2:23" x14ac:dyDescent="0.3">
      <c r="B249" s="216" t="s">
        <v>469</v>
      </c>
      <c r="C249" s="216" t="str">
        <f t="shared" si="78"/>
        <v>TFMEDST101</v>
      </c>
      <c r="D249" s="221"/>
      <c r="E249" s="216" t="str">
        <f t="shared" si="79"/>
        <v>TFMS</v>
      </c>
      <c r="F249" s="254">
        <f t="shared" si="80"/>
        <v>7.4069999999999997E-2</v>
      </c>
      <c r="G249" s="254">
        <f t="shared" si="81"/>
        <v>7.5469999999999995E-2</v>
      </c>
      <c r="H249" s="254">
        <f t="shared" si="82"/>
        <v>7.7670000000000003E-2</v>
      </c>
      <c r="I249" s="254">
        <f t="shared" si="83"/>
        <v>7.9600000000000004E-2</v>
      </c>
      <c r="J249" s="254">
        <f t="shared" si="84"/>
        <v>8.1629999999999994E-2</v>
      </c>
      <c r="M249" s="218" t="s">
        <v>361</v>
      </c>
      <c r="N249" s="226"/>
      <c r="O249" s="226" t="s">
        <v>379</v>
      </c>
      <c r="P249" s="109">
        <v>1350</v>
      </c>
      <c r="Q249" s="109">
        <v>1325</v>
      </c>
      <c r="R249" s="109">
        <v>1287.5</v>
      </c>
      <c r="S249" s="109">
        <v>1256.25</v>
      </c>
      <c r="T249" s="109">
        <v>1225</v>
      </c>
      <c r="V249" s="135"/>
      <c r="W249" s="119" t="s">
        <v>502</v>
      </c>
    </row>
    <row r="250" spans="2:23" x14ac:dyDescent="0.3">
      <c r="B250" s="216" t="s">
        <v>469</v>
      </c>
      <c r="C250" s="216" t="str">
        <f t="shared" si="78"/>
        <v>TFMEDST901</v>
      </c>
      <c r="D250" s="221"/>
      <c r="E250" s="216" t="str">
        <f t="shared" si="79"/>
        <v>TFMS-C</v>
      </c>
      <c r="F250" s="254">
        <f t="shared" si="80"/>
        <v>7.4069999999999997E-2</v>
      </c>
      <c r="G250" s="254">
        <f t="shared" si="81"/>
        <v>7.5469999999999995E-2</v>
      </c>
      <c r="H250" s="254">
        <f t="shared" si="82"/>
        <v>7.7670000000000003E-2</v>
      </c>
      <c r="I250" s="254">
        <f t="shared" si="83"/>
        <v>7.9600000000000004E-2</v>
      </c>
      <c r="J250" s="254">
        <f t="shared" si="84"/>
        <v>8.1629999999999994E-2</v>
      </c>
      <c r="M250" s="218" t="s">
        <v>446</v>
      </c>
      <c r="N250" s="226"/>
      <c r="O250" s="226" t="s">
        <v>503</v>
      </c>
      <c r="P250" s="109">
        <v>1350</v>
      </c>
      <c r="Q250" s="109">
        <v>1325</v>
      </c>
      <c r="R250" s="109">
        <v>1287.5</v>
      </c>
      <c r="S250" s="109">
        <v>1256.25</v>
      </c>
      <c r="T250" s="109">
        <v>1225</v>
      </c>
      <c r="V250" s="135"/>
      <c r="W250" s="119" t="s">
        <v>502</v>
      </c>
    </row>
    <row r="251" spans="2:23" x14ac:dyDescent="0.3">
      <c r="B251" s="216" t="s">
        <v>469</v>
      </c>
      <c r="C251" s="216" t="str">
        <f t="shared" ref="C251:C252" si="85">M251</f>
        <v>TFMEELC101</v>
      </c>
      <c r="D251" s="221"/>
      <c r="E251" s="216" t="str">
        <f t="shared" ref="E251:E252" si="86">O251</f>
        <v>TFMS</v>
      </c>
      <c r="F251" s="254">
        <f t="shared" si="80"/>
        <v>0.17985999999999999</v>
      </c>
      <c r="G251" s="254">
        <f t="shared" si="81"/>
        <v>0.17985999999999999</v>
      </c>
      <c r="H251" s="254">
        <f t="shared" si="82"/>
        <v>0.18970999999999999</v>
      </c>
      <c r="I251" s="254">
        <f t="shared" si="83"/>
        <v>0.19783999999999999</v>
      </c>
      <c r="J251" s="254">
        <f t="shared" si="84"/>
        <v>0.20982999999999999</v>
      </c>
      <c r="M251" s="218" t="s">
        <v>362</v>
      </c>
      <c r="N251" s="226"/>
      <c r="O251" s="226" t="s">
        <v>379</v>
      </c>
      <c r="P251" s="115">
        <v>556</v>
      </c>
      <c r="Q251" s="115">
        <v>556</v>
      </c>
      <c r="R251" s="115">
        <v>527.11688311688317</v>
      </c>
      <c r="S251" s="115">
        <v>505.45454545454555</v>
      </c>
      <c r="T251" s="115">
        <v>476.57142857142867</v>
      </c>
      <c r="V251" s="135"/>
      <c r="W251" s="119" t="s">
        <v>665</v>
      </c>
    </row>
    <row r="252" spans="2:23" x14ac:dyDescent="0.3">
      <c r="B252" s="216" t="s">
        <v>469</v>
      </c>
      <c r="C252" s="216" t="str">
        <f t="shared" si="85"/>
        <v>TFMEELC901</v>
      </c>
      <c r="D252" s="221"/>
      <c r="E252" s="216" t="str">
        <f t="shared" si="86"/>
        <v>TFMS-C</v>
      </c>
      <c r="F252" s="254">
        <f t="shared" si="80"/>
        <v>0.17985999999999999</v>
      </c>
      <c r="G252" s="254">
        <f t="shared" si="81"/>
        <v>0.17985999999999999</v>
      </c>
      <c r="H252" s="254">
        <f t="shared" si="82"/>
        <v>0.18970999999999999</v>
      </c>
      <c r="I252" s="254">
        <f t="shared" si="83"/>
        <v>0.19783999999999999</v>
      </c>
      <c r="J252" s="254">
        <f t="shared" si="84"/>
        <v>0.20982999999999999</v>
      </c>
      <c r="M252" s="218" t="s">
        <v>447</v>
      </c>
      <c r="N252" s="226"/>
      <c r="O252" s="226" t="s">
        <v>503</v>
      </c>
      <c r="P252" s="115">
        <v>556</v>
      </c>
      <c r="Q252" s="115">
        <v>556</v>
      </c>
      <c r="R252" s="115">
        <v>527.11688311688317</v>
      </c>
      <c r="S252" s="115">
        <v>505.45454545454555</v>
      </c>
      <c r="T252" s="115">
        <v>476.57142857142867</v>
      </c>
      <c r="V252" s="135"/>
      <c r="W252" s="119" t="s">
        <v>665</v>
      </c>
    </row>
    <row r="253" spans="2:23" x14ac:dyDescent="0.3">
      <c r="B253" s="216" t="s">
        <v>469</v>
      </c>
      <c r="C253" s="216" t="str">
        <f t="shared" si="78"/>
        <v>TFMEETH101</v>
      </c>
      <c r="D253" s="221"/>
      <c r="E253" s="216" t="str">
        <f t="shared" si="79"/>
        <v>TFMS</v>
      </c>
      <c r="F253" s="254">
        <f t="shared" si="80"/>
        <v>7.4069999999999997E-2</v>
      </c>
      <c r="G253" s="254">
        <f t="shared" si="81"/>
        <v>7.5469999999999995E-2</v>
      </c>
      <c r="H253" s="254">
        <f t="shared" si="82"/>
        <v>7.7670000000000003E-2</v>
      </c>
      <c r="I253" s="254">
        <f t="shared" si="83"/>
        <v>7.9600000000000004E-2</v>
      </c>
      <c r="J253" s="254">
        <f t="shared" si="84"/>
        <v>8.1629999999999994E-2</v>
      </c>
      <c r="M253" s="218" t="s">
        <v>363</v>
      </c>
      <c r="N253" s="226"/>
      <c r="O253" s="226" t="s">
        <v>379</v>
      </c>
      <c r="P253" s="109">
        <f>P249</f>
        <v>1350</v>
      </c>
      <c r="Q253" s="109">
        <f t="shared" ref="Q253:T253" si="87">Q249</f>
        <v>1325</v>
      </c>
      <c r="R253" s="109">
        <f t="shared" si="87"/>
        <v>1287.5</v>
      </c>
      <c r="S253" s="109">
        <f t="shared" si="87"/>
        <v>1256.25</v>
      </c>
      <c r="T253" s="109">
        <f t="shared" si="87"/>
        <v>1225</v>
      </c>
      <c r="V253" s="135"/>
      <c r="W253" s="119" t="s">
        <v>502</v>
      </c>
    </row>
    <row r="254" spans="2:23" x14ac:dyDescent="0.3">
      <c r="B254" s="216" t="s">
        <v>469</v>
      </c>
      <c r="C254" s="216" t="str">
        <f t="shared" si="78"/>
        <v>TFMEETH901</v>
      </c>
      <c r="D254" s="221"/>
      <c r="E254" s="216" t="str">
        <f t="shared" si="79"/>
        <v>TFMS-C</v>
      </c>
      <c r="F254" s="254">
        <f t="shared" si="80"/>
        <v>7.4069999999999997E-2</v>
      </c>
      <c r="G254" s="254">
        <f t="shared" si="81"/>
        <v>7.5469999999999995E-2</v>
      </c>
      <c r="H254" s="254">
        <f t="shared" si="82"/>
        <v>7.7670000000000003E-2</v>
      </c>
      <c r="I254" s="254">
        <f t="shared" si="83"/>
        <v>7.9600000000000004E-2</v>
      </c>
      <c r="J254" s="254">
        <f t="shared" si="84"/>
        <v>8.1629999999999994E-2</v>
      </c>
      <c r="M254" s="218" t="s">
        <v>448</v>
      </c>
      <c r="N254" s="226"/>
      <c r="O254" s="226" t="s">
        <v>503</v>
      </c>
      <c r="P254" s="109">
        <f t="shared" ref="P254:T254" si="88">P250</f>
        <v>1350</v>
      </c>
      <c r="Q254" s="109">
        <f t="shared" si="88"/>
        <v>1325</v>
      </c>
      <c r="R254" s="109">
        <f t="shared" si="88"/>
        <v>1287.5</v>
      </c>
      <c r="S254" s="109">
        <f t="shared" si="88"/>
        <v>1256.25</v>
      </c>
      <c r="T254" s="109">
        <f t="shared" si="88"/>
        <v>1225</v>
      </c>
      <c r="V254" s="135"/>
      <c r="W254" s="119" t="s">
        <v>502</v>
      </c>
    </row>
    <row r="255" spans="2:23" x14ac:dyDescent="0.3">
      <c r="B255" s="216" t="s">
        <v>469</v>
      </c>
      <c r="C255" s="216" t="str">
        <f t="shared" si="78"/>
        <v>TFMEGAS101</v>
      </c>
      <c r="D255" s="221"/>
      <c r="E255" s="216" t="str">
        <f t="shared" si="79"/>
        <v>TFMS</v>
      </c>
      <c r="F255" s="254">
        <f t="shared" si="80"/>
        <v>6.7229999999999998E-2</v>
      </c>
      <c r="G255" s="254">
        <f t="shared" si="81"/>
        <v>6.8089999999999998E-2</v>
      </c>
      <c r="H255" s="254">
        <f t="shared" si="82"/>
        <v>7.0800000000000002E-2</v>
      </c>
      <c r="I255" s="254">
        <f t="shared" si="83"/>
        <v>7.2730000000000003E-2</v>
      </c>
      <c r="J255" s="254">
        <f t="shared" si="84"/>
        <v>7.4770000000000003E-2</v>
      </c>
      <c r="M255" s="218" t="s">
        <v>364</v>
      </c>
      <c r="N255" s="226"/>
      <c r="O255" s="226" t="s">
        <v>379</v>
      </c>
      <c r="P255" s="109">
        <v>1487.5</v>
      </c>
      <c r="Q255" s="109">
        <v>1468.75</v>
      </c>
      <c r="R255" s="109">
        <v>1412.5</v>
      </c>
      <c r="S255" s="109">
        <v>1375</v>
      </c>
      <c r="T255" s="109">
        <v>1337.5</v>
      </c>
      <c r="V255" s="135"/>
      <c r="W255" s="119" t="s">
        <v>502</v>
      </c>
    </row>
    <row r="256" spans="2:23" x14ac:dyDescent="0.3">
      <c r="B256" s="216" t="s">
        <v>469</v>
      </c>
      <c r="C256" s="216" t="str">
        <f t="shared" si="78"/>
        <v>TFMEGAS901</v>
      </c>
      <c r="D256" s="221"/>
      <c r="E256" s="216" t="str">
        <f t="shared" si="79"/>
        <v>TFMS-C</v>
      </c>
      <c r="F256" s="254">
        <f t="shared" si="80"/>
        <v>6.7229999999999998E-2</v>
      </c>
      <c r="G256" s="254">
        <f t="shared" si="81"/>
        <v>6.8089999999999998E-2</v>
      </c>
      <c r="H256" s="254">
        <f t="shared" si="82"/>
        <v>7.0800000000000002E-2</v>
      </c>
      <c r="I256" s="254">
        <f t="shared" si="83"/>
        <v>7.2730000000000003E-2</v>
      </c>
      <c r="J256" s="254">
        <f t="shared" si="84"/>
        <v>7.4770000000000003E-2</v>
      </c>
      <c r="M256" s="218" t="s">
        <v>449</v>
      </c>
      <c r="N256" s="226"/>
      <c r="O256" s="226" t="s">
        <v>503</v>
      </c>
      <c r="P256" s="109">
        <v>1487.5</v>
      </c>
      <c r="Q256" s="109">
        <v>1468.75</v>
      </c>
      <c r="R256" s="109">
        <v>1412.5</v>
      </c>
      <c r="S256" s="109">
        <v>1375</v>
      </c>
      <c r="T256" s="109">
        <v>1337.5</v>
      </c>
      <c r="V256" s="135"/>
      <c r="W256" s="119" t="s">
        <v>502</v>
      </c>
    </row>
    <row r="257" spans="2:23" x14ac:dyDescent="0.3">
      <c r="B257" s="216" t="s">
        <v>469</v>
      </c>
      <c r="C257" s="216" t="str">
        <f t="shared" si="78"/>
        <v>TFMEGSL101</v>
      </c>
      <c r="D257" s="221"/>
      <c r="E257" s="216" t="str">
        <f t="shared" si="79"/>
        <v>TFMS</v>
      </c>
      <c r="F257" s="254">
        <f t="shared" si="80"/>
        <v>6.7229999999999998E-2</v>
      </c>
      <c r="G257" s="254">
        <f t="shared" si="81"/>
        <v>6.8089999999999998E-2</v>
      </c>
      <c r="H257" s="254">
        <f t="shared" si="82"/>
        <v>7.0800000000000002E-2</v>
      </c>
      <c r="I257" s="254">
        <f t="shared" si="83"/>
        <v>7.2730000000000003E-2</v>
      </c>
      <c r="J257" s="254">
        <f t="shared" si="84"/>
        <v>7.4770000000000003E-2</v>
      </c>
      <c r="M257" s="218" t="s">
        <v>365</v>
      </c>
      <c r="N257" s="226"/>
      <c r="O257" s="226" t="s">
        <v>379</v>
      </c>
      <c r="P257" s="109">
        <v>1487.5</v>
      </c>
      <c r="Q257" s="109">
        <v>1468.75</v>
      </c>
      <c r="R257" s="109">
        <v>1412.5</v>
      </c>
      <c r="S257" s="109">
        <v>1375</v>
      </c>
      <c r="T257" s="109">
        <v>1337.5</v>
      </c>
      <c r="V257" s="135"/>
      <c r="W257" s="119" t="s">
        <v>502</v>
      </c>
    </row>
    <row r="258" spans="2:23" x14ac:dyDescent="0.3">
      <c r="B258" s="216" t="s">
        <v>469</v>
      </c>
      <c r="C258" s="216" t="str">
        <f t="shared" si="78"/>
        <v>TFMEGSL901</v>
      </c>
      <c r="D258" s="221"/>
      <c r="E258" s="216" t="str">
        <f t="shared" si="79"/>
        <v>TFMS-C</v>
      </c>
      <c r="F258" s="254">
        <f t="shared" si="80"/>
        <v>6.7229999999999998E-2</v>
      </c>
      <c r="G258" s="254">
        <f t="shared" si="81"/>
        <v>6.8089999999999998E-2</v>
      </c>
      <c r="H258" s="254">
        <f t="shared" si="82"/>
        <v>7.0800000000000002E-2</v>
      </c>
      <c r="I258" s="254">
        <f t="shared" si="83"/>
        <v>7.2730000000000003E-2</v>
      </c>
      <c r="J258" s="254">
        <f t="shared" si="84"/>
        <v>7.4770000000000003E-2</v>
      </c>
      <c r="M258" s="218" t="s">
        <v>450</v>
      </c>
      <c r="N258" s="226"/>
      <c r="O258" s="226" t="s">
        <v>503</v>
      </c>
      <c r="P258" s="109">
        <v>1487.5</v>
      </c>
      <c r="Q258" s="109">
        <v>1468.75</v>
      </c>
      <c r="R258" s="109">
        <v>1412.5</v>
      </c>
      <c r="S258" s="109">
        <v>1375</v>
      </c>
      <c r="T258" s="109">
        <v>1337.5</v>
      </c>
      <c r="V258" s="135"/>
      <c r="W258" s="119" t="s">
        <v>502</v>
      </c>
    </row>
    <row r="259" spans="2:23" x14ac:dyDescent="0.3">
      <c r="B259" s="216" t="s">
        <v>469</v>
      </c>
      <c r="C259" s="216" t="str">
        <f>M259</f>
        <v>TFMEHFC101</v>
      </c>
      <c r="D259" s="221"/>
      <c r="E259" s="216" t="str">
        <f>O259</f>
        <v>TFMS</v>
      </c>
      <c r="F259" s="254">
        <f t="shared" si="80"/>
        <v>0.12307999999999999</v>
      </c>
      <c r="G259" s="254">
        <f t="shared" si="81"/>
        <v>0.125</v>
      </c>
      <c r="H259" s="254">
        <f t="shared" si="82"/>
        <v>0.13114999999999999</v>
      </c>
      <c r="I259" s="254">
        <f t="shared" si="83"/>
        <v>0.13444999999999999</v>
      </c>
      <c r="J259" s="254">
        <f t="shared" si="84"/>
        <v>0.13793</v>
      </c>
      <c r="M259" s="218" t="s">
        <v>367</v>
      </c>
      <c r="N259" s="226"/>
      <c r="O259" s="226" t="s">
        <v>379</v>
      </c>
      <c r="P259" s="109">
        <v>812.5</v>
      </c>
      <c r="Q259" s="109">
        <v>800</v>
      </c>
      <c r="R259" s="109">
        <v>762.5</v>
      </c>
      <c r="S259" s="109">
        <v>743.75</v>
      </c>
      <c r="T259" s="109">
        <v>725</v>
      </c>
      <c r="V259" s="135"/>
      <c r="W259" s="119" t="s">
        <v>502</v>
      </c>
    </row>
    <row r="260" spans="2:23" x14ac:dyDescent="0.3">
      <c r="B260" s="216" t="s">
        <v>469</v>
      </c>
      <c r="C260" s="216" t="str">
        <f>M260</f>
        <v>TFMEHFC901</v>
      </c>
      <c r="D260" s="221"/>
      <c r="E260" s="216" t="str">
        <f>O260</f>
        <v>TFMS-C</v>
      </c>
      <c r="F260" s="254">
        <f t="shared" si="80"/>
        <v>0.12307999999999999</v>
      </c>
      <c r="G260" s="254">
        <f t="shared" si="81"/>
        <v>0.125</v>
      </c>
      <c r="H260" s="254">
        <f t="shared" si="82"/>
        <v>0.13114999999999999</v>
      </c>
      <c r="I260" s="254">
        <f t="shared" si="83"/>
        <v>0.13444999999999999</v>
      </c>
      <c r="J260" s="254">
        <f t="shared" si="84"/>
        <v>0.13793</v>
      </c>
      <c r="M260" s="218" t="s">
        <v>453</v>
      </c>
      <c r="N260" s="226"/>
      <c r="O260" s="226" t="s">
        <v>503</v>
      </c>
      <c r="P260" s="109">
        <v>812.5</v>
      </c>
      <c r="Q260" s="109">
        <v>800</v>
      </c>
      <c r="R260" s="109">
        <v>762.5</v>
      </c>
      <c r="S260" s="109">
        <v>743.75</v>
      </c>
      <c r="T260" s="109">
        <v>725</v>
      </c>
      <c r="V260" s="135"/>
      <c r="W260" s="119" t="s">
        <v>502</v>
      </c>
    </row>
    <row r="261" spans="2:23" x14ac:dyDescent="0.3">
      <c r="B261" s="216" t="s">
        <v>469</v>
      </c>
      <c r="C261" s="216" t="str">
        <f t="shared" si="78"/>
        <v>TFMEHYD101</v>
      </c>
      <c r="D261" s="221"/>
      <c r="E261" s="216" t="str">
        <f t="shared" si="79"/>
        <v>TFMS</v>
      </c>
      <c r="F261" s="254">
        <f t="shared" si="80"/>
        <v>8.2470000000000002E-2</v>
      </c>
      <c r="G261" s="254">
        <f t="shared" si="81"/>
        <v>8.4209999999999993E-2</v>
      </c>
      <c r="H261" s="254">
        <f t="shared" si="82"/>
        <v>8.6959999999999996E-2</v>
      </c>
      <c r="I261" s="254">
        <f t="shared" si="83"/>
        <v>8.8889999999999997E-2</v>
      </c>
      <c r="J261" s="254">
        <f t="shared" si="84"/>
        <v>9.0910000000000005E-2</v>
      </c>
      <c r="M261" s="218" t="s">
        <v>366</v>
      </c>
      <c r="N261" s="226"/>
      <c r="O261" s="226" t="s">
        <v>379</v>
      </c>
      <c r="P261" s="109">
        <v>1212.5</v>
      </c>
      <c r="Q261" s="109">
        <v>1187.5</v>
      </c>
      <c r="R261" s="109">
        <v>1150</v>
      </c>
      <c r="S261" s="109">
        <v>1125</v>
      </c>
      <c r="T261" s="109">
        <v>1100</v>
      </c>
      <c r="V261" s="135"/>
      <c r="W261" s="119" t="s">
        <v>502</v>
      </c>
    </row>
    <row r="262" spans="2:23" x14ac:dyDescent="0.3">
      <c r="B262" s="216" t="s">
        <v>469</v>
      </c>
      <c r="C262" s="216" t="str">
        <f t="shared" ref="C262:C292" si="89">M262</f>
        <v>TFMEHYD901</v>
      </c>
      <c r="D262" s="221"/>
      <c r="E262" s="216" t="str">
        <f t="shared" ref="E262:E292" si="90">O262</f>
        <v>TFMS-C</v>
      </c>
      <c r="F262" s="254">
        <f t="shared" si="80"/>
        <v>8.2470000000000002E-2</v>
      </c>
      <c r="G262" s="254">
        <f t="shared" si="81"/>
        <v>8.4209999999999993E-2</v>
      </c>
      <c r="H262" s="254">
        <f t="shared" si="82"/>
        <v>8.6959999999999996E-2</v>
      </c>
      <c r="I262" s="254">
        <f t="shared" si="83"/>
        <v>8.8889999999999997E-2</v>
      </c>
      <c r="J262" s="254">
        <f t="shared" si="84"/>
        <v>9.0910000000000005E-2</v>
      </c>
      <c r="M262" s="218" t="s">
        <v>451</v>
      </c>
      <c r="N262" s="226"/>
      <c r="O262" s="226" t="s">
        <v>503</v>
      </c>
      <c r="P262" s="109">
        <v>1212.5</v>
      </c>
      <c r="Q262" s="109">
        <v>1187.5</v>
      </c>
      <c r="R262" s="109">
        <v>1150</v>
      </c>
      <c r="S262" s="109">
        <v>1125</v>
      </c>
      <c r="T262" s="109">
        <v>1100</v>
      </c>
      <c r="V262" s="135"/>
      <c r="W262" s="119" t="s">
        <v>502</v>
      </c>
    </row>
    <row r="263" spans="2:23" x14ac:dyDescent="0.3">
      <c r="B263" s="216" t="s">
        <v>469</v>
      </c>
      <c r="C263" s="216" t="str">
        <f t="shared" si="89"/>
        <v>TFMEHYG101</v>
      </c>
      <c r="D263" s="221"/>
      <c r="E263" s="216" t="str">
        <f t="shared" si="90"/>
        <v>TFMS</v>
      </c>
      <c r="F263" s="254">
        <f t="shared" si="80"/>
        <v>0.11169999999999999</v>
      </c>
      <c r="G263" s="254">
        <f t="shared" si="81"/>
        <v>0.11277</v>
      </c>
      <c r="H263" s="254">
        <f t="shared" si="82"/>
        <v>0.11953999999999999</v>
      </c>
      <c r="I263" s="254">
        <f t="shared" si="83"/>
        <v>0.12284</v>
      </c>
      <c r="J263" s="254">
        <f t="shared" si="84"/>
        <v>0.12633</v>
      </c>
      <c r="M263" s="218" t="s">
        <v>425</v>
      </c>
      <c r="N263" s="226"/>
      <c r="O263" s="226" t="s">
        <v>379</v>
      </c>
      <c r="P263" s="109">
        <v>895.25462962962968</v>
      </c>
      <c r="Q263" s="109">
        <v>886.79245283018872</v>
      </c>
      <c r="R263" s="109">
        <v>836.52912621359224</v>
      </c>
      <c r="S263" s="109">
        <v>814.05472636815921</v>
      </c>
      <c r="T263" s="109">
        <v>791.58163265306121</v>
      </c>
      <c r="V263" s="135"/>
      <c r="W263" s="119" t="s">
        <v>502</v>
      </c>
    </row>
    <row r="264" spans="2:23" x14ac:dyDescent="0.3">
      <c r="B264" s="216" t="s">
        <v>469</v>
      </c>
      <c r="C264" s="216" t="str">
        <f t="shared" si="89"/>
        <v>TFMEHYG901</v>
      </c>
      <c r="D264" s="221"/>
      <c r="E264" s="216" t="str">
        <f t="shared" si="90"/>
        <v>TFMS-C</v>
      </c>
      <c r="F264" s="254">
        <f t="shared" si="80"/>
        <v>0.11169999999999999</v>
      </c>
      <c r="G264" s="254">
        <f t="shared" si="81"/>
        <v>0.11277</v>
      </c>
      <c r="H264" s="254">
        <f t="shared" si="82"/>
        <v>0.11953999999999999</v>
      </c>
      <c r="I264" s="254">
        <f t="shared" si="83"/>
        <v>0.12284</v>
      </c>
      <c r="J264" s="254">
        <f t="shared" si="84"/>
        <v>0.12633</v>
      </c>
      <c r="M264" s="218" t="s">
        <v>452</v>
      </c>
      <c r="N264" s="226"/>
      <c r="O264" s="226" t="s">
        <v>503</v>
      </c>
      <c r="P264" s="109">
        <v>895.25462962962968</v>
      </c>
      <c r="Q264" s="109">
        <v>886.79245283018872</v>
      </c>
      <c r="R264" s="109">
        <v>836.52912621359224</v>
      </c>
      <c r="S264" s="109">
        <v>814.05472636815921</v>
      </c>
      <c r="T264" s="109">
        <v>791.58163265306121</v>
      </c>
      <c r="V264" s="135"/>
      <c r="W264" s="119" t="s">
        <v>502</v>
      </c>
    </row>
    <row r="265" spans="2:23" x14ac:dyDescent="0.3">
      <c r="B265" s="216" t="s">
        <v>469</v>
      </c>
      <c r="C265" s="216" t="str">
        <f t="shared" si="89"/>
        <v>TFMELPG101</v>
      </c>
      <c r="D265" s="221"/>
      <c r="E265" s="216" t="str">
        <f t="shared" si="90"/>
        <v>TFMS</v>
      </c>
      <c r="F265" s="254">
        <f t="shared" si="80"/>
        <v>6.7229999999999998E-2</v>
      </c>
      <c r="G265" s="254">
        <f t="shared" si="81"/>
        <v>6.8089999999999998E-2</v>
      </c>
      <c r="H265" s="254">
        <f t="shared" si="82"/>
        <v>7.0800000000000002E-2</v>
      </c>
      <c r="I265" s="254">
        <f t="shared" si="83"/>
        <v>7.2730000000000003E-2</v>
      </c>
      <c r="J265" s="254">
        <f t="shared" si="84"/>
        <v>7.4770000000000003E-2</v>
      </c>
      <c r="M265" s="218" t="s">
        <v>427</v>
      </c>
      <c r="N265" s="226"/>
      <c r="O265" s="226" t="s">
        <v>379</v>
      </c>
      <c r="P265" s="109">
        <v>1487.5</v>
      </c>
      <c r="Q265" s="109">
        <v>1468.75</v>
      </c>
      <c r="R265" s="109">
        <v>1412.5</v>
      </c>
      <c r="S265" s="109">
        <v>1375</v>
      </c>
      <c r="T265" s="109">
        <v>1337.5</v>
      </c>
      <c r="V265" s="135"/>
      <c r="W265" s="119" t="s">
        <v>502</v>
      </c>
    </row>
    <row r="266" spans="2:23" x14ac:dyDescent="0.3">
      <c r="B266" s="216" t="s">
        <v>469</v>
      </c>
      <c r="C266" s="216" t="str">
        <f t="shared" si="89"/>
        <v>TFMELPG901</v>
      </c>
      <c r="D266" s="221"/>
      <c r="E266" s="216" t="str">
        <f t="shared" si="90"/>
        <v>TFMS-C</v>
      </c>
      <c r="F266" s="254">
        <f t="shared" si="80"/>
        <v>6.7229999999999998E-2</v>
      </c>
      <c r="G266" s="254">
        <f t="shared" si="81"/>
        <v>6.8089999999999998E-2</v>
      </c>
      <c r="H266" s="254">
        <f t="shared" si="82"/>
        <v>7.0800000000000002E-2</v>
      </c>
      <c r="I266" s="254">
        <f t="shared" si="83"/>
        <v>7.2730000000000003E-2</v>
      </c>
      <c r="J266" s="254">
        <f t="shared" si="84"/>
        <v>7.4770000000000003E-2</v>
      </c>
      <c r="M266" s="218" t="s">
        <v>454</v>
      </c>
      <c r="N266" s="226"/>
      <c r="O266" s="226" t="s">
        <v>503</v>
      </c>
      <c r="P266" s="109">
        <v>1487.5</v>
      </c>
      <c r="Q266" s="109">
        <v>1468.75</v>
      </c>
      <c r="R266" s="109">
        <v>1412.5</v>
      </c>
      <c r="S266" s="109">
        <v>1375</v>
      </c>
      <c r="T266" s="109">
        <v>1337.5</v>
      </c>
      <c r="V266" s="135"/>
      <c r="W266" s="119" t="s">
        <v>502</v>
      </c>
    </row>
    <row r="267" spans="2:23" x14ac:dyDescent="0.3">
      <c r="B267" s="216" t="s">
        <v>469</v>
      </c>
      <c r="C267" s="216" t="str">
        <f t="shared" si="89"/>
        <v>TFMEMDE101</v>
      </c>
      <c r="D267" s="221"/>
      <c r="E267" s="216" t="str">
        <f t="shared" si="90"/>
        <v>TFMS</v>
      </c>
      <c r="F267" s="254">
        <f t="shared" si="80"/>
        <v>7.4069999999999997E-2</v>
      </c>
      <c r="G267" s="254">
        <f t="shared" si="81"/>
        <v>7.5469999999999995E-2</v>
      </c>
      <c r="H267" s="254">
        <f t="shared" si="82"/>
        <v>7.7670000000000003E-2</v>
      </c>
      <c r="I267" s="254">
        <f t="shared" si="83"/>
        <v>7.9600000000000004E-2</v>
      </c>
      <c r="J267" s="254">
        <f t="shared" si="84"/>
        <v>8.1629999999999994E-2</v>
      </c>
      <c r="M267" s="218" t="s">
        <v>368</v>
      </c>
      <c r="N267" s="226"/>
      <c r="O267" s="226" t="s">
        <v>379</v>
      </c>
      <c r="P267" s="109">
        <v>1350</v>
      </c>
      <c r="Q267" s="109">
        <v>1325</v>
      </c>
      <c r="R267" s="109">
        <v>1287.5</v>
      </c>
      <c r="S267" s="109">
        <v>1256.25</v>
      </c>
      <c r="T267" s="109">
        <v>1225</v>
      </c>
      <c r="V267" s="135"/>
      <c r="W267" s="119" t="s">
        <v>502</v>
      </c>
    </row>
    <row r="268" spans="2:23" x14ac:dyDescent="0.3">
      <c r="B268" s="216" t="s">
        <v>469</v>
      </c>
      <c r="C268" s="216" t="str">
        <f t="shared" si="89"/>
        <v>TFMEMDE901</v>
      </c>
      <c r="D268" s="221"/>
      <c r="E268" s="216" t="str">
        <f t="shared" si="90"/>
        <v>TFMS-C</v>
      </c>
      <c r="F268" s="254">
        <f t="shared" si="80"/>
        <v>7.4069999999999997E-2</v>
      </c>
      <c r="G268" s="254">
        <f t="shared" si="81"/>
        <v>7.5469999999999995E-2</v>
      </c>
      <c r="H268" s="254">
        <f t="shared" si="82"/>
        <v>7.7670000000000003E-2</v>
      </c>
      <c r="I268" s="254">
        <f t="shared" si="83"/>
        <v>7.9600000000000004E-2</v>
      </c>
      <c r="J268" s="254">
        <f t="shared" si="84"/>
        <v>8.1629999999999994E-2</v>
      </c>
      <c r="M268" s="218" t="s">
        <v>455</v>
      </c>
      <c r="N268" s="226"/>
      <c r="O268" s="226" t="s">
        <v>503</v>
      </c>
      <c r="P268" s="109">
        <v>1350</v>
      </c>
      <c r="Q268" s="109">
        <v>1325</v>
      </c>
      <c r="R268" s="109">
        <v>1287.5</v>
      </c>
      <c r="S268" s="109">
        <v>1256.25</v>
      </c>
      <c r="T268" s="109">
        <v>1225</v>
      </c>
      <c r="V268" s="135"/>
      <c r="W268" s="119" t="s">
        <v>502</v>
      </c>
    </row>
    <row r="269" spans="2:23" x14ac:dyDescent="0.3">
      <c r="B269" s="216" t="s">
        <v>469</v>
      </c>
      <c r="C269" s="216" t="str">
        <f t="shared" si="89"/>
        <v>TFMEMTH101</v>
      </c>
      <c r="D269" s="221"/>
      <c r="E269" s="216" t="str">
        <f t="shared" si="90"/>
        <v>TFMS</v>
      </c>
      <c r="F269" s="254">
        <f t="shared" si="80"/>
        <v>6.7229999999999998E-2</v>
      </c>
      <c r="G269" s="254">
        <f t="shared" si="81"/>
        <v>6.8089999999999998E-2</v>
      </c>
      <c r="H269" s="254">
        <f t="shared" si="82"/>
        <v>7.0800000000000002E-2</v>
      </c>
      <c r="I269" s="254">
        <f t="shared" si="83"/>
        <v>7.2730000000000003E-2</v>
      </c>
      <c r="J269" s="254">
        <f t="shared" si="84"/>
        <v>7.4770000000000003E-2</v>
      </c>
      <c r="M269" s="218" t="s">
        <v>612</v>
      </c>
      <c r="N269" s="226"/>
      <c r="O269" s="226" t="s">
        <v>379</v>
      </c>
      <c r="P269" s="109">
        <v>1487.5</v>
      </c>
      <c r="Q269" s="109">
        <v>1468.75</v>
      </c>
      <c r="R269" s="109">
        <v>1412.5</v>
      </c>
      <c r="S269" s="109">
        <v>1375</v>
      </c>
      <c r="T269" s="109">
        <v>1337.5</v>
      </c>
      <c r="V269" s="135"/>
      <c r="W269" s="119" t="s">
        <v>502</v>
      </c>
    </row>
    <row r="270" spans="2:23" x14ac:dyDescent="0.3">
      <c r="B270" s="216" t="s">
        <v>469</v>
      </c>
      <c r="C270" s="216" t="str">
        <f t="shared" si="89"/>
        <v>TFMEMTH901</v>
      </c>
      <c r="D270" s="221"/>
      <c r="E270" s="216" t="str">
        <f t="shared" si="90"/>
        <v>TFMS-C</v>
      </c>
      <c r="F270" s="254">
        <f t="shared" si="80"/>
        <v>6.7229999999999998E-2</v>
      </c>
      <c r="G270" s="254">
        <f t="shared" si="81"/>
        <v>6.8089999999999998E-2</v>
      </c>
      <c r="H270" s="254">
        <f t="shared" si="82"/>
        <v>7.0800000000000002E-2</v>
      </c>
      <c r="I270" s="254">
        <f t="shared" si="83"/>
        <v>7.2730000000000003E-2</v>
      </c>
      <c r="J270" s="254">
        <f t="shared" si="84"/>
        <v>7.4770000000000003E-2</v>
      </c>
      <c r="M270" s="218" t="s">
        <v>607</v>
      </c>
      <c r="N270" s="226"/>
      <c r="O270" s="226" t="s">
        <v>503</v>
      </c>
      <c r="P270" s="109">
        <v>1487.5</v>
      </c>
      <c r="Q270" s="109">
        <v>1468.75</v>
      </c>
      <c r="R270" s="109">
        <v>1412.5</v>
      </c>
      <c r="S270" s="109">
        <v>1375</v>
      </c>
      <c r="T270" s="109">
        <v>1337.5</v>
      </c>
      <c r="V270" s="135"/>
      <c r="W270" s="119" t="s">
        <v>502</v>
      </c>
    </row>
    <row r="271" spans="2:23" x14ac:dyDescent="0.3">
      <c r="B271" s="216" t="s">
        <v>469</v>
      </c>
      <c r="C271" s="216" t="str">
        <f t="shared" si="89"/>
        <v>TFMEPYD101</v>
      </c>
      <c r="D271" s="221"/>
      <c r="E271" s="216" t="str">
        <f t="shared" si="90"/>
        <v>TFMS</v>
      </c>
      <c r="F271" s="254">
        <f t="shared" si="80"/>
        <v>7.4069999999999997E-2</v>
      </c>
      <c r="G271" s="254">
        <f t="shared" si="81"/>
        <v>7.5469999999999995E-2</v>
      </c>
      <c r="H271" s="254">
        <f t="shared" si="82"/>
        <v>7.7670000000000003E-2</v>
      </c>
      <c r="I271" s="254">
        <f t="shared" si="83"/>
        <v>7.9600000000000004E-2</v>
      </c>
      <c r="J271" s="254">
        <f t="shared" si="84"/>
        <v>8.1629999999999994E-2</v>
      </c>
      <c r="M271" s="218" t="s">
        <v>424</v>
      </c>
      <c r="N271" s="226"/>
      <c r="O271" s="226" t="s">
        <v>379</v>
      </c>
      <c r="P271" s="109">
        <v>1350</v>
      </c>
      <c r="Q271" s="109">
        <v>1325</v>
      </c>
      <c r="R271" s="109">
        <v>1287.5</v>
      </c>
      <c r="S271" s="109">
        <v>1256.25</v>
      </c>
      <c r="T271" s="109">
        <v>1225</v>
      </c>
      <c r="V271" s="135"/>
      <c r="W271" s="119" t="s">
        <v>502</v>
      </c>
    </row>
    <row r="272" spans="2:23" x14ac:dyDescent="0.3">
      <c r="B272" s="216" t="s">
        <v>469</v>
      </c>
      <c r="C272" s="216" t="str">
        <f t="shared" si="89"/>
        <v>TFMEPYD901</v>
      </c>
      <c r="D272" s="221"/>
      <c r="E272" s="216" t="str">
        <f t="shared" si="90"/>
        <v>TFMS-C</v>
      </c>
      <c r="F272" s="254">
        <f t="shared" si="80"/>
        <v>7.4069999999999997E-2</v>
      </c>
      <c r="G272" s="254">
        <f t="shared" si="81"/>
        <v>7.5469999999999995E-2</v>
      </c>
      <c r="H272" s="254">
        <f t="shared" si="82"/>
        <v>7.7670000000000003E-2</v>
      </c>
      <c r="I272" s="254">
        <f t="shared" si="83"/>
        <v>7.9600000000000004E-2</v>
      </c>
      <c r="J272" s="254">
        <f t="shared" si="84"/>
        <v>8.1629999999999994E-2</v>
      </c>
      <c r="M272" s="218" t="s">
        <v>456</v>
      </c>
      <c r="N272" s="226"/>
      <c r="O272" s="226" t="s">
        <v>503</v>
      </c>
      <c r="P272" s="109">
        <v>1350</v>
      </c>
      <c r="Q272" s="109">
        <v>1325</v>
      </c>
      <c r="R272" s="109">
        <v>1287.5</v>
      </c>
      <c r="S272" s="109">
        <v>1256.25</v>
      </c>
      <c r="T272" s="109">
        <v>1225</v>
      </c>
      <c r="V272" s="135"/>
      <c r="W272" s="119" t="s">
        <v>502</v>
      </c>
    </row>
    <row r="273" spans="2:23" x14ac:dyDescent="0.3">
      <c r="B273" s="216" t="s">
        <v>469</v>
      </c>
      <c r="C273" s="216" t="str">
        <f t="shared" si="89"/>
        <v>TFMEPYG101</v>
      </c>
      <c r="D273" s="221"/>
      <c r="E273" s="216" t="str">
        <f t="shared" si="90"/>
        <v>TFMS</v>
      </c>
      <c r="F273" s="254">
        <f t="shared" si="80"/>
        <v>6.7229999999999998E-2</v>
      </c>
      <c r="G273" s="254">
        <f t="shared" si="81"/>
        <v>6.8089999999999998E-2</v>
      </c>
      <c r="H273" s="254">
        <f t="shared" si="82"/>
        <v>7.0800000000000002E-2</v>
      </c>
      <c r="I273" s="254">
        <f t="shared" si="83"/>
        <v>7.2730000000000003E-2</v>
      </c>
      <c r="J273" s="254">
        <f t="shared" si="84"/>
        <v>7.4770000000000003E-2</v>
      </c>
      <c r="M273" s="218" t="s">
        <v>426</v>
      </c>
      <c r="N273" s="226"/>
      <c r="O273" s="226" t="s">
        <v>379</v>
      </c>
      <c r="P273" s="109">
        <v>1487.5</v>
      </c>
      <c r="Q273" s="109">
        <v>1468.75</v>
      </c>
      <c r="R273" s="109">
        <v>1412.5</v>
      </c>
      <c r="S273" s="109">
        <v>1375</v>
      </c>
      <c r="T273" s="109">
        <v>1337.5</v>
      </c>
      <c r="V273" s="135"/>
      <c r="W273" s="119" t="s">
        <v>502</v>
      </c>
    </row>
    <row r="274" spans="2:23" x14ac:dyDescent="0.3">
      <c r="B274" s="219" t="s">
        <v>469</v>
      </c>
      <c r="C274" s="219" t="str">
        <f t="shared" si="89"/>
        <v>TFMEPYG901</v>
      </c>
      <c r="D274" s="222"/>
      <c r="E274" s="219" t="str">
        <f t="shared" si="90"/>
        <v>TFMS-C</v>
      </c>
      <c r="F274" s="256">
        <f t="shared" si="80"/>
        <v>6.7229999999999998E-2</v>
      </c>
      <c r="G274" s="256">
        <f t="shared" si="81"/>
        <v>6.8089999999999998E-2</v>
      </c>
      <c r="H274" s="256">
        <f t="shared" si="82"/>
        <v>7.0800000000000002E-2</v>
      </c>
      <c r="I274" s="256">
        <f t="shared" si="83"/>
        <v>7.2730000000000003E-2</v>
      </c>
      <c r="J274" s="256">
        <f t="shared" si="84"/>
        <v>7.4770000000000003E-2</v>
      </c>
      <c r="M274" s="223" t="s">
        <v>457</v>
      </c>
      <c r="N274" s="227"/>
      <c r="O274" s="227" t="s">
        <v>503</v>
      </c>
      <c r="P274" s="113">
        <v>1487.5</v>
      </c>
      <c r="Q274" s="113">
        <v>1468.75</v>
      </c>
      <c r="R274" s="113">
        <v>1412.5</v>
      </c>
      <c r="S274" s="113">
        <v>1375</v>
      </c>
      <c r="T274" s="113">
        <v>1337.5</v>
      </c>
      <c r="V274" s="135"/>
      <c r="W274" s="147" t="s">
        <v>502</v>
      </c>
    </row>
    <row r="275" spans="2:23" x14ac:dyDescent="0.3">
      <c r="B275" s="216" t="s">
        <v>469</v>
      </c>
      <c r="C275" s="216" t="str">
        <f t="shared" si="89"/>
        <v>TFREBDL101</v>
      </c>
      <c r="D275" s="221"/>
      <c r="E275" s="216" t="str">
        <f t="shared" si="90"/>
        <v>TFRS</v>
      </c>
      <c r="F275" s="254">
        <f t="shared" si="80"/>
        <v>7.4069999999999997E-2</v>
      </c>
      <c r="G275" s="254">
        <f t="shared" si="81"/>
        <v>7.5469999999999995E-2</v>
      </c>
      <c r="H275" s="254">
        <f t="shared" si="82"/>
        <v>7.7670000000000003E-2</v>
      </c>
      <c r="I275" s="254">
        <f t="shared" si="83"/>
        <v>7.9600000000000004E-2</v>
      </c>
      <c r="J275" s="254">
        <f t="shared" si="84"/>
        <v>8.1629999999999994E-2</v>
      </c>
      <c r="M275" s="218" t="s">
        <v>156</v>
      </c>
      <c r="N275" s="226"/>
      <c r="O275" s="226" t="s">
        <v>350</v>
      </c>
      <c r="P275" s="109">
        <v>1350</v>
      </c>
      <c r="Q275" s="109">
        <v>1325</v>
      </c>
      <c r="R275" s="109">
        <v>1287.5</v>
      </c>
      <c r="S275" s="109">
        <v>1256.25</v>
      </c>
      <c r="T275" s="109">
        <v>1225</v>
      </c>
      <c r="V275" s="135"/>
      <c r="W275" s="119" t="s">
        <v>502</v>
      </c>
    </row>
    <row r="276" spans="2:23" x14ac:dyDescent="0.3">
      <c r="B276" s="216" t="s">
        <v>469</v>
      </c>
      <c r="C276" s="216" t="str">
        <f t="shared" si="89"/>
        <v>TFREBDL901</v>
      </c>
      <c r="D276" s="221"/>
      <c r="E276" s="216" t="str">
        <f t="shared" si="90"/>
        <v>TFRS-C</v>
      </c>
      <c r="F276" s="254">
        <f t="shared" si="80"/>
        <v>7.4069999999999997E-2</v>
      </c>
      <c r="G276" s="254">
        <f t="shared" si="81"/>
        <v>7.5469999999999995E-2</v>
      </c>
      <c r="H276" s="254">
        <f t="shared" si="82"/>
        <v>7.7670000000000003E-2</v>
      </c>
      <c r="I276" s="254">
        <f t="shared" si="83"/>
        <v>7.9600000000000004E-2</v>
      </c>
      <c r="J276" s="254">
        <f t="shared" si="84"/>
        <v>8.1629999999999994E-2</v>
      </c>
      <c r="M276" s="218" t="s">
        <v>267</v>
      </c>
      <c r="N276" s="226"/>
      <c r="O276" s="226" t="s">
        <v>504</v>
      </c>
      <c r="P276" s="109">
        <v>1350</v>
      </c>
      <c r="Q276" s="109">
        <v>1325</v>
      </c>
      <c r="R276" s="109">
        <v>1287.5</v>
      </c>
      <c r="S276" s="109">
        <v>1256.25</v>
      </c>
      <c r="T276" s="109">
        <v>1225</v>
      </c>
      <c r="V276" s="135"/>
      <c r="W276" s="119" t="s">
        <v>502</v>
      </c>
    </row>
    <row r="277" spans="2:23" x14ac:dyDescent="0.3">
      <c r="B277" s="216" t="s">
        <v>469</v>
      </c>
      <c r="C277" s="216" t="str">
        <f t="shared" si="89"/>
        <v>TFREDME101</v>
      </c>
      <c r="D277" s="221"/>
      <c r="E277" s="216" t="str">
        <f t="shared" si="90"/>
        <v>TFRS</v>
      </c>
      <c r="F277" s="254">
        <f t="shared" si="80"/>
        <v>7.4069999999999997E-2</v>
      </c>
      <c r="G277" s="254">
        <f t="shared" si="81"/>
        <v>7.5469999999999995E-2</v>
      </c>
      <c r="H277" s="254">
        <f t="shared" si="82"/>
        <v>7.7670000000000003E-2</v>
      </c>
      <c r="I277" s="254">
        <f t="shared" si="83"/>
        <v>7.9600000000000004E-2</v>
      </c>
      <c r="J277" s="254">
        <f t="shared" si="84"/>
        <v>8.1629999999999994E-2</v>
      </c>
      <c r="M277" s="218" t="s">
        <v>158</v>
      </c>
      <c r="N277" s="226"/>
      <c r="O277" s="226" t="s">
        <v>350</v>
      </c>
      <c r="P277" s="109">
        <v>1350</v>
      </c>
      <c r="Q277" s="109">
        <v>1325</v>
      </c>
      <c r="R277" s="109">
        <v>1287.5</v>
      </c>
      <c r="S277" s="109">
        <v>1256.25</v>
      </c>
      <c r="T277" s="109">
        <v>1225</v>
      </c>
      <c r="V277" s="135"/>
      <c r="W277" s="119" t="s">
        <v>502</v>
      </c>
    </row>
    <row r="278" spans="2:23" x14ac:dyDescent="0.3">
      <c r="B278" s="216" t="s">
        <v>469</v>
      </c>
      <c r="C278" s="216" t="str">
        <f t="shared" si="89"/>
        <v>TFREDME901</v>
      </c>
      <c r="D278" s="221"/>
      <c r="E278" s="216" t="str">
        <f t="shared" si="90"/>
        <v>TFRS-C</v>
      </c>
      <c r="F278" s="254">
        <f t="shared" si="80"/>
        <v>7.4069999999999997E-2</v>
      </c>
      <c r="G278" s="254">
        <f t="shared" si="81"/>
        <v>7.5469999999999995E-2</v>
      </c>
      <c r="H278" s="254">
        <f t="shared" si="82"/>
        <v>7.7670000000000003E-2</v>
      </c>
      <c r="I278" s="254">
        <f t="shared" si="83"/>
        <v>7.9600000000000004E-2</v>
      </c>
      <c r="J278" s="254">
        <f t="shared" si="84"/>
        <v>8.1629999999999994E-2</v>
      </c>
      <c r="M278" s="218" t="s">
        <v>269</v>
      </c>
      <c r="N278" s="226"/>
      <c r="O278" s="226" t="s">
        <v>504</v>
      </c>
      <c r="P278" s="109">
        <v>1350</v>
      </c>
      <c r="Q278" s="109">
        <v>1325</v>
      </c>
      <c r="R278" s="109">
        <v>1287.5</v>
      </c>
      <c r="S278" s="109">
        <v>1256.25</v>
      </c>
      <c r="T278" s="109">
        <v>1225</v>
      </c>
      <c r="V278" s="135"/>
      <c r="W278" s="119" t="s">
        <v>502</v>
      </c>
    </row>
    <row r="279" spans="2:23" x14ac:dyDescent="0.3">
      <c r="B279" s="216" t="s">
        <v>469</v>
      </c>
      <c r="C279" s="216" t="str">
        <f t="shared" si="89"/>
        <v>TFREDST101</v>
      </c>
      <c r="D279" s="221"/>
      <c r="E279" s="216" t="str">
        <f t="shared" si="90"/>
        <v>TFRS</v>
      </c>
      <c r="F279" s="254">
        <f t="shared" si="80"/>
        <v>7.4069999999999997E-2</v>
      </c>
      <c r="G279" s="254">
        <f t="shared" si="81"/>
        <v>7.5469999999999995E-2</v>
      </c>
      <c r="H279" s="254">
        <f t="shared" si="82"/>
        <v>7.7670000000000003E-2</v>
      </c>
      <c r="I279" s="254">
        <f t="shared" si="83"/>
        <v>7.9600000000000004E-2</v>
      </c>
      <c r="J279" s="254">
        <f t="shared" si="84"/>
        <v>8.1629999999999994E-2</v>
      </c>
      <c r="M279" s="218" t="s">
        <v>160</v>
      </c>
      <c r="N279" s="226"/>
      <c r="O279" s="226" t="s">
        <v>350</v>
      </c>
      <c r="P279" s="109">
        <v>1350</v>
      </c>
      <c r="Q279" s="109">
        <v>1325</v>
      </c>
      <c r="R279" s="109">
        <v>1287.5</v>
      </c>
      <c r="S279" s="109">
        <v>1256.25</v>
      </c>
      <c r="T279" s="109">
        <v>1225</v>
      </c>
      <c r="V279" s="135"/>
      <c r="W279" s="119" t="s">
        <v>502</v>
      </c>
    </row>
    <row r="280" spans="2:23" x14ac:dyDescent="0.3">
      <c r="B280" s="216" t="s">
        <v>469</v>
      </c>
      <c r="C280" s="216" t="str">
        <f t="shared" si="89"/>
        <v>TFREDST901</v>
      </c>
      <c r="D280" s="221"/>
      <c r="E280" s="216" t="str">
        <f t="shared" si="90"/>
        <v>TFRS-C</v>
      </c>
      <c r="F280" s="254">
        <f t="shared" si="80"/>
        <v>7.4069999999999997E-2</v>
      </c>
      <c r="G280" s="254">
        <f t="shared" si="81"/>
        <v>7.5469999999999995E-2</v>
      </c>
      <c r="H280" s="254">
        <f t="shared" si="82"/>
        <v>7.7670000000000003E-2</v>
      </c>
      <c r="I280" s="254">
        <f t="shared" si="83"/>
        <v>7.9600000000000004E-2</v>
      </c>
      <c r="J280" s="254">
        <f t="shared" si="84"/>
        <v>8.1629999999999994E-2</v>
      </c>
      <c r="M280" s="218" t="s">
        <v>271</v>
      </c>
      <c r="N280" s="226"/>
      <c r="O280" s="226" t="s">
        <v>504</v>
      </c>
      <c r="P280" s="109">
        <v>1350</v>
      </c>
      <c r="Q280" s="109">
        <v>1325</v>
      </c>
      <c r="R280" s="109">
        <v>1287.5</v>
      </c>
      <c r="S280" s="109">
        <v>1256.25</v>
      </c>
      <c r="T280" s="109">
        <v>1225</v>
      </c>
      <c r="V280" s="135"/>
      <c r="W280" s="119" t="s">
        <v>502</v>
      </c>
    </row>
    <row r="281" spans="2:23" x14ac:dyDescent="0.3">
      <c r="B281" s="216" t="s">
        <v>469</v>
      </c>
      <c r="C281" s="216" t="str">
        <f t="shared" si="89"/>
        <v>TFREETH101</v>
      </c>
      <c r="D281" s="221"/>
      <c r="E281" s="216" t="str">
        <f t="shared" si="90"/>
        <v>TFRS</v>
      </c>
      <c r="F281" s="254">
        <f t="shared" si="80"/>
        <v>7.4069999999999997E-2</v>
      </c>
      <c r="G281" s="254">
        <f t="shared" si="81"/>
        <v>7.5469999999999995E-2</v>
      </c>
      <c r="H281" s="254">
        <f t="shared" si="82"/>
        <v>7.7670000000000003E-2</v>
      </c>
      <c r="I281" s="254">
        <f t="shared" si="83"/>
        <v>7.9600000000000004E-2</v>
      </c>
      <c r="J281" s="254">
        <f t="shared" si="84"/>
        <v>8.1629999999999994E-2</v>
      </c>
      <c r="M281" s="218" t="s">
        <v>163</v>
      </c>
      <c r="N281" s="226"/>
      <c r="O281" s="226" t="s">
        <v>350</v>
      </c>
      <c r="P281" s="109">
        <f>P279</f>
        <v>1350</v>
      </c>
      <c r="Q281" s="109">
        <f t="shared" ref="Q281:T281" si="91">Q279</f>
        <v>1325</v>
      </c>
      <c r="R281" s="109">
        <f t="shared" si="91"/>
        <v>1287.5</v>
      </c>
      <c r="S281" s="109">
        <f t="shared" si="91"/>
        <v>1256.25</v>
      </c>
      <c r="T281" s="109">
        <f t="shared" si="91"/>
        <v>1225</v>
      </c>
      <c r="V281" s="135"/>
      <c r="W281" s="119" t="s">
        <v>502</v>
      </c>
    </row>
    <row r="282" spans="2:23" x14ac:dyDescent="0.3">
      <c r="B282" s="216" t="s">
        <v>469</v>
      </c>
      <c r="C282" s="216" t="str">
        <f t="shared" si="89"/>
        <v>TFREETH901</v>
      </c>
      <c r="D282" s="221"/>
      <c r="E282" s="216" t="str">
        <f t="shared" si="90"/>
        <v>TFRS-C</v>
      </c>
      <c r="F282" s="254">
        <f t="shared" si="80"/>
        <v>7.4069999999999997E-2</v>
      </c>
      <c r="G282" s="254">
        <f t="shared" si="81"/>
        <v>7.5469999999999995E-2</v>
      </c>
      <c r="H282" s="254">
        <f t="shared" si="82"/>
        <v>7.7670000000000003E-2</v>
      </c>
      <c r="I282" s="254">
        <f t="shared" si="83"/>
        <v>7.9600000000000004E-2</v>
      </c>
      <c r="J282" s="254">
        <f t="shared" si="84"/>
        <v>8.1629999999999994E-2</v>
      </c>
      <c r="M282" s="218" t="s">
        <v>274</v>
      </c>
      <c r="N282" s="226"/>
      <c r="O282" s="226" t="s">
        <v>504</v>
      </c>
      <c r="P282" s="109">
        <f t="shared" ref="P282:T282" si="92">P280</f>
        <v>1350</v>
      </c>
      <c r="Q282" s="109">
        <f t="shared" si="92"/>
        <v>1325</v>
      </c>
      <c r="R282" s="109">
        <f t="shared" si="92"/>
        <v>1287.5</v>
      </c>
      <c r="S282" s="109">
        <f t="shared" si="92"/>
        <v>1256.25</v>
      </c>
      <c r="T282" s="109">
        <f t="shared" si="92"/>
        <v>1225</v>
      </c>
      <c r="V282" s="135"/>
      <c r="W282" s="119" t="s">
        <v>502</v>
      </c>
    </row>
    <row r="283" spans="2:23" x14ac:dyDescent="0.3">
      <c r="B283" s="216" t="s">
        <v>469</v>
      </c>
      <c r="C283" s="216" t="str">
        <f t="shared" si="89"/>
        <v>TFREGAS101</v>
      </c>
      <c r="D283" s="221"/>
      <c r="E283" s="216" t="str">
        <f t="shared" si="90"/>
        <v>TFRS</v>
      </c>
      <c r="F283" s="254">
        <f t="shared" si="80"/>
        <v>6.7229999999999998E-2</v>
      </c>
      <c r="G283" s="254">
        <f t="shared" si="81"/>
        <v>6.8089999999999998E-2</v>
      </c>
      <c r="H283" s="254">
        <f t="shared" si="82"/>
        <v>7.0800000000000002E-2</v>
      </c>
      <c r="I283" s="254">
        <f t="shared" si="83"/>
        <v>7.2730000000000003E-2</v>
      </c>
      <c r="J283" s="254">
        <f t="shared" si="84"/>
        <v>7.4770000000000003E-2</v>
      </c>
      <c r="M283" s="218" t="s">
        <v>165</v>
      </c>
      <c r="N283" s="226"/>
      <c r="O283" s="226" t="s">
        <v>350</v>
      </c>
      <c r="P283" s="109">
        <v>1487.5</v>
      </c>
      <c r="Q283" s="109">
        <v>1468.75</v>
      </c>
      <c r="R283" s="109">
        <v>1412.5</v>
      </c>
      <c r="S283" s="109">
        <v>1375</v>
      </c>
      <c r="T283" s="109">
        <v>1337.5</v>
      </c>
      <c r="V283" s="135"/>
      <c r="W283" s="119" t="s">
        <v>502</v>
      </c>
    </row>
    <row r="284" spans="2:23" x14ac:dyDescent="0.3">
      <c r="B284" s="216" t="s">
        <v>469</v>
      </c>
      <c r="C284" s="216" t="str">
        <f t="shared" si="89"/>
        <v>TFREGAS901</v>
      </c>
      <c r="D284" s="221"/>
      <c r="E284" s="216" t="str">
        <f t="shared" si="90"/>
        <v>TFRS-C</v>
      </c>
      <c r="F284" s="254">
        <f t="shared" si="80"/>
        <v>6.7229999999999998E-2</v>
      </c>
      <c r="G284" s="254">
        <f t="shared" si="81"/>
        <v>6.8089999999999998E-2</v>
      </c>
      <c r="H284" s="254">
        <f t="shared" si="82"/>
        <v>7.0800000000000002E-2</v>
      </c>
      <c r="I284" s="254">
        <f t="shared" si="83"/>
        <v>7.2730000000000003E-2</v>
      </c>
      <c r="J284" s="254">
        <f t="shared" si="84"/>
        <v>7.4770000000000003E-2</v>
      </c>
      <c r="M284" s="218" t="s">
        <v>276</v>
      </c>
      <c r="N284" s="226"/>
      <c r="O284" s="226" t="s">
        <v>504</v>
      </c>
      <c r="P284" s="109">
        <v>1487.5</v>
      </c>
      <c r="Q284" s="109">
        <v>1468.75</v>
      </c>
      <c r="R284" s="109">
        <v>1412.5</v>
      </c>
      <c r="S284" s="109">
        <v>1375</v>
      </c>
      <c r="T284" s="109">
        <v>1337.5</v>
      </c>
      <c r="V284" s="135"/>
      <c r="W284" s="119" t="s">
        <v>502</v>
      </c>
    </row>
    <row r="285" spans="2:23" x14ac:dyDescent="0.3">
      <c r="B285" s="216" t="s">
        <v>469</v>
      </c>
      <c r="C285" s="216" t="str">
        <f t="shared" si="89"/>
        <v>TFREGSL101</v>
      </c>
      <c r="D285" s="221"/>
      <c r="E285" s="216" t="str">
        <f t="shared" si="90"/>
        <v>TFRS</v>
      </c>
      <c r="F285" s="254">
        <f t="shared" si="80"/>
        <v>6.7229999999999998E-2</v>
      </c>
      <c r="G285" s="254">
        <f t="shared" si="81"/>
        <v>6.8089999999999998E-2</v>
      </c>
      <c r="H285" s="254">
        <f t="shared" si="82"/>
        <v>7.0800000000000002E-2</v>
      </c>
      <c r="I285" s="254">
        <f t="shared" si="83"/>
        <v>7.2730000000000003E-2</v>
      </c>
      <c r="J285" s="254">
        <f t="shared" si="84"/>
        <v>7.4770000000000003E-2</v>
      </c>
      <c r="M285" s="218" t="s">
        <v>167</v>
      </c>
      <c r="N285" s="226"/>
      <c r="O285" s="226" t="s">
        <v>350</v>
      </c>
      <c r="P285" s="109">
        <v>1487.5</v>
      </c>
      <c r="Q285" s="109">
        <v>1468.75</v>
      </c>
      <c r="R285" s="109">
        <v>1412.5</v>
      </c>
      <c r="S285" s="109">
        <v>1375</v>
      </c>
      <c r="T285" s="109">
        <v>1337.5</v>
      </c>
      <c r="V285" s="135"/>
      <c r="W285" s="119" t="s">
        <v>502</v>
      </c>
    </row>
    <row r="286" spans="2:23" x14ac:dyDescent="0.3">
      <c r="B286" s="216" t="s">
        <v>469</v>
      </c>
      <c r="C286" s="216" t="str">
        <f t="shared" si="89"/>
        <v>TFREGSL901</v>
      </c>
      <c r="D286" s="221"/>
      <c r="E286" s="216" t="str">
        <f t="shared" si="90"/>
        <v>TFRS-C</v>
      </c>
      <c r="F286" s="254">
        <f t="shared" si="80"/>
        <v>6.7229999999999998E-2</v>
      </c>
      <c r="G286" s="254">
        <f t="shared" si="81"/>
        <v>6.8089999999999998E-2</v>
      </c>
      <c r="H286" s="254">
        <f t="shared" si="82"/>
        <v>7.0800000000000002E-2</v>
      </c>
      <c r="I286" s="254">
        <f t="shared" si="83"/>
        <v>7.2730000000000003E-2</v>
      </c>
      <c r="J286" s="254">
        <f t="shared" si="84"/>
        <v>7.4770000000000003E-2</v>
      </c>
      <c r="M286" s="218" t="s">
        <v>278</v>
      </c>
      <c r="N286" s="226"/>
      <c r="O286" s="226" t="s">
        <v>504</v>
      </c>
      <c r="P286" s="109">
        <v>1487.5</v>
      </c>
      <c r="Q286" s="109">
        <v>1468.75</v>
      </c>
      <c r="R286" s="109">
        <v>1412.5</v>
      </c>
      <c r="S286" s="109">
        <v>1375</v>
      </c>
      <c r="T286" s="109">
        <v>1337.5</v>
      </c>
      <c r="V286" s="135"/>
      <c r="W286" s="119" t="s">
        <v>502</v>
      </c>
    </row>
    <row r="287" spans="2:23" x14ac:dyDescent="0.3">
      <c r="B287" s="216" t="s">
        <v>469</v>
      </c>
      <c r="C287" s="216" t="str">
        <f>M287</f>
        <v>TFREHFC101</v>
      </c>
      <c r="D287" s="221"/>
      <c r="E287" s="216" t="str">
        <f>O287</f>
        <v>TFRS</v>
      </c>
      <c r="F287" s="254">
        <f t="shared" si="80"/>
        <v>0.12307999999999999</v>
      </c>
      <c r="G287" s="254">
        <f t="shared" si="81"/>
        <v>0.125</v>
      </c>
      <c r="H287" s="254">
        <f t="shared" si="82"/>
        <v>0.13114999999999999</v>
      </c>
      <c r="I287" s="254">
        <f t="shared" si="83"/>
        <v>0.13444999999999999</v>
      </c>
      <c r="J287" s="254">
        <f t="shared" si="84"/>
        <v>0.13793</v>
      </c>
      <c r="M287" s="218" t="s">
        <v>169</v>
      </c>
      <c r="N287" s="226"/>
      <c r="O287" s="226" t="s">
        <v>350</v>
      </c>
      <c r="P287" s="109">
        <v>812.5</v>
      </c>
      <c r="Q287" s="109">
        <v>800</v>
      </c>
      <c r="R287" s="109">
        <v>762.5</v>
      </c>
      <c r="S287" s="109">
        <v>743.75</v>
      </c>
      <c r="T287" s="109">
        <v>725</v>
      </c>
      <c r="V287" s="135"/>
      <c r="W287" s="119" t="s">
        <v>502</v>
      </c>
    </row>
    <row r="288" spans="2:23" x14ac:dyDescent="0.3">
      <c r="B288" s="216" t="s">
        <v>469</v>
      </c>
      <c r="C288" s="216" t="str">
        <f>M288</f>
        <v>TFREHFC901</v>
      </c>
      <c r="D288" s="221"/>
      <c r="E288" s="216" t="str">
        <f>O288</f>
        <v>TFRS-C</v>
      </c>
      <c r="F288" s="254">
        <f t="shared" si="80"/>
        <v>0.12307999999999999</v>
      </c>
      <c r="G288" s="254">
        <f t="shared" si="81"/>
        <v>0.125</v>
      </c>
      <c r="H288" s="254">
        <f t="shared" si="82"/>
        <v>0.13114999999999999</v>
      </c>
      <c r="I288" s="254">
        <f t="shared" si="83"/>
        <v>0.13444999999999999</v>
      </c>
      <c r="J288" s="254">
        <f t="shared" si="84"/>
        <v>0.13793</v>
      </c>
      <c r="M288" s="218" t="s">
        <v>280</v>
      </c>
      <c r="N288" s="226"/>
      <c r="O288" s="226" t="s">
        <v>504</v>
      </c>
      <c r="P288" s="109">
        <v>812.5</v>
      </c>
      <c r="Q288" s="109">
        <v>800</v>
      </c>
      <c r="R288" s="109">
        <v>762.5</v>
      </c>
      <c r="S288" s="109">
        <v>743.75</v>
      </c>
      <c r="T288" s="109">
        <v>725</v>
      </c>
      <c r="V288" s="135"/>
      <c r="W288" s="119" t="s">
        <v>502</v>
      </c>
    </row>
    <row r="289" spans="2:23" x14ac:dyDescent="0.3">
      <c r="B289" s="216" t="s">
        <v>469</v>
      </c>
      <c r="C289" s="216" t="str">
        <f t="shared" si="89"/>
        <v>TFREHYD101</v>
      </c>
      <c r="D289" s="221"/>
      <c r="E289" s="216" t="str">
        <f t="shared" si="90"/>
        <v>TFRS</v>
      </c>
      <c r="F289" s="254">
        <f t="shared" si="80"/>
        <v>8.2470000000000002E-2</v>
      </c>
      <c r="G289" s="254">
        <f t="shared" si="81"/>
        <v>8.4209999999999993E-2</v>
      </c>
      <c r="H289" s="254">
        <f t="shared" si="82"/>
        <v>8.6959999999999996E-2</v>
      </c>
      <c r="I289" s="254">
        <f t="shared" si="83"/>
        <v>8.8889999999999997E-2</v>
      </c>
      <c r="J289" s="254">
        <f t="shared" si="84"/>
        <v>9.0910000000000005E-2</v>
      </c>
      <c r="M289" s="218" t="s">
        <v>358</v>
      </c>
      <c r="N289" s="226"/>
      <c r="O289" s="226" t="s">
        <v>350</v>
      </c>
      <c r="P289" s="109">
        <v>1212.5</v>
      </c>
      <c r="Q289" s="109">
        <v>1187.5</v>
      </c>
      <c r="R289" s="109">
        <v>1150</v>
      </c>
      <c r="S289" s="109">
        <v>1125</v>
      </c>
      <c r="T289" s="109">
        <v>1100</v>
      </c>
      <c r="V289" s="135"/>
      <c r="W289" s="119" t="s">
        <v>502</v>
      </c>
    </row>
    <row r="290" spans="2:23" x14ac:dyDescent="0.3">
      <c r="B290" s="216" t="s">
        <v>469</v>
      </c>
      <c r="C290" s="216" t="str">
        <f t="shared" si="89"/>
        <v>TFREHYD901</v>
      </c>
      <c r="D290" s="221"/>
      <c r="E290" s="216" t="str">
        <f t="shared" si="90"/>
        <v>TFRS-C</v>
      </c>
      <c r="F290" s="254">
        <f t="shared" si="80"/>
        <v>8.2470000000000002E-2</v>
      </c>
      <c r="G290" s="254">
        <f t="shared" si="81"/>
        <v>8.4209999999999993E-2</v>
      </c>
      <c r="H290" s="254">
        <f t="shared" si="82"/>
        <v>8.6959999999999996E-2</v>
      </c>
      <c r="I290" s="254">
        <f t="shared" si="83"/>
        <v>8.8889999999999997E-2</v>
      </c>
      <c r="J290" s="254">
        <f t="shared" si="84"/>
        <v>9.0910000000000005E-2</v>
      </c>
      <c r="M290" s="218" t="s">
        <v>438</v>
      </c>
      <c r="N290" s="226"/>
      <c r="O290" s="226" t="s">
        <v>504</v>
      </c>
      <c r="P290" s="109">
        <v>1212.5</v>
      </c>
      <c r="Q290" s="109">
        <v>1187.5</v>
      </c>
      <c r="R290" s="109">
        <v>1150</v>
      </c>
      <c r="S290" s="109">
        <v>1125</v>
      </c>
      <c r="T290" s="109">
        <v>1100</v>
      </c>
      <c r="V290" s="135"/>
      <c r="W290" s="119" t="s">
        <v>502</v>
      </c>
    </row>
    <row r="291" spans="2:23" x14ac:dyDescent="0.3">
      <c r="B291" s="216" t="s">
        <v>469</v>
      </c>
      <c r="C291" s="216" t="str">
        <f t="shared" si="89"/>
        <v>TFREHYG101</v>
      </c>
      <c r="D291" s="221"/>
      <c r="E291" s="216" t="str">
        <f t="shared" si="90"/>
        <v>TFRS</v>
      </c>
      <c r="F291" s="254">
        <f t="shared" ref="F291:F316" si="93">IF(P291=0, "-", ROUND(10^2/P291,5))</f>
        <v>0.11169999999999999</v>
      </c>
      <c r="G291" s="254">
        <f t="shared" ref="G291:G316" si="94">IF(Q291=0, "-", ROUND(10^2/Q291,5))</f>
        <v>0.11277</v>
      </c>
      <c r="H291" s="254">
        <f t="shared" ref="H291:H316" si="95">IF(R291=0, "-", ROUND(10^2/R291,5))</f>
        <v>0.11953999999999999</v>
      </c>
      <c r="I291" s="254">
        <f t="shared" ref="I291:I316" si="96">IF(S291=0, "-", ROUND(10^2/S291,5))</f>
        <v>0.12284</v>
      </c>
      <c r="J291" s="254">
        <f t="shared" ref="J291:J316" si="97">IF(T291=0, "-", ROUND(10^2/T291,5))</f>
        <v>0.12633</v>
      </c>
      <c r="M291" s="218" t="s">
        <v>428</v>
      </c>
      <c r="N291" s="226"/>
      <c r="O291" s="226" t="s">
        <v>350</v>
      </c>
      <c r="P291" s="109">
        <v>895.25462962962968</v>
      </c>
      <c r="Q291" s="109">
        <v>886.79245283018872</v>
      </c>
      <c r="R291" s="109">
        <v>836.52912621359224</v>
      </c>
      <c r="S291" s="109">
        <v>814.05472636815921</v>
      </c>
      <c r="T291" s="109">
        <v>791.58163265306121</v>
      </c>
      <c r="V291" s="135"/>
      <c r="W291" s="119" t="s">
        <v>502</v>
      </c>
    </row>
    <row r="292" spans="2:23" x14ac:dyDescent="0.3">
      <c r="B292" s="216" t="s">
        <v>469</v>
      </c>
      <c r="C292" s="216" t="str">
        <f t="shared" si="89"/>
        <v>TFREHYG901</v>
      </c>
      <c r="D292" s="221"/>
      <c r="E292" s="216" t="str">
        <f t="shared" si="90"/>
        <v>TFRS-C</v>
      </c>
      <c r="F292" s="254">
        <f t="shared" si="93"/>
        <v>0.11169999999999999</v>
      </c>
      <c r="G292" s="254">
        <f t="shared" si="94"/>
        <v>0.11277</v>
      </c>
      <c r="H292" s="254">
        <f t="shared" si="95"/>
        <v>0.11953999999999999</v>
      </c>
      <c r="I292" s="254">
        <f t="shared" si="96"/>
        <v>0.12284</v>
      </c>
      <c r="J292" s="254">
        <f t="shared" si="97"/>
        <v>0.12633</v>
      </c>
      <c r="M292" s="218" t="s">
        <v>439</v>
      </c>
      <c r="N292" s="226"/>
      <c r="O292" s="226" t="s">
        <v>504</v>
      </c>
      <c r="P292" s="109">
        <v>895.25462962962968</v>
      </c>
      <c r="Q292" s="109">
        <v>886.79245283018872</v>
      </c>
      <c r="R292" s="109">
        <v>836.52912621359224</v>
      </c>
      <c r="S292" s="109">
        <v>814.05472636815921</v>
      </c>
      <c r="T292" s="109">
        <v>791.58163265306121</v>
      </c>
      <c r="V292" s="135"/>
      <c r="W292" s="119" t="s">
        <v>502</v>
      </c>
    </row>
    <row r="293" spans="2:23" x14ac:dyDescent="0.3">
      <c r="B293" s="216" t="s">
        <v>469</v>
      </c>
      <c r="C293" s="216" t="str">
        <f t="shared" ref="C293:C330" si="98">M293</f>
        <v>TFRELPG101</v>
      </c>
      <c r="D293" s="221"/>
      <c r="E293" s="216" t="str">
        <f t="shared" ref="E293:E330" si="99">O293</f>
        <v>TFRS</v>
      </c>
      <c r="F293" s="254">
        <f t="shared" si="93"/>
        <v>6.7229999999999998E-2</v>
      </c>
      <c r="G293" s="254">
        <f t="shared" si="94"/>
        <v>6.8089999999999998E-2</v>
      </c>
      <c r="H293" s="254">
        <f t="shared" si="95"/>
        <v>7.0800000000000002E-2</v>
      </c>
      <c r="I293" s="254">
        <f t="shared" si="96"/>
        <v>7.2730000000000003E-2</v>
      </c>
      <c r="J293" s="254">
        <f t="shared" si="97"/>
        <v>7.4770000000000003E-2</v>
      </c>
      <c r="M293" s="218" t="s">
        <v>429</v>
      </c>
      <c r="N293" s="226"/>
      <c r="O293" s="226" t="s">
        <v>350</v>
      </c>
      <c r="P293" s="109">
        <v>1487.5</v>
      </c>
      <c r="Q293" s="109">
        <v>1468.75</v>
      </c>
      <c r="R293" s="109">
        <v>1412.5</v>
      </c>
      <c r="S293" s="109">
        <v>1375</v>
      </c>
      <c r="T293" s="109">
        <v>1337.5</v>
      </c>
      <c r="V293" s="135"/>
      <c r="W293" s="119" t="s">
        <v>502</v>
      </c>
    </row>
    <row r="294" spans="2:23" x14ac:dyDescent="0.3">
      <c r="B294" s="216" t="s">
        <v>469</v>
      </c>
      <c r="C294" s="216" t="str">
        <f t="shared" si="98"/>
        <v>TFRELPG901</v>
      </c>
      <c r="D294" s="221"/>
      <c r="E294" s="216" t="str">
        <f t="shared" si="99"/>
        <v>TFRS-C</v>
      </c>
      <c r="F294" s="254">
        <f t="shared" si="93"/>
        <v>6.7229999999999998E-2</v>
      </c>
      <c r="G294" s="254">
        <f t="shared" si="94"/>
        <v>6.8089999999999998E-2</v>
      </c>
      <c r="H294" s="254">
        <f t="shared" si="95"/>
        <v>7.0800000000000002E-2</v>
      </c>
      <c r="I294" s="254">
        <f t="shared" si="96"/>
        <v>7.2730000000000003E-2</v>
      </c>
      <c r="J294" s="254">
        <f t="shared" si="97"/>
        <v>7.4770000000000003E-2</v>
      </c>
      <c r="M294" s="218" t="s">
        <v>440</v>
      </c>
      <c r="N294" s="226"/>
      <c r="O294" s="226" t="s">
        <v>504</v>
      </c>
      <c r="P294" s="109">
        <v>1487.5</v>
      </c>
      <c r="Q294" s="109">
        <v>1468.75</v>
      </c>
      <c r="R294" s="109">
        <v>1412.5</v>
      </c>
      <c r="S294" s="109">
        <v>1375</v>
      </c>
      <c r="T294" s="109">
        <v>1337.5</v>
      </c>
      <c r="V294" s="135"/>
      <c r="W294" s="119" t="s">
        <v>502</v>
      </c>
    </row>
    <row r="295" spans="2:23" x14ac:dyDescent="0.3">
      <c r="B295" s="216" t="s">
        <v>469</v>
      </c>
      <c r="C295" s="216" t="str">
        <f t="shared" si="98"/>
        <v>TFREMDE101</v>
      </c>
      <c r="D295" s="221"/>
      <c r="E295" s="216" t="str">
        <f t="shared" si="99"/>
        <v>TFRS</v>
      </c>
      <c r="F295" s="254">
        <f t="shared" si="93"/>
        <v>7.4069999999999997E-2</v>
      </c>
      <c r="G295" s="254">
        <f t="shared" si="94"/>
        <v>7.5469999999999995E-2</v>
      </c>
      <c r="H295" s="254">
        <f t="shared" si="95"/>
        <v>7.7670000000000003E-2</v>
      </c>
      <c r="I295" s="254">
        <f t="shared" si="96"/>
        <v>7.9600000000000004E-2</v>
      </c>
      <c r="J295" s="254">
        <f t="shared" si="97"/>
        <v>8.1629999999999994E-2</v>
      </c>
      <c r="M295" s="218" t="s">
        <v>171</v>
      </c>
      <c r="N295" s="226"/>
      <c r="O295" s="226" t="s">
        <v>350</v>
      </c>
      <c r="P295" s="109">
        <v>1350</v>
      </c>
      <c r="Q295" s="109">
        <v>1325</v>
      </c>
      <c r="R295" s="109">
        <v>1287.5</v>
      </c>
      <c r="S295" s="109">
        <v>1256.25</v>
      </c>
      <c r="T295" s="109">
        <v>1225</v>
      </c>
      <c r="V295" s="135"/>
      <c r="W295" s="119" t="s">
        <v>502</v>
      </c>
    </row>
    <row r="296" spans="2:23" x14ac:dyDescent="0.3">
      <c r="B296" s="216" t="s">
        <v>469</v>
      </c>
      <c r="C296" s="216" t="str">
        <f t="shared" si="98"/>
        <v>TFREMDE901</v>
      </c>
      <c r="D296" s="221"/>
      <c r="E296" s="216" t="str">
        <f t="shared" si="99"/>
        <v>TFRS-C</v>
      </c>
      <c r="F296" s="254">
        <f t="shared" si="93"/>
        <v>7.4069999999999997E-2</v>
      </c>
      <c r="G296" s="254">
        <f t="shared" si="94"/>
        <v>7.5469999999999995E-2</v>
      </c>
      <c r="H296" s="254">
        <f t="shared" si="95"/>
        <v>7.7670000000000003E-2</v>
      </c>
      <c r="I296" s="254">
        <f t="shared" si="96"/>
        <v>7.9600000000000004E-2</v>
      </c>
      <c r="J296" s="254">
        <f t="shared" si="97"/>
        <v>8.1629999999999994E-2</v>
      </c>
      <c r="M296" s="218" t="s">
        <v>441</v>
      </c>
      <c r="N296" s="226"/>
      <c r="O296" s="226" t="s">
        <v>504</v>
      </c>
      <c r="P296" s="109">
        <v>1350</v>
      </c>
      <c r="Q296" s="109">
        <v>1325</v>
      </c>
      <c r="R296" s="109">
        <v>1287.5</v>
      </c>
      <c r="S296" s="109">
        <v>1256.25</v>
      </c>
      <c r="T296" s="109">
        <v>1225</v>
      </c>
      <c r="V296" s="135"/>
      <c r="W296" s="119" t="s">
        <v>502</v>
      </c>
    </row>
    <row r="297" spans="2:23" x14ac:dyDescent="0.3">
      <c r="B297" s="216" t="s">
        <v>469</v>
      </c>
      <c r="C297" s="216" t="str">
        <f t="shared" si="98"/>
        <v>TFREMTH101</v>
      </c>
      <c r="D297" s="221"/>
      <c r="E297" s="216" t="str">
        <f t="shared" si="99"/>
        <v>TFRS</v>
      </c>
      <c r="F297" s="254">
        <f t="shared" si="93"/>
        <v>6.7229999999999998E-2</v>
      </c>
      <c r="G297" s="254">
        <f t="shared" si="94"/>
        <v>6.8089999999999998E-2</v>
      </c>
      <c r="H297" s="254">
        <f t="shared" si="95"/>
        <v>7.0800000000000002E-2</v>
      </c>
      <c r="I297" s="254">
        <f t="shared" si="96"/>
        <v>7.2730000000000003E-2</v>
      </c>
      <c r="J297" s="254">
        <f t="shared" si="97"/>
        <v>7.4770000000000003E-2</v>
      </c>
      <c r="M297" s="218" t="s">
        <v>608</v>
      </c>
      <c r="N297" s="226"/>
      <c r="O297" s="226" t="s">
        <v>350</v>
      </c>
      <c r="P297" s="109">
        <v>1487.5</v>
      </c>
      <c r="Q297" s="109">
        <v>1468.75</v>
      </c>
      <c r="R297" s="109">
        <v>1412.5</v>
      </c>
      <c r="S297" s="109">
        <v>1375</v>
      </c>
      <c r="T297" s="109">
        <v>1337.5</v>
      </c>
      <c r="V297" s="135"/>
      <c r="W297" s="119" t="s">
        <v>502</v>
      </c>
    </row>
    <row r="298" spans="2:23" x14ac:dyDescent="0.3">
      <c r="B298" s="216" t="s">
        <v>469</v>
      </c>
      <c r="C298" s="216" t="str">
        <f t="shared" si="98"/>
        <v>TFREMTH901</v>
      </c>
      <c r="D298" s="221"/>
      <c r="E298" s="216" t="str">
        <f t="shared" si="99"/>
        <v>TFRS-C</v>
      </c>
      <c r="F298" s="254">
        <f t="shared" si="93"/>
        <v>6.7229999999999998E-2</v>
      </c>
      <c r="G298" s="254">
        <f t="shared" si="94"/>
        <v>6.8089999999999998E-2</v>
      </c>
      <c r="H298" s="254">
        <f t="shared" si="95"/>
        <v>7.0800000000000002E-2</v>
      </c>
      <c r="I298" s="254">
        <f t="shared" si="96"/>
        <v>7.2730000000000003E-2</v>
      </c>
      <c r="J298" s="254">
        <f t="shared" si="97"/>
        <v>7.4770000000000003E-2</v>
      </c>
      <c r="M298" s="218" t="s">
        <v>609</v>
      </c>
      <c r="N298" s="226"/>
      <c r="O298" s="226" t="s">
        <v>504</v>
      </c>
      <c r="P298" s="109">
        <v>1487.5</v>
      </c>
      <c r="Q298" s="109">
        <v>1468.75</v>
      </c>
      <c r="R298" s="109">
        <v>1412.5</v>
      </c>
      <c r="S298" s="109">
        <v>1375</v>
      </c>
      <c r="T298" s="109">
        <v>1337.5</v>
      </c>
      <c r="V298" s="135"/>
      <c r="W298" s="119" t="s">
        <v>502</v>
      </c>
    </row>
    <row r="299" spans="2:23" x14ac:dyDescent="0.3">
      <c r="B299" s="216" t="s">
        <v>469</v>
      </c>
      <c r="C299" s="216" t="str">
        <f t="shared" si="98"/>
        <v>TFREPYD101</v>
      </c>
      <c r="D299" s="221"/>
      <c r="E299" s="216" t="str">
        <f t="shared" si="99"/>
        <v>TFRS</v>
      </c>
      <c r="F299" s="254">
        <f t="shared" si="93"/>
        <v>7.4069999999999997E-2</v>
      </c>
      <c r="G299" s="254">
        <f t="shared" si="94"/>
        <v>7.5469999999999995E-2</v>
      </c>
      <c r="H299" s="254">
        <f t="shared" si="95"/>
        <v>7.7670000000000003E-2</v>
      </c>
      <c r="I299" s="254">
        <f t="shared" si="96"/>
        <v>7.9600000000000004E-2</v>
      </c>
      <c r="J299" s="254">
        <f t="shared" si="97"/>
        <v>8.1629999999999994E-2</v>
      </c>
      <c r="M299" s="218" t="s">
        <v>430</v>
      </c>
      <c r="N299" s="226"/>
      <c r="O299" s="226" t="s">
        <v>350</v>
      </c>
      <c r="P299" s="109">
        <v>1350</v>
      </c>
      <c r="Q299" s="109">
        <v>1325</v>
      </c>
      <c r="R299" s="109">
        <v>1287.5</v>
      </c>
      <c r="S299" s="109">
        <v>1256.25</v>
      </c>
      <c r="T299" s="109">
        <v>1225</v>
      </c>
      <c r="V299" s="135"/>
      <c r="W299" s="119" t="s">
        <v>502</v>
      </c>
    </row>
    <row r="300" spans="2:23" x14ac:dyDescent="0.3">
      <c r="B300" s="216" t="s">
        <v>469</v>
      </c>
      <c r="C300" s="216" t="str">
        <f t="shared" si="98"/>
        <v>TFREPYD901</v>
      </c>
      <c r="D300" s="221"/>
      <c r="E300" s="216" t="str">
        <f t="shared" si="99"/>
        <v>TFRS-C</v>
      </c>
      <c r="F300" s="254">
        <f t="shared" si="93"/>
        <v>7.4069999999999997E-2</v>
      </c>
      <c r="G300" s="254">
        <f t="shared" si="94"/>
        <v>7.5469999999999995E-2</v>
      </c>
      <c r="H300" s="254">
        <f t="shared" si="95"/>
        <v>7.7670000000000003E-2</v>
      </c>
      <c r="I300" s="254">
        <f t="shared" si="96"/>
        <v>7.9600000000000004E-2</v>
      </c>
      <c r="J300" s="254">
        <f t="shared" si="97"/>
        <v>8.1629999999999994E-2</v>
      </c>
      <c r="M300" s="218" t="s">
        <v>442</v>
      </c>
      <c r="N300" s="226"/>
      <c r="O300" s="226" t="s">
        <v>504</v>
      </c>
      <c r="P300" s="109">
        <v>1350</v>
      </c>
      <c r="Q300" s="109">
        <v>1325</v>
      </c>
      <c r="R300" s="109">
        <v>1287.5</v>
      </c>
      <c r="S300" s="109">
        <v>1256.25</v>
      </c>
      <c r="T300" s="109">
        <v>1225</v>
      </c>
      <c r="V300" s="135"/>
      <c r="W300" s="119" t="s">
        <v>502</v>
      </c>
    </row>
    <row r="301" spans="2:23" x14ac:dyDescent="0.3">
      <c r="B301" s="216" t="s">
        <v>469</v>
      </c>
      <c r="C301" s="216" t="str">
        <f t="shared" si="98"/>
        <v>TFREPYG101</v>
      </c>
      <c r="D301" s="221"/>
      <c r="E301" s="216" t="str">
        <f t="shared" si="99"/>
        <v>TFRS</v>
      </c>
      <c r="F301" s="254">
        <f t="shared" si="93"/>
        <v>6.7229999999999998E-2</v>
      </c>
      <c r="G301" s="254">
        <f t="shared" si="94"/>
        <v>6.8089999999999998E-2</v>
      </c>
      <c r="H301" s="254">
        <f t="shared" si="95"/>
        <v>7.0800000000000002E-2</v>
      </c>
      <c r="I301" s="254">
        <f t="shared" si="96"/>
        <v>7.2730000000000003E-2</v>
      </c>
      <c r="J301" s="254">
        <f t="shared" si="97"/>
        <v>7.4770000000000003E-2</v>
      </c>
      <c r="M301" s="218" t="s">
        <v>431</v>
      </c>
      <c r="N301" s="226"/>
      <c r="O301" s="226" t="s">
        <v>350</v>
      </c>
      <c r="P301" s="109">
        <v>1487.5</v>
      </c>
      <c r="Q301" s="109">
        <v>1468.75</v>
      </c>
      <c r="R301" s="109">
        <v>1412.5</v>
      </c>
      <c r="S301" s="109">
        <v>1375</v>
      </c>
      <c r="T301" s="109">
        <v>1337.5</v>
      </c>
      <c r="V301" s="135"/>
      <c r="W301" s="119" t="s">
        <v>502</v>
      </c>
    </row>
    <row r="302" spans="2:23" x14ac:dyDescent="0.3">
      <c r="B302" s="219" t="s">
        <v>469</v>
      </c>
      <c r="C302" s="219" t="str">
        <f t="shared" si="98"/>
        <v>TFREPYG901</v>
      </c>
      <c r="D302" s="222"/>
      <c r="E302" s="219" t="str">
        <f t="shared" si="99"/>
        <v>TFRS-C</v>
      </c>
      <c r="F302" s="256">
        <f t="shared" si="93"/>
        <v>6.7229999999999998E-2</v>
      </c>
      <c r="G302" s="256">
        <f t="shared" si="94"/>
        <v>6.8089999999999998E-2</v>
      </c>
      <c r="H302" s="256">
        <f t="shared" si="95"/>
        <v>7.0800000000000002E-2</v>
      </c>
      <c r="I302" s="256">
        <f t="shared" si="96"/>
        <v>7.2730000000000003E-2</v>
      </c>
      <c r="J302" s="256">
        <f t="shared" si="97"/>
        <v>7.4770000000000003E-2</v>
      </c>
      <c r="M302" s="223" t="s">
        <v>443</v>
      </c>
      <c r="N302" s="227"/>
      <c r="O302" s="227" t="s">
        <v>504</v>
      </c>
      <c r="P302" s="113">
        <v>1487.5</v>
      </c>
      <c r="Q302" s="113">
        <v>1468.75</v>
      </c>
      <c r="R302" s="113">
        <v>1412.5</v>
      </c>
      <c r="S302" s="113">
        <v>1375</v>
      </c>
      <c r="T302" s="113">
        <v>1337.5</v>
      </c>
      <c r="V302" s="135"/>
      <c r="W302" s="147" t="s">
        <v>502</v>
      </c>
    </row>
    <row r="303" spans="2:23" x14ac:dyDescent="0.3">
      <c r="B303" s="216" t="s">
        <v>471</v>
      </c>
      <c r="C303" s="216" t="str">
        <f>M303</f>
        <v>TLEFELC101</v>
      </c>
      <c r="D303" s="221"/>
      <c r="E303" s="216" t="str">
        <f t="shared" si="99"/>
        <v>TEF</v>
      </c>
      <c r="F303" s="254">
        <v>1.51</v>
      </c>
      <c r="G303" s="254">
        <v>1.51</v>
      </c>
      <c r="H303" s="254">
        <v>1.51</v>
      </c>
      <c r="I303" s="254">
        <v>1.51</v>
      </c>
      <c r="J303" s="254">
        <v>1.51</v>
      </c>
      <c r="M303" s="218" t="s">
        <v>591</v>
      </c>
      <c r="N303" s="226"/>
      <c r="O303" s="226" t="s">
        <v>132</v>
      </c>
      <c r="P303" s="109"/>
      <c r="Q303" s="109"/>
      <c r="R303" s="109"/>
      <c r="S303" s="109"/>
      <c r="T303" s="109"/>
      <c r="V303" s="135"/>
      <c r="W303" s="119"/>
    </row>
    <row r="304" spans="2:23" x14ac:dyDescent="0.3">
      <c r="B304" s="216" t="s">
        <v>471</v>
      </c>
      <c r="C304" s="216" t="str">
        <f t="shared" si="98"/>
        <v>TLEFELC901</v>
      </c>
      <c r="D304" s="221"/>
      <c r="E304" s="216" t="str">
        <f t="shared" si="99"/>
        <v>TEF-C</v>
      </c>
      <c r="F304" s="254">
        <v>1.51</v>
      </c>
      <c r="G304" s="254">
        <v>1.51</v>
      </c>
      <c r="H304" s="254">
        <v>1.51</v>
      </c>
      <c r="I304" s="254">
        <v>1.51</v>
      </c>
      <c r="J304" s="254">
        <v>1.51</v>
      </c>
      <c r="M304" s="218" t="s">
        <v>594</v>
      </c>
      <c r="N304" s="226"/>
      <c r="O304" s="226" t="s">
        <v>404</v>
      </c>
      <c r="P304" s="109"/>
      <c r="Q304" s="109"/>
      <c r="R304" s="109"/>
      <c r="S304" s="109"/>
      <c r="T304" s="109"/>
      <c r="V304" s="135"/>
      <c r="W304" s="119"/>
    </row>
    <row r="305" spans="2:23" x14ac:dyDescent="0.3">
      <c r="B305" s="216" t="s">
        <v>471</v>
      </c>
      <c r="C305" s="216" t="str">
        <f t="shared" si="98"/>
        <v>TLEPELC101</v>
      </c>
      <c r="D305" s="221"/>
      <c r="E305" s="216" t="str">
        <f t="shared" si="99"/>
        <v>TEP</v>
      </c>
      <c r="F305" s="254">
        <v>3</v>
      </c>
      <c r="G305" s="254">
        <v>3</v>
      </c>
      <c r="H305" s="254">
        <v>3</v>
      </c>
      <c r="I305" s="254">
        <v>3</v>
      </c>
      <c r="J305" s="254">
        <v>3</v>
      </c>
      <c r="M305" s="218" t="s">
        <v>590</v>
      </c>
      <c r="N305" s="226"/>
      <c r="O305" s="226" t="s">
        <v>28</v>
      </c>
      <c r="P305" s="109"/>
      <c r="Q305" s="109"/>
      <c r="R305" s="109"/>
      <c r="S305" s="109"/>
      <c r="T305" s="109"/>
      <c r="V305" s="135"/>
      <c r="W305" s="119"/>
    </row>
    <row r="306" spans="2:23" x14ac:dyDescent="0.3">
      <c r="B306" s="219" t="s">
        <v>471</v>
      </c>
      <c r="C306" s="219" t="str">
        <f t="shared" si="98"/>
        <v>TLEPELC901</v>
      </c>
      <c r="D306" s="222"/>
      <c r="E306" s="219" t="str">
        <f t="shared" si="99"/>
        <v>TEP-C</v>
      </c>
      <c r="F306" s="256">
        <v>3</v>
      </c>
      <c r="G306" s="256">
        <v>3</v>
      </c>
      <c r="H306" s="256">
        <v>3</v>
      </c>
      <c r="I306" s="256">
        <v>3</v>
      </c>
      <c r="J306" s="256">
        <v>3</v>
      </c>
      <c r="M306" s="223" t="s">
        <v>595</v>
      </c>
      <c r="N306" s="227"/>
      <c r="O306" s="227" t="s">
        <v>550</v>
      </c>
      <c r="P306" s="113"/>
      <c r="Q306" s="113"/>
      <c r="R306" s="113"/>
      <c r="S306" s="113"/>
      <c r="T306" s="113"/>
      <c r="V306" s="135"/>
      <c r="W306" s="119"/>
    </row>
    <row r="307" spans="2:23" x14ac:dyDescent="0.3">
      <c r="B307" s="216" t="s">
        <v>471</v>
      </c>
      <c r="C307" s="216" t="str">
        <f t="shared" si="98"/>
        <v>TMOTELC101</v>
      </c>
      <c r="D307" s="221"/>
      <c r="E307" s="216" t="str">
        <f t="shared" si="99"/>
        <v>TMO</v>
      </c>
      <c r="F307" s="254">
        <f t="shared" si="93"/>
        <v>2.0408200000000001</v>
      </c>
      <c r="G307" s="254">
        <f t="shared" si="94"/>
        <v>2.0833300000000001</v>
      </c>
      <c r="H307" s="254">
        <f t="shared" si="95"/>
        <v>2.1276600000000001</v>
      </c>
      <c r="I307" s="254">
        <f t="shared" si="96"/>
        <v>2.1739099999999998</v>
      </c>
      <c r="J307" s="254">
        <f t="shared" si="97"/>
        <v>2.2222200000000001</v>
      </c>
      <c r="M307" s="218" t="s">
        <v>41</v>
      </c>
      <c r="N307" s="218"/>
      <c r="O307" s="218" t="s">
        <v>388</v>
      </c>
      <c r="P307" s="109">
        <v>49</v>
      </c>
      <c r="Q307" s="109">
        <v>48</v>
      </c>
      <c r="R307" s="109">
        <v>47</v>
      </c>
      <c r="S307" s="109">
        <v>46</v>
      </c>
      <c r="T307" s="109">
        <v>45</v>
      </c>
      <c r="W307" s="119"/>
    </row>
    <row r="308" spans="2:23" x14ac:dyDescent="0.3">
      <c r="B308" s="216" t="s">
        <v>471</v>
      </c>
      <c r="C308" s="216" t="str">
        <f t="shared" si="98"/>
        <v>TMOTELC901</v>
      </c>
      <c r="D308" s="221"/>
      <c r="E308" s="216" t="str">
        <f t="shared" si="99"/>
        <v>TMO-C</v>
      </c>
      <c r="F308" s="254">
        <f t="shared" si="93"/>
        <v>2.0408200000000001</v>
      </c>
      <c r="G308" s="254">
        <f t="shared" si="94"/>
        <v>2.0833300000000001</v>
      </c>
      <c r="H308" s="254">
        <f t="shared" si="95"/>
        <v>2.1276600000000001</v>
      </c>
      <c r="I308" s="254">
        <f t="shared" si="96"/>
        <v>2.1739099999999998</v>
      </c>
      <c r="J308" s="254">
        <f t="shared" si="97"/>
        <v>2.2222200000000001</v>
      </c>
      <c r="M308" s="218" t="s">
        <v>552</v>
      </c>
      <c r="N308" s="218"/>
      <c r="O308" s="218" t="s">
        <v>553</v>
      </c>
      <c r="P308" s="109">
        <v>49</v>
      </c>
      <c r="Q308" s="109">
        <v>48</v>
      </c>
      <c r="R308" s="109">
        <v>47</v>
      </c>
      <c r="S308" s="109">
        <v>46</v>
      </c>
      <c r="T308" s="109">
        <v>45</v>
      </c>
      <c r="W308" s="119"/>
    </row>
    <row r="309" spans="2:23" x14ac:dyDescent="0.3">
      <c r="B309" s="216" t="s">
        <v>471</v>
      </c>
      <c r="C309" s="216" t="str">
        <f t="shared" si="98"/>
        <v>TMOTGSL101</v>
      </c>
      <c r="D309" s="221"/>
      <c r="E309" s="216" t="str">
        <f t="shared" si="99"/>
        <v>TMO</v>
      </c>
      <c r="F309" s="254">
        <f t="shared" si="93"/>
        <v>0.68027000000000004</v>
      </c>
      <c r="G309" s="254">
        <f t="shared" si="94"/>
        <v>0.69416</v>
      </c>
      <c r="H309" s="254">
        <f t="shared" si="95"/>
        <v>0.70831999999999995</v>
      </c>
      <c r="I309" s="254">
        <f t="shared" si="96"/>
        <v>0.72277999999999998</v>
      </c>
      <c r="J309" s="254">
        <f t="shared" si="97"/>
        <v>0.73753000000000002</v>
      </c>
      <c r="M309" s="218" t="s">
        <v>38</v>
      </c>
      <c r="N309" s="218"/>
      <c r="O309" s="218" t="s">
        <v>388</v>
      </c>
      <c r="P309" s="109">
        <v>147</v>
      </c>
      <c r="Q309" s="109">
        <v>144.06</v>
      </c>
      <c r="R309" s="109">
        <v>141.1788</v>
      </c>
      <c r="S309" s="109">
        <v>138.35522399999999</v>
      </c>
      <c r="T309" s="109">
        <v>135.58811951999999</v>
      </c>
      <c r="W309" s="119" t="s">
        <v>309</v>
      </c>
    </row>
    <row r="310" spans="2:23" x14ac:dyDescent="0.3">
      <c r="B310" s="219" t="s">
        <v>471</v>
      </c>
      <c r="C310" s="219" t="str">
        <f t="shared" si="98"/>
        <v>TMOTGSL901</v>
      </c>
      <c r="D310" s="222"/>
      <c r="E310" s="219" t="str">
        <f t="shared" si="99"/>
        <v>TMO-C</v>
      </c>
      <c r="F310" s="256">
        <f t="shared" si="93"/>
        <v>0.68027000000000004</v>
      </c>
      <c r="G310" s="256">
        <f t="shared" si="94"/>
        <v>0.69416</v>
      </c>
      <c r="H310" s="256">
        <f t="shared" si="95"/>
        <v>0.70831999999999995</v>
      </c>
      <c r="I310" s="256">
        <f t="shared" si="96"/>
        <v>0.72277999999999998</v>
      </c>
      <c r="J310" s="256">
        <f t="shared" si="97"/>
        <v>0.73753000000000002</v>
      </c>
      <c r="M310" s="223" t="s">
        <v>554</v>
      </c>
      <c r="N310" s="223"/>
      <c r="O310" s="223" t="s">
        <v>553</v>
      </c>
      <c r="P310" s="113">
        <v>147</v>
      </c>
      <c r="Q310" s="113">
        <v>144.06</v>
      </c>
      <c r="R310" s="113">
        <v>141.1788</v>
      </c>
      <c r="S310" s="113">
        <v>138.35522399999999</v>
      </c>
      <c r="T310" s="113">
        <v>135.58811951999999</v>
      </c>
      <c r="W310" s="147"/>
    </row>
    <row r="311" spans="2:23" x14ac:dyDescent="0.3">
      <c r="B311" s="216" t="s">
        <v>470</v>
      </c>
      <c r="C311" s="216" t="str">
        <f>M311</f>
        <v>TNCDST101</v>
      </c>
      <c r="D311" s="221"/>
      <c r="E311" s="216" t="str">
        <f>O311</f>
        <v>TNC, TNC-C</v>
      </c>
      <c r="F311" s="254">
        <f>22/1000</f>
        <v>2.1999999999999999E-2</v>
      </c>
      <c r="G311" s="254">
        <f t="shared" ref="G311:J314" si="100">22/1000</f>
        <v>2.1999999999999999E-2</v>
      </c>
      <c r="H311" s="254">
        <f t="shared" si="100"/>
        <v>2.1999999999999999E-2</v>
      </c>
      <c r="I311" s="254">
        <f t="shared" si="100"/>
        <v>2.1999999999999999E-2</v>
      </c>
      <c r="J311" s="254">
        <f t="shared" si="100"/>
        <v>2.1999999999999999E-2</v>
      </c>
      <c r="M311" s="218" t="s">
        <v>286</v>
      </c>
      <c r="N311" s="218"/>
      <c r="O311" s="218" t="s">
        <v>551</v>
      </c>
      <c r="P311" s="109"/>
      <c r="Q311" s="109"/>
      <c r="R311" s="109"/>
      <c r="S311" s="109"/>
      <c r="T311" s="109"/>
      <c r="W311" s="119"/>
    </row>
    <row r="312" spans="2:23" x14ac:dyDescent="0.3">
      <c r="B312" s="216" t="s">
        <v>470</v>
      </c>
      <c r="C312" s="216" t="str">
        <f>M312</f>
        <v>TNCELC101</v>
      </c>
      <c r="D312" s="221"/>
      <c r="E312" s="216" t="str">
        <f>O312</f>
        <v>TNC, TNC-C</v>
      </c>
      <c r="F312" s="254">
        <f t="shared" ref="F312:F314" si="101">22/1000</f>
        <v>2.1999999999999999E-2</v>
      </c>
      <c r="G312" s="254">
        <f t="shared" si="100"/>
        <v>2.1999999999999999E-2</v>
      </c>
      <c r="H312" s="254">
        <f t="shared" si="100"/>
        <v>2.1999999999999999E-2</v>
      </c>
      <c r="I312" s="254">
        <f t="shared" si="100"/>
        <v>2.1999999999999999E-2</v>
      </c>
      <c r="J312" s="254">
        <f t="shared" si="100"/>
        <v>2.1999999999999999E-2</v>
      </c>
      <c r="M312" s="218" t="s">
        <v>288</v>
      </c>
      <c r="N312" s="218"/>
      <c r="O312" s="218" t="s">
        <v>551</v>
      </c>
      <c r="P312" s="109"/>
      <c r="Q312" s="109"/>
      <c r="R312" s="109"/>
      <c r="S312" s="109"/>
      <c r="T312" s="109"/>
      <c r="W312" s="119"/>
    </row>
    <row r="313" spans="2:23" x14ac:dyDescent="0.3">
      <c r="B313" s="216" t="s">
        <v>470</v>
      </c>
      <c r="C313" s="216" t="str">
        <f>M313</f>
        <v>TNCGAS101</v>
      </c>
      <c r="D313" s="221"/>
      <c r="E313" s="216" t="str">
        <f>O313</f>
        <v>TNC, TNC-C</v>
      </c>
      <c r="F313" s="254">
        <f t="shared" si="101"/>
        <v>2.1999999999999999E-2</v>
      </c>
      <c r="G313" s="254">
        <f t="shared" si="100"/>
        <v>2.1999999999999999E-2</v>
      </c>
      <c r="H313" s="254">
        <f t="shared" si="100"/>
        <v>2.1999999999999999E-2</v>
      </c>
      <c r="I313" s="254">
        <f t="shared" si="100"/>
        <v>2.1999999999999999E-2</v>
      </c>
      <c r="J313" s="254">
        <f t="shared" si="100"/>
        <v>2.1999999999999999E-2</v>
      </c>
      <c r="M313" s="218" t="s">
        <v>290</v>
      </c>
      <c r="N313" s="218"/>
      <c r="O313" s="218" t="s">
        <v>551</v>
      </c>
      <c r="P313" s="109"/>
      <c r="Q313" s="109"/>
      <c r="R313" s="109"/>
      <c r="S313" s="109"/>
      <c r="T313" s="109"/>
      <c r="W313" s="119"/>
    </row>
    <row r="314" spans="2:23" x14ac:dyDescent="0.3">
      <c r="B314" s="219" t="s">
        <v>470</v>
      </c>
      <c r="C314" s="219" t="str">
        <f>M314</f>
        <v>TNCMTH101</v>
      </c>
      <c r="D314" s="222"/>
      <c r="E314" s="219" t="str">
        <f>O314</f>
        <v>TNC, TNC-C</v>
      </c>
      <c r="F314" s="256">
        <f t="shared" si="101"/>
        <v>2.1999999999999999E-2</v>
      </c>
      <c r="G314" s="256">
        <f t="shared" si="100"/>
        <v>2.1999999999999999E-2</v>
      </c>
      <c r="H314" s="256">
        <f t="shared" si="100"/>
        <v>2.1999999999999999E-2</v>
      </c>
      <c r="I314" s="256">
        <f t="shared" si="100"/>
        <v>2.1999999999999999E-2</v>
      </c>
      <c r="J314" s="256">
        <f t="shared" si="100"/>
        <v>2.1999999999999999E-2</v>
      </c>
      <c r="M314" s="223" t="s">
        <v>613</v>
      </c>
      <c r="N314" s="223"/>
      <c r="O314" s="223" t="s">
        <v>551</v>
      </c>
      <c r="P314" s="113"/>
      <c r="Q314" s="113"/>
      <c r="R314" s="113"/>
      <c r="S314" s="113"/>
      <c r="T314" s="113"/>
      <c r="W314" s="119"/>
    </row>
    <row r="315" spans="2:23" x14ac:dyDescent="0.3">
      <c r="B315" s="216" t="s">
        <v>466</v>
      </c>
      <c r="C315" s="216" t="str">
        <f t="shared" ref="C315:C316" si="102">M315</f>
        <v>TTLRELC100</v>
      </c>
      <c r="D315" s="221"/>
      <c r="E315" s="216" t="str">
        <f t="shared" ref="E315:E316" si="103">O315</f>
        <v>TTL</v>
      </c>
      <c r="F315" s="254">
        <f t="shared" si="93"/>
        <v>6.5689999999999998E-2</v>
      </c>
      <c r="G315" s="254">
        <f t="shared" si="94"/>
        <v>6.5689999999999998E-2</v>
      </c>
      <c r="H315" s="254">
        <f t="shared" si="95"/>
        <v>6.5689999999999998E-2</v>
      </c>
      <c r="I315" s="254">
        <f t="shared" si="96"/>
        <v>6.5689999999999998E-2</v>
      </c>
      <c r="J315" s="254">
        <f t="shared" si="97"/>
        <v>6.5689999999999998E-2</v>
      </c>
      <c r="M315" s="218" t="s">
        <v>318</v>
      </c>
      <c r="N315" s="218"/>
      <c r="O315" s="218" t="s">
        <v>109</v>
      </c>
      <c r="P315" s="109">
        <v>1522.2488388084205</v>
      </c>
      <c r="Q315" s="109">
        <v>1522.2488388084205</v>
      </c>
      <c r="R315" s="109">
        <v>1522.2488388084205</v>
      </c>
      <c r="S315" s="109">
        <v>1522.2488388084205</v>
      </c>
      <c r="T315" s="109">
        <v>1522.2488388084205</v>
      </c>
      <c r="W315" s="119"/>
    </row>
    <row r="316" spans="2:23" x14ac:dyDescent="0.3">
      <c r="B316" s="219" t="s">
        <v>466</v>
      </c>
      <c r="C316" s="219" t="str">
        <f t="shared" si="102"/>
        <v>TTMEELC100</v>
      </c>
      <c r="D316" s="222"/>
      <c r="E316" s="219" t="str">
        <f t="shared" si="103"/>
        <v>TTM</v>
      </c>
      <c r="F316" s="256">
        <f t="shared" si="93"/>
        <v>1.7610000000000001E-2</v>
      </c>
      <c r="G316" s="256">
        <f t="shared" si="94"/>
        <v>1.7610000000000001E-2</v>
      </c>
      <c r="H316" s="256">
        <f t="shared" si="95"/>
        <v>1.7610000000000001E-2</v>
      </c>
      <c r="I316" s="256">
        <f t="shared" si="96"/>
        <v>1.7610000000000001E-2</v>
      </c>
      <c r="J316" s="256">
        <f t="shared" si="97"/>
        <v>1.7610000000000001E-2</v>
      </c>
      <c r="M316" s="223" t="s">
        <v>319</v>
      </c>
      <c r="N316" s="223"/>
      <c r="O316" s="223" t="s">
        <v>112</v>
      </c>
      <c r="P316" s="113">
        <v>5677.1202826182334</v>
      </c>
      <c r="Q316" s="113">
        <v>5677.1202826182334</v>
      </c>
      <c r="R316" s="113">
        <v>5677.1202826182334</v>
      </c>
      <c r="S316" s="113">
        <v>5677.1202826182334</v>
      </c>
      <c r="T316" s="113">
        <v>5677.1202826182334</v>
      </c>
      <c r="W316" s="147"/>
    </row>
    <row r="317" spans="2:23" x14ac:dyDescent="0.3">
      <c r="B317" s="216" t="s">
        <v>471</v>
      </c>
      <c r="C317" s="216" t="str">
        <f t="shared" si="98"/>
        <v>TWN101</v>
      </c>
      <c r="D317" s="221" t="str">
        <f t="shared" ref="D317:D330" si="104">N317</f>
        <v>TRAHUM</v>
      </c>
      <c r="E317" s="216" t="str">
        <f t="shared" si="99"/>
        <v>TWN</v>
      </c>
      <c r="F317" s="116">
        <v>1000</v>
      </c>
      <c r="G317" s="116">
        <v>1000</v>
      </c>
      <c r="H317" s="116">
        <v>1000</v>
      </c>
      <c r="I317" s="116">
        <v>1000</v>
      </c>
      <c r="J317" s="116">
        <v>1000</v>
      </c>
      <c r="M317" s="218" t="s">
        <v>35</v>
      </c>
      <c r="N317" s="218" t="s">
        <v>30</v>
      </c>
      <c r="O317" s="218" t="s">
        <v>36</v>
      </c>
      <c r="P317" s="109"/>
      <c r="Q317" s="109"/>
      <c r="R317" s="109"/>
      <c r="S317" s="109"/>
      <c r="T317" s="109"/>
      <c r="W317" s="119"/>
    </row>
    <row r="318" spans="2:23" x14ac:dyDescent="0.3">
      <c r="B318" s="216" t="s">
        <v>471</v>
      </c>
      <c r="C318" s="216" t="str">
        <f t="shared" si="98"/>
        <v>TWN901</v>
      </c>
      <c r="D318" s="221" t="str">
        <f t="shared" si="104"/>
        <v>TRAHUM</v>
      </c>
      <c r="E318" s="216" t="str">
        <f t="shared" si="99"/>
        <v>TWN-C</v>
      </c>
      <c r="F318" s="116">
        <v>1000</v>
      </c>
      <c r="G318" s="116">
        <v>1000</v>
      </c>
      <c r="H318" s="116">
        <v>1000</v>
      </c>
      <c r="I318" s="116">
        <v>1000</v>
      </c>
      <c r="J318" s="116">
        <v>1000</v>
      </c>
      <c r="M318" s="218" t="s">
        <v>293</v>
      </c>
      <c r="N318" s="218" t="s">
        <v>30</v>
      </c>
      <c r="O318" s="218" t="s">
        <v>405</v>
      </c>
      <c r="P318" s="109"/>
      <c r="Q318" s="109"/>
      <c r="R318" s="109"/>
      <c r="S318" s="109"/>
      <c r="T318" s="109"/>
      <c r="W318" s="119"/>
    </row>
    <row r="319" spans="2:23" x14ac:dyDescent="0.3">
      <c r="B319" s="216" t="s">
        <v>471</v>
      </c>
      <c r="C319" s="216" t="str">
        <f t="shared" si="98"/>
        <v>TYEF101</v>
      </c>
      <c r="D319" s="221" t="str">
        <f t="shared" si="104"/>
        <v>TRAELC</v>
      </c>
      <c r="E319" s="216" t="str">
        <f t="shared" si="99"/>
        <v>TYEF</v>
      </c>
      <c r="F319" s="254">
        <v>3.02</v>
      </c>
      <c r="G319" s="254">
        <v>3.02</v>
      </c>
      <c r="H319" s="254">
        <v>3.02</v>
      </c>
      <c r="I319" s="254">
        <v>3.02</v>
      </c>
      <c r="J319" s="254">
        <v>3.02</v>
      </c>
      <c r="M319" s="218" t="s">
        <v>130</v>
      </c>
      <c r="N319" s="218" t="s">
        <v>27</v>
      </c>
      <c r="O319" s="218" t="s">
        <v>131</v>
      </c>
      <c r="P319" s="109"/>
      <c r="Q319" s="109"/>
      <c r="R319" s="109"/>
      <c r="S319" s="109"/>
      <c r="T319" s="109"/>
      <c r="W319" s="119"/>
    </row>
    <row r="320" spans="2:23" x14ac:dyDescent="0.3">
      <c r="B320" s="216" t="s">
        <v>471</v>
      </c>
      <c r="C320" s="216" t="str">
        <f t="shared" si="98"/>
        <v>TYEF101</v>
      </c>
      <c r="D320" s="221" t="str">
        <f t="shared" si="104"/>
        <v>TRAHUM</v>
      </c>
      <c r="E320" s="216" t="str">
        <f t="shared" si="99"/>
        <v>TYEF</v>
      </c>
      <c r="F320" s="116">
        <v>1000</v>
      </c>
      <c r="G320" s="116">
        <v>1000</v>
      </c>
      <c r="H320" s="116">
        <v>1000</v>
      </c>
      <c r="I320" s="116">
        <v>1000</v>
      </c>
      <c r="J320" s="116">
        <v>1000</v>
      </c>
      <c r="M320" s="218" t="s">
        <v>130</v>
      </c>
      <c r="N320" s="218" t="s">
        <v>30</v>
      </c>
      <c r="O320" s="218" t="s">
        <v>131</v>
      </c>
      <c r="P320" s="109"/>
      <c r="Q320" s="109"/>
      <c r="R320" s="109"/>
      <c r="S320" s="109"/>
      <c r="T320" s="109"/>
      <c r="W320" s="119"/>
    </row>
    <row r="321" spans="2:23" x14ac:dyDescent="0.3">
      <c r="B321" s="216" t="s">
        <v>471</v>
      </c>
      <c r="C321" s="216" t="str">
        <f t="shared" si="98"/>
        <v>TYEF901</v>
      </c>
      <c r="D321" s="221" t="str">
        <f t="shared" si="104"/>
        <v>TRAELC</v>
      </c>
      <c r="E321" s="216" t="str">
        <f t="shared" si="99"/>
        <v>TYEF-C</v>
      </c>
      <c r="F321" s="254">
        <v>3.02</v>
      </c>
      <c r="G321" s="254">
        <v>3.02</v>
      </c>
      <c r="H321" s="254">
        <v>3.02</v>
      </c>
      <c r="I321" s="254">
        <v>3.02</v>
      </c>
      <c r="J321" s="254">
        <v>3.02</v>
      </c>
      <c r="M321" s="218" t="s">
        <v>295</v>
      </c>
      <c r="N321" s="218" t="s">
        <v>27</v>
      </c>
      <c r="O321" s="218" t="s">
        <v>403</v>
      </c>
      <c r="P321" s="109"/>
      <c r="Q321" s="109"/>
      <c r="R321" s="109"/>
      <c r="S321" s="109"/>
      <c r="T321" s="109"/>
      <c r="W321" s="119"/>
    </row>
    <row r="322" spans="2:23" x14ac:dyDescent="0.3">
      <c r="B322" s="216" t="s">
        <v>471</v>
      </c>
      <c r="C322" s="216" t="str">
        <f t="shared" si="98"/>
        <v>TYEF901</v>
      </c>
      <c r="D322" s="221" t="str">
        <f t="shared" si="104"/>
        <v>TRAHUM</v>
      </c>
      <c r="E322" s="216" t="str">
        <f t="shared" si="99"/>
        <v>TYEF-C</v>
      </c>
      <c r="F322" s="116">
        <v>1000</v>
      </c>
      <c r="G322" s="116">
        <v>1000</v>
      </c>
      <c r="H322" s="116">
        <v>1000</v>
      </c>
      <c r="I322" s="116">
        <v>1000</v>
      </c>
      <c r="J322" s="116">
        <v>1000</v>
      </c>
      <c r="M322" s="218" t="s">
        <v>295</v>
      </c>
      <c r="N322" s="218" t="s">
        <v>30</v>
      </c>
      <c r="O322" s="218" t="s">
        <v>403</v>
      </c>
      <c r="P322" s="109"/>
      <c r="Q322" s="109"/>
      <c r="R322" s="109"/>
      <c r="S322" s="109"/>
      <c r="T322" s="109"/>
      <c r="W322" s="119"/>
    </row>
    <row r="323" spans="2:23" x14ac:dyDescent="0.3">
      <c r="B323" s="216" t="s">
        <v>471</v>
      </c>
      <c r="C323" s="216" t="str">
        <f t="shared" si="98"/>
        <v>TYNF101</v>
      </c>
      <c r="D323" s="221" t="str">
        <f t="shared" si="104"/>
        <v>TRAHUM</v>
      </c>
      <c r="E323" s="216" t="str">
        <f t="shared" si="99"/>
        <v>TYNF</v>
      </c>
      <c r="F323" s="116">
        <v>1000</v>
      </c>
      <c r="G323" s="116">
        <v>1000</v>
      </c>
      <c r="H323" s="116">
        <v>1000</v>
      </c>
      <c r="I323" s="116">
        <v>1000</v>
      </c>
      <c r="J323" s="116">
        <v>1000</v>
      </c>
      <c r="M323" s="218" t="s">
        <v>128</v>
      </c>
      <c r="N323" s="218" t="s">
        <v>30</v>
      </c>
      <c r="O323" s="218" t="s">
        <v>129</v>
      </c>
      <c r="P323" s="109"/>
      <c r="Q323" s="109"/>
      <c r="R323" s="109"/>
      <c r="S323" s="109"/>
      <c r="T323" s="109"/>
      <c r="W323" s="119"/>
    </row>
    <row r="324" spans="2:23" x14ac:dyDescent="0.3">
      <c r="B324" s="216" t="s">
        <v>471</v>
      </c>
      <c r="C324" s="216" t="str">
        <f t="shared" si="98"/>
        <v>TYNF901</v>
      </c>
      <c r="D324" s="221" t="str">
        <f t="shared" si="104"/>
        <v>TRAHUM</v>
      </c>
      <c r="E324" s="216" t="str">
        <f t="shared" si="99"/>
        <v>TYNF-C</v>
      </c>
      <c r="F324" s="116">
        <v>1000</v>
      </c>
      <c r="G324" s="116">
        <v>1000</v>
      </c>
      <c r="H324" s="116">
        <v>1000</v>
      </c>
      <c r="I324" s="116">
        <v>1000</v>
      </c>
      <c r="J324" s="116">
        <v>1000</v>
      </c>
      <c r="M324" s="218" t="s">
        <v>299</v>
      </c>
      <c r="N324" s="218" t="s">
        <v>30</v>
      </c>
      <c r="O324" s="218" t="s">
        <v>402</v>
      </c>
      <c r="P324" s="109"/>
      <c r="Q324" s="109"/>
      <c r="R324" s="109"/>
      <c r="S324" s="109"/>
      <c r="T324" s="109"/>
      <c r="W324" s="119"/>
    </row>
    <row r="325" spans="2:23" x14ac:dyDescent="0.3">
      <c r="B325" s="216" t="s">
        <v>471</v>
      </c>
      <c r="C325" s="216" t="str">
        <f t="shared" ref="C325:E326" si="105">M325</f>
        <v>TYEP101</v>
      </c>
      <c r="D325" s="221" t="str">
        <f t="shared" si="105"/>
        <v>TRAELC</v>
      </c>
      <c r="E325" s="216" t="str">
        <f t="shared" si="105"/>
        <v>TYEP</v>
      </c>
      <c r="F325" s="254">
        <v>4.53</v>
      </c>
      <c r="G325" s="254">
        <v>4.53</v>
      </c>
      <c r="H325" s="254">
        <v>4.53</v>
      </c>
      <c r="I325" s="254">
        <v>4.53</v>
      </c>
      <c r="J325" s="254">
        <v>4.53</v>
      </c>
      <c r="M325" s="218" t="s">
        <v>29</v>
      </c>
      <c r="N325" s="218" t="s">
        <v>27</v>
      </c>
      <c r="O325" s="218" t="s">
        <v>31</v>
      </c>
      <c r="P325" s="109"/>
      <c r="Q325" s="109"/>
      <c r="R325" s="109"/>
      <c r="S325" s="109"/>
      <c r="T325" s="109"/>
      <c r="W325" s="119"/>
    </row>
    <row r="326" spans="2:23" x14ac:dyDescent="0.3">
      <c r="B326" s="216" t="s">
        <v>471</v>
      </c>
      <c r="C326" s="216" t="str">
        <f t="shared" si="105"/>
        <v>TYEP101</v>
      </c>
      <c r="D326" s="221" t="str">
        <f t="shared" si="105"/>
        <v>TRAHUM</v>
      </c>
      <c r="E326" s="216" t="str">
        <f t="shared" si="105"/>
        <v>TYEP</v>
      </c>
      <c r="F326" s="116">
        <v>1000</v>
      </c>
      <c r="G326" s="116">
        <v>1000</v>
      </c>
      <c r="H326" s="116">
        <v>1000</v>
      </c>
      <c r="I326" s="116">
        <v>1000</v>
      </c>
      <c r="J326" s="116">
        <v>1000</v>
      </c>
      <c r="M326" s="218" t="s">
        <v>29</v>
      </c>
      <c r="N326" s="218" t="s">
        <v>30</v>
      </c>
      <c r="O326" s="218" t="s">
        <v>31</v>
      </c>
      <c r="P326" s="109"/>
      <c r="Q326" s="109"/>
      <c r="R326" s="109"/>
      <c r="S326" s="109"/>
      <c r="T326" s="109"/>
      <c r="W326" s="119" t="s">
        <v>310</v>
      </c>
    </row>
    <row r="327" spans="2:23" x14ac:dyDescent="0.3">
      <c r="B327" s="216" t="s">
        <v>471</v>
      </c>
      <c r="C327" s="216" t="str">
        <f t="shared" si="98"/>
        <v>TYEP901</v>
      </c>
      <c r="D327" s="221" t="str">
        <f t="shared" si="104"/>
        <v>TRAHUM</v>
      </c>
      <c r="E327" s="216" t="str">
        <f t="shared" si="99"/>
        <v>TYEP-C</v>
      </c>
      <c r="F327" s="116">
        <v>1000</v>
      </c>
      <c r="G327" s="116">
        <v>1000</v>
      </c>
      <c r="H327" s="116">
        <v>1000</v>
      </c>
      <c r="I327" s="116">
        <v>1000</v>
      </c>
      <c r="J327" s="116">
        <v>1000</v>
      </c>
      <c r="M327" s="218" t="s">
        <v>297</v>
      </c>
      <c r="N327" s="218" t="s">
        <v>30</v>
      </c>
      <c r="O327" s="218" t="s">
        <v>406</v>
      </c>
      <c r="P327" s="109"/>
      <c r="Q327" s="109"/>
      <c r="R327" s="109"/>
      <c r="S327" s="109"/>
      <c r="T327" s="109"/>
      <c r="W327" s="119"/>
    </row>
    <row r="328" spans="2:23" x14ac:dyDescent="0.3">
      <c r="B328" s="216" t="s">
        <v>471</v>
      </c>
      <c r="C328" s="216" t="str">
        <f t="shared" si="98"/>
        <v>TYEP901</v>
      </c>
      <c r="D328" s="221" t="str">
        <f t="shared" si="104"/>
        <v>TRAELC</v>
      </c>
      <c r="E328" s="216" t="str">
        <f t="shared" si="99"/>
        <v>TYEP-C</v>
      </c>
      <c r="F328" s="254">
        <v>4.53</v>
      </c>
      <c r="G328" s="254">
        <v>4.53</v>
      </c>
      <c r="H328" s="254">
        <v>4.53</v>
      </c>
      <c r="I328" s="254">
        <v>4.53</v>
      </c>
      <c r="J328" s="254">
        <v>4.53</v>
      </c>
      <c r="M328" s="218" t="s">
        <v>297</v>
      </c>
      <c r="N328" s="218" t="s">
        <v>27</v>
      </c>
      <c r="O328" s="218" t="s">
        <v>406</v>
      </c>
      <c r="P328" s="109"/>
      <c r="Q328" s="109"/>
      <c r="R328" s="109"/>
      <c r="S328" s="109"/>
      <c r="T328" s="109"/>
      <c r="W328" s="119" t="s">
        <v>310</v>
      </c>
    </row>
    <row r="329" spans="2:23" x14ac:dyDescent="0.3">
      <c r="B329" s="216" t="s">
        <v>471</v>
      </c>
      <c r="C329" s="216" t="str">
        <f t="shared" si="98"/>
        <v>TYNP101</v>
      </c>
      <c r="D329" s="221" t="str">
        <f t="shared" si="104"/>
        <v>TRAHUM</v>
      </c>
      <c r="E329" s="216" t="str">
        <f t="shared" si="99"/>
        <v>TYNP</v>
      </c>
      <c r="F329" s="116">
        <v>1000</v>
      </c>
      <c r="G329" s="116">
        <v>1000</v>
      </c>
      <c r="H329" s="116">
        <v>1000</v>
      </c>
      <c r="I329" s="116">
        <v>1000</v>
      </c>
      <c r="J329" s="116">
        <v>1000</v>
      </c>
      <c r="M329" s="218" t="s">
        <v>32</v>
      </c>
      <c r="N329" s="218" t="s">
        <v>30</v>
      </c>
      <c r="O329" s="218" t="s">
        <v>33</v>
      </c>
      <c r="P329" s="109"/>
      <c r="Q329" s="109"/>
      <c r="R329" s="109"/>
      <c r="S329" s="109"/>
      <c r="T329" s="109"/>
      <c r="W329" s="119"/>
    </row>
    <row r="330" spans="2:23" x14ac:dyDescent="0.3">
      <c r="B330" s="216" t="s">
        <v>471</v>
      </c>
      <c r="C330" s="216" t="str">
        <f t="shared" si="98"/>
        <v>TYNP901</v>
      </c>
      <c r="D330" s="221" t="str">
        <f t="shared" si="104"/>
        <v>TRAHUM</v>
      </c>
      <c r="E330" s="216" t="str">
        <f t="shared" si="99"/>
        <v>TYNP-C</v>
      </c>
      <c r="F330" s="116">
        <v>1000</v>
      </c>
      <c r="G330" s="116">
        <v>1000</v>
      </c>
      <c r="H330" s="116">
        <v>1000</v>
      </c>
      <c r="I330" s="116">
        <v>1000</v>
      </c>
      <c r="J330" s="116">
        <v>1000</v>
      </c>
      <c r="M330" s="218" t="s">
        <v>301</v>
      </c>
      <c r="N330" s="226" t="s">
        <v>30</v>
      </c>
      <c r="O330" s="226" t="s">
        <v>407</v>
      </c>
      <c r="P330" s="109"/>
      <c r="Q330" s="109"/>
      <c r="R330" s="109"/>
      <c r="S330" s="109"/>
      <c r="T330" s="109"/>
      <c r="W330" s="119"/>
    </row>
  </sheetData>
  <sortState xmlns:xlrd2="http://schemas.microsoft.com/office/spreadsheetml/2017/richdata2" ref="B325:J326">
    <sortCondition ref="D325:D32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TRA_Cars</vt:lpstr>
      <vt:lpstr>TRA_Other</vt:lpstr>
      <vt:lpstr>TRA_Buses</vt:lpstr>
      <vt:lpstr>TRA_TF</vt:lpstr>
      <vt:lpstr>TRA_TT</vt:lpstr>
      <vt:lpstr>TRA_TAV</vt:lpstr>
      <vt:lpstr>TRA_TNA</vt:lpstr>
      <vt:lpstr>TRA_COMM_PRO</vt:lpstr>
      <vt:lpstr>CEFF</vt:lpstr>
      <vt:lpstr>INVCOST</vt:lpstr>
      <vt:lpstr>FIXOM_VAROM</vt:lpstr>
      <vt:lpstr>Shares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2022-11-21T15:31:49Z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641033411026000</vt:r8>
  </property>
</Properties>
</file>