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AA07C947-C161-435A-B564-ECA3503A1182}" xr6:coauthVersionLast="47" xr6:coauthVersionMax="47" xr10:uidLastSave="{00000000-0000-0000-0000-000000000000}"/>
  <bookViews>
    <workbookView xWindow="-108" yWindow="-108" windowWidth="23256" windowHeight="12576" tabRatio="714" firstSheet="1" activeTab="4" xr2:uid="{00000000-000D-0000-FFFF-FFFF00000000}"/>
  </bookViews>
  <sheets>
    <sheet name="QUESTIONS" sheetId="13" r:id="rId1"/>
    <sheet name="INDATA Fuel relations" sheetId="6" r:id="rId2"/>
    <sheet name="INDATA prices" sheetId="5" r:id="rId3"/>
    <sheet name="Prices (2019)" sheetId="3" r:id="rId4"/>
    <sheet name="Prices (2020)" sheetId="22" r:id="rId5"/>
    <sheet name="Prices (2030)" sheetId="23" r:id="rId6"/>
    <sheet name="Prices (2040)" sheetId="24" r:id="rId7"/>
    <sheet name="Prices (2050)" sheetId="25" r:id="rId8"/>
    <sheet name="Prices (2065)" sheetId="26" r:id="rId9"/>
    <sheet name="Free commodities" sheetId="4" r:id="rId10"/>
  </sheets>
  <externalReferences>
    <externalReference r:id="rId11"/>
    <externalReference r:id="rId12"/>
  </externalReferences>
  <definedNames>
    <definedName name="FID_1">[1]AGR_Fuels!$A$2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22" l="1"/>
  <c r="F94" i="22"/>
  <c r="G37" i="22"/>
  <c r="G94" i="22" s="1"/>
  <c r="P37" i="22"/>
  <c r="H97" i="22"/>
  <c r="F97" i="22"/>
  <c r="H96" i="22"/>
  <c r="F96" i="22"/>
  <c r="H95" i="22"/>
  <c r="F95" i="22"/>
  <c r="P40" i="22"/>
  <c r="Q40" i="22" s="1"/>
  <c r="G40" i="22"/>
  <c r="G97" i="22" s="1"/>
  <c r="P39" i="22"/>
  <c r="Q39" i="22" s="1"/>
  <c r="G39" i="22"/>
  <c r="G96" i="22" s="1"/>
  <c r="P38" i="22"/>
  <c r="Q38" i="22" s="1"/>
  <c r="G38" i="22"/>
  <c r="G95" i="22" s="1"/>
  <c r="Q37" i="22" l="1"/>
  <c r="H92" i="23" l="1"/>
  <c r="F92" i="23"/>
  <c r="H92" i="24"/>
  <c r="F92" i="24"/>
  <c r="H92" i="25"/>
  <c r="F92" i="25"/>
  <c r="H92" i="26"/>
  <c r="F92" i="26"/>
  <c r="Q35" i="26"/>
  <c r="G35" i="26"/>
  <c r="G92" i="26" s="1"/>
  <c r="Q35" i="25"/>
  <c r="G35" i="25"/>
  <c r="G92" i="25" s="1"/>
  <c r="Q35" i="24"/>
  <c r="G35" i="24"/>
  <c r="G92" i="24" s="1"/>
  <c r="Q35" i="23"/>
  <c r="G35" i="23"/>
  <c r="G92" i="23" s="1"/>
  <c r="H92" i="22"/>
  <c r="F92" i="22"/>
  <c r="Q35" i="22"/>
  <c r="G35" i="22"/>
  <c r="G92" i="22" s="1"/>
  <c r="H92" i="3"/>
  <c r="F92" i="3"/>
  <c r="Q35" i="3"/>
  <c r="G35" i="3"/>
  <c r="G92" i="3" s="1"/>
  <c r="H93" i="26" l="1"/>
  <c r="F93" i="26"/>
  <c r="H91" i="26"/>
  <c r="F91" i="26"/>
  <c r="H90" i="26"/>
  <c r="F90" i="26"/>
  <c r="H89" i="26"/>
  <c r="F89" i="26"/>
  <c r="H79" i="26"/>
  <c r="F79" i="26"/>
  <c r="H93" i="25"/>
  <c r="F93" i="25"/>
  <c r="H91" i="25"/>
  <c r="F91" i="25"/>
  <c r="H90" i="25"/>
  <c r="F90" i="25"/>
  <c r="H89" i="25"/>
  <c r="F89" i="25"/>
  <c r="H79" i="25"/>
  <c r="F79" i="25"/>
  <c r="H93" i="24"/>
  <c r="F93" i="24"/>
  <c r="H91" i="24"/>
  <c r="F91" i="24"/>
  <c r="H90" i="24"/>
  <c r="F90" i="24"/>
  <c r="H89" i="24"/>
  <c r="F89" i="24"/>
  <c r="H79" i="24"/>
  <c r="F79" i="24"/>
  <c r="H93" i="23"/>
  <c r="F93" i="23"/>
  <c r="H91" i="23"/>
  <c r="F91" i="23"/>
  <c r="H90" i="23"/>
  <c r="F90" i="23"/>
  <c r="H89" i="23"/>
  <c r="F89" i="23"/>
  <c r="H79" i="23"/>
  <c r="F79" i="23"/>
  <c r="H79" i="22"/>
  <c r="F79" i="22"/>
  <c r="Q36" i="25"/>
  <c r="Q34" i="25"/>
  <c r="Q33" i="25"/>
  <c r="Q32" i="25"/>
  <c r="Q36" i="24"/>
  <c r="Q34" i="24"/>
  <c r="Q33" i="24"/>
  <c r="Q32" i="24"/>
  <c r="Q36" i="23"/>
  <c r="Q34" i="23"/>
  <c r="Q33" i="23"/>
  <c r="Q32" i="23"/>
  <c r="Q36" i="22"/>
  <c r="Q34" i="22"/>
  <c r="Q33" i="22"/>
  <c r="Q32" i="22"/>
  <c r="Q32" i="3"/>
  <c r="Q33" i="3"/>
  <c r="Q34" i="3"/>
  <c r="Q36" i="3"/>
  <c r="Q36" i="26"/>
  <c r="Q34" i="26"/>
  <c r="Q33" i="26"/>
  <c r="Q32" i="26"/>
  <c r="G36" i="26"/>
  <c r="G93" i="26" s="1"/>
  <c r="G34" i="26"/>
  <c r="G91" i="26" s="1"/>
  <c r="G33" i="26"/>
  <c r="G90" i="26" s="1"/>
  <c r="G32" i="26"/>
  <c r="G89" i="26" s="1"/>
  <c r="G36" i="25"/>
  <c r="G93" i="25" s="1"/>
  <c r="G34" i="25"/>
  <c r="G91" i="25" s="1"/>
  <c r="G33" i="25"/>
  <c r="G90" i="25" s="1"/>
  <c r="G32" i="25"/>
  <c r="G89" i="25" s="1"/>
  <c r="G36" i="24"/>
  <c r="G93" i="24" s="1"/>
  <c r="G34" i="24"/>
  <c r="G91" i="24" s="1"/>
  <c r="G33" i="24"/>
  <c r="G90" i="24" s="1"/>
  <c r="G32" i="24"/>
  <c r="G89" i="24" s="1"/>
  <c r="G36" i="23"/>
  <c r="G93" i="23" s="1"/>
  <c r="G34" i="23"/>
  <c r="G91" i="23" s="1"/>
  <c r="G33" i="23"/>
  <c r="G90" i="23" s="1"/>
  <c r="G32" i="23"/>
  <c r="G89" i="23" s="1"/>
  <c r="P22" i="26"/>
  <c r="Q22" i="26" s="1"/>
  <c r="G22" i="26"/>
  <c r="G79" i="26" s="1"/>
  <c r="P22" i="25"/>
  <c r="Q22" i="25" s="1"/>
  <c r="G22" i="25"/>
  <c r="G79" i="25" s="1"/>
  <c r="P22" i="24"/>
  <c r="Q22" i="24" s="1"/>
  <c r="G22" i="24"/>
  <c r="G79" i="24" s="1"/>
  <c r="P22" i="22"/>
  <c r="Q22" i="22" s="1"/>
  <c r="G22" i="22"/>
  <c r="G79" i="22" s="1"/>
  <c r="P22" i="3"/>
  <c r="Q22" i="3" s="1"/>
  <c r="G22" i="3"/>
  <c r="P22" i="23"/>
  <c r="G22" i="23"/>
  <c r="G79" i="23" s="1"/>
  <c r="G23" i="23"/>
  <c r="Q22" i="23" l="1"/>
  <c r="G36" i="22" l="1"/>
  <c r="G34" i="22"/>
  <c r="G33" i="22"/>
  <c r="G32" i="22"/>
  <c r="F89" i="3"/>
  <c r="H89" i="3"/>
  <c r="F90" i="3"/>
  <c r="H90" i="3"/>
  <c r="F91" i="3"/>
  <c r="H91" i="3"/>
  <c r="F93" i="3"/>
  <c r="H93" i="3"/>
  <c r="G52" i="6"/>
  <c r="G36" i="3" l="1"/>
  <c r="G93" i="3" s="1"/>
  <c r="G34" i="3"/>
  <c r="G91" i="3" s="1"/>
  <c r="G33" i="3"/>
  <c r="G90" i="3" s="1"/>
  <c r="G32" i="3"/>
  <c r="G89" i="3" s="1"/>
  <c r="G55" i="3" l="1"/>
  <c r="H79" i="3" l="1"/>
  <c r="G79" i="3"/>
  <c r="F79" i="3"/>
  <c r="AF45" i="6" l="1"/>
  <c r="AF46" i="6" s="1"/>
  <c r="AF47" i="6" s="1"/>
  <c r="AF48" i="6" s="1"/>
  <c r="AF50" i="6" s="1"/>
  <c r="AF51" i="6" s="1"/>
  <c r="AF52" i="6" s="1"/>
  <c r="AF53" i="6" l="1"/>
  <c r="AF54" i="6" s="1"/>
  <c r="AF55" i="6" s="1"/>
  <c r="AF56" i="6" s="1"/>
  <c r="AF57" i="6" s="1"/>
  <c r="AF58" i="6" s="1"/>
  <c r="AF49" i="6"/>
  <c r="H107" i="26"/>
  <c r="F107" i="26"/>
  <c r="H107" i="25"/>
  <c r="F107" i="25"/>
  <c r="H107" i="24"/>
  <c r="F107" i="24"/>
  <c r="H107" i="23"/>
  <c r="F107" i="23"/>
  <c r="G50" i="26"/>
  <c r="G107" i="26" s="1"/>
  <c r="G50" i="25"/>
  <c r="G107" i="25" s="1"/>
  <c r="G50" i="24"/>
  <c r="G107" i="24" s="1"/>
  <c r="G50" i="23"/>
  <c r="G107" i="23" s="1"/>
  <c r="H107" i="22"/>
  <c r="F107" i="22"/>
  <c r="O50" i="22"/>
  <c r="G50" i="22"/>
  <c r="G107" i="22" s="1"/>
  <c r="H107" i="3"/>
  <c r="F107" i="3"/>
  <c r="G50" i="3"/>
  <c r="G107" i="3" s="1"/>
  <c r="H30" i="6" l="1"/>
  <c r="G30" i="6"/>
  <c r="F30" i="6"/>
  <c r="E30" i="6"/>
  <c r="D30" i="6"/>
  <c r="K61" i="26" l="1"/>
  <c r="K61" i="25"/>
  <c r="K61" i="24"/>
  <c r="K61" i="23"/>
  <c r="K61" i="22"/>
  <c r="O49" i="22" l="1"/>
  <c r="O10" i="26" l="1"/>
  <c r="O10" i="25"/>
  <c r="O10" i="24"/>
  <c r="O10" i="23"/>
  <c r="O10" i="22"/>
  <c r="G44" i="6" l="1"/>
  <c r="H103" i="26" l="1"/>
  <c r="F103" i="26"/>
  <c r="H103" i="25"/>
  <c r="F103" i="25"/>
  <c r="H103" i="24"/>
  <c r="F103" i="24"/>
  <c r="H103" i="23"/>
  <c r="F103" i="23"/>
  <c r="H103" i="22"/>
  <c r="F103" i="22"/>
  <c r="F103" i="3"/>
  <c r="H103" i="3"/>
  <c r="G46" i="26"/>
  <c r="G103" i="26" s="1"/>
  <c r="G46" i="25"/>
  <c r="G103" i="25" s="1"/>
  <c r="G46" i="24"/>
  <c r="G103" i="24" s="1"/>
  <c r="G46" i="23"/>
  <c r="G103" i="23" s="1"/>
  <c r="G46" i="22"/>
  <c r="G103" i="22" s="1"/>
  <c r="G46" i="3"/>
  <c r="G103" i="3" s="1"/>
  <c r="F96" i="23" l="1"/>
  <c r="H96" i="23"/>
  <c r="F97" i="23"/>
  <c r="H97" i="23"/>
  <c r="F98" i="23"/>
  <c r="H98" i="23"/>
  <c r="H98" i="24"/>
  <c r="F98" i="24"/>
  <c r="H97" i="24"/>
  <c r="F97" i="24"/>
  <c r="H96" i="24"/>
  <c r="F96" i="24"/>
  <c r="H98" i="25"/>
  <c r="F98" i="25"/>
  <c r="H97" i="25"/>
  <c r="F97" i="25"/>
  <c r="H96" i="25"/>
  <c r="F96" i="25"/>
  <c r="H98" i="26"/>
  <c r="F98" i="26"/>
  <c r="H97" i="26"/>
  <c r="F97" i="26"/>
  <c r="H96" i="26"/>
  <c r="F96" i="26"/>
  <c r="P41" i="26"/>
  <c r="Q41" i="26" s="1"/>
  <c r="O41" i="26"/>
  <c r="G41" i="26"/>
  <c r="G98" i="26" s="1"/>
  <c r="P40" i="26"/>
  <c r="Q40" i="26" s="1"/>
  <c r="O40" i="26"/>
  <c r="G40" i="26"/>
  <c r="G97" i="26" s="1"/>
  <c r="P39" i="26"/>
  <c r="Q39" i="26" s="1"/>
  <c r="O39" i="26"/>
  <c r="G39" i="26"/>
  <c r="G96" i="26" s="1"/>
  <c r="P41" i="25"/>
  <c r="Q41" i="25" s="1"/>
  <c r="O41" i="25"/>
  <c r="G41" i="25"/>
  <c r="G98" i="25" s="1"/>
  <c r="P40" i="25"/>
  <c r="Q40" i="25" s="1"/>
  <c r="O40" i="25"/>
  <c r="G40" i="25"/>
  <c r="G97" i="25" s="1"/>
  <c r="P39" i="25"/>
  <c r="Q39" i="25" s="1"/>
  <c r="O39" i="25"/>
  <c r="G39" i="25"/>
  <c r="G96" i="25" s="1"/>
  <c r="P41" i="24"/>
  <c r="Q41" i="24" s="1"/>
  <c r="O41" i="24"/>
  <c r="G41" i="24"/>
  <c r="G98" i="24" s="1"/>
  <c r="P40" i="24"/>
  <c r="Q40" i="24" s="1"/>
  <c r="O40" i="24"/>
  <c r="G40" i="24"/>
  <c r="G97" i="24" s="1"/>
  <c r="P39" i="24"/>
  <c r="Q39" i="24" s="1"/>
  <c r="O39" i="24"/>
  <c r="G39" i="24"/>
  <c r="G96" i="24" s="1"/>
  <c r="P41" i="23"/>
  <c r="Q41" i="23" s="1"/>
  <c r="O41" i="23"/>
  <c r="G41" i="23"/>
  <c r="G98" i="23" s="1"/>
  <c r="P40" i="23"/>
  <c r="Q40" i="23" s="1"/>
  <c r="O40" i="23"/>
  <c r="G40" i="23"/>
  <c r="G97" i="23" s="1"/>
  <c r="P39" i="23"/>
  <c r="Q39" i="23" s="1"/>
  <c r="O39" i="23"/>
  <c r="G39" i="23"/>
  <c r="G96" i="23" s="1"/>
  <c r="F42" i="23"/>
  <c r="G42" i="23"/>
  <c r="F43" i="23"/>
  <c r="G43" i="23"/>
  <c r="F44" i="23"/>
  <c r="G44" i="23"/>
  <c r="H98" i="22"/>
  <c r="F98" i="22"/>
  <c r="H93" i="22"/>
  <c r="F93" i="22"/>
  <c r="H91" i="22"/>
  <c r="F91" i="22"/>
  <c r="O41" i="22"/>
  <c r="P41" i="22"/>
  <c r="Q41" i="22" s="1"/>
  <c r="G41" i="22"/>
  <c r="G98" i="22" s="1"/>
  <c r="G93" i="22"/>
  <c r="G91" i="22"/>
  <c r="P41" i="3"/>
  <c r="Q41" i="3" s="1"/>
  <c r="P40" i="3"/>
  <c r="Q40" i="3" s="1"/>
  <c r="P39" i="3"/>
  <c r="Q39" i="3" s="1"/>
  <c r="F96" i="3"/>
  <c r="H96" i="3"/>
  <c r="F97" i="3"/>
  <c r="H97" i="3"/>
  <c r="F98" i="3"/>
  <c r="H98" i="3"/>
  <c r="G41" i="3"/>
  <c r="G98" i="3" s="1"/>
  <c r="G40" i="3"/>
  <c r="G97" i="3" s="1"/>
  <c r="G39" i="3"/>
  <c r="G96" i="3" s="1"/>
  <c r="H106" i="26" l="1"/>
  <c r="F106" i="26"/>
  <c r="H87" i="26"/>
  <c r="F87" i="26"/>
  <c r="H86" i="26"/>
  <c r="F86" i="26"/>
  <c r="H85" i="26"/>
  <c r="F85" i="26"/>
  <c r="H83" i="26"/>
  <c r="F83" i="26"/>
  <c r="H82" i="26"/>
  <c r="F82" i="26"/>
  <c r="H81" i="26"/>
  <c r="F81" i="26"/>
  <c r="H80" i="26"/>
  <c r="F80" i="26"/>
  <c r="H114" i="26"/>
  <c r="F114" i="26"/>
  <c r="H113" i="26"/>
  <c r="F113" i="26"/>
  <c r="H112" i="26"/>
  <c r="F112" i="26"/>
  <c r="G49" i="26"/>
  <c r="G106" i="26" s="1"/>
  <c r="Q30" i="26"/>
  <c r="O30" i="26"/>
  <c r="G30" i="26"/>
  <c r="G87" i="26" s="1"/>
  <c r="Q29" i="26"/>
  <c r="O29" i="26"/>
  <c r="G29" i="26"/>
  <c r="G86" i="26" s="1"/>
  <c r="Q28" i="26"/>
  <c r="O28" i="26"/>
  <c r="G28" i="26"/>
  <c r="G85" i="26" s="1"/>
  <c r="O26" i="26"/>
  <c r="G26" i="26"/>
  <c r="G83" i="26" s="1"/>
  <c r="O25" i="26"/>
  <c r="G25" i="26"/>
  <c r="G82" i="26" s="1"/>
  <c r="O24" i="26"/>
  <c r="G24" i="26"/>
  <c r="G81" i="26" s="1"/>
  <c r="G23" i="26"/>
  <c r="G80" i="26" s="1"/>
  <c r="O57" i="26"/>
  <c r="G57" i="26"/>
  <c r="G114" i="26" s="1"/>
  <c r="O56" i="26"/>
  <c r="G56" i="26"/>
  <c r="G113" i="26" s="1"/>
  <c r="O55" i="26"/>
  <c r="G55" i="26"/>
  <c r="G112" i="26" s="1"/>
  <c r="H106" i="25"/>
  <c r="F106" i="25"/>
  <c r="H87" i="25"/>
  <c r="F87" i="25"/>
  <c r="H86" i="25"/>
  <c r="F86" i="25"/>
  <c r="H85" i="25"/>
  <c r="F85" i="25"/>
  <c r="H83" i="25"/>
  <c r="F83" i="25"/>
  <c r="H82" i="25"/>
  <c r="F82" i="25"/>
  <c r="H81" i="25"/>
  <c r="F81" i="25"/>
  <c r="H80" i="25"/>
  <c r="F80" i="25"/>
  <c r="H114" i="25"/>
  <c r="F114" i="25"/>
  <c r="H113" i="25"/>
  <c r="F113" i="25"/>
  <c r="H112" i="25"/>
  <c r="F112" i="25"/>
  <c r="G49" i="25"/>
  <c r="G106" i="25" s="1"/>
  <c r="Q30" i="25"/>
  <c r="O30" i="25"/>
  <c r="G30" i="25"/>
  <c r="G87" i="25" s="1"/>
  <c r="Q29" i="25"/>
  <c r="O29" i="25"/>
  <c r="G29" i="25"/>
  <c r="G86" i="25" s="1"/>
  <c r="Q28" i="25"/>
  <c r="O28" i="25"/>
  <c r="G28" i="25"/>
  <c r="G85" i="25" s="1"/>
  <c r="O26" i="25"/>
  <c r="G26" i="25"/>
  <c r="G83" i="25" s="1"/>
  <c r="O25" i="25"/>
  <c r="G25" i="25"/>
  <c r="G82" i="25" s="1"/>
  <c r="O24" i="25"/>
  <c r="G24" i="25"/>
  <c r="G81" i="25" s="1"/>
  <c r="G23" i="25"/>
  <c r="G80" i="25" s="1"/>
  <c r="O57" i="25"/>
  <c r="G57" i="25"/>
  <c r="G114" i="25" s="1"/>
  <c r="O56" i="25"/>
  <c r="G56" i="25"/>
  <c r="G113" i="25" s="1"/>
  <c r="O55" i="25"/>
  <c r="G55" i="25"/>
  <c r="G112" i="25" s="1"/>
  <c r="H106" i="24"/>
  <c r="F106" i="24"/>
  <c r="H87" i="24"/>
  <c r="F87" i="24"/>
  <c r="H86" i="24"/>
  <c r="F86" i="24"/>
  <c r="H85" i="24"/>
  <c r="F85" i="24"/>
  <c r="H83" i="24"/>
  <c r="F83" i="24"/>
  <c r="H82" i="24"/>
  <c r="F82" i="24"/>
  <c r="H81" i="24"/>
  <c r="F81" i="24"/>
  <c r="H80" i="24"/>
  <c r="F80" i="24"/>
  <c r="H114" i="24"/>
  <c r="F114" i="24"/>
  <c r="H113" i="24"/>
  <c r="F113" i="24"/>
  <c r="H112" i="24"/>
  <c r="F112" i="24"/>
  <c r="G49" i="24"/>
  <c r="G106" i="24" s="1"/>
  <c r="Q30" i="24"/>
  <c r="O30" i="24"/>
  <c r="G30" i="24"/>
  <c r="G87" i="24" s="1"/>
  <c r="Q29" i="24"/>
  <c r="O29" i="24"/>
  <c r="G29" i="24"/>
  <c r="G86" i="24" s="1"/>
  <c r="Q28" i="24"/>
  <c r="O28" i="24"/>
  <c r="G28" i="24"/>
  <c r="G85" i="24" s="1"/>
  <c r="O26" i="24"/>
  <c r="G26" i="24"/>
  <c r="G83" i="24" s="1"/>
  <c r="O25" i="24"/>
  <c r="G25" i="24"/>
  <c r="G82" i="24" s="1"/>
  <c r="O24" i="24"/>
  <c r="G24" i="24"/>
  <c r="G81" i="24" s="1"/>
  <c r="G23" i="24"/>
  <c r="G80" i="24" s="1"/>
  <c r="O57" i="24"/>
  <c r="G57" i="24"/>
  <c r="G114" i="24" s="1"/>
  <c r="O56" i="24"/>
  <c r="G56" i="24"/>
  <c r="G113" i="24" s="1"/>
  <c r="O55" i="24"/>
  <c r="G55" i="24"/>
  <c r="G112" i="24" s="1"/>
  <c r="H106" i="23" l="1"/>
  <c r="F106" i="23"/>
  <c r="H87" i="23"/>
  <c r="F87" i="23"/>
  <c r="H86" i="23"/>
  <c r="F86" i="23"/>
  <c r="H85" i="23"/>
  <c r="F85" i="23"/>
  <c r="H83" i="23"/>
  <c r="F83" i="23"/>
  <c r="H82" i="23"/>
  <c r="F82" i="23"/>
  <c r="H81" i="23"/>
  <c r="F81" i="23"/>
  <c r="H80" i="23"/>
  <c r="F80" i="23"/>
  <c r="H114" i="23"/>
  <c r="F114" i="23"/>
  <c r="H113" i="23"/>
  <c r="F113" i="23"/>
  <c r="H112" i="23"/>
  <c r="F112" i="23"/>
  <c r="G49" i="23"/>
  <c r="G106" i="23" s="1"/>
  <c r="Q30" i="23"/>
  <c r="O30" i="23"/>
  <c r="G30" i="23"/>
  <c r="G87" i="23" s="1"/>
  <c r="Q29" i="23"/>
  <c r="O29" i="23"/>
  <c r="G29" i="23"/>
  <c r="G86" i="23" s="1"/>
  <c r="Q28" i="23"/>
  <c r="O28" i="23"/>
  <c r="G28" i="23"/>
  <c r="G85" i="23" s="1"/>
  <c r="O26" i="23"/>
  <c r="G26" i="23"/>
  <c r="G83" i="23" s="1"/>
  <c r="O25" i="23"/>
  <c r="G25" i="23"/>
  <c r="G82" i="23" s="1"/>
  <c r="O24" i="23"/>
  <c r="G24" i="23"/>
  <c r="G81" i="23" s="1"/>
  <c r="G80" i="23"/>
  <c r="O57" i="23"/>
  <c r="G57" i="23"/>
  <c r="G114" i="23" s="1"/>
  <c r="O56" i="23"/>
  <c r="G56" i="23"/>
  <c r="G113" i="23" s="1"/>
  <c r="O55" i="23"/>
  <c r="G55" i="23"/>
  <c r="G112" i="23" s="1"/>
  <c r="H106" i="22"/>
  <c r="F106" i="22"/>
  <c r="H90" i="22"/>
  <c r="F90" i="22"/>
  <c r="H89" i="22"/>
  <c r="G89" i="22"/>
  <c r="F89" i="22"/>
  <c r="H88" i="22"/>
  <c r="F88" i="22"/>
  <c r="H87" i="22"/>
  <c r="F87" i="22"/>
  <c r="H86" i="22"/>
  <c r="F86" i="22"/>
  <c r="H85" i="22"/>
  <c r="F85" i="22"/>
  <c r="H83" i="22"/>
  <c r="F83" i="22"/>
  <c r="H82" i="22"/>
  <c r="F82" i="22"/>
  <c r="H81" i="22"/>
  <c r="F81" i="22"/>
  <c r="H80" i="22"/>
  <c r="F80" i="22"/>
  <c r="H114" i="22"/>
  <c r="F114" i="22"/>
  <c r="H113" i="22"/>
  <c r="F113" i="22"/>
  <c r="H112" i="22"/>
  <c r="F112" i="22"/>
  <c r="G49" i="22"/>
  <c r="G106" i="22" s="1"/>
  <c r="P31" i="22"/>
  <c r="Q31" i="22" s="1"/>
  <c r="G31" i="22"/>
  <c r="O26" i="22"/>
  <c r="O25" i="22"/>
  <c r="O24" i="22"/>
  <c r="O57" i="22"/>
  <c r="O56" i="22"/>
  <c r="O55" i="22"/>
  <c r="O30" i="22"/>
  <c r="O29" i="22"/>
  <c r="O28" i="22"/>
  <c r="Q30" i="22"/>
  <c r="G30" i="22"/>
  <c r="G87" i="22" s="1"/>
  <c r="Q29" i="22"/>
  <c r="G29" i="22"/>
  <c r="G86" i="22" s="1"/>
  <c r="Q28" i="22"/>
  <c r="G28" i="22"/>
  <c r="G85" i="22" s="1"/>
  <c r="Q30" i="3"/>
  <c r="Q29" i="3"/>
  <c r="Q28" i="3"/>
  <c r="G26" i="22"/>
  <c r="G83" i="22" s="1"/>
  <c r="G25" i="22"/>
  <c r="G82" i="22" s="1"/>
  <c r="G24" i="22"/>
  <c r="G81" i="22" s="1"/>
  <c r="G23" i="22"/>
  <c r="G80" i="22" s="1"/>
  <c r="G57" i="22"/>
  <c r="G114" i="22" s="1"/>
  <c r="G56" i="22"/>
  <c r="G113" i="22" s="1"/>
  <c r="G55" i="22"/>
  <c r="G112" i="22" s="1"/>
  <c r="H106" i="3"/>
  <c r="F106" i="3"/>
  <c r="H87" i="3"/>
  <c r="F87" i="3"/>
  <c r="H86" i="3"/>
  <c r="F86" i="3"/>
  <c r="H85" i="3"/>
  <c r="F85" i="3"/>
  <c r="H83" i="3"/>
  <c r="F83" i="3"/>
  <c r="H82" i="3"/>
  <c r="F82" i="3"/>
  <c r="H81" i="3"/>
  <c r="F81" i="3"/>
  <c r="H80" i="3"/>
  <c r="F80" i="3"/>
  <c r="H114" i="3"/>
  <c r="F114" i="3"/>
  <c r="H113" i="3"/>
  <c r="F113" i="3"/>
  <c r="H112" i="3"/>
  <c r="F112" i="3"/>
  <c r="H111" i="3"/>
  <c r="G49" i="3"/>
  <c r="G106" i="3" s="1"/>
  <c r="G88" i="22" l="1"/>
  <c r="G90" i="22"/>
  <c r="G30" i="3" l="1"/>
  <c r="G87" i="3" s="1"/>
  <c r="G29" i="3"/>
  <c r="G86" i="3" s="1"/>
  <c r="G28" i="3"/>
  <c r="G85" i="3" s="1"/>
  <c r="G112" i="3"/>
  <c r="G56" i="3"/>
  <c r="G113" i="3" s="1"/>
  <c r="G57" i="3"/>
  <c r="G114" i="3" s="1"/>
  <c r="G23" i="3"/>
  <c r="G80" i="3" s="1"/>
  <c r="G24" i="3"/>
  <c r="G81" i="3" s="1"/>
  <c r="G25" i="3"/>
  <c r="G82" i="3" s="1"/>
  <c r="G26" i="3"/>
  <c r="G83" i="3" s="1"/>
  <c r="H77" i="26" l="1"/>
  <c r="P20" i="26"/>
  <c r="G20" i="26"/>
  <c r="F20" i="26"/>
  <c r="F77" i="26" s="1"/>
  <c r="H77" i="25"/>
  <c r="P20" i="25"/>
  <c r="Q20" i="25" s="1"/>
  <c r="G20" i="25"/>
  <c r="G77" i="25" s="1"/>
  <c r="F20" i="25"/>
  <c r="F77" i="25" s="1"/>
  <c r="H77" i="24"/>
  <c r="P20" i="24"/>
  <c r="Q20" i="24" s="1"/>
  <c r="G20" i="24"/>
  <c r="F20" i="24"/>
  <c r="F77" i="24" s="1"/>
  <c r="H77" i="23"/>
  <c r="P20" i="23"/>
  <c r="Q20" i="23" s="1"/>
  <c r="G20" i="23"/>
  <c r="F20" i="23"/>
  <c r="F77" i="23" s="1"/>
  <c r="H77" i="22"/>
  <c r="Q20" i="26" l="1"/>
  <c r="G77" i="24"/>
  <c r="G77" i="26"/>
  <c r="G77" i="23"/>
  <c r="P20" i="22"/>
  <c r="Q20" i="22" s="1"/>
  <c r="G20" i="22"/>
  <c r="G77" i="22" s="1"/>
  <c r="F20" i="22"/>
  <c r="F77" i="22" s="1"/>
  <c r="K76" i="3"/>
  <c r="F77" i="3"/>
  <c r="P20" i="3"/>
  <c r="Q20" i="3" s="1"/>
  <c r="P21" i="3"/>
  <c r="G20" i="3"/>
  <c r="G77" i="3" s="1"/>
  <c r="H15" i="6"/>
  <c r="O20" i="25" s="1"/>
  <c r="F15" i="6"/>
  <c r="O20" i="23" s="1"/>
  <c r="G58" i="6"/>
  <c r="G15" i="6" s="1"/>
  <c r="O20" i="24" s="1"/>
  <c r="N57" i="6"/>
  <c r="L57" i="6"/>
  <c r="G57" i="6"/>
  <c r="E57" i="6"/>
  <c r="Q21" i="3" l="1"/>
  <c r="O20" i="26"/>
  <c r="G44" i="26"/>
  <c r="G43" i="26"/>
  <c r="G42" i="26"/>
  <c r="G38" i="26"/>
  <c r="G37" i="26"/>
  <c r="G31" i="26"/>
  <c r="G27" i="26"/>
  <c r="G54" i="26"/>
  <c r="G21" i="26"/>
  <c r="G19" i="26"/>
  <c r="G18" i="26"/>
  <c r="G17" i="26"/>
  <c r="G48" i="25"/>
  <c r="G47" i="25"/>
  <c r="G45" i="25"/>
  <c r="G44" i="25"/>
  <c r="G43" i="25"/>
  <c r="G42" i="25"/>
  <c r="G38" i="25"/>
  <c r="G37" i="25"/>
  <c r="G31" i="25"/>
  <c r="G27" i="25"/>
  <c r="G54" i="25"/>
  <c r="G21" i="25"/>
  <c r="G48" i="24"/>
  <c r="G47" i="24"/>
  <c r="G45" i="24"/>
  <c r="G44" i="24"/>
  <c r="G43" i="24"/>
  <c r="G42" i="24"/>
  <c r="G38" i="24"/>
  <c r="G37" i="24"/>
  <c r="G31" i="24"/>
  <c r="G27" i="24"/>
  <c r="G54" i="24"/>
  <c r="G21" i="24"/>
  <c r="G47" i="23"/>
  <c r="G45" i="23"/>
  <c r="G38" i="23"/>
  <c r="G37" i="23"/>
  <c r="G31" i="23"/>
  <c r="G27" i="23"/>
  <c r="G54" i="23"/>
  <c r="G21" i="23"/>
  <c r="G19" i="23"/>
  <c r="G54" i="22"/>
  <c r="G27" i="22"/>
  <c r="G42" i="22"/>
  <c r="G43" i="22"/>
  <c r="G44" i="22"/>
  <c r="G45" i="22"/>
  <c r="G47" i="22"/>
  <c r="G48" i="22"/>
  <c r="AA54" i="6" l="1"/>
  <c r="Z54" i="6"/>
  <c r="L43" i="6" l="1"/>
  <c r="N43" i="6"/>
  <c r="L44" i="6"/>
  <c r="N44" i="6"/>
  <c r="L45" i="6"/>
  <c r="N45" i="6"/>
  <c r="K46" i="6"/>
  <c r="M46" i="6"/>
  <c r="L46" i="6" s="1"/>
  <c r="O46" i="6"/>
  <c r="L50" i="6"/>
  <c r="N50" i="6"/>
  <c r="K51" i="6"/>
  <c r="K58" i="6" s="1"/>
  <c r="L58" i="6" s="1"/>
  <c r="M51" i="6"/>
  <c r="M58" i="6" s="1"/>
  <c r="N58" i="6" s="1"/>
  <c r="O51" i="6"/>
  <c r="O58" i="6" s="1"/>
  <c r="K53" i="6"/>
  <c r="M53" i="6"/>
  <c r="O53" i="6"/>
  <c r="L62" i="6"/>
  <c r="N62" i="6"/>
  <c r="K63" i="6"/>
  <c r="K64" i="6" s="1"/>
  <c r="M63" i="6"/>
  <c r="O63" i="6"/>
  <c r="O64" i="6" s="1"/>
  <c r="Q63" i="6"/>
  <c r="R63" i="6"/>
  <c r="S63" i="6"/>
  <c r="L68" i="6"/>
  <c r="N68" i="6"/>
  <c r="K69" i="6"/>
  <c r="K70" i="6" s="1"/>
  <c r="M69" i="6"/>
  <c r="O69" i="6"/>
  <c r="N69" i="6" s="1"/>
  <c r="Q69" i="6"/>
  <c r="R69" i="6"/>
  <c r="R70" i="6" s="1"/>
  <c r="S69" i="6"/>
  <c r="S70" i="6" s="1"/>
  <c r="Q70" i="6"/>
  <c r="L69" i="6" l="1"/>
  <c r="L53" i="6"/>
  <c r="N53" i="6"/>
  <c r="N46" i="6"/>
  <c r="O70" i="6"/>
  <c r="N63" i="6"/>
  <c r="N51" i="6"/>
  <c r="M70" i="6"/>
  <c r="M64" i="6"/>
  <c r="N64" i="6" s="1"/>
  <c r="L63" i="6"/>
  <c r="L51" i="6"/>
  <c r="L64" i="6" l="1"/>
  <c r="L70" i="6"/>
  <c r="N70" i="6"/>
  <c r="F9" i="26"/>
  <c r="F10" i="26"/>
  <c r="F11" i="26"/>
  <c r="F12" i="26"/>
  <c r="F13" i="26"/>
  <c r="F14" i="26"/>
  <c r="F15" i="26"/>
  <c r="F16" i="26"/>
  <c r="F17" i="26"/>
  <c r="F18" i="26"/>
  <c r="F19" i="26"/>
  <c r="F21" i="26"/>
  <c r="F54" i="26"/>
  <c r="F27" i="26"/>
  <c r="F31" i="26"/>
  <c r="F37" i="26"/>
  <c r="F38" i="26"/>
  <c r="F42" i="26"/>
  <c r="F43" i="26"/>
  <c r="F44" i="26"/>
  <c r="F45" i="26"/>
  <c r="F47" i="26"/>
  <c r="F48" i="26"/>
  <c r="F51" i="26"/>
  <c r="F52" i="26"/>
  <c r="F8" i="26"/>
  <c r="F9" i="25"/>
  <c r="F10" i="25"/>
  <c r="F11" i="25"/>
  <c r="F12" i="25"/>
  <c r="F13" i="25"/>
  <c r="F14" i="25"/>
  <c r="F15" i="25"/>
  <c r="F16" i="25"/>
  <c r="F17" i="25"/>
  <c r="F18" i="25"/>
  <c r="F19" i="25"/>
  <c r="F21" i="25"/>
  <c r="F54" i="25"/>
  <c r="F27" i="25"/>
  <c r="F31" i="25"/>
  <c r="F37" i="25"/>
  <c r="F38" i="25"/>
  <c r="F42" i="25"/>
  <c r="F43" i="25"/>
  <c r="F44" i="25"/>
  <c r="F45" i="25"/>
  <c r="F47" i="25"/>
  <c r="F48" i="25"/>
  <c r="F51" i="25"/>
  <c r="F52" i="25"/>
  <c r="F8" i="25"/>
  <c r="F9" i="24"/>
  <c r="F10" i="24"/>
  <c r="F11" i="24"/>
  <c r="F12" i="24"/>
  <c r="F13" i="24"/>
  <c r="F14" i="24"/>
  <c r="F15" i="24"/>
  <c r="F16" i="24"/>
  <c r="F17" i="24"/>
  <c r="F18" i="24"/>
  <c r="F19" i="24"/>
  <c r="F21" i="24"/>
  <c r="F54" i="24"/>
  <c r="F27" i="24"/>
  <c r="F31" i="24"/>
  <c r="F37" i="24"/>
  <c r="F38" i="24"/>
  <c r="F42" i="24"/>
  <c r="F43" i="24"/>
  <c r="F44" i="24"/>
  <c r="F45" i="24"/>
  <c r="F47" i="24"/>
  <c r="F48" i="24"/>
  <c r="F51" i="24"/>
  <c r="F52" i="24"/>
  <c r="F8" i="24"/>
  <c r="F9" i="23"/>
  <c r="F10" i="23"/>
  <c r="F11" i="23"/>
  <c r="F12" i="23"/>
  <c r="F13" i="23"/>
  <c r="F14" i="23"/>
  <c r="F15" i="23"/>
  <c r="F16" i="23"/>
  <c r="F17" i="23"/>
  <c r="F18" i="23"/>
  <c r="F19" i="23"/>
  <c r="F21" i="23"/>
  <c r="F54" i="23"/>
  <c r="F27" i="23"/>
  <c r="F31" i="23"/>
  <c r="F37" i="23"/>
  <c r="F38" i="23"/>
  <c r="F45" i="23"/>
  <c r="F47" i="23"/>
  <c r="F48" i="23"/>
  <c r="F51" i="23"/>
  <c r="F52" i="23"/>
  <c r="F8" i="23"/>
  <c r="F9" i="22"/>
  <c r="F10" i="22"/>
  <c r="F11" i="22"/>
  <c r="F12" i="22"/>
  <c r="F13" i="22"/>
  <c r="F14" i="22"/>
  <c r="F15" i="22"/>
  <c r="F16" i="22"/>
  <c r="F17" i="22"/>
  <c r="F18" i="22"/>
  <c r="F19" i="22"/>
  <c r="F21" i="22"/>
  <c r="F54" i="22"/>
  <c r="F27" i="22"/>
  <c r="F42" i="22"/>
  <c r="F43" i="22"/>
  <c r="F44" i="22"/>
  <c r="F45" i="22"/>
  <c r="F47" i="22"/>
  <c r="F48" i="22"/>
  <c r="F51" i="22"/>
  <c r="F52" i="22"/>
  <c r="F8" i="22"/>
  <c r="K109" i="23" l="1"/>
  <c r="K108" i="23"/>
  <c r="K76" i="23"/>
  <c r="K75" i="23"/>
  <c r="K109" i="24"/>
  <c r="K108" i="24"/>
  <c r="K76" i="24"/>
  <c r="K75" i="24"/>
  <c r="K109" i="25"/>
  <c r="K108" i="25"/>
  <c r="K76" i="25"/>
  <c r="K75" i="25"/>
  <c r="K109" i="26"/>
  <c r="K108" i="26"/>
  <c r="K76" i="26"/>
  <c r="K75" i="26"/>
  <c r="K109" i="22"/>
  <c r="K108" i="22"/>
  <c r="K76" i="22"/>
  <c r="K75" i="22"/>
  <c r="K109" i="3"/>
  <c r="K108" i="3"/>
  <c r="K75" i="3"/>
  <c r="H27" i="6" l="1"/>
  <c r="H17" i="6"/>
  <c r="H16" i="6"/>
  <c r="G27" i="6"/>
  <c r="F27" i="6"/>
  <c r="F17" i="6"/>
  <c r="F16" i="6"/>
  <c r="E27" i="6"/>
  <c r="E23" i="6" s="1"/>
  <c r="F23" i="6" l="1"/>
  <c r="F20" i="6"/>
  <c r="O32" i="23" s="1"/>
  <c r="G23" i="6"/>
  <c r="G20" i="6"/>
  <c r="O32" i="24" s="1"/>
  <c r="H23" i="6"/>
  <c r="H20" i="6"/>
  <c r="H18" i="6"/>
  <c r="H109" i="26"/>
  <c r="F109" i="26"/>
  <c r="H108" i="26"/>
  <c r="F108" i="26"/>
  <c r="H105" i="26"/>
  <c r="F105" i="26"/>
  <c r="H104" i="26"/>
  <c r="F104" i="26"/>
  <c r="H102" i="26"/>
  <c r="F102" i="26"/>
  <c r="H101" i="26"/>
  <c r="F101" i="26"/>
  <c r="H100" i="26"/>
  <c r="F100" i="26"/>
  <c r="H99" i="26"/>
  <c r="F99" i="26"/>
  <c r="H95" i="26"/>
  <c r="F95" i="26"/>
  <c r="H94" i="26"/>
  <c r="G94" i="26"/>
  <c r="F94" i="26"/>
  <c r="H88" i="26"/>
  <c r="F88" i="26"/>
  <c r="H84" i="26"/>
  <c r="F84" i="26"/>
  <c r="H111" i="26"/>
  <c r="F111" i="26"/>
  <c r="H78" i="26"/>
  <c r="F78" i="26"/>
  <c r="H76" i="26"/>
  <c r="F76" i="26"/>
  <c r="H75" i="26"/>
  <c r="F75" i="26"/>
  <c r="H74" i="26"/>
  <c r="F74" i="26"/>
  <c r="H73" i="26"/>
  <c r="F73" i="26"/>
  <c r="H72" i="26"/>
  <c r="F72" i="26"/>
  <c r="H71" i="26"/>
  <c r="F71" i="26"/>
  <c r="H70" i="26"/>
  <c r="F70" i="26"/>
  <c r="H69" i="26"/>
  <c r="F69" i="26"/>
  <c r="H68" i="26"/>
  <c r="F68" i="26"/>
  <c r="H67" i="26"/>
  <c r="F67" i="26"/>
  <c r="H66" i="26"/>
  <c r="F66" i="26"/>
  <c r="H65" i="26"/>
  <c r="F65" i="26"/>
  <c r="G52" i="26"/>
  <c r="G109" i="26" s="1"/>
  <c r="G51" i="26"/>
  <c r="G108" i="26" s="1"/>
  <c r="G48" i="26"/>
  <c r="G105" i="26" s="1"/>
  <c r="G47" i="26"/>
  <c r="G45" i="26"/>
  <c r="P38" i="26"/>
  <c r="P37" i="26"/>
  <c r="P31" i="26"/>
  <c r="Q31" i="26" s="1"/>
  <c r="P27" i="26"/>
  <c r="P54" i="26"/>
  <c r="G111" i="26"/>
  <c r="P21" i="26"/>
  <c r="G76" i="26"/>
  <c r="G75" i="26"/>
  <c r="P17" i="26"/>
  <c r="G74" i="26"/>
  <c r="P16" i="26"/>
  <c r="G16" i="26"/>
  <c r="P15" i="26"/>
  <c r="G15" i="26"/>
  <c r="G72" i="26" s="1"/>
  <c r="P14" i="26"/>
  <c r="G14" i="26"/>
  <c r="P13" i="26"/>
  <c r="G13" i="26"/>
  <c r="G70" i="26" s="1"/>
  <c r="P12" i="26"/>
  <c r="G12" i="26"/>
  <c r="P11" i="26"/>
  <c r="G11" i="26"/>
  <c r="G68" i="26" s="1"/>
  <c r="G10" i="26"/>
  <c r="G9" i="26"/>
  <c r="G66" i="26" s="1"/>
  <c r="G8" i="26"/>
  <c r="J4" i="26"/>
  <c r="J3" i="26"/>
  <c r="J2" i="26"/>
  <c r="H109" i="25"/>
  <c r="F109" i="25"/>
  <c r="H108" i="25"/>
  <c r="F108" i="25"/>
  <c r="H105" i="25"/>
  <c r="F105" i="25"/>
  <c r="H104" i="25"/>
  <c r="F104" i="25"/>
  <c r="H102" i="25"/>
  <c r="F102" i="25"/>
  <c r="H101" i="25"/>
  <c r="F101" i="25"/>
  <c r="H100" i="25"/>
  <c r="F100" i="25"/>
  <c r="H99" i="25"/>
  <c r="F99" i="25"/>
  <c r="H95" i="25"/>
  <c r="F95" i="25"/>
  <c r="H94" i="25"/>
  <c r="G94" i="25"/>
  <c r="F94" i="25"/>
  <c r="H88" i="25"/>
  <c r="F88" i="25"/>
  <c r="H84" i="25"/>
  <c r="F84" i="25"/>
  <c r="H111" i="25"/>
  <c r="F111" i="25"/>
  <c r="H78" i="25"/>
  <c r="F78" i="25"/>
  <c r="H76" i="25"/>
  <c r="F76" i="25"/>
  <c r="H75" i="25"/>
  <c r="F75" i="25"/>
  <c r="H74" i="25"/>
  <c r="F74" i="25"/>
  <c r="H73" i="25"/>
  <c r="F73" i="25"/>
  <c r="H72" i="25"/>
  <c r="F72" i="25"/>
  <c r="H71" i="25"/>
  <c r="F71" i="25"/>
  <c r="H70" i="25"/>
  <c r="F70" i="25"/>
  <c r="H69" i="25"/>
  <c r="F69" i="25"/>
  <c r="H68" i="25"/>
  <c r="F68" i="25"/>
  <c r="H67" i="25"/>
  <c r="F67" i="25"/>
  <c r="H66" i="25"/>
  <c r="F66" i="25"/>
  <c r="H65" i="25"/>
  <c r="F65" i="25"/>
  <c r="G52" i="25"/>
  <c r="G109" i="25" s="1"/>
  <c r="G51" i="25"/>
  <c r="G108" i="25" s="1"/>
  <c r="G105" i="25"/>
  <c r="P38" i="25"/>
  <c r="P37" i="25"/>
  <c r="P31" i="25"/>
  <c r="Q31" i="25" s="1"/>
  <c r="G88" i="25"/>
  <c r="P27" i="25"/>
  <c r="P54" i="25"/>
  <c r="G111" i="25"/>
  <c r="P21" i="25"/>
  <c r="G19" i="25"/>
  <c r="G76" i="25" s="1"/>
  <c r="G18" i="25"/>
  <c r="G75" i="25" s="1"/>
  <c r="P17" i="25"/>
  <c r="G17" i="25"/>
  <c r="G74" i="25" s="1"/>
  <c r="P16" i="25"/>
  <c r="G16" i="25"/>
  <c r="P15" i="25"/>
  <c r="G15" i="25"/>
  <c r="G72" i="25" s="1"/>
  <c r="P14" i="25"/>
  <c r="G14" i="25"/>
  <c r="P13" i="25"/>
  <c r="G13" i="25"/>
  <c r="G70" i="25" s="1"/>
  <c r="P12" i="25"/>
  <c r="G12" i="25"/>
  <c r="P11" i="25"/>
  <c r="G11" i="25"/>
  <c r="G68" i="25" s="1"/>
  <c r="G10" i="25"/>
  <c r="G9" i="25"/>
  <c r="G66" i="25" s="1"/>
  <c r="G8" i="25"/>
  <c r="J4" i="25"/>
  <c r="J3" i="25"/>
  <c r="J2" i="25"/>
  <c r="H109" i="24"/>
  <c r="F109" i="24"/>
  <c r="H108" i="24"/>
  <c r="F108" i="24"/>
  <c r="H105" i="24"/>
  <c r="F105" i="24"/>
  <c r="H104" i="24"/>
  <c r="F104" i="24"/>
  <c r="H102" i="24"/>
  <c r="F102" i="24"/>
  <c r="H101" i="24"/>
  <c r="F101" i="24"/>
  <c r="H100" i="24"/>
  <c r="F100" i="24"/>
  <c r="H99" i="24"/>
  <c r="F99" i="24"/>
  <c r="H95" i="24"/>
  <c r="F95" i="24"/>
  <c r="H94" i="24"/>
  <c r="G94" i="24"/>
  <c r="F94" i="24"/>
  <c r="H88" i="24"/>
  <c r="F88" i="24"/>
  <c r="H84" i="24"/>
  <c r="F84" i="24"/>
  <c r="H111" i="24"/>
  <c r="F111" i="24"/>
  <c r="H78" i="24"/>
  <c r="F78" i="24"/>
  <c r="H76" i="24"/>
  <c r="F76" i="24"/>
  <c r="H75" i="24"/>
  <c r="F75" i="24"/>
  <c r="H74" i="24"/>
  <c r="F74" i="24"/>
  <c r="H73" i="24"/>
  <c r="F73" i="24"/>
  <c r="H72" i="24"/>
  <c r="F72" i="24"/>
  <c r="H71" i="24"/>
  <c r="F71" i="24"/>
  <c r="H70" i="24"/>
  <c r="F70" i="24"/>
  <c r="H69" i="24"/>
  <c r="F69" i="24"/>
  <c r="H68" i="24"/>
  <c r="F68" i="24"/>
  <c r="H67" i="24"/>
  <c r="F67" i="24"/>
  <c r="H66" i="24"/>
  <c r="F66" i="24"/>
  <c r="H65" i="24"/>
  <c r="F65" i="24"/>
  <c r="G52" i="24"/>
  <c r="G109" i="24" s="1"/>
  <c r="G51" i="24"/>
  <c r="G108" i="24" s="1"/>
  <c r="G105" i="24"/>
  <c r="G104" i="24"/>
  <c r="P38" i="24"/>
  <c r="P37" i="24"/>
  <c r="Q37" i="24" s="1"/>
  <c r="P31" i="24"/>
  <c r="Q31" i="24" s="1"/>
  <c r="G88" i="24"/>
  <c r="P27" i="24"/>
  <c r="Q27" i="24" s="1"/>
  <c r="P54" i="24"/>
  <c r="G111" i="24"/>
  <c r="P21" i="24"/>
  <c r="G19" i="24"/>
  <c r="G76" i="24" s="1"/>
  <c r="G18" i="24"/>
  <c r="G75" i="24" s="1"/>
  <c r="P17" i="24"/>
  <c r="G17" i="24"/>
  <c r="G74" i="24" s="1"/>
  <c r="P16" i="24"/>
  <c r="G16" i="24"/>
  <c r="P15" i="24"/>
  <c r="G15" i="24"/>
  <c r="P14" i="24"/>
  <c r="G14" i="24"/>
  <c r="P13" i="24"/>
  <c r="G13" i="24"/>
  <c r="G70" i="24" s="1"/>
  <c r="P12" i="24"/>
  <c r="G12" i="24"/>
  <c r="P11" i="24"/>
  <c r="G11" i="24"/>
  <c r="G68" i="24" s="1"/>
  <c r="G10" i="24"/>
  <c r="G67" i="24" s="1"/>
  <c r="G9" i="24"/>
  <c r="G8" i="24"/>
  <c r="J4" i="24"/>
  <c r="J3" i="24"/>
  <c r="J2" i="24"/>
  <c r="H109" i="23"/>
  <c r="F109" i="23"/>
  <c r="H108" i="23"/>
  <c r="F108" i="23"/>
  <c r="H105" i="23"/>
  <c r="F105" i="23"/>
  <c r="H104" i="23"/>
  <c r="F104" i="23"/>
  <c r="H102" i="23"/>
  <c r="F102" i="23"/>
  <c r="H101" i="23"/>
  <c r="F101" i="23"/>
  <c r="H100" i="23"/>
  <c r="F100" i="23"/>
  <c r="H99" i="23"/>
  <c r="F99" i="23"/>
  <c r="H95" i="23"/>
  <c r="F95" i="23"/>
  <c r="H94" i="23"/>
  <c r="G94" i="23"/>
  <c r="F94" i="23"/>
  <c r="H88" i="23"/>
  <c r="F88" i="23"/>
  <c r="H84" i="23"/>
  <c r="F84" i="23"/>
  <c r="H111" i="23"/>
  <c r="F111" i="23"/>
  <c r="H78" i="23"/>
  <c r="F78" i="23"/>
  <c r="H76" i="23"/>
  <c r="F76" i="23"/>
  <c r="H75" i="23"/>
  <c r="F75" i="23"/>
  <c r="H74" i="23"/>
  <c r="F74" i="23"/>
  <c r="H73" i="23"/>
  <c r="F73" i="23"/>
  <c r="H72" i="23"/>
  <c r="F72" i="23"/>
  <c r="H71" i="23"/>
  <c r="F71" i="23"/>
  <c r="H70" i="23"/>
  <c r="F70" i="23"/>
  <c r="H69" i="23"/>
  <c r="F69" i="23"/>
  <c r="H68" i="23"/>
  <c r="F68" i="23"/>
  <c r="H67" i="23"/>
  <c r="F67" i="23"/>
  <c r="H66" i="23"/>
  <c r="F66" i="23"/>
  <c r="H65" i="23"/>
  <c r="F65" i="23"/>
  <c r="G52" i="23"/>
  <c r="G109" i="23" s="1"/>
  <c r="G51" i="23"/>
  <c r="G108" i="23" s="1"/>
  <c r="G48" i="23"/>
  <c r="G105" i="23" s="1"/>
  <c r="G104" i="23"/>
  <c r="P38" i="23"/>
  <c r="P37" i="23"/>
  <c r="Q37" i="23" s="1"/>
  <c r="P31" i="23"/>
  <c r="Q31" i="23" s="1"/>
  <c r="G88" i="23"/>
  <c r="P27" i="23"/>
  <c r="Q27" i="23" s="1"/>
  <c r="P54" i="23"/>
  <c r="G111" i="23"/>
  <c r="P21" i="23"/>
  <c r="G76" i="23"/>
  <c r="G18" i="23"/>
  <c r="G75" i="23" s="1"/>
  <c r="P17" i="23"/>
  <c r="G17" i="23"/>
  <c r="G74" i="23" s="1"/>
  <c r="P16" i="23"/>
  <c r="G16" i="23"/>
  <c r="P15" i="23"/>
  <c r="G15" i="23"/>
  <c r="G72" i="23" s="1"/>
  <c r="P14" i="23"/>
  <c r="G14" i="23"/>
  <c r="P13" i="23"/>
  <c r="G13" i="23"/>
  <c r="G70" i="23" s="1"/>
  <c r="P12" i="23"/>
  <c r="G12" i="23"/>
  <c r="P11" i="23"/>
  <c r="G11" i="23"/>
  <c r="G68" i="23" s="1"/>
  <c r="G10" i="23"/>
  <c r="G67" i="23" s="1"/>
  <c r="G9" i="23"/>
  <c r="G66" i="23" s="1"/>
  <c r="G8" i="23"/>
  <c r="G65" i="23" s="1"/>
  <c r="J4" i="23"/>
  <c r="J3" i="23"/>
  <c r="J2" i="23"/>
  <c r="H109" i="22"/>
  <c r="F109" i="22"/>
  <c r="H108" i="22"/>
  <c r="F108" i="22"/>
  <c r="H105" i="22"/>
  <c r="F105" i="22"/>
  <c r="H104" i="22"/>
  <c r="F104" i="22"/>
  <c r="H102" i="22"/>
  <c r="F102" i="22"/>
  <c r="H101" i="22"/>
  <c r="F101" i="22"/>
  <c r="H100" i="22"/>
  <c r="F100" i="22"/>
  <c r="H99" i="22"/>
  <c r="F99" i="22"/>
  <c r="H84" i="22"/>
  <c r="F84" i="22"/>
  <c r="H111" i="22"/>
  <c r="F111" i="22"/>
  <c r="H78" i="22"/>
  <c r="F78" i="22"/>
  <c r="H76" i="22"/>
  <c r="F76" i="22"/>
  <c r="H75" i="22"/>
  <c r="F75" i="22"/>
  <c r="H74" i="22"/>
  <c r="F74" i="22"/>
  <c r="H73" i="22"/>
  <c r="F73" i="22"/>
  <c r="H72" i="22"/>
  <c r="F72" i="22"/>
  <c r="H71" i="22"/>
  <c r="F71" i="22"/>
  <c r="H70" i="22"/>
  <c r="F70" i="22"/>
  <c r="H69" i="22"/>
  <c r="F69" i="22"/>
  <c r="H68" i="22"/>
  <c r="F68" i="22"/>
  <c r="H67" i="22"/>
  <c r="F67" i="22"/>
  <c r="H66" i="22"/>
  <c r="F66" i="22"/>
  <c r="H65" i="22"/>
  <c r="F65" i="22"/>
  <c r="G52" i="22"/>
  <c r="G109" i="22" s="1"/>
  <c r="G51" i="22"/>
  <c r="G108" i="22" s="1"/>
  <c r="G105" i="22"/>
  <c r="P27" i="22"/>
  <c r="Q27" i="22" s="1"/>
  <c r="P54" i="22"/>
  <c r="G111" i="22"/>
  <c r="P21" i="22"/>
  <c r="G21" i="22"/>
  <c r="G19" i="22"/>
  <c r="G76" i="22" s="1"/>
  <c r="G18" i="22"/>
  <c r="G75" i="22" s="1"/>
  <c r="P17" i="22"/>
  <c r="G17" i="22"/>
  <c r="G74" i="22" s="1"/>
  <c r="P16" i="22"/>
  <c r="G16" i="22"/>
  <c r="P15" i="22"/>
  <c r="G15" i="22"/>
  <c r="G72" i="22" s="1"/>
  <c r="P14" i="22"/>
  <c r="G14" i="22"/>
  <c r="P13" i="22"/>
  <c r="G13" i="22"/>
  <c r="G70" i="22" s="1"/>
  <c r="P12" i="22"/>
  <c r="G12" i="22"/>
  <c r="P11" i="22"/>
  <c r="G11" i="22"/>
  <c r="G68" i="22" s="1"/>
  <c r="G10" i="22"/>
  <c r="G9" i="22"/>
  <c r="G66" i="22" s="1"/>
  <c r="G8" i="22"/>
  <c r="J4" i="22"/>
  <c r="J3" i="22"/>
  <c r="J2" i="22"/>
  <c r="J2" i="3"/>
  <c r="J3" i="3"/>
  <c r="J4" i="3"/>
  <c r="P38" i="3"/>
  <c r="P37" i="3"/>
  <c r="P31" i="3"/>
  <c r="P27" i="3"/>
  <c r="P54" i="3"/>
  <c r="P55" i="3" s="1"/>
  <c r="Q55" i="3" s="1"/>
  <c r="P17" i="3"/>
  <c r="P16" i="3"/>
  <c r="P15" i="3"/>
  <c r="P14" i="3"/>
  <c r="P13" i="3"/>
  <c r="P12" i="3"/>
  <c r="P11" i="3"/>
  <c r="E68" i="6"/>
  <c r="E62" i="6"/>
  <c r="E50" i="6"/>
  <c r="E43" i="6"/>
  <c r="G68" i="6"/>
  <c r="G62" i="6"/>
  <c r="G50" i="6"/>
  <c r="G45" i="6"/>
  <c r="G17" i="6" s="1"/>
  <c r="G16" i="6"/>
  <c r="G43" i="6"/>
  <c r="H109" i="3"/>
  <c r="F109" i="3"/>
  <c r="H108" i="3"/>
  <c r="F108" i="3"/>
  <c r="H105" i="3"/>
  <c r="F105" i="3"/>
  <c r="H104" i="3"/>
  <c r="F104" i="3"/>
  <c r="H102" i="3"/>
  <c r="F102" i="3"/>
  <c r="H101" i="3"/>
  <c r="F101" i="3"/>
  <c r="H100" i="3"/>
  <c r="F100" i="3"/>
  <c r="H99" i="3"/>
  <c r="F99" i="3"/>
  <c r="H95" i="3"/>
  <c r="F95" i="3"/>
  <c r="H94" i="3"/>
  <c r="G94" i="3"/>
  <c r="F94" i="3"/>
  <c r="H88" i="3"/>
  <c r="F88" i="3"/>
  <c r="H84" i="3"/>
  <c r="F84" i="3"/>
  <c r="F111" i="3"/>
  <c r="H78" i="3"/>
  <c r="F78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F65" i="3"/>
  <c r="H65" i="3"/>
  <c r="O32" i="26" l="1"/>
  <c r="O32" i="25"/>
  <c r="Q11" i="26"/>
  <c r="O11" i="26"/>
  <c r="P56" i="3"/>
  <c r="O11" i="23"/>
  <c r="Q11" i="23"/>
  <c r="Q11" i="3"/>
  <c r="O11" i="3"/>
  <c r="Q11" i="25"/>
  <c r="O11" i="25"/>
  <c r="Q11" i="24"/>
  <c r="O11" i="24"/>
  <c r="Q12" i="26"/>
  <c r="O12" i="26"/>
  <c r="Q16" i="26"/>
  <c r="O16" i="26"/>
  <c r="O13" i="26"/>
  <c r="Q13" i="26"/>
  <c r="Q15" i="26"/>
  <c r="O15" i="26"/>
  <c r="O17" i="26"/>
  <c r="Q17" i="26"/>
  <c r="Q37" i="26"/>
  <c r="P55" i="26"/>
  <c r="Q54" i="26"/>
  <c r="O54" i="26"/>
  <c r="Q38" i="26"/>
  <c r="O14" i="26"/>
  <c r="Q14" i="26"/>
  <c r="Q27" i="26"/>
  <c r="Q21" i="26"/>
  <c r="O21" i="26"/>
  <c r="Q14" i="25"/>
  <c r="O14" i="25"/>
  <c r="Q38" i="25"/>
  <c r="Q13" i="25"/>
  <c r="O13" i="25"/>
  <c r="O15" i="25"/>
  <c r="Q15" i="25"/>
  <c r="Q17" i="25"/>
  <c r="O17" i="25"/>
  <c r="O12" i="25"/>
  <c r="Q12" i="25"/>
  <c r="O16" i="25"/>
  <c r="Q16" i="25"/>
  <c r="Q27" i="25"/>
  <c r="O21" i="25"/>
  <c r="Q21" i="25"/>
  <c r="P55" i="25"/>
  <c r="O54" i="25"/>
  <c r="Q54" i="25"/>
  <c r="Q37" i="25"/>
  <c r="Q12" i="24"/>
  <c r="O12" i="24"/>
  <c r="O14" i="24"/>
  <c r="Q14" i="24"/>
  <c r="Q16" i="24"/>
  <c r="O16" i="24"/>
  <c r="Q38" i="24"/>
  <c r="P55" i="24"/>
  <c r="Q54" i="24"/>
  <c r="O54" i="24"/>
  <c r="Q21" i="24"/>
  <c r="O21" i="24"/>
  <c r="O13" i="24"/>
  <c r="Q13" i="24"/>
  <c r="O15" i="24"/>
  <c r="Q15" i="24"/>
  <c r="O17" i="24"/>
  <c r="Q17" i="24"/>
  <c r="O13" i="23"/>
  <c r="Q13" i="23"/>
  <c r="Q17" i="23"/>
  <c r="O17" i="23"/>
  <c r="P55" i="23"/>
  <c r="Q54" i="23"/>
  <c r="O54" i="23"/>
  <c r="Q12" i="23"/>
  <c r="O12" i="23"/>
  <c r="Q14" i="23"/>
  <c r="O14" i="23"/>
  <c r="Q16" i="23"/>
  <c r="O16" i="23"/>
  <c r="Q38" i="23"/>
  <c r="Q15" i="23"/>
  <c r="O15" i="23"/>
  <c r="Q21" i="23"/>
  <c r="O21" i="23"/>
  <c r="O11" i="22"/>
  <c r="Q11" i="22"/>
  <c r="Q13" i="22"/>
  <c r="O13" i="22"/>
  <c r="O15" i="22"/>
  <c r="Q15" i="22"/>
  <c r="Q17" i="22"/>
  <c r="O17" i="22"/>
  <c r="Q21" i="22"/>
  <c r="Q12" i="22"/>
  <c r="O12" i="22"/>
  <c r="Q14" i="22"/>
  <c r="O14" i="22"/>
  <c r="Q16" i="22"/>
  <c r="O16" i="22"/>
  <c r="P55" i="22"/>
  <c r="Q54" i="22"/>
  <c r="O12" i="3"/>
  <c r="Q12" i="3"/>
  <c r="Q16" i="3"/>
  <c r="Q13" i="3"/>
  <c r="O17" i="3"/>
  <c r="Q17" i="3"/>
  <c r="O14" i="3"/>
  <c r="Q14" i="3"/>
  <c r="O15" i="3"/>
  <c r="Q15" i="3"/>
  <c r="Q37" i="3"/>
  <c r="Q54" i="3"/>
  <c r="Q38" i="3"/>
  <c r="Q27" i="3"/>
  <c r="Q31" i="3"/>
  <c r="G67" i="22"/>
  <c r="G102" i="23"/>
  <c r="G101" i="24"/>
  <c r="G100" i="25"/>
  <c r="G104" i="25"/>
  <c r="G99" i="26"/>
  <c r="G102" i="26"/>
  <c r="G102" i="24"/>
  <c r="G65" i="26"/>
  <c r="G67" i="26"/>
  <c r="G104" i="26"/>
  <c r="G99" i="22"/>
  <c r="G65" i="24"/>
  <c r="G99" i="24"/>
  <c r="G67" i="25"/>
  <c r="G65" i="22"/>
  <c r="G100" i="22"/>
  <c r="G104" i="22"/>
  <c r="G101" i="23"/>
  <c r="G66" i="24"/>
  <c r="G72" i="24"/>
  <c r="G65" i="25"/>
  <c r="G88" i="26"/>
  <c r="G101" i="26"/>
  <c r="G101" i="22"/>
  <c r="G100" i="23"/>
  <c r="G100" i="24"/>
  <c r="G101" i="25"/>
  <c r="G102" i="22"/>
  <c r="G99" i="23"/>
  <c r="G99" i="25"/>
  <c r="G102" i="25"/>
  <c r="G100" i="26"/>
  <c r="G69" i="26"/>
  <c r="G71" i="26"/>
  <c r="G73" i="26"/>
  <c r="G78" i="26"/>
  <c r="G84" i="26"/>
  <c r="G95" i="26"/>
  <c r="G69" i="25"/>
  <c r="G71" i="25"/>
  <c r="G73" i="25"/>
  <c r="G78" i="25"/>
  <c r="G84" i="25"/>
  <c r="G95" i="25"/>
  <c r="G69" i="24"/>
  <c r="G71" i="24"/>
  <c r="G73" i="24"/>
  <c r="G78" i="24"/>
  <c r="G84" i="24"/>
  <c r="G95" i="24"/>
  <c r="G69" i="23"/>
  <c r="G71" i="23"/>
  <c r="G73" i="23"/>
  <c r="G78" i="23"/>
  <c r="G84" i="23"/>
  <c r="G95" i="23"/>
  <c r="G69" i="22"/>
  <c r="G71" i="22"/>
  <c r="G73" i="22"/>
  <c r="G78" i="22"/>
  <c r="G84" i="22"/>
  <c r="P57" i="3" l="1"/>
  <c r="Q56" i="3"/>
  <c r="P56" i="26"/>
  <c r="Q55" i="26"/>
  <c r="P56" i="25"/>
  <c r="Q55" i="25"/>
  <c r="P56" i="24"/>
  <c r="Q55" i="24"/>
  <c r="P56" i="23"/>
  <c r="Q55" i="23"/>
  <c r="P56" i="22"/>
  <c r="Q55" i="22"/>
  <c r="P23" i="3" l="1"/>
  <c r="Q57" i="3"/>
  <c r="Q56" i="26"/>
  <c r="P57" i="26"/>
  <c r="P57" i="25"/>
  <c r="Q56" i="25"/>
  <c r="P57" i="24"/>
  <c r="Q56" i="24"/>
  <c r="P57" i="23"/>
  <c r="P23" i="23" s="1"/>
  <c r="Q56" i="23"/>
  <c r="P57" i="22"/>
  <c r="Q56" i="22"/>
  <c r="Q23" i="23" l="1"/>
  <c r="O23" i="23"/>
  <c r="P24" i="3"/>
  <c r="Q23" i="3"/>
  <c r="P23" i="26"/>
  <c r="O23" i="26" s="1"/>
  <c r="Q57" i="26"/>
  <c r="P23" i="25"/>
  <c r="O23" i="25" s="1"/>
  <c r="Q57" i="25"/>
  <c r="P23" i="24"/>
  <c r="O23" i="24" s="1"/>
  <c r="Q57" i="24"/>
  <c r="Q57" i="23"/>
  <c r="P23" i="22"/>
  <c r="Q57" i="22"/>
  <c r="G19" i="3"/>
  <c r="G76" i="3" s="1"/>
  <c r="P25" i="3" l="1"/>
  <c r="Q24" i="3"/>
  <c r="P24" i="26"/>
  <c r="Q23" i="26"/>
  <c r="P24" i="25"/>
  <c r="Q23" i="25"/>
  <c r="P24" i="24"/>
  <c r="Q23" i="24"/>
  <c r="P24" i="23"/>
  <c r="P24" i="22"/>
  <c r="Q23" i="22"/>
  <c r="G43" i="3"/>
  <c r="G45" i="3"/>
  <c r="G102" i="3" s="1"/>
  <c r="G44" i="3"/>
  <c r="G42" i="3"/>
  <c r="G38" i="3"/>
  <c r="G95" i="3" s="1"/>
  <c r="G31" i="3"/>
  <c r="G88" i="3" s="1"/>
  <c r="G27" i="3"/>
  <c r="G84" i="3" s="1"/>
  <c r="G54" i="3"/>
  <c r="G111" i="3" s="1"/>
  <c r="G21" i="3"/>
  <c r="G78" i="3" s="1"/>
  <c r="G18" i="3"/>
  <c r="G75" i="3" s="1"/>
  <c r="P26" i="3" l="1"/>
  <c r="Q26" i="3" s="1"/>
  <c r="Q25" i="3"/>
  <c r="P25" i="26"/>
  <c r="Q24" i="26"/>
  <c r="P25" i="25"/>
  <c r="Q24" i="25"/>
  <c r="P25" i="24"/>
  <c r="Q24" i="24"/>
  <c r="P25" i="23"/>
  <c r="Q24" i="23"/>
  <c r="P25" i="22"/>
  <c r="Q24" i="22"/>
  <c r="G99" i="3"/>
  <c r="G100" i="3"/>
  <c r="G101" i="3"/>
  <c r="Q25" i="26" l="1"/>
  <c r="P26" i="26"/>
  <c r="Q26" i="26" s="1"/>
  <c r="P26" i="25"/>
  <c r="Q26" i="25" s="1"/>
  <c r="Q25" i="25"/>
  <c r="P26" i="24"/>
  <c r="Q26" i="24" s="1"/>
  <c r="Q25" i="24"/>
  <c r="P26" i="23"/>
  <c r="Q26" i="23" s="1"/>
  <c r="Q25" i="23"/>
  <c r="P26" i="22"/>
  <c r="Q26" i="22" s="1"/>
  <c r="Q25" i="22"/>
  <c r="H53" i="6"/>
  <c r="H21" i="6" s="1"/>
  <c r="F18" i="6"/>
  <c r="O27" i="23" s="1"/>
  <c r="H19" i="6"/>
  <c r="F19" i="6"/>
  <c r="O31" i="23" s="1"/>
  <c r="O37" i="26" l="1"/>
  <c r="O37" i="25"/>
  <c r="O31" i="26"/>
  <c r="O31" i="25"/>
  <c r="G53" i="6"/>
  <c r="G21" i="6" s="1"/>
  <c r="O37" i="24" s="1"/>
  <c r="F21" i="6"/>
  <c r="H63" i="6"/>
  <c r="H22" i="6" s="1"/>
  <c r="F22" i="6"/>
  <c r="G51" i="6"/>
  <c r="G18" i="6" s="1"/>
  <c r="O27" i="24" s="1"/>
  <c r="G46" i="6"/>
  <c r="G19" i="6" s="1"/>
  <c r="O31" i="24" s="1"/>
  <c r="G47" i="3"/>
  <c r="G104" i="3" s="1"/>
  <c r="O38" i="23" l="1"/>
  <c r="O37" i="23"/>
  <c r="O27" i="25"/>
  <c r="O27" i="26"/>
  <c r="O38" i="25"/>
  <c r="O38" i="26"/>
  <c r="G63" i="6"/>
  <c r="G22" i="6" s="1"/>
  <c r="O38" i="24" s="1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I11" i="5"/>
  <c r="H11" i="5"/>
  <c r="G11" i="5"/>
  <c r="F11" i="5"/>
  <c r="E11" i="5"/>
  <c r="D11" i="5"/>
  <c r="C12" i="5"/>
  <c r="C11" i="5"/>
  <c r="O16" i="3"/>
  <c r="D27" i="6"/>
  <c r="O13" i="3" s="1"/>
  <c r="H69" i="6"/>
  <c r="H70" i="6" s="1"/>
  <c r="F69" i="6"/>
  <c r="F70" i="6" l="1"/>
  <c r="G70" i="6" s="1"/>
  <c r="G69" i="6"/>
  <c r="D69" i="6" l="1"/>
  <c r="D70" i="6" l="1"/>
  <c r="E70" i="6" s="1"/>
  <c r="E69" i="6"/>
  <c r="H6" i="5"/>
  <c r="G6" i="5"/>
  <c r="F6" i="5"/>
  <c r="E6" i="5"/>
  <c r="D6" i="5"/>
  <c r="C6" i="5"/>
  <c r="H50" i="5"/>
  <c r="G50" i="5"/>
  <c r="F50" i="5"/>
  <c r="E50" i="5"/>
  <c r="D50" i="5"/>
  <c r="C50" i="5"/>
  <c r="H44" i="5"/>
  <c r="G44" i="5"/>
  <c r="F44" i="5"/>
  <c r="E44" i="5"/>
  <c r="D44" i="5"/>
  <c r="C44" i="5"/>
  <c r="H38" i="5"/>
  <c r="G38" i="5"/>
  <c r="F38" i="5"/>
  <c r="E38" i="5"/>
  <c r="D38" i="5"/>
  <c r="C38" i="5"/>
  <c r="H32" i="5"/>
  <c r="G32" i="5"/>
  <c r="F32" i="5"/>
  <c r="E32" i="5"/>
  <c r="D32" i="5"/>
  <c r="C32" i="5"/>
  <c r="H26" i="5"/>
  <c r="G26" i="5"/>
  <c r="F26" i="5"/>
  <c r="E26" i="5"/>
  <c r="D26" i="5"/>
  <c r="C26" i="5"/>
  <c r="H19" i="5"/>
  <c r="G19" i="5"/>
  <c r="F19" i="5"/>
  <c r="E19" i="5"/>
  <c r="D19" i="5"/>
  <c r="C19" i="5"/>
  <c r="K43" i="23" l="1"/>
  <c r="K44" i="23"/>
  <c r="W42" i="23"/>
  <c r="W44" i="23"/>
  <c r="V44" i="23"/>
  <c r="V42" i="23"/>
  <c r="K42" i="23"/>
  <c r="K99" i="23" s="1"/>
  <c r="W44" i="25"/>
  <c r="W44" i="22"/>
  <c r="W44" i="24"/>
  <c r="K43" i="25"/>
  <c r="K100" i="25" s="1"/>
  <c r="V42" i="26"/>
  <c r="W42" i="22"/>
  <c r="K44" i="25"/>
  <c r="K101" i="25" s="1"/>
  <c r="K45" i="22"/>
  <c r="K102" i="22" s="1"/>
  <c r="V44" i="26"/>
  <c r="W42" i="25"/>
  <c r="V44" i="25"/>
  <c r="W45" i="22"/>
  <c r="K45" i="26"/>
  <c r="K102" i="26" s="1"/>
  <c r="W45" i="24"/>
  <c r="K42" i="24"/>
  <c r="K99" i="24" s="1"/>
  <c r="K101" i="23"/>
  <c r="W44" i="26"/>
  <c r="K44" i="22"/>
  <c r="K101" i="22" s="1"/>
  <c r="K43" i="24"/>
  <c r="K100" i="24" s="1"/>
  <c r="K43" i="26"/>
  <c r="K100" i="26" s="1"/>
  <c r="V42" i="25"/>
  <c r="V44" i="24"/>
  <c r="W45" i="23"/>
  <c r="V45" i="23"/>
  <c r="V44" i="22"/>
  <c r="K44" i="24"/>
  <c r="K101" i="24" s="1"/>
  <c r="K42" i="22"/>
  <c r="K99" i="22" s="1"/>
  <c r="K44" i="26"/>
  <c r="K101" i="26" s="1"/>
  <c r="V42" i="24"/>
  <c r="K45" i="23"/>
  <c r="K102" i="23" s="1"/>
  <c r="K42" i="26"/>
  <c r="K99" i="26" s="1"/>
  <c r="K45" i="25"/>
  <c r="K102" i="25" s="1"/>
  <c r="W42" i="24"/>
  <c r="V45" i="24"/>
  <c r="V42" i="22"/>
  <c r="K45" i="24"/>
  <c r="K102" i="24" s="1"/>
  <c r="W45" i="25"/>
  <c r="V45" i="25"/>
  <c r="V45" i="22"/>
  <c r="W45" i="26"/>
  <c r="W42" i="26"/>
  <c r="K43" i="22"/>
  <c r="K100" i="22" s="1"/>
  <c r="K100" i="23"/>
  <c r="K42" i="25"/>
  <c r="K99" i="25" s="1"/>
  <c r="V45" i="26"/>
  <c r="W42" i="3"/>
  <c r="W44" i="3"/>
  <c r="K42" i="3"/>
  <c r="K99" i="3" s="1"/>
  <c r="V45" i="3"/>
  <c r="W45" i="3"/>
  <c r="K45" i="3"/>
  <c r="K102" i="3" s="1"/>
  <c r="K43" i="3"/>
  <c r="K100" i="3" s="1"/>
  <c r="V42" i="3"/>
  <c r="K44" i="3"/>
  <c r="K101" i="3" s="1"/>
  <c r="V44" i="3"/>
  <c r="C16" i="5"/>
  <c r="Q47" i="5"/>
  <c r="Q53" i="5" s="1"/>
  <c r="P47" i="5"/>
  <c r="P53" i="5" s="1"/>
  <c r="P29" i="5"/>
  <c r="O47" i="5"/>
  <c r="O46" i="5"/>
  <c r="O45" i="5"/>
  <c r="S41" i="5"/>
  <c r="T41" i="5" s="1"/>
  <c r="O53" i="5"/>
  <c r="O52" i="5"/>
  <c r="O51" i="5"/>
  <c r="O41" i="5"/>
  <c r="O40" i="5"/>
  <c r="O39" i="5"/>
  <c r="O35" i="5"/>
  <c r="O34" i="5"/>
  <c r="O33" i="5"/>
  <c r="O29" i="5"/>
  <c r="O28" i="5"/>
  <c r="O27" i="5"/>
  <c r="S35" i="5"/>
  <c r="T35" i="5" s="1"/>
  <c r="S34" i="5"/>
  <c r="T34" i="5" s="1"/>
  <c r="S33" i="5"/>
  <c r="T33" i="5" s="1"/>
  <c r="S22" i="5"/>
  <c r="T22" i="5" s="1"/>
  <c r="C17" i="5" l="1"/>
  <c r="F53" i="5" l="1"/>
  <c r="H52" i="5"/>
  <c r="I52" i="5" s="1"/>
  <c r="D52" i="5"/>
  <c r="F51" i="5"/>
  <c r="F47" i="5"/>
  <c r="E46" i="5"/>
  <c r="G45" i="5"/>
  <c r="C45" i="5"/>
  <c r="G41" i="5"/>
  <c r="G9" i="5" s="1"/>
  <c r="C41" i="5"/>
  <c r="C9" i="5" s="1"/>
  <c r="K2" i="3" s="1"/>
  <c r="F40" i="5"/>
  <c r="F8" i="5" s="1"/>
  <c r="H39" i="5"/>
  <c r="D39" i="5"/>
  <c r="D7" i="5" s="1"/>
  <c r="H35" i="5"/>
  <c r="I35" i="5" s="1"/>
  <c r="D35" i="5"/>
  <c r="G34" i="5"/>
  <c r="C34" i="5"/>
  <c r="E33" i="5"/>
  <c r="E29" i="5"/>
  <c r="H28" i="5"/>
  <c r="I28" i="5" s="1"/>
  <c r="D28" i="5"/>
  <c r="F27" i="5"/>
  <c r="E53" i="5"/>
  <c r="G52" i="5"/>
  <c r="C52" i="5"/>
  <c r="E51" i="5"/>
  <c r="E47" i="5"/>
  <c r="H46" i="5"/>
  <c r="I46" i="5" s="1"/>
  <c r="D46" i="5"/>
  <c r="F45" i="5"/>
  <c r="F41" i="5"/>
  <c r="F9" i="5" s="1"/>
  <c r="E40" i="5"/>
  <c r="E8" i="5" s="1"/>
  <c r="G39" i="5"/>
  <c r="G7" i="5" s="1"/>
  <c r="C39" i="5"/>
  <c r="C7" i="5" s="1"/>
  <c r="AD49" i="6" s="1"/>
  <c r="AE49" i="6" s="1"/>
  <c r="G35" i="5"/>
  <c r="C35" i="5"/>
  <c r="F34" i="5"/>
  <c r="H33" i="5"/>
  <c r="I33" i="5" s="1"/>
  <c r="D33" i="5"/>
  <c r="H29" i="5"/>
  <c r="I29" i="5" s="1"/>
  <c r="D29" i="5"/>
  <c r="G28" i="5"/>
  <c r="C28" i="5"/>
  <c r="E27" i="5"/>
  <c r="H53" i="5"/>
  <c r="I53" i="5" s="1"/>
  <c r="D53" i="5"/>
  <c r="F52" i="5"/>
  <c r="H51" i="5"/>
  <c r="I51" i="5" s="1"/>
  <c r="D51" i="5"/>
  <c r="H47" i="5"/>
  <c r="I47" i="5" s="1"/>
  <c r="D47" i="5"/>
  <c r="G46" i="5"/>
  <c r="C46" i="5"/>
  <c r="E45" i="5"/>
  <c r="E41" i="5"/>
  <c r="E9" i="5" s="1"/>
  <c r="H40" i="5"/>
  <c r="D40" i="5"/>
  <c r="D8" i="5" s="1"/>
  <c r="F39" i="5"/>
  <c r="F7" i="5" s="1"/>
  <c r="F35" i="5"/>
  <c r="E34" i="5"/>
  <c r="G33" i="5"/>
  <c r="C33" i="5"/>
  <c r="G29" i="5"/>
  <c r="C29" i="5"/>
  <c r="F28" i="5"/>
  <c r="H27" i="5"/>
  <c r="I27" i="5" s="1"/>
  <c r="D27" i="5"/>
  <c r="G53" i="5"/>
  <c r="C53" i="5"/>
  <c r="E52" i="5"/>
  <c r="G51" i="5"/>
  <c r="C51" i="5"/>
  <c r="G47" i="5"/>
  <c r="C47" i="5"/>
  <c r="F46" i="5"/>
  <c r="H45" i="5"/>
  <c r="I45" i="5" s="1"/>
  <c r="D45" i="5"/>
  <c r="H41" i="5"/>
  <c r="D41" i="5"/>
  <c r="D9" i="5" s="1"/>
  <c r="G40" i="5"/>
  <c r="G8" i="5" s="1"/>
  <c r="C40" i="5"/>
  <c r="C8" i="5" s="1"/>
  <c r="K3" i="3" s="1"/>
  <c r="E39" i="5"/>
  <c r="E7" i="5" s="1"/>
  <c r="E35" i="5"/>
  <c r="E28" i="5"/>
  <c r="H34" i="5"/>
  <c r="I34" i="5" s="1"/>
  <c r="G27" i="5"/>
  <c r="D34" i="5"/>
  <c r="F29" i="5"/>
  <c r="C27" i="5"/>
  <c r="F33" i="5"/>
  <c r="H22" i="5"/>
  <c r="I22" i="5" s="1"/>
  <c r="D21" i="5"/>
  <c r="F22" i="5"/>
  <c r="G21" i="5"/>
  <c r="H20" i="5"/>
  <c r="I20" i="5" s="1"/>
  <c r="D20" i="5"/>
  <c r="E22" i="5"/>
  <c r="F21" i="5"/>
  <c r="G20" i="5"/>
  <c r="D22" i="5"/>
  <c r="E21" i="5"/>
  <c r="F20" i="5"/>
  <c r="G22" i="5"/>
  <c r="H21" i="5"/>
  <c r="I21" i="5" s="1"/>
  <c r="E20" i="5"/>
  <c r="C22" i="5"/>
  <c r="C21" i="5"/>
  <c r="C20" i="5"/>
  <c r="W38" i="22" l="1"/>
  <c r="W37" i="22"/>
  <c r="V38" i="22"/>
  <c r="V37" i="22"/>
  <c r="K10" i="3"/>
  <c r="K48" i="3" s="1"/>
  <c r="K47" i="3"/>
  <c r="K104" i="3" s="1"/>
  <c r="K46" i="3"/>
  <c r="K103" i="3" s="1"/>
  <c r="V20" i="23"/>
  <c r="W20" i="23"/>
  <c r="V20" i="24"/>
  <c r="W20" i="24"/>
  <c r="V20" i="25"/>
  <c r="W20" i="25"/>
  <c r="W31" i="22"/>
  <c r="V31" i="22"/>
  <c r="AD58" i="6"/>
  <c r="AE58" i="6" s="1"/>
  <c r="AD56" i="6"/>
  <c r="AE56" i="6" s="1"/>
  <c r="AD57" i="6"/>
  <c r="AE57" i="6" s="1"/>
  <c r="AD55" i="6"/>
  <c r="AE55" i="6" s="1"/>
  <c r="AD45" i="6"/>
  <c r="AD50" i="6"/>
  <c r="AD54" i="6"/>
  <c r="AD46" i="6"/>
  <c r="AE46" i="6" s="1"/>
  <c r="D51" i="6" s="1"/>
  <c r="AD51" i="6"/>
  <c r="AE51" i="6" s="1"/>
  <c r="D63" i="6" s="1"/>
  <c r="AD47" i="6"/>
  <c r="AE47" i="6" s="1"/>
  <c r="AD52" i="6"/>
  <c r="AD44" i="6"/>
  <c r="AE44" i="6" s="1"/>
  <c r="D44" i="6" s="1"/>
  <c r="AD48" i="6"/>
  <c r="AD53" i="6"/>
  <c r="AE53" i="6" s="1"/>
  <c r="K3" i="25"/>
  <c r="K46" i="25" s="1"/>
  <c r="K103" i="25" s="1"/>
  <c r="V10" i="25"/>
  <c r="W10" i="25"/>
  <c r="V47" i="25"/>
  <c r="W47" i="25"/>
  <c r="K3" i="23"/>
  <c r="K46" i="23" s="1"/>
  <c r="K103" i="23" s="1"/>
  <c r="V10" i="23"/>
  <c r="W47" i="23"/>
  <c r="W10" i="23"/>
  <c r="V47" i="23"/>
  <c r="V9" i="24"/>
  <c r="V8" i="24"/>
  <c r="K2" i="24"/>
  <c r="W8" i="24"/>
  <c r="W9" i="24"/>
  <c r="V15" i="23"/>
  <c r="W16" i="23"/>
  <c r="W14" i="23"/>
  <c r="W17" i="23"/>
  <c r="K4" i="23"/>
  <c r="K32" i="23" s="1"/>
  <c r="V14" i="23"/>
  <c r="W27" i="23"/>
  <c r="W31" i="23"/>
  <c r="W11" i="23"/>
  <c r="W15" i="23"/>
  <c r="V21" i="23"/>
  <c r="W12" i="23"/>
  <c r="V11" i="23"/>
  <c r="W13" i="23"/>
  <c r="V27" i="23"/>
  <c r="V54" i="23"/>
  <c r="V31" i="23"/>
  <c r="W21" i="23"/>
  <c r="V17" i="23"/>
  <c r="W54" i="23"/>
  <c r="V13" i="23"/>
  <c r="V38" i="23"/>
  <c r="V16" i="23"/>
  <c r="W38" i="23"/>
  <c r="V12" i="23"/>
  <c r="V17" i="24"/>
  <c r="W16" i="24"/>
  <c r="W14" i="24"/>
  <c r="V14" i="24"/>
  <c r="V31" i="24"/>
  <c r="W21" i="24"/>
  <c r="V11" i="24"/>
  <c r="V16" i="24"/>
  <c r="W15" i="24"/>
  <c r="W27" i="24"/>
  <c r="W13" i="24"/>
  <c r="W11" i="24"/>
  <c r="V15" i="24"/>
  <c r="V38" i="24"/>
  <c r="V21" i="24"/>
  <c r="V12" i="24"/>
  <c r="K4" i="24"/>
  <c r="K32" i="24" s="1"/>
  <c r="W54" i="24"/>
  <c r="W12" i="24"/>
  <c r="W31" i="24"/>
  <c r="W38" i="24"/>
  <c r="W17" i="24"/>
  <c r="V54" i="24"/>
  <c r="V13" i="24"/>
  <c r="V27" i="24"/>
  <c r="V37" i="24"/>
  <c r="W37" i="23"/>
  <c r="V37" i="23"/>
  <c r="W37" i="24"/>
  <c r="V37" i="25"/>
  <c r="W37" i="25"/>
  <c r="K4" i="3"/>
  <c r="K9" i="3"/>
  <c r="K66" i="3" s="1"/>
  <c r="K8" i="3"/>
  <c r="K65" i="3" s="1"/>
  <c r="K2" i="22"/>
  <c r="W8" i="22"/>
  <c r="V8" i="22"/>
  <c r="V9" i="22"/>
  <c r="W9" i="22"/>
  <c r="W8" i="23"/>
  <c r="W9" i="23"/>
  <c r="V8" i="23"/>
  <c r="V9" i="23"/>
  <c r="K2" i="23"/>
  <c r="K3" i="24"/>
  <c r="K46" i="24" s="1"/>
  <c r="K103" i="24" s="1"/>
  <c r="V10" i="24"/>
  <c r="W47" i="24"/>
  <c r="W10" i="24"/>
  <c r="V47" i="24"/>
  <c r="K3" i="22"/>
  <c r="K10" i="22" s="1"/>
  <c r="K48" i="22" s="1"/>
  <c r="K50" i="22" s="1"/>
  <c r="K107" i="22" s="1"/>
  <c r="V10" i="22"/>
  <c r="V47" i="22"/>
  <c r="W10" i="22"/>
  <c r="W47" i="22"/>
  <c r="W21" i="25"/>
  <c r="W13" i="25"/>
  <c r="W11" i="25"/>
  <c r="V14" i="25"/>
  <c r="V13" i="25"/>
  <c r="W31" i="25"/>
  <c r="W17" i="25"/>
  <c r="V27" i="25"/>
  <c r="W12" i="25"/>
  <c r="W27" i="25"/>
  <c r="V17" i="25"/>
  <c r="V16" i="25"/>
  <c r="V15" i="25"/>
  <c r="W14" i="25"/>
  <c r="K4" i="25"/>
  <c r="K32" i="25" s="1"/>
  <c r="V12" i="25"/>
  <c r="W16" i="25"/>
  <c r="V31" i="25"/>
  <c r="V54" i="25"/>
  <c r="W15" i="25"/>
  <c r="W38" i="25"/>
  <c r="V21" i="25"/>
  <c r="V11" i="25"/>
  <c r="V38" i="25"/>
  <c r="W54" i="25"/>
  <c r="W21" i="22"/>
  <c r="W11" i="22"/>
  <c r="V12" i="22"/>
  <c r="W17" i="22"/>
  <c r="V27" i="22"/>
  <c r="V13" i="22"/>
  <c r="W12" i="22"/>
  <c r="V17" i="22"/>
  <c r="V16" i="22"/>
  <c r="V15" i="22"/>
  <c r="W15" i="22"/>
  <c r="V14" i="22"/>
  <c r="W16" i="22"/>
  <c r="W27" i="22"/>
  <c r="W14" i="22"/>
  <c r="W54" i="22"/>
  <c r="V11" i="22"/>
  <c r="K4" i="22"/>
  <c r="V21" i="22"/>
  <c r="V54" i="22"/>
  <c r="W13" i="22"/>
  <c r="W8" i="25"/>
  <c r="K2" i="25"/>
  <c r="W9" i="25"/>
  <c r="V9" i="25"/>
  <c r="V8" i="25"/>
  <c r="V37" i="3"/>
  <c r="W37" i="3"/>
  <c r="V54" i="3"/>
  <c r="W21" i="3"/>
  <c r="V31" i="3"/>
  <c r="W31" i="3"/>
  <c r="W54" i="3"/>
  <c r="V21" i="3"/>
  <c r="W27" i="3"/>
  <c r="V27" i="3"/>
  <c r="V38" i="3"/>
  <c r="W38" i="3"/>
  <c r="V47" i="3"/>
  <c r="W47" i="3"/>
  <c r="I40" i="5"/>
  <c r="I8" i="5" s="1"/>
  <c r="H8" i="5"/>
  <c r="V47" i="26" s="1"/>
  <c r="I39" i="5"/>
  <c r="I7" i="5" s="1"/>
  <c r="H7" i="5"/>
  <c r="I41" i="5"/>
  <c r="I9" i="5" s="1"/>
  <c r="H9" i="5"/>
  <c r="K2" i="26" s="1"/>
  <c r="G17" i="3"/>
  <c r="G74" i="3" s="1"/>
  <c r="G16" i="3"/>
  <c r="G73" i="3" s="1"/>
  <c r="G15" i="3"/>
  <c r="G72" i="3" s="1"/>
  <c r="G14" i="3"/>
  <c r="G71" i="3" s="1"/>
  <c r="G13" i="3"/>
  <c r="G70" i="3" s="1"/>
  <c r="G12" i="3"/>
  <c r="G69" i="3" s="1"/>
  <c r="G11" i="3"/>
  <c r="G68" i="3" s="1"/>
  <c r="G51" i="3"/>
  <c r="G108" i="3" s="1"/>
  <c r="G10" i="3"/>
  <c r="G48" i="3"/>
  <c r="G105" i="3" s="1"/>
  <c r="G52" i="3"/>
  <c r="G109" i="3" s="1"/>
  <c r="G9" i="3"/>
  <c r="G66" i="3" s="1"/>
  <c r="G8" i="3"/>
  <c r="G65" i="3" s="1"/>
  <c r="K35" i="25" l="1"/>
  <c r="K92" i="25" s="1"/>
  <c r="K89" i="25"/>
  <c r="K35" i="24"/>
  <c r="K92" i="24" s="1"/>
  <c r="K89" i="24"/>
  <c r="K35" i="23"/>
  <c r="K92" i="23" s="1"/>
  <c r="K89" i="23"/>
  <c r="K36" i="25"/>
  <c r="K93" i="25" s="1"/>
  <c r="K33" i="25"/>
  <c r="K90" i="25" s="1"/>
  <c r="K34" i="25"/>
  <c r="K91" i="25" s="1"/>
  <c r="K36" i="24"/>
  <c r="K93" i="24" s="1"/>
  <c r="K33" i="24"/>
  <c r="K90" i="24" s="1"/>
  <c r="K34" i="24"/>
  <c r="K91" i="24" s="1"/>
  <c r="K36" i="23"/>
  <c r="K93" i="23" s="1"/>
  <c r="K33" i="23"/>
  <c r="K90" i="23" s="1"/>
  <c r="K34" i="23"/>
  <c r="K91" i="23" s="1"/>
  <c r="K23" i="23"/>
  <c r="K22" i="23" s="1"/>
  <c r="K79" i="23" s="1"/>
  <c r="AE48" i="6"/>
  <c r="D52" i="6" s="1"/>
  <c r="AE45" i="6"/>
  <c r="D45" i="6" s="1"/>
  <c r="AE52" i="6"/>
  <c r="D64" i="6" s="1"/>
  <c r="D23" i="6" s="1"/>
  <c r="AE54" i="6"/>
  <c r="D58" i="6" s="1"/>
  <c r="AE50" i="6"/>
  <c r="D53" i="6" s="1"/>
  <c r="K50" i="3"/>
  <c r="K107" i="3" s="1"/>
  <c r="K49" i="3"/>
  <c r="K106" i="3" s="1"/>
  <c r="K105" i="3"/>
  <c r="K67" i="3"/>
  <c r="K49" i="22"/>
  <c r="K106" i="22" s="1"/>
  <c r="K105" i="22"/>
  <c r="K20" i="25"/>
  <c r="K77" i="25" s="1"/>
  <c r="K54" i="25"/>
  <c r="K23" i="25"/>
  <c r="K22" i="25" s="1"/>
  <c r="K79" i="25" s="1"/>
  <c r="K20" i="24"/>
  <c r="K77" i="24" s="1"/>
  <c r="K54" i="24"/>
  <c r="K23" i="24"/>
  <c r="K22" i="24" s="1"/>
  <c r="K79" i="24" s="1"/>
  <c r="K54" i="23"/>
  <c r="K67" i="22"/>
  <c r="K46" i="22"/>
  <c r="K103" i="22" s="1"/>
  <c r="V37" i="26"/>
  <c r="W20" i="26"/>
  <c r="V20" i="26"/>
  <c r="K20" i="23"/>
  <c r="K77" i="23" s="1"/>
  <c r="E51" i="6"/>
  <c r="E18" i="6" s="1"/>
  <c r="V12" i="26"/>
  <c r="V31" i="26"/>
  <c r="W38" i="26"/>
  <c r="V27" i="26"/>
  <c r="K4" i="26"/>
  <c r="K32" i="26" s="1"/>
  <c r="V14" i="26"/>
  <c r="W21" i="26"/>
  <c r="W16" i="26"/>
  <c r="W11" i="26"/>
  <c r="W14" i="26"/>
  <c r="V8" i="26"/>
  <c r="V38" i="26"/>
  <c r="V16" i="26"/>
  <c r="W31" i="26"/>
  <c r="W17" i="26"/>
  <c r="W27" i="26"/>
  <c r="V54" i="26"/>
  <c r="W54" i="26"/>
  <c r="V17" i="26"/>
  <c r="W37" i="26"/>
  <c r="V10" i="26"/>
  <c r="W10" i="26"/>
  <c r="D16" i="6"/>
  <c r="E44" i="6"/>
  <c r="W9" i="26"/>
  <c r="W47" i="26"/>
  <c r="K3" i="26"/>
  <c r="W8" i="26"/>
  <c r="V9" i="26"/>
  <c r="W12" i="26"/>
  <c r="V13" i="26"/>
  <c r="V21" i="26"/>
  <c r="V11" i="26"/>
  <c r="W13" i="26"/>
  <c r="V15" i="26"/>
  <c r="W15" i="26"/>
  <c r="D22" i="6"/>
  <c r="E63" i="6"/>
  <c r="E22" i="6" s="1"/>
  <c r="O38" i="22" s="1"/>
  <c r="K38" i="22" s="1"/>
  <c r="K10" i="24"/>
  <c r="K47" i="24"/>
  <c r="K104" i="24" s="1"/>
  <c r="K9" i="25"/>
  <c r="K66" i="25" s="1"/>
  <c r="K8" i="25"/>
  <c r="K65" i="25" s="1"/>
  <c r="K47" i="22"/>
  <c r="K104" i="22" s="1"/>
  <c r="K9" i="23"/>
  <c r="K66" i="23" s="1"/>
  <c r="K8" i="23"/>
  <c r="K65" i="23" s="1"/>
  <c r="K14" i="3"/>
  <c r="K71" i="3" s="1"/>
  <c r="K12" i="3"/>
  <c r="K69" i="3" s="1"/>
  <c r="K15" i="3"/>
  <c r="K72" i="3" s="1"/>
  <c r="K17" i="3"/>
  <c r="K74" i="3" s="1"/>
  <c r="K11" i="3"/>
  <c r="K68" i="3" s="1"/>
  <c r="K13" i="3"/>
  <c r="K70" i="3" s="1"/>
  <c r="K16" i="3"/>
  <c r="K73" i="3" s="1"/>
  <c r="K37" i="24"/>
  <c r="K94" i="24" s="1"/>
  <c r="K15" i="24"/>
  <c r="K72" i="24" s="1"/>
  <c r="K12" i="24"/>
  <c r="K69" i="24" s="1"/>
  <c r="K14" i="24"/>
  <c r="K71" i="24" s="1"/>
  <c r="K11" i="24"/>
  <c r="K68" i="24" s="1"/>
  <c r="K17" i="24"/>
  <c r="K74" i="24" s="1"/>
  <c r="K31" i="24"/>
  <c r="K88" i="24" s="1"/>
  <c r="K16" i="24"/>
  <c r="K73" i="24" s="1"/>
  <c r="K13" i="24"/>
  <c r="K70" i="24" s="1"/>
  <c r="K21" i="24"/>
  <c r="K78" i="24" s="1"/>
  <c r="K27" i="24"/>
  <c r="K38" i="24"/>
  <c r="K27" i="23"/>
  <c r="K21" i="23"/>
  <c r="K78" i="23" s="1"/>
  <c r="K15" i="23"/>
  <c r="K72" i="23" s="1"/>
  <c r="K11" i="23"/>
  <c r="K68" i="23" s="1"/>
  <c r="K14" i="23"/>
  <c r="K71" i="23" s="1"/>
  <c r="K12" i="23"/>
  <c r="K69" i="23" s="1"/>
  <c r="K17" i="23"/>
  <c r="K74" i="23" s="1"/>
  <c r="K13" i="23"/>
  <c r="K70" i="23" s="1"/>
  <c r="K16" i="23"/>
  <c r="K73" i="23" s="1"/>
  <c r="K31" i="23"/>
  <c r="K88" i="23" s="1"/>
  <c r="K37" i="23"/>
  <c r="K94" i="23" s="1"/>
  <c r="K38" i="23"/>
  <c r="K10" i="23"/>
  <c r="K47" i="23"/>
  <c r="K104" i="23" s="1"/>
  <c r="K9" i="24"/>
  <c r="K66" i="24" s="1"/>
  <c r="K8" i="24"/>
  <c r="K65" i="24" s="1"/>
  <c r="K8" i="26"/>
  <c r="K65" i="26" s="1"/>
  <c r="K9" i="26"/>
  <c r="K66" i="26" s="1"/>
  <c r="K11" i="22"/>
  <c r="K68" i="22" s="1"/>
  <c r="K16" i="22"/>
  <c r="K73" i="22" s="1"/>
  <c r="K12" i="22"/>
  <c r="K69" i="22" s="1"/>
  <c r="K15" i="22"/>
  <c r="K72" i="22" s="1"/>
  <c r="K13" i="22"/>
  <c r="K70" i="22" s="1"/>
  <c r="K14" i="22"/>
  <c r="K71" i="22" s="1"/>
  <c r="K17" i="22"/>
  <c r="K74" i="22" s="1"/>
  <c r="K9" i="22"/>
  <c r="K66" i="22" s="1"/>
  <c r="K8" i="22"/>
  <c r="K65" i="22" s="1"/>
  <c r="K38" i="25"/>
  <c r="K15" i="25"/>
  <c r="K72" i="25" s="1"/>
  <c r="K12" i="25"/>
  <c r="K69" i="25" s="1"/>
  <c r="K11" i="25"/>
  <c r="K68" i="25" s="1"/>
  <c r="K16" i="25"/>
  <c r="K73" i="25" s="1"/>
  <c r="K17" i="25"/>
  <c r="K74" i="25" s="1"/>
  <c r="K13" i="25"/>
  <c r="K70" i="25" s="1"/>
  <c r="K14" i="25"/>
  <c r="K71" i="25" s="1"/>
  <c r="K21" i="25"/>
  <c r="K78" i="25" s="1"/>
  <c r="K31" i="25"/>
  <c r="K88" i="25" s="1"/>
  <c r="K37" i="25"/>
  <c r="K94" i="25" s="1"/>
  <c r="K27" i="25"/>
  <c r="K10" i="25"/>
  <c r="K47" i="25"/>
  <c r="K104" i="25" s="1"/>
  <c r="G67" i="3"/>
  <c r="V8" i="3"/>
  <c r="W9" i="3"/>
  <c r="V9" i="3"/>
  <c r="G2" i="5"/>
  <c r="W8" i="3"/>
  <c r="W11" i="3"/>
  <c r="V11" i="3"/>
  <c r="W15" i="3"/>
  <c r="V15" i="3"/>
  <c r="W12" i="3"/>
  <c r="V12" i="3"/>
  <c r="W16" i="3"/>
  <c r="V16" i="3"/>
  <c r="V10" i="3"/>
  <c r="W10" i="3"/>
  <c r="W13" i="3"/>
  <c r="V13" i="3"/>
  <c r="W17" i="3"/>
  <c r="V17" i="3"/>
  <c r="W14" i="3"/>
  <c r="V14" i="3"/>
  <c r="E52" i="6" l="1"/>
  <c r="E20" i="6" s="1"/>
  <c r="D20" i="6"/>
  <c r="K39" i="22"/>
  <c r="K96" i="22" s="1"/>
  <c r="K95" i="22"/>
  <c r="K89" i="26"/>
  <c r="K35" i="26"/>
  <c r="K92" i="26" s="1"/>
  <c r="K36" i="26"/>
  <c r="K93" i="26" s="1"/>
  <c r="K33" i="26"/>
  <c r="K90" i="26" s="1"/>
  <c r="K34" i="26"/>
  <c r="K91" i="26" s="1"/>
  <c r="D15" i="6"/>
  <c r="O20" i="3" s="1"/>
  <c r="K20" i="3" s="1"/>
  <c r="K77" i="3" s="1"/>
  <c r="E58" i="6"/>
  <c r="E15" i="6" s="1"/>
  <c r="O20" i="22" s="1"/>
  <c r="K20" i="22" s="1"/>
  <c r="K77" i="22" s="1"/>
  <c r="D46" i="6"/>
  <c r="E46" i="6" s="1"/>
  <c r="E19" i="6" s="1"/>
  <c r="E45" i="6"/>
  <c r="E17" i="6" s="1"/>
  <c r="O54" i="22" s="1"/>
  <c r="K54" i="22" s="1"/>
  <c r="K55" i="22" s="1"/>
  <c r="D17" i="6"/>
  <c r="D21" i="6"/>
  <c r="E53" i="6"/>
  <c r="E21" i="6" s="1"/>
  <c r="O37" i="22" s="1"/>
  <c r="K37" i="22" s="1"/>
  <c r="K94" i="22" s="1"/>
  <c r="K67" i="23"/>
  <c r="K48" i="23"/>
  <c r="K50" i="23" s="1"/>
  <c r="K107" i="23" s="1"/>
  <c r="K67" i="25"/>
  <c r="K48" i="25"/>
  <c r="K50" i="25" s="1"/>
  <c r="K107" i="25" s="1"/>
  <c r="K67" i="24"/>
  <c r="K48" i="24"/>
  <c r="K50" i="24" s="1"/>
  <c r="K107" i="24" s="1"/>
  <c r="K54" i="26"/>
  <c r="K23" i="26"/>
  <c r="K22" i="26" s="1"/>
  <c r="K79" i="26" s="1"/>
  <c r="K25" i="25"/>
  <c r="K82" i="25" s="1"/>
  <c r="K24" i="25"/>
  <c r="K81" i="25" s="1"/>
  <c r="K26" i="25"/>
  <c r="K83" i="25" s="1"/>
  <c r="K25" i="24"/>
  <c r="K82" i="24" s="1"/>
  <c r="K26" i="24"/>
  <c r="K83" i="24" s="1"/>
  <c r="K24" i="24"/>
  <c r="K81" i="24" s="1"/>
  <c r="K25" i="23"/>
  <c r="K82" i="23" s="1"/>
  <c r="K24" i="23"/>
  <c r="K81" i="23" s="1"/>
  <c r="K26" i="23"/>
  <c r="K83" i="23" s="1"/>
  <c r="K47" i="26"/>
  <c r="K46" i="26"/>
  <c r="K103" i="26" s="1"/>
  <c r="K95" i="25"/>
  <c r="K40" i="25"/>
  <c r="K97" i="25" s="1"/>
  <c r="K41" i="25"/>
  <c r="K98" i="25" s="1"/>
  <c r="K39" i="25"/>
  <c r="K96" i="25" s="1"/>
  <c r="K95" i="24"/>
  <c r="K39" i="24"/>
  <c r="K96" i="24" s="1"/>
  <c r="K41" i="24"/>
  <c r="K98" i="24" s="1"/>
  <c r="K40" i="24"/>
  <c r="K97" i="24" s="1"/>
  <c r="K95" i="23"/>
  <c r="K40" i="23"/>
  <c r="K97" i="23" s="1"/>
  <c r="K39" i="23"/>
  <c r="K96" i="23" s="1"/>
  <c r="K41" i="23"/>
  <c r="K98" i="23" s="1"/>
  <c r="O38" i="3"/>
  <c r="K38" i="3" s="1"/>
  <c r="O21" i="3"/>
  <c r="K21" i="3" s="1"/>
  <c r="K78" i="3" s="1"/>
  <c r="O54" i="3"/>
  <c r="K54" i="3" s="1"/>
  <c r="K55" i="3" s="1"/>
  <c r="K84" i="25"/>
  <c r="K30" i="25"/>
  <c r="K87" i="25" s="1"/>
  <c r="K29" i="25"/>
  <c r="K86" i="25" s="1"/>
  <c r="K28" i="25"/>
  <c r="K85" i="25" s="1"/>
  <c r="K111" i="25"/>
  <c r="K55" i="25"/>
  <c r="K112" i="25" s="1"/>
  <c r="K80" i="25"/>
  <c r="K57" i="25"/>
  <c r="K114" i="25" s="1"/>
  <c r="K56" i="25"/>
  <c r="K113" i="25" s="1"/>
  <c r="K84" i="24"/>
  <c r="K30" i="24"/>
  <c r="K87" i="24" s="1"/>
  <c r="K29" i="24"/>
  <c r="K86" i="24" s="1"/>
  <c r="K28" i="24"/>
  <c r="K85" i="24" s="1"/>
  <c r="K111" i="24"/>
  <c r="K80" i="24"/>
  <c r="K57" i="24"/>
  <c r="K114" i="24" s="1"/>
  <c r="K56" i="24"/>
  <c r="K113" i="24" s="1"/>
  <c r="K55" i="24"/>
  <c r="K112" i="24" s="1"/>
  <c r="K84" i="23"/>
  <c r="K30" i="23"/>
  <c r="K87" i="23" s="1"/>
  <c r="K29" i="23"/>
  <c r="K86" i="23" s="1"/>
  <c r="K28" i="23"/>
  <c r="K85" i="23" s="1"/>
  <c r="K111" i="23"/>
  <c r="K55" i="23"/>
  <c r="K112" i="23" s="1"/>
  <c r="K80" i="23"/>
  <c r="K57" i="23"/>
  <c r="K114" i="23" s="1"/>
  <c r="K56" i="23"/>
  <c r="K113" i="23" s="1"/>
  <c r="O27" i="22"/>
  <c r="K27" i="22" s="1"/>
  <c r="K27" i="26"/>
  <c r="K20" i="26"/>
  <c r="K77" i="26" s="1"/>
  <c r="D18" i="6"/>
  <c r="E16" i="6"/>
  <c r="K21" i="26"/>
  <c r="K78" i="26" s="1"/>
  <c r="K37" i="26"/>
  <c r="K94" i="26" s="1"/>
  <c r="K16" i="26"/>
  <c r="K73" i="26" s="1"/>
  <c r="K31" i="26"/>
  <c r="K88" i="26" s="1"/>
  <c r="K17" i="26"/>
  <c r="K74" i="26" s="1"/>
  <c r="K11" i="26"/>
  <c r="K68" i="26" s="1"/>
  <c r="K10" i="26"/>
  <c r="K14" i="26"/>
  <c r="K71" i="26" s="1"/>
  <c r="K13" i="26"/>
  <c r="K70" i="26" s="1"/>
  <c r="K12" i="26"/>
  <c r="K69" i="26" s="1"/>
  <c r="K38" i="26"/>
  <c r="K15" i="26"/>
  <c r="K72" i="26" s="1"/>
  <c r="O37" i="3" l="1"/>
  <c r="K37" i="3" s="1"/>
  <c r="K94" i="3" s="1"/>
  <c r="O31" i="22"/>
  <c r="K31" i="22" s="1"/>
  <c r="K88" i="22" s="1"/>
  <c r="O32" i="22"/>
  <c r="K32" i="22" s="1"/>
  <c r="K35" i="22" s="1"/>
  <c r="K92" i="22" s="1"/>
  <c r="D19" i="6"/>
  <c r="O23" i="3"/>
  <c r="K23" i="3" s="1"/>
  <c r="K22" i="3" s="1"/>
  <c r="O23" i="22"/>
  <c r="K23" i="22" s="1"/>
  <c r="K22" i="22" s="1"/>
  <c r="K79" i="22" s="1"/>
  <c r="K49" i="25"/>
  <c r="K106" i="25" s="1"/>
  <c r="K105" i="25"/>
  <c r="K67" i="26"/>
  <c r="K48" i="26"/>
  <c r="K50" i="26" s="1"/>
  <c r="K107" i="26" s="1"/>
  <c r="K49" i="24"/>
  <c r="K106" i="24" s="1"/>
  <c r="K105" i="24"/>
  <c r="K49" i="23"/>
  <c r="K106" i="23" s="1"/>
  <c r="K105" i="23"/>
  <c r="K26" i="26"/>
  <c r="K83" i="26" s="1"/>
  <c r="K25" i="26"/>
  <c r="K82" i="26" s="1"/>
  <c r="K24" i="26"/>
  <c r="K81" i="26" s="1"/>
  <c r="K104" i="26"/>
  <c r="K95" i="26"/>
  <c r="K39" i="26"/>
  <c r="K96" i="26" s="1"/>
  <c r="K41" i="26"/>
  <c r="K98" i="26" s="1"/>
  <c r="K40" i="26"/>
  <c r="K97" i="26" s="1"/>
  <c r="K95" i="3"/>
  <c r="K41" i="3"/>
  <c r="K98" i="3" s="1"/>
  <c r="K40" i="3"/>
  <c r="K97" i="3" s="1"/>
  <c r="K39" i="3"/>
  <c r="K96" i="3" s="1"/>
  <c r="K57" i="22"/>
  <c r="K114" i="22" s="1"/>
  <c r="K111" i="22"/>
  <c r="K56" i="22"/>
  <c r="K113" i="22" s="1"/>
  <c r="K112" i="22"/>
  <c r="K111" i="3"/>
  <c r="K57" i="3"/>
  <c r="K114" i="3" s="1"/>
  <c r="K112" i="3"/>
  <c r="K56" i="3"/>
  <c r="K113" i="3" s="1"/>
  <c r="O27" i="3"/>
  <c r="K27" i="3" s="1"/>
  <c r="O21" i="22"/>
  <c r="K21" i="22" s="1"/>
  <c r="K78" i="22" s="1"/>
  <c r="K84" i="26"/>
  <c r="K30" i="26"/>
  <c r="K87" i="26" s="1"/>
  <c r="K29" i="26"/>
  <c r="K86" i="26" s="1"/>
  <c r="K28" i="26"/>
  <c r="K85" i="26" s="1"/>
  <c r="K111" i="26"/>
  <c r="K80" i="26"/>
  <c r="K57" i="26"/>
  <c r="K114" i="26" s="1"/>
  <c r="K56" i="26"/>
  <c r="K113" i="26" s="1"/>
  <c r="K55" i="26"/>
  <c r="K112" i="26" s="1"/>
  <c r="K84" i="22"/>
  <c r="K28" i="22"/>
  <c r="K30" i="22"/>
  <c r="K29" i="22"/>
  <c r="O31" i="3" l="1"/>
  <c r="K31" i="3" s="1"/>
  <c r="K88" i="3" s="1"/>
  <c r="O32" i="3"/>
  <c r="K32" i="3" s="1"/>
  <c r="K35" i="3" s="1"/>
  <c r="K92" i="3" s="1"/>
  <c r="K33" i="22"/>
  <c r="K34" i="22"/>
  <c r="K91" i="22" s="1"/>
  <c r="K36" i="22"/>
  <c r="K93" i="22" s="1"/>
  <c r="K89" i="22"/>
  <c r="K80" i="22"/>
  <c r="K80" i="3"/>
  <c r="K79" i="3"/>
  <c r="K26" i="22"/>
  <c r="K83" i="22" s="1"/>
  <c r="K25" i="22"/>
  <c r="K82" i="22" s="1"/>
  <c r="K24" i="22"/>
  <c r="K81" i="22" s="1"/>
  <c r="K24" i="3"/>
  <c r="K81" i="3" s="1"/>
  <c r="K26" i="3"/>
  <c r="K83" i="3" s="1"/>
  <c r="K25" i="3"/>
  <c r="K82" i="3" s="1"/>
  <c r="K49" i="26"/>
  <c r="K106" i="26" s="1"/>
  <c r="K105" i="26"/>
  <c r="K84" i="3"/>
  <c r="K29" i="3"/>
  <c r="K86" i="3" s="1"/>
  <c r="K28" i="3"/>
  <c r="K85" i="3" s="1"/>
  <c r="K30" i="3"/>
  <c r="K87" i="3" s="1"/>
  <c r="K85" i="22"/>
  <c r="K86" i="22"/>
  <c r="K87" i="22"/>
  <c r="K41" i="22" l="1"/>
  <c r="K98" i="22" s="1"/>
  <c r="K90" i="22"/>
  <c r="K89" i="3"/>
  <c r="K33" i="3"/>
  <c r="K90" i="3" s="1"/>
  <c r="K36" i="3"/>
  <c r="K93" i="3" s="1"/>
  <c r="K34" i="3"/>
  <c r="K91" i="3" s="1"/>
  <c r="K40" i="22" l="1"/>
  <c r="K97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  <comment ref="W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?????</t>
        </r>
      </text>
    </comment>
  </commentList>
</comments>
</file>

<file path=xl/sharedStrings.xml><?xml version="1.0" encoding="utf-8"?>
<sst xmlns="http://schemas.openxmlformats.org/spreadsheetml/2006/main" count="2941" uniqueCount="294">
  <si>
    <t>~TFM_INS</t>
  </si>
  <si>
    <t>TimeSlice</t>
  </si>
  <si>
    <t>LimType</t>
  </si>
  <si>
    <t>Attribute</t>
  </si>
  <si>
    <t>Year</t>
  </si>
  <si>
    <t>AllRegions</t>
  </si>
  <si>
    <t>Cset_CN</t>
  </si>
  <si>
    <t>COST</t>
  </si>
  <si>
    <t>Import of BIOGAS-Agriculture crops (EU)</t>
  </si>
  <si>
    <t>IMPCOAHARY</t>
  </si>
  <si>
    <t>Import of COAHAR from ROW</t>
  </si>
  <si>
    <t>IMPCOAPEAY</t>
  </si>
  <si>
    <t>Import of COAPEA from ROW</t>
  </si>
  <si>
    <t>Import of ELYH2G from ROW</t>
  </si>
  <si>
    <t>IMPGASNATY</t>
  </si>
  <si>
    <t>Import of GASNAT from ROW</t>
  </si>
  <si>
    <t>IMPNUCRSVY</t>
  </si>
  <si>
    <t>Import of NUCRSV from ROW</t>
  </si>
  <si>
    <t>IMPOILCRDY</t>
  </si>
  <si>
    <t>Import of OILCRD from ROW</t>
  </si>
  <si>
    <t>IMPOILDSTY</t>
  </si>
  <si>
    <t>Import of OILDST from ROW</t>
  </si>
  <si>
    <t>IMPOILGSLY</t>
  </si>
  <si>
    <t>Import of OILGSL from ROW</t>
  </si>
  <si>
    <t>IMPOILHFOY</t>
  </si>
  <si>
    <t>Import of OILHFO from ROW</t>
  </si>
  <si>
    <t>IMPOILKERY</t>
  </si>
  <si>
    <t>Import of OILKER from ROW</t>
  </si>
  <si>
    <t>IMPOILLFOY</t>
  </si>
  <si>
    <t>Import of OILLFO from ROW</t>
  </si>
  <si>
    <t>IMPOILLPGY</t>
  </si>
  <si>
    <t>Import of OILLPG from ROW</t>
  </si>
  <si>
    <t>Free Cooling</t>
  </si>
  <si>
    <t>Human power</t>
  </si>
  <si>
    <t>Extraction of Ambient heat</t>
  </si>
  <si>
    <t>Extraction of Geothermal heat</t>
  </si>
  <si>
    <t>Extraction of Hydro power</t>
  </si>
  <si>
    <t>Extraction of Solar</t>
  </si>
  <si>
    <t>Extraction of Tide power</t>
  </si>
  <si>
    <t>Extraction of Wave power</t>
  </si>
  <si>
    <t>Extraction of Wind</t>
  </si>
  <si>
    <t>Pset_PN</t>
  </si>
  <si>
    <t>Pset_CO</t>
  </si>
  <si>
    <t>Process description</t>
  </si>
  <si>
    <t>2015, 2050, 2100</t>
  </si>
  <si>
    <t>Coal</t>
  </si>
  <si>
    <t>Oil</t>
  </si>
  <si>
    <t>Gas</t>
  </si>
  <si>
    <t>GJ</t>
  </si>
  <si>
    <t>1 M BTU =</t>
  </si>
  <si>
    <t>EUR/GJ</t>
  </si>
  <si>
    <r>
      <rPr>
        <b/>
        <sz val="11"/>
        <color rgb="FFFF0000"/>
        <rFont val="Calibri"/>
        <family val="2"/>
        <scheme val="minor"/>
      </rPr>
      <t>€2015</t>
    </r>
  </si>
  <si>
    <t>€/barrel</t>
  </si>
  <si>
    <t>€/MBTU</t>
  </si>
  <si>
    <t>€/tonne</t>
  </si>
  <si>
    <t>New Policy Scenario</t>
  </si>
  <si>
    <t>WEO</t>
  </si>
  <si>
    <t>ETP</t>
  </si>
  <si>
    <t>RTS</t>
  </si>
  <si>
    <t>2DS</t>
  </si>
  <si>
    <t>B2DS</t>
  </si>
  <si>
    <t>450 PPM</t>
  </si>
  <si>
    <t>-</t>
  </si>
  <si>
    <t>Current Policy Scenario</t>
  </si>
  <si>
    <t>WEO for all</t>
  </si>
  <si>
    <t>USD - US dollar</t>
  </si>
  <si>
    <t>Euro/ECU exchange rates - annual data [ert_bil_eur_a]</t>
  </si>
  <si>
    <t>Last update</t>
  </si>
  <si>
    <t>Extracted on</t>
  </si>
  <si>
    <t>Source of data</t>
  </si>
  <si>
    <t>Eurostat</t>
  </si>
  <si>
    <t>STATINFO</t>
  </si>
  <si>
    <t>Average</t>
  </si>
  <si>
    <t>UNIT</t>
  </si>
  <si>
    <t>National currency</t>
  </si>
  <si>
    <t>CURRENCY/TIME</t>
  </si>
  <si>
    <t>EURO2015</t>
  </si>
  <si>
    <t>1 boe =</t>
  </si>
  <si>
    <r>
      <t>(</t>
    </r>
    <r>
      <rPr>
        <b/>
        <sz val="11"/>
        <color rgb="FFFF0000"/>
        <rFont val="Calibri"/>
        <family val="2"/>
        <scheme val="minor"/>
      </rPr>
      <t>€2015</t>
    </r>
    <r>
      <rPr>
        <sz val="11"/>
        <color rgb="FFFF0000"/>
        <rFont val="Calibri"/>
        <family val="2"/>
        <scheme val="minor"/>
      </rPr>
      <t>/GJ)</t>
    </r>
  </si>
  <si>
    <t>1 USD2015=</t>
  </si>
  <si>
    <t>USD</t>
  </si>
  <si>
    <t>USD/Euro</t>
  </si>
  <si>
    <t>1 tonne coal eqvivalent (tce)=</t>
  </si>
  <si>
    <t>USE</t>
  </si>
  <si>
    <t>Scenario</t>
  </si>
  <si>
    <t>Source</t>
  </si>
  <si>
    <t>450 PPM/2DS</t>
  </si>
  <si>
    <t>WEO (&amp;ETP)</t>
  </si>
  <si>
    <t>GASNAT</t>
  </si>
  <si>
    <t>OILCRD</t>
  </si>
  <si>
    <t>OILDST</t>
  </si>
  <si>
    <t>OILFDS</t>
  </si>
  <si>
    <t>OILGSL</t>
  </si>
  <si>
    <t>OILHFO</t>
  </si>
  <si>
    <t>OILKER</t>
  </si>
  <si>
    <t>OILLPG</t>
  </si>
  <si>
    <t>OILNAP</t>
  </si>
  <si>
    <t>OILNEU</t>
  </si>
  <si>
    <t>OILOTH</t>
  </si>
  <si>
    <t>OILLFO</t>
  </si>
  <si>
    <t>Fossil fuels</t>
  </si>
  <si>
    <t>Biofuel &amp; waste</t>
  </si>
  <si>
    <t>Other</t>
  </si>
  <si>
    <t>- ALPHABETIC ORDER -</t>
  </si>
  <si>
    <t>BIOGAS</t>
  </si>
  <si>
    <t>BIOWOO</t>
  </si>
  <si>
    <t/>
  </si>
  <si>
    <t>OIL</t>
  </si>
  <si>
    <t>Check</t>
  </si>
  <si>
    <t xml:space="preserve">Increase </t>
  </si>
  <si>
    <t>Biomass (recycled)</t>
  </si>
  <si>
    <t>Biomass (bi-products)</t>
  </si>
  <si>
    <t>Biomass (wood chips)</t>
  </si>
  <si>
    <t>Swedish Energy Agency</t>
  </si>
  <si>
    <t>Biomass (densified)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</si>
  <si>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World Energy Outlook, 2017 (Only to year 2040)</t>
    </r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</si>
  <si>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Energy Technology Perspective, 2016 (Higher coal prices during the first periods, used WEO instead)</t>
    </r>
  </si>
  <si>
    <t>Price in relation to Gasoline - TO BE UPDATED</t>
  </si>
  <si>
    <t>Price in relation to Diesel - TO BE UPDATED</t>
  </si>
  <si>
    <t>First attempt</t>
  </si>
  <si>
    <t>2nd attemt running with no taxes</t>
  </si>
  <si>
    <t>BFUDME</t>
  </si>
  <si>
    <t>BFUDST</t>
  </si>
  <si>
    <t>BFUETH</t>
  </si>
  <si>
    <t>BFUFTD</t>
  </si>
  <si>
    <t>BFUGAS</t>
  </si>
  <si>
    <t>BFUMTH</t>
  </si>
  <si>
    <t>Price in relation toBFUWOO - TO BE UPDATED</t>
  </si>
  <si>
    <t>BIOWOF</t>
  </si>
  <si>
    <t>BFUPLT</t>
  </si>
  <si>
    <t>IMPH2GY</t>
  </si>
  <si>
    <t>IMPBFUDMEY</t>
  </si>
  <si>
    <t>IMPBFUDSTY</t>
  </si>
  <si>
    <t>IMPBFUETHY</t>
  </si>
  <si>
    <t>IMPBFUFTDY</t>
  </si>
  <si>
    <t>IMPBFUMTHY</t>
  </si>
  <si>
    <t>IMPBFUSNGY</t>
  </si>
  <si>
    <t>BFUSNG</t>
  </si>
  <si>
    <t>IMPBIOWOOY</t>
  </si>
  <si>
    <t>IMPBIOWOFY</t>
  </si>
  <si>
    <t>IMPBFUPLTY</t>
  </si>
  <si>
    <t>Import of BIOFTD</t>
  </si>
  <si>
    <t>IMPORT of Bio pellet</t>
  </si>
  <si>
    <t>IMPBIOCRPY</t>
  </si>
  <si>
    <t>Import of BFUMTH</t>
  </si>
  <si>
    <t>Municipal solid waste</t>
  </si>
  <si>
    <t>Municipal food waste</t>
  </si>
  <si>
    <t>Comments</t>
  </si>
  <si>
    <t>* define Import and Export prices</t>
  </si>
  <si>
    <t>Prices (2015)</t>
  </si>
  <si>
    <t>Sheet</t>
  </si>
  <si>
    <t>Prices (20XX)</t>
  </si>
  <si>
    <t>Question</t>
  </si>
  <si>
    <t>Varför används inte alla? Vad är tanken???</t>
  </si>
  <si>
    <t>Vad är det för skillnade på kolumn K resp Q&amp;R? både kör lookup på 2015, men ändå olika värden….</t>
  </si>
  <si>
    <t>Till</t>
  </si>
  <si>
    <t>Från</t>
  </si>
  <si>
    <t>Jonas F ?</t>
  </si>
  <si>
    <t>Anna</t>
  </si>
  <si>
    <t>* define mining prices for commodities that are "free", but still need a value to not be used without purpose</t>
  </si>
  <si>
    <t>IMPORTS</t>
  </si>
  <si>
    <t>EXPORTS</t>
  </si>
  <si>
    <t>Export prices need to be &lt; Import prices</t>
  </si>
  <si>
    <t xml:space="preserve">- INDATA tables - </t>
  </si>
  <si>
    <t>Comment</t>
  </si>
  <si>
    <t>INDATA general (OLD)</t>
  </si>
  <si>
    <t>BIOGAS: VARFÖR är denna dyrare än BFUSNG?????   (Jag har ändrat i nya filen…)</t>
  </si>
  <si>
    <t>BFUSNG: Är satt lika med vikten för "BFUFTD", borde det inte istället vara i relation till BFUMTH, eller??</t>
  </si>
  <si>
    <t>All Values recalculated as relation to Crude oil (OILCRD)</t>
  </si>
  <si>
    <t>All Values recalculated as relation to it's related fuel</t>
  </si>
  <si>
    <t>Price in case related to Natural gas - TO BE UPDATED</t>
  </si>
  <si>
    <t>Fuel relation</t>
  </si>
  <si>
    <t>In relation to ….</t>
  </si>
  <si>
    <t>Biomass</t>
  </si>
  <si>
    <t>?</t>
  </si>
  <si>
    <t>Increase from INDATA price ref</t>
  </si>
  <si>
    <t>Connected to wich indata price</t>
  </si>
  <si>
    <t>To connect …</t>
  </si>
  <si>
    <t>Can be either Gas or Oil (gasoline price)</t>
  </si>
  <si>
    <t>IMPH2LY</t>
  </si>
  <si>
    <t>IMPORT of Bio crops</t>
  </si>
  <si>
    <t>IMPORT of Biomass Fire wood</t>
  </si>
  <si>
    <t>IMPORT of Biomass woody</t>
  </si>
  <si>
    <t>HUMPOW</t>
  </si>
  <si>
    <t>RENAHT</t>
  </si>
  <si>
    <t>RENGEO</t>
  </si>
  <si>
    <t>RENHYD</t>
  </si>
  <si>
    <t>RENSOL</t>
  </si>
  <si>
    <t>RENTID</t>
  </si>
  <si>
    <t>RENWAV</t>
  </si>
  <si>
    <t>RENWIN</t>
  </si>
  <si>
    <t>MIN*</t>
  </si>
  <si>
    <t>ANNUAL</t>
  </si>
  <si>
    <t>COOFREE</t>
  </si>
  <si>
    <t>IMPBIOMFWY</t>
  </si>
  <si>
    <t>IMPBIOMSWY</t>
  </si>
  <si>
    <t>IMPBIOGASY</t>
  </si>
  <si>
    <t>Related to</t>
  </si>
  <si>
    <t>Low</t>
  </si>
  <si>
    <t>High</t>
  </si>
  <si>
    <t>Data from: European Commission, Building up the future cost of biofuels, Subgroup on advanced biofuels, 2017</t>
  </si>
  <si>
    <t>Cost</t>
  </si>
  <si>
    <t>Weight</t>
  </si>
  <si>
    <t>FT liquids</t>
  </si>
  <si>
    <t>Product cost, E/GJ</t>
  </si>
  <si>
    <t>10-15</t>
  </si>
  <si>
    <t>Feedstock price, E/MWh</t>
  </si>
  <si>
    <t>25-29</t>
  </si>
  <si>
    <t>29-35</t>
  </si>
  <si>
    <t>Biomethane</t>
  </si>
  <si>
    <t>Biofuel</t>
  </si>
  <si>
    <t>Gasification + FT</t>
  </si>
  <si>
    <t>Route, feedstock</t>
  </si>
  <si>
    <t>From biomass</t>
  </si>
  <si>
    <t>E/GJ</t>
  </si>
  <si>
    <t>DME</t>
  </si>
  <si>
    <t>Methanol</t>
  </si>
  <si>
    <t>16-21</t>
  </si>
  <si>
    <t>20-25</t>
  </si>
  <si>
    <t>From waste</t>
  </si>
  <si>
    <t>Ethanol</t>
  </si>
  <si>
    <t>19-24</t>
  </si>
  <si>
    <t>SureCity acronym</t>
  </si>
  <si>
    <t>HVO liquids</t>
  </si>
  <si>
    <t>Oily by-products</t>
  </si>
  <si>
    <t>14-19</t>
  </si>
  <si>
    <t>19-25</t>
  </si>
  <si>
    <t>Fermentation</t>
  </si>
  <si>
    <t>Biogas</t>
  </si>
  <si>
    <t>Anaerobic digestion</t>
  </si>
  <si>
    <t>Aviation fuels</t>
  </si>
  <si>
    <t>BFUBJF</t>
  </si>
  <si>
    <t>Price in relation to Kerosene - TO BE UPDATED</t>
  </si>
  <si>
    <t>IMPBFUBJFY</t>
  </si>
  <si>
    <t>Import of Bio Jet Fuel</t>
  </si>
  <si>
    <t>EXPBFUBJFY</t>
  </si>
  <si>
    <t>Import of BFUBJF</t>
  </si>
  <si>
    <t>IMPBFUDST1</t>
  </si>
  <si>
    <t>IMPBFUDST2</t>
  </si>
  <si>
    <t>IMPBFUDST3</t>
  </si>
  <si>
    <t>IMPBFUDST4</t>
  </si>
  <si>
    <t>IMPBFUDST5</t>
  </si>
  <si>
    <t>IMPBFUDST6</t>
  </si>
  <si>
    <t>IMPBFUDST7</t>
  </si>
  <si>
    <t>IMPBFUETH1</t>
  </si>
  <si>
    <t>IMPBFUETH2</t>
  </si>
  <si>
    <t>IMPBFUETH3</t>
  </si>
  <si>
    <t>IMPH2G1</t>
  </si>
  <si>
    <t>Import of BFUDST</t>
  </si>
  <si>
    <t>- ALPHABETICAL ORDER -</t>
  </si>
  <si>
    <t>IMPBFUSNG1</t>
  </si>
  <si>
    <t>IMPBFUSNG2</t>
  </si>
  <si>
    <t>IMPBFUSNG3</t>
  </si>
  <si>
    <t>Previous</t>
  </si>
  <si>
    <t>HIGH</t>
  </si>
  <si>
    <t>IMPBIOGAS1</t>
  </si>
  <si>
    <t>Import of BIOGAS - Organic waste (EU)</t>
  </si>
  <si>
    <t>Import of BIOGAS - Agriculture crops (EU)</t>
  </si>
  <si>
    <t>Import of BFUDST - HVO (Palmoil)</t>
  </si>
  <si>
    <t>Import of BFUDST - HVO (sunflower/rapeseed)</t>
  </si>
  <si>
    <t>Import of BFUDST - HVO (Soya)</t>
  </si>
  <si>
    <t>Import of BFUDST - HVO (industrial waste oil)</t>
  </si>
  <si>
    <t>Import of BIOETH (Wheat straw, EU)</t>
  </si>
  <si>
    <t>Import of BIOETH (Sugare cane, Brazil)</t>
  </si>
  <si>
    <t>Import of BIOETH (Wheat, EU)</t>
  </si>
  <si>
    <t>Import of BIOETH (Waste wood)</t>
  </si>
  <si>
    <t>Import of BFUGAS (gasification, waste wood)</t>
  </si>
  <si>
    <t>Import of BFUGAS (digestion, industrial organic waste)</t>
  </si>
  <si>
    <t>Import of BFUGAS (digestion, manure/crops)</t>
  </si>
  <si>
    <t>Import of BFUGAS (digestion, MFW/SLU)</t>
  </si>
  <si>
    <t>Import of BFUDME</t>
  </si>
  <si>
    <t>GAS</t>
  </si>
  <si>
    <t>Import of GASH2G from ROW - Natural gas</t>
  </si>
  <si>
    <t>Import of GASH2G from ROW - Electrolysis (green ELC)</t>
  </si>
  <si>
    <t>Import of BFUFTD</t>
  </si>
  <si>
    <t>IMPH2G2</t>
  </si>
  <si>
    <t>Import of GASH2G from ROW - Biomass</t>
  </si>
  <si>
    <t>Multiply</t>
  </si>
  <si>
    <t>factor</t>
  </si>
  <si>
    <t>Value used</t>
  </si>
  <si>
    <t>Import of BFUDSTM - FAME (Sunflower/rapeseed)</t>
  </si>
  <si>
    <t>IMPBFUGSL1</t>
  </si>
  <si>
    <t>IMPBFUGSL2</t>
  </si>
  <si>
    <t>IMPBFUGSL3</t>
  </si>
  <si>
    <t>IMPBFUGSLY</t>
  </si>
  <si>
    <t>BFUGSL</t>
  </si>
  <si>
    <t>Import of BFUGSL - Tall oil</t>
  </si>
  <si>
    <t>Import of BFUGSL - Waste oils</t>
  </si>
  <si>
    <t>Import of BFUGSL - Waste wood (gasification)</t>
  </si>
  <si>
    <t>Bio-gasoline</t>
  </si>
  <si>
    <t>Own assumption; equal to biomethanol</t>
  </si>
  <si>
    <t>Import of BFUGSL - Palmoil / PFAD</t>
  </si>
  <si>
    <t>IMPBFUGSL4</t>
  </si>
  <si>
    <t>Import of BFUGSL - BL/lignin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</si>
</sst>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.mm\.yy"/>
    <numFmt numFmtId="166" formatCode="0.000"/>
    <numFmt numFmtId="167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63">
    <xf numFmtId="0" fontId="0" fillId="0" borderId="0" xfId="0"/>
    <xf numFmtId="0" fontId="3" fillId="0" borderId="4" xfId="0" applyFont="1" applyBorder="1"/>
    <xf numFmtId="0" fontId="0" fillId="0" borderId="4" xfId="0" applyBorder="1"/>
    <xf numFmtId="2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7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6" borderId="4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quotePrefix="1" applyBorder="1"/>
    <xf numFmtId="2" fontId="0" fillId="0" borderId="4" xfId="0" applyNumberFormat="1" applyBorder="1"/>
    <xf numFmtId="164" fontId="0" fillId="5" borderId="4" xfId="0" applyNumberFormat="1" applyFill="1" applyBorder="1"/>
    <xf numFmtId="164" fontId="0" fillId="0" borderId="4" xfId="0" applyNumberFormat="1" applyBorder="1"/>
    <xf numFmtId="0" fontId="0" fillId="0" borderId="0" xfId="0" quotePrefix="1"/>
    <xf numFmtId="0" fontId="0" fillId="0" borderId="0" xfId="0" quotePrefix="1" applyAlignment="1">
      <alignment vertical="center"/>
    </xf>
    <xf numFmtId="0" fontId="0" fillId="7" borderId="5" xfId="0" applyFill="1" applyBorder="1"/>
    <xf numFmtId="0" fontId="0" fillId="7" borderId="7" xfId="0" applyFill="1" applyBorder="1"/>
    <xf numFmtId="0" fontId="0" fillId="6" borderId="7" xfId="0" applyFill="1" applyBorder="1"/>
    <xf numFmtId="0" fontId="0" fillId="0" borderId="7" xfId="0" applyBorder="1"/>
    <xf numFmtId="0" fontId="0" fillId="0" borderId="9" xfId="0" applyBorder="1"/>
    <xf numFmtId="0" fontId="0" fillId="6" borderId="5" xfId="0" applyFill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10" xfId="0" applyNumberFormat="1" applyBorder="1"/>
    <xf numFmtId="0" fontId="7" fillId="0" borderId="0" xfId="0" applyFont="1"/>
    <xf numFmtId="165" fontId="7" fillId="0" borderId="0" xfId="0" applyNumberFormat="1" applyFont="1"/>
    <xf numFmtId="2" fontId="3" fillId="0" borderId="0" xfId="0" applyNumberFormat="1" applyFont="1"/>
    <xf numFmtId="0" fontId="0" fillId="6" borderId="14" xfId="0" applyFill="1" applyBorder="1"/>
    <xf numFmtId="0" fontId="8" fillId="0" borderId="0" xfId="0" applyFont="1"/>
    <xf numFmtId="0" fontId="0" fillId="0" borderId="4" xfId="0" applyBorder="1" applyAlignment="1">
      <alignment horizontal="center"/>
    </xf>
    <xf numFmtId="0" fontId="7" fillId="0" borderId="4" xfId="0" applyFont="1" applyBorder="1"/>
    <xf numFmtId="0" fontId="3" fillId="8" borderId="0" xfId="0" applyFont="1" applyFill="1"/>
    <xf numFmtId="0" fontId="4" fillId="0" borderId="1" xfId="0" applyFont="1" applyBorder="1"/>
    <xf numFmtId="0" fontId="4" fillId="0" borderId="0" xfId="0" applyFont="1"/>
    <xf numFmtId="0" fontId="0" fillId="7" borderId="14" xfId="0" applyFill="1" applyBorder="1"/>
    <xf numFmtId="0" fontId="0" fillId="0" borderId="3" xfId="0" applyBorder="1"/>
    <xf numFmtId="0" fontId="0" fillId="9" borderId="7" xfId="0" applyFill="1" applyBorder="1"/>
    <xf numFmtId="0" fontId="0" fillId="9" borderId="5" xfId="0" applyFill="1" applyBorder="1"/>
    <xf numFmtId="0" fontId="0" fillId="9" borderId="14" xfId="0" applyFill="1" applyBorder="1"/>
    <xf numFmtId="0" fontId="0" fillId="4" borderId="5" xfId="0" applyFill="1" applyBorder="1"/>
    <xf numFmtId="0" fontId="0" fillId="4" borderId="14" xfId="0" applyFill="1" applyBorder="1"/>
    <xf numFmtId="2" fontId="0" fillId="8" borderId="13" xfId="0" applyNumberFormat="1" applyFill="1" applyBorder="1"/>
    <xf numFmtId="0" fontId="0" fillId="10" borderId="0" xfId="0" applyFill="1"/>
    <xf numFmtId="0" fontId="7" fillId="2" borderId="1" xfId="1" applyFont="1" applyFill="1" applyBorder="1" applyAlignment="1">
      <alignment vertical="center" wrapText="1"/>
    </xf>
    <xf numFmtId="0" fontId="3" fillId="10" borderId="0" xfId="0" applyFont="1" applyFill="1"/>
    <xf numFmtId="2" fontId="0" fillId="10" borderId="0" xfId="0" applyNumberFormat="1" applyFill="1"/>
    <xf numFmtId="2" fontId="3" fillId="10" borderId="0" xfId="0" applyNumberFormat="1" applyFont="1" applyFill="1"/>
    <xf numFmtId="0" fontId="8" fillId="0" borderId="4" xfId="0" applyFont="1" applyBorder="1"/>
    <xf numFmtId="2" fontId="8" fillId="0" borderId="4" xfId="0" applyNumberFormat="1" applyFont="1" applyBorder="1"/>
    <xf numFmtId="164" fontId="8" fillId="5" borderId="4" xfId="0" applyNumberFormat="1" applyFont="1" applyFill="1" applyBorder="1"/>
    <xf numFmtId="164" fontId="8" fillId="0" borderId="4" xfId="0" applyNumberFormat="1" applyFont="1" applyBorder="1"/>
    <xf numFmtId="0" fontId="8" fillId="0" borderId="4" xfId="0" quotePrefix="1" applyFont="1" applyBorder="1"/>
    <xf numFmtId="0" fontId="8" fillId="0" borderId="0" xfId="0" quotePrefix="1" applyFont="1"/>
    <xf numFmtId="0" fontId="12" fillId="0" borderId="0" xfId="0" applyFont="1"/>
    <xf numFmtId="0" fontId="12" fillId="7" borderId="6" xfId="0" applyFont="1" applyFill="1" applyBorder="1"/>
    <xf numFmtId="2" fontId="12" fillId="0" borderId="8" xfId="0" applyNumberFormat="1" applyFont="1" applyBorder="1"/>
    <xf numFmtId="2" fontId="12" fillId="0" borderId="12" xfId="0" applyNumberFormat="1" applyFont="1" applyBorder="1"/>
    <xf numFmtId="2" fontId="12" fillId="0" borderId="10" xfId="0" applyNumberFormat="1" applyFont="1" applyBorder="1"/>
    <xf numFmtId="2" fontId="12" fillId="0" borderId="13" xfId="0" applyNumberFormat="1" applyFont="1" applyBorder="1"/>
    <xf numFmtId="0" fontId="12" fillId="9" borderId="6" xfId="0" applyFont="1" applyFill="1" applyBorder="1"/>
    <xf numFmtId="0" fontId="12" fillId="4" borderId="14" xfId="0" applyFont="1" applyFill="1" applyBorder="1"/>
    <xf numFmtId="0" fontId="12" fillId="4" borderId="11" xfId="0" applyFont="1" applyFill="1" applyBorder="1"/>
    <xf numFmtId="0" fontId="12" fillId="4" borderId="6" xfId="0" applyFont="1" applyFill="1" applyBorder="1"/>
    <xf numFmtId="2" fontId="12" fillId="0" borderId="0" xfId="0" applyNumberFormat="1" applyFont="1"/>
    <xf numFmtId="2" fontId="12" fillId="8" borderId="3" xfId="0" applyNumberFormat="1" applyFont="1" applyFill="1" applyBorder="1"/>
    <xf numFmtId="2" fontId="12" fillId="8" borderId="13" xfId="0" applyNumberFormat="1" applyFont="1" applyFill="1" applyBorder="1"/>
    <xf numFmtId="0" fontId="12" fillId="0" borderId="8" xfId="0" applyFont="1" applyBorder="1"/>
    <xf numFmtId="0" fontId="12" fillId="6" borderId="6" xfId="0" applyFont="1" applyFill="1" applyBorder="1"/>
    <xf numFmtId="0" fontId="4" fillId="12" borderId="0" xfId="0" applyFont="1" applyFill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0" fillId="12" borderId="15" xfId="0" applyFill="1" applyBorder="1"/>
    <xf numFmtId="0" fontId="0" fillId="12" borderId="0" xfId="0" applyFill="1"/>
    <xf numFmtId="0" fontId="0" fillId="11" borderId="0" xfId="0" applyFill="1"/>
    <xf numFmtId="2" fontId="0" fillId="11" borderId="0" xfId="0" applyNumberFormat="1" applyFill="1" applyAlignment="1">
      <alignment horizontal="right"/>
    </xf>
    <xf numFmtId="0" fontId="4" fillId="12" borderId="0" xfId="0" applyFont="1" applyFill="1" applyAlignment="1">
      <alignment horizontal="left" vertical="top"/>
    </xf>
    <xf numFmtId="0" fontId="4" fillId="12" borderId="15" xfId="0" applyFont="1" applyFill="1" applyBorder="1" applyAlignment="1">
      <alignment horizontal="left" vertical="top"/>
    </xf>
    <xf numFmtId="2" fontId="0" fillId="7" borderId="6" xfId="0" applyNumberFormat="1" applyFill="1" applyBorder="1"/>
    <xf numFmtId="2" fontId="0" fillId="9" borderId="6" xfId="0" applyNumberFormat="1" applyFill="1" applyBorder="1"/>
    <xf numFmtId="2" fontId="0" fillId="4" borderId="11" xfId="0" applyNumberFormat="1" applyFill="1" applyBorder="1"/>
    <xf numFmtId="2" fontId="0" fillId="4" borderId="6" xfId="0" applyNumberFormat="1" applyFill="1" applyBorder="1"/>
    <xf numFmtId="2" fontId="0" fillId="6" borderId="6" xfId="0" applyNumberFormat="1" applyFill="1" applyBorder="1"/>
    <xf numFmtId="0" fontId="11" fillId="0" borderId="0" xfId="0" applyFont="1" applyAlignment="1">
      <alignment vertical="top"/>
    </xf>
    <xf numFmtId="2" fontId="0" fillId="7" borderId="8" xfId="0" applyNumberFormat="1" applyFill="1" applyBorder="1"/>
    <xf numFmtId="2" fontId="0" fillId="9" borderId="8" xfId="0" applyNumberFormat="1" applyFill="1" applyBorder="1"/>
    <xf numFmtId="2" fontId="0" fillId="6" borderId="8" xfId="0" applyNumberFormat="1" applyFill="1" applyBorder="1"/>
    <xf numFmtId="2" fontId="0" fillId="0" borderId="3" xfId="0" applyNumberFormat="1" applyBorder="1"/>
    <xf numFmtId="0" fontId="4" fillId="12" borderId="16" xfId="0" applyFont="1" applyFill="1" applyBorder="1" applyAlignment="1">
      <alignment horizontal="left" vertical="top"/>
    </xf>
    <xf numFmtId="0" fontId="4" fillId="12" borderId="17" xfId="0" applyFont="1" applyFill="1" applyBorder="1" applyAlignment="1">
      <alignment horizontal="left" vertical="top"/>
    </xf>
    <xf numFmtId="0" fontId="0" fillId="11" borderId="16" xfId="0" applyFill="1" applyBorder="1"/>
    <xf numFmtId="0" fontId="0" fillId="12" borderId="17" xfId="0" applyFill="1" applyBorder="1" applyAlignment="1">
      <alignment horizontal="center"/>
    </xf>
    <xf numFmtId="164" fontId="0" fillId="11" borderId="16" xfId="0" quotePrefix="1" applyNumberFormat="1" applyFill="1" applyBorder="1" applyAlignment="1">
      <alignment horizontal="right"/>
    </xf>
    <xf numFmtId="1" fontId="0" fillId="11" borderId="16" xfId="0" quotePrefix="1" applyNumberFormat="1" applyFill="1" applyBorder="1" applyAlignment="1">
      <alignment horizontal="right"/>
    </xf>
    <xf numFmtId="0" fontId="0" fillId="0" borderId="16" xfId="0" applyBorder="1"/>
    <xf numFmtId="0" fontId="0" fillId="12" borderId="19" xfId="0" applyFill="1" applyBorder="1" applyAlignment="1">
      <alignment horizontal="center"/>
    </xf>
    <xf numFmtId="1" fontId="0" fillId="11" borderId="18" xfId="0" applyNumberFormat="1" applyFill="1" applyBorder="1" applyAlignment="1">
      <alignment horizontal="right"/>
    </xf>
    <xf numFmtId="0" fontId="0" fillId="11" borderId="18" xfId="0" applyFill="1" applyBorder="1"/>
    <xf numFmtId="0" fontId="0" fillId="11" borderId="16" xfId="0" quotePrefix="1" applyFill="1" applyBorder="1" applyAlignment="1">
      <alignment horizontal="right"/>
    </xf>
    <xf numFmtId="0" fontId="0" fillId="11" borderId="0" xfId="0" quotePrefix="1" applyFill="1" applyAlignment="1">
      <alignment horizontal="right"/>
    </xf>
    <xf numFmtId="0" fontId="0" fillId="6" borderId="18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16" xfId="0" applyFill="1" applyBorder="1" applyAlignment="1">
      <alignment horizontal="right"/>
    </xf>
    <xf numFmtId="1" fontId="0" fillId="11" borderId="16" xfId="0" applyNumberFormat="1" applyFill="1" applyBorder="1"/>
    <xf numFmtId="1" fontId="0" fillId="11" borderId="0" xfId="0" applyNumberFormat="1" applyFill="1"/>
    <xf numFmtId="0" fontId="4" fillId="12" borderId="1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0" fillId="12" borderId="17" xfId="0" applyFill="1" applyBorder="1"/>
    <xf numFmtId="2" fontId="0" fillId="11" borderId="18" xfId="0" applyNumberFormat="1" applyFill="1" applyBorder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13" borderId="5" xfId="0" applyFill="1" applyBorder="1"/>
    <xf numFmtId="0" fontId="0" fillId="13" borderId="14" xfId="0" applyFill="1" applyBorder="1"/>
    <xf numFmtId="2" fontId="0" fillId="13" borderId="14" xfId="0" applyNumberFormat="1" applyFill="1" applyBorder="1"/>
    <xf numFmtId="2" fontId="0" fillId="13" borderId="6" xfId="0" applyNumberFormat="1" applyFill="1" applyBorder="1"/>
    <xf numFmtId="0" fontId="0" fillId="13" borderId="7" xfId="0" applyFill="1" applyBorder="1"/>
    <xf numFmtId="0" fontId="7" fillId="2" borderId="1" xfId="1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vertical="top" wrapText="1"/>
    </xf>
    <xf numFmtId="0" fontId="4" fillId="12" borderId="0" xfId="0" applyFon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/>
    </xf>
    <xf numFmtId="0" fontId="0" fillId="7" borderId="0" xfId="0" applyFill="1" applyBorder="1"/>
    <xf numFmtId="2" fontId="0" fillId="7" borderId="0" xfId="0" applyNumberFormat="1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2" fontId="0" fillId="0" borderId="0" xfId="0" applyNumberFormat="1" applyBorder="1"/>
    <xf numFmtId="0" fontId="0" fillId="0" borderId="0" xfId="0" applyBorder="1"/>
    <xf numFmtId="0" fontId="0" fillId="13" borderId="0" xfId="0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0" fontId="0" fillId="0" borderId="0" xfId="0" applyFill="1"/>
    <xf numFmtId="0" fontId="4" fillId="8" borderId="0" xfId="0" applyFont="1" applyFill="1" applyAlignment="1">
      <alignment horizontal="center" vertical="center"/>
    </xf>
    <xf numFmtId="0" fontId="4" fillId="8" borderId="15" xfId="0" applyFont="1" applyFill="1" applyBorder="1" applyAlignment="1">
      <alignment horizontal="center"/>
    </xf>
    <xf numFmtId="2" fontId="0" fillId="8" borderId="0" xfId="0" applyNumberFormat="1" applyFill="1" applyAlignment="1">
      <alignment horizontal="right"/>
    </xf>
    <xf numFmtId="0" fontId="3" fillId="12" borderId="0" xfId="0" applyFont="1" applyFill="1"/>
    <xf numFmtId="0" fontId="3" fillId="11" borderId="16" xfId="0" applyFont="1" applyFill="1" applyBorder="1"/>
    <xf numFmtId="0" fontId="3" fillId="11" borderId="0" xfId="0" applyFont="1" applyFill="1"/>
    <xf numFmtId="1" fontId="3" fillId="11" borderId="18" xfId="0" applyNumberFormat="1" applyFont="1" applyFill="1" applyBorder="1" applyAlignment="1">
      <alignment horizontal="right"/>
    </xf>
    <xf numFmtId="0" fontId="3" fillId="6" borderId="18" xfId="0" applyFont="1" applyFill="1" applyBorder="1" applyAlignment="1">
      <alignment horizontal="right"/>
    </xf>
    <xf numFmtId="0" fontId="3" fillId="11" borderId="16" xfId="0" applyFont="1" applyFill="1" applyBorder="1" applyAlignment="1">
      <alignment horizontal="right"/>
    </xf>
    <xf numFmtId="2" fontId="3" fillId="11" borderId="18" xfId="0" applyNumberFormat="1" applyFont="1" applyFill="1" applyBorder="1" applyAlignment="1">
      <alignment horizontal="right"/>
    </xf>
    <xf numFmtId="2" fontId="3" fillId="11" borderId="0" xfId="0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0" fontId="3" fillId="0" borderId="0" xfId="0" applyFont="1"/>
    <xf numFmtId="0" fontId="4" fillId="12" borderId="1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left" vertical="top"/>
    </xf>
    <xf numFmtId="0" fontId="4" fillId="12" borderId="15" xfId="0" applyFont="1" applyFill="1" applyBorder="1" applyAlignment="1">
      <alignment horizontal="left" vertical="top"/>
    </xf>
    <xf numFmtId="0" fontId="4" fillId="0" borderId="0" xfId="0" applyFont="1" applyFill="1"/>
    <xf numFmtId="0" fontId="0" fillId="0" borderId="0" xfId="0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0" fontId="15" fillId="0" borderId="0" xfId="0" applyFont="1"/>
  </cellXfs>
  <cellStyles count="4">
    <cellStyle name="Normal" xfId="0" builtinId="0"/>
    <cellStyle name="Normal 111" xfId="3" xr:uid="{00000000-0005-0000-0000-000001000000}"/>
    <cellStyle name="Normal 112" xfId="1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CCFF"/>
      <color rgb="FF99CCFF"/>
      <color rgb="FF6699FF"/>
      <color rgb="FFDDF0C8"/>
      <color rgb="FF66CCFF"/>
      <color rgb="FFB2B2B2"/>
      <color rgb="FFEDEDED"/>
      <color rgb="FFB7DEE8"/>
      <color rgb="FFDAEEF3"/>
      <color rgb="FFD3E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5:E9"/>
  <sheetViews>
    <sheetView workbookViewId="0">
      <selection activeCell="C20" sqref="C20"/>
    </sheetView>
  </sheetViews>
  <sheetFormatPr defaultColWidth="9.109375" defaultRowHeight="14.4" x14ac:dyDescent="0.3"/>
  <cols>
    <col min="2" max="2" width="20.6640625" bestFit="1" customWidth="1"/>
    <col min="3" max="3" width="58.6640625" bestFit="1" customWidth="1"/>
  </cols>
  <sheetData>
    <row r="5" spans="2:5" ht="15" thickBot="1" x14ac:dyDescent="0.35">
      <c r="B5" s="38" t="s">
        <v>150</v>
      </c>
      <c r="C5" s="38" t="s">
        <v>152</v>
      </c>
      <c r="D5" s="38" t="s">
        <v>155</v>
      </c>
      <c r="E5" s="38" t="s">
        <v>156</v>
      </c>
    </row>
    <row r="6" spans="2:5" x14ac:dyDescent="0.3">
      <c r="B6" t="s">
        <v>151</v>
      </c>
      <c r="C6" s="14" t="s">
        <v>153</v>
      </c>
      <c r="D6" t="s">
        <v>157</v>
      </c>
      <c r="E6" t="s">
        <v>158</v>
      </c>
    </row>
    <row r="7" spans="2:5" ht="28.8" x14ac:dyDescent="0.3">
      <c r="B7" t="s">
        <v>149</v>
      </c>
      <c r="C7" s="14" t="s">
        <v>154</v>
      </c>
      <c r="D7" t="s">
        <v>157</v>
      </c>
      <c r="E7" t="s">
        <v>158</v>
      </c>
    </row>
    <row r="8" spans="2:5" ht="28.8" x14ac:dyDescent="0.3">
      <c r="B8" t="s">
        <v>165</v>
      </c>
      <c r="C8" s="14" t="s">
        <v>166</v>
      </c>
      <c r="D8" t="s">
        <v>157</v>
      </c>
      <c r="E8" t="s">
        <v>158</v>
      </c>
    </row>
    <row r="9" spans="2:5" ht="28.8" x14ac:dyDescent="0.3">
      <c r="B9" t="s">
        <v>165</v>
      </c>
      <c r="C9" s="14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L13"/>
  <sheetViews>
    <sheetView zoomScale="90" zoomScaleNormal="90" workbookViewId="0">
      <selection activeCell="C2" sqref="C2"/>
    </sheetView>
  </sheetViews>
  <sheetFormatPr defaultColWidth="9.109375" defaultRowHeight="14.4" x14ac:dyDescent="0.3"/>
  <cols>
    <col min="2" max="2" width="9.6640625" bestFit="1" customWidth="1"/>
    <col min="3" max="4" width="8" bestFit="1" customWidth="1"/>
    <col min="5" max="5" width="16.44140625" bestFit="1" customWidth="1"/>
    <col min="6" max="6" width="16.6640625" customWidth="1"/>
    <col min="7" max="7" width="10" bestFit="1" customWidth="1"/>
    <col min="8" max="8" width="8.33203125" bestFit="1" customWidth="1"/>
    <col min="12" max="12" width="41.88671875" bestFit="1" customWidth="1"/>
  </cols>
  <sheetData>
    <row r="1" spans="1:12" x14ac:dyDescent="0.3">
      <c r="A1" s="4" t="s">
        <v>159</v>
      </c>
    </row>
    <row r="3" spans="1:12" x14ac:dyDescent="0.3">
      <c r="B3" t="s">
        <v>0</v>
      </c>
    </row>
    <row r="4" spans="1:12" ht="15" thickBot="1" x14ac:dyDescent="0.35">
      <c r="B4" s="7" t="s">
        <v>1</v>
      </c>
      <c r="C4" s="7" t="s">
        <v>2</v>
      </c>
      <c r="D4" s="7" t="s">
        <v>3</v>
      </c>
      <c r="E4" s="7" t="s">
        <v>4</v>
      </c>
      <c r="F4" s="7" t="s">
        <v>41</v>
      </c>
      <c r="G4" s="7" t="s">
        <v>42</v>
      </c>
      <c r="H4" s="7" t="s">
        <v>6</v>
      </c>
      <c r="I4" s="7" t="s">
        <v>5</v>
      </c>
      <c r="L4" s="7" t="s">
        <v>43</v>
      </c>
    </row>
    <row r="5" spans="1:12" x14ac:dyDescent="0.3">
      <c r="B5" t="s">
        <v>192</v>
      </c>
      <c r="D5" s="9" t="s">
        <v>7</v>
      </c>
      <c r="E5" s="9" t="s">
        <v>44</v>
      </c>
      <c r="F5" t="s">
        <v>191</v>
      </c>
      <c r="G5" t="s">
        <v>193</v>
      </c>
      <c r="I5">
        <v>1E-4</v>
      </c>
      <c r="L5" t="s">
        <v>32</v>
      </c>
    </row>
    <row r="6" spans="1:12" x14ac:dyDescent="0.3">
      <c r="B6" t="s">
        <v>192</v>
      </c>
      <c r="D6" s="9" t="s">
        <v>7</v>
      </c>
      <c r="E6" s="9" t="s">
        <v>44</v>
      </c>
      <c r="F6" t="s">
        <v>191</v>
      </c>
      <c r="G6" t="s">
        <v>183</v>
      </c>
      <c r="I6">
        <v>1E-4</v>
      </c>
      <c r="L6" t="s">
        <v>33</v>
      </c>
    </row>
    <row r="7" spans="1:12" x14ac:dyDescent="0.3">
      <c r="B7" t="s">
        <v>192</v>
      </c>
      <c r="D7" s="9" t="s">
        <v>7</v>
      </c>
      <c r="E7" s="9" t="s">
        <v>44</v>
      </c>
      <c r="F7" t="s">
        <v>191</v>
      </c>
      <c r="G7" t="s">
        <v>184</v>
      </c>
      <c r="I7">
        <v>1E-4</v>
      </c>
      <c r="L7" t="s">
        <v>34</v>
      </c>
    </row>
    <row r="8" spans="1:12" x14ac:dyDescent="0.3">
      <c r="B8" t="s">
        <v>192</v>
      </c>
      <c r="D8" s="9" t="s">
        <v>7</v>
      </c>
      <c r="E8" s="9" t="s">
        <v>44</v>
      </c>
      <c r="F8" t="s">
        <v>191</v>
      </c>
      <c r="G8" t="s">
        <v>185</v>
      </c>
      <c r="I8">
        <v>1E-4</v>
      </c>
      <c r="L8" t="s">
        <v>35</v>
      </c>
    </row>
    <row r="9" spans="1:12" x14ac:dyDescent="0.3">
      <c r="B9" t="s">
        <v>192</v>
      </c>
      <c r="D9" s="9" t="s">
        <v>7</v>
      </c>
      <c r="E9" s="9" t="s">
        <v>44</v>
      </c>
      <c r="F9" t="s">
        <v>191</v>
      </c>
      <c r="G9" t="s">
        <v>186</v>
      </c>
      <c r="I9">
        <v>1E-4</v>
      </c>
      <c r="L9" t="s">
        <v>36</v>
      </c>
    </row>
    <row r="10" spans="1:12" x14ac:dyDescent="0.3">
      <c r="B10" t="s">
        <v>192</v>
      </c>
      <c r="D10" s="9" t="s">
        <v>7</v>
      </c>
      <c r="E10" s="9" t="s">
        <v>44</v>
      </c>
      <c r="F10" t="s">
        <v>191</v>
      </c>
      <c r="G10" t="s">
        <v>187</v>
      </c>
      <c r="I10">
        <v>1E-4</v>
      </c>
      <c r="L10" t="s">
        <v>37</v>
      </c>
    </row>
    <row r="11" spans="1:12" x14ac:dyDescent="0.3">
      <c r="B11" t="s">
        <v>192</v>
      </c>
      <c r="D11" s="9" t="s">
        <v>7</v>
      </c>
      <c r="E11" s="9" t="s">
        <v>44</v>
      </c>
      <c r="F11" t="s">
        <v>191</v>
      </c>
      <c r="G11" t="s">
        <v>188</v>
      </c>
      <c r="I11">
        <v>1E-4</v>
      </c>
      <c r="L11" t="s">
        <v>38</v>
      </c>
    </row>
    <row r="12" spans="1:12" x14ac:dyDescent="0.3">
      <c r="B12" t="s">
        <v>192</v>
      </c>
      <c r="D12" s="9" t="s">
        <v>7</v>
      </c>
      <c r="E12" s="9" t="s">
        <v>44</v>
      </c>
      <c r="F12" t="s">
        <v>191</v>
      </c>
      <c r="G12" t="s">
        <v>189</v>
      </c>
      <c r="I12">
        <v>1E-4</v>
      </c>
      <c r="L12" t="s">
        <v>39</v>
      </c>
    </row>
    <row r="13" spans="1:12" x14ac:dyDescent="0.3">
      <c r="B13" t="s">
        <v>192</v>
      </c>
      <c r="D13" s="9" t="s">
        <v>7</v>
      </c>
      <c r="E13" s="9" t="s">
        <v>44</v>
      </c>
      <c r="F13" t="s">
        <v>191</v>
      </c>
      <c r="G13" t="s">
        <v>190</v>
      </c>
      <c r="I13">
        <v>1E-4</v>
      </c>
      <c r="L1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2:AJ89"/>
  <sheetViews>
    <sheetView zoomScale="80" zoomScaleNormal="80" workbookViewId="0">
      <selection activeCell="E66" sqref="E66"/>
    </sheetView>
  </sheetViews>
  <sheetFormatPr defaultColWidth="9.109375" defaultRowHeight="14.4" x14ac:dyDescent="0.3"/>
  <cols>
    <col min="2" max="2" width="32.6640625" customWidth="1"/>
    <col min="3" max="3" width="12.33203125" customWidth="1"/>
    <col min="4" max="4" width="10.109375" bestFit="1" customWidth="1"/>
    <col min="21" max="21" width="19.109375" customWidth="1"/>
    <col min="22" max="22" width="24.33203125" customWidth="1"/>
    <col min="23" max="23" width="19.109375" customWidth="1"/>
    <col min="24" max="25" width="12.44140625" customWidth="1"/>
    <col min="26" max="27" width="11.33203125" customWidth="1"/>
    <col min="28" max="28" width="13.5546875" bestFit="1" customWidth="1"/>
    <col min="29" max="29" width="10.33203125" bestFit="1" customWidth="1"/>
    <col min="30" max="31" width="8.33203125" customWidth="1"/>
    <col min="32" max="32" width="8.5546875" bestFit="1" customWidth="1"/>
  </cols>
  <sheetData>
    <row r="2" spans="2:13" x14ac:dyDescent="0.3">
      <c r="B2" s="30" t="s">
        <v>66</v>
      </c>
    </row>
    <row r="3" spans="2:13" x14ac:dyDescent="0.3">
      <c r="B3" s="30" t="s">
        <v>69</v>
      </c>
      <c r="C3" s="30" t="s">
        <v>70</v>
      </c>
      <c r="E3" s="30" t="s">
        <v>71</v>
      </c>
      <c r="F3" s="30" t="s">
        <v>72</v>
      </c>
    </row>
    <row r="4" spans="2:13" x14ac:dyDescent="0.3">
      <c r="B4" s="30" t="s">
        <v>67</v>
      </c>
      <c r="C4" s="31">
        <v>42985.472685185188</v>
      </c>
      <c r="E4" s="30" t="s">
        <v>73</v>
      </c>
      <c r="F4" s="30" t="s">
        <v>74</v>
      </c>
    </row>
    <row r="5" spans="2:13" x14ac:dyDescent="0.3">
      <c r="B5" s="30" t="s">
        <v>68</v>
      </c>
      <c r="C5" s="31">
        <v>43074.61664868056</v>
      </c>
    </row>
    <row r="6" spans="2:13" x14ac:dyDescent="0.3">
      <c r="B6" s="30"/>
      <c r="C6" s="31"/>
    </row>
    <row r="7" spans="2:13" x14ac:dyDescent="0.3">
      <c r="B7" s="30"/>
      <c r="C7" s="31"/>
    </row>
    <row r="8" spans="2:13" x14ac:dyDescent="0.3">
      <c r="B8" s="36" t="s">
        <v>75</v>
      </c>
      <c r="C8" s="36">
        <v>2007</v>
      </c>
      <c r="D8" s="36">
        <v>2008</v>
      </c>
      <c r="E8" s="36">
        <v>2009</v>
      </c>
      <c r="F8" s="36">
        <v>2010</v>
      </c>
      <c r="G8" s="36">
        <v>2011</v>
      </c>
      <c r="H8" s="36">
        <v>2012</v>
      </c>
      <c r="I8" s="36">
        <v>2013</v>
      </c>
      <c r="J8" s="36">
        <v>2014</v>
      </c>
      <c r="K8" s="36">
        <v>2015</v>
      </c>
      <c r="L8" s="36">
        <v>2016</v>
      </c>
    </row>
    <row r="9" spans="2:13" x14ac:dyDescent="0.3">
      <c r="B9" s="36" t="s">
        <v>65</v>
      </c>
      <c r="C9" s="36">
        <v>1.3705000000000001</v>
      </c>
      <c r="D9" s="36">
        <v>1.4708000000000001</v>
      </c>
      <c r="E9" s="36">
        <v>1.3948</v>
      </c>
      <c r="F9" s="36">
        <v>1.3257000000000001</v>
      </c>
      <c r="G9" s="36">
        <v>1.3919999999999999</v>
      </c>
      <c r="H9" s="36">
        <v>1.2847999999999999</v>
      </c>
      <c r="I9" s="36">
        <v>1.3281000000000001</v>
      </c>
      <c r="J9" s="36">
        <v>1.3285</v>
      </c>
      <c r="K9" s="36">
        <v>1.1094999999999999</v>
      </c>
      <c r="L9" s="36">
        <v>1.1069</v>
      </c>
    </row>
    <row r="12" spans="2:13" x14ac:dyDescent="0.3">
      <c r="B12" t="s">
        <v>168</v>
      </c>
      <c r="D12" s="19"/>
    </row>
    <row r="13" spans="2:13" x14ac:dyDescent="0.3">
      <c r="D13">
        <v>3</v>
      </c>
      <c r="E13">
        <v>4</v>
      </c>
      <c r="F13">
        <v>5</v>
      </c>
      <c r="G13">
        <v>6</v>
      </c>
      <c r="H13">
        <v>7</v>
      </c>
    </row>
    <row r="14" spans="2:13" ht="15" thickBot="1" x14ac:dyDescent="0.35">
      <c r="B14" s="20" t="s">
        <v>103</v>
      </c>
      <c r="C14" t="s">
        <v>197</v>
      </c>
      <c r="D14">
        <v>2015</v>
      </c>
      <c r="E14">
        <v>2020</v>
      </c>
      <c r="F14">
        <v>2030</v>
      </c>
      <c r="G14">
        <v>2040</v>
      </c>
      <c r="H14">
        <v>2050</v>
      </c>
      <c r="J14" t="s">
        <v>164</v>
      </c>
      <c r="L14" s="22" t="s">
        <v>124</v>
      </c>
      <c r="M14">
        <v>2020</v>
      </c>
    </row>
    <row r="15" spans="2:13" ht="15" customHeight="1" x14ac:dyDescent="0.3">
      <c r="B15" s="115" t="s">
        <v>231</v>
      </c>
      <c r="C15" s="116" t="s">
        <v>94</v>
      </c>
      <c r="D15" s="117">
        <f>D$29*D58</f>
        <v>5.4817784411764707</v>
      </c>
      <c r="E15" s="117">
        <f t="shared" ref="E15:H15" si="0">E$29*E58</f>
        <v>5.2298786381502351</v>
      </c>
      <c r="F15" s="117">
        <f t="shared" si="0"/>
        <v>4.9779788351240013</v>
      </c>
      <c r="G15" s="117">
        <f t="shared" si="0"/>
        <v>4.8224169965263757</v>
      </c>
      <c r="H15" s="118">
        <f t="shared" si="0"/>
        <v>4.6668551579287509</v>
      </c>
    </row>
    <row r="16" spans="2:13" ht="15" customHeight="1" x14ac:dyDescent="0.3">
      <c r="B16" s="22" t="s">
        <v>121</v>
      </c>
      <c r="C16" s="125" t="s">
        <v>90</v>
      </c>
      <c r="D16" s="126">
        <f t="shared" ref="D16:H17" si="1">D$25*LOOKUP($B16,$B$44:$B$46,D$44:D$46)</f>
        <v>3.5139605392156859</v>
      </c>
      <c r="E16" s="126">
        <f t="shared" si="1"/>
        <v>3.3458889052003844</v>
      </c>
      <c r="F16" s="126">
        <f t="shared" si="1"/>
        <v>3.1778172711850718</v>
      </c>
      <c r="G16" s="126">
        <f t="shared" si="1"/>
        <v>3.0333710315857503</v>
      </c>
      <c r="H16" s="88">
        <f t="shared" si="1"/>
        <v>2.8889247919864287</v>
      </c>
    </row>
    <row r="17" spans="2:22" ht="15" customHeight="1" x14ac:dyDescent="0.3">
      <c r="B17" s="22" t="s">
        <v>122</v>
      </c>
      <c r="C17" s="125" t="s">
        <v>90</v>
      </c>
      <c r="D17" s="126">
        <f t="shared" si="1"/>
        <v>3.3734021176470588</v>
      </c>
      <c r="E17" s="126">
        <f t="shared" si="1"/>
        <v>3.2756096944160706</v>
      </c>
      <c r="F17" s="126">
        <f t="shared" si="1"/>
        <v>3.1778172711850718</v>
      </c>
      <c r="G17" s="126">
        <f t="shared" si="1"/>
        <v>3.0333710315857503</v>
      </c>
      <c r="H17" s="88">
        <f t="shared" si="1"/>
        <v>2.8889247919864287</v>
      </c>
    </row>
    <row r="18" spans="2:22" ht="15" customHeight="1" x14ac:dyDescent="0.3">
      <c r="B18" s="42" t="s">
        <v>123</v>
      </c>
      <c r="C18" s="127" t="s">
        <v>92</v>
      </c>
      <c r="D18" s="128">
        <f>D$27*LOOKUP($B18,$B$51:$B$53,D$51:D$53)</f>
        <v>3.3734021176470588</v>
      </c>
      <c r="E18" s="128">
        <f>E$27*LOOKUP($B18,$B$51:$B$53,E$51:E$53)</f>
        <v>3.2756096944160706</v>
      </c>
      <c r="F18" s="128">
        <f>F$27*LOOKUP($B18,$B$51:$B$53,F$51:F$53)</f>
        <v>3.1778172711850718</v>
      </c>
      <c r="G18" s="128">
        <f>G$27*LOOKUP($B18,$B$51:$B$53,G$51:G$53)</f>
        <v>3.0333710315857503</v>
      </c>
      <c r="H18" s="89">
        <f>H$27*LOOKUP($B18,$B$51:$B$53,H$51:H$53)</f>
        <v>2.8889247919864287</v>
      </c>
    </row>
    <row r="19" spans="2:22" ht="15" customHeight="1" x14ac:dyDescent="0.3">
      <c r="B19" s="22" t="s">
        <v>124</v>
      </c>
      <c r="C19" s="125" t="s">
        <v>90</v>
      </c>
      <c r="D19" s="126">
        <f>D$25*LOOKUP($B19,$B$44:$B$46,D$44:D$46)</f>
        <v>4.9195447549019606</v>
      </c>
      <c r="E19" s="126">
        <f>E$25*LOOKUP($B19,$B$44:$B$46,E$44:E$46)</f>
        <v>4.409796612041827</v>
      </c>
      <c r="F19" s="126">
        <f>F$25*LOOKUP($B19,$B$44:$B$46,F$44:F$46)</f>
        <v>3.9000484691816788</v>
      </c>
      <c r="G19" s="126">
        <f>G$25*LOOKUP($B19,$B$44:$B$46,G$44:G$46)</f>
        <v>3.394486630584054</v>
      </c>
      <c r="H19" s="88">
        <f>H$25*LOOKUP($B19,$B$44:$B$46,H$44:H$46)</f>
        <v>2.8889247919864287</v>
      </c>
    </row>
    <row r="20" spans="2:22" ht="15" customHeight="1" x14ac:dyDescent="0.3">
      <c r="B20" s="42" t="s">
        <v>285</v>
      </c>
      <c r="C20" s="127" t="s">
        <v>92</v>
      </c>
      <c r="D20" s="128">
        <f t="shared" ref="D20:H21" si="2">D$27*LOOKUP($B20,$B$51:$B$53,D$51:D$53)</f>
        <v>3.5139605392156859</v>
      </c>
      <c r="E20" s="128">
        <f t="shared" si="2"/>
        <v>3.3458889052003844</v>
      </c>
      <c r="F20" s="128">
        <f t="shared" si="2"/>
        <v>3.1778172711850718</v>
      </c>
      <c r="G20" s="128">
        <f t="shared" si="2"/>
        <v>3.0333710315857503</v>
      </c>
      <c r="H20" s="89">
        <f t="shared" si="2"/>
        <v>2.8889247919864287</v>
      </c>
    </row>
    <row r="21" spans="2:22" ht="15" customHeight="1" x14ac:dyDescent="0.3">
      <c r="B21" s="42" t="s">
        <v>126</v>
      </c>
      <c r="C21" s="127" t="s">
        <v>92</v>
      </c>
      <c r="D21" s="128">
        <f t="shared" si="2"/>
        <v>3.5139605392156859</v>
      </c>
      <c r="E21" s="128">
        <f t="shared" si="2"/>
        <v>3.3458889052003844</v>
      </c>
      <c r="F21" s="128">
        <f t="shared" si="2"/>
        <v>3.1778172711850718</v>
      </c>
      <c r="G21" s="128">
        <f t="shared" si="2"/>
        <v>3.0333710315857503</v>
      </c>
      <c r="H21" s="89">
        <f t="shared" si="2"/>
        <v>2.8889247919864287</v>
      </c>
    </row>
    <row r="22" spans="2:22" ht="15" customHeight="1" x14ac:dyDescent="0.3">
      <c r="B22" s="42" t="s">
        <v>137</v>
      </c>
      <c r="C22" s="127" t="s">
        <v>92</v>
      </c>
      <c r="D22" s="128">
        <f t="shared" ref="D22:H23" si="3">D$27*LOOKUP($B22,$B$63:$B$64,D$63:D$64)</f>
        <v>3.3734021176470588</v>
      </c>
      <c r="E22" s="128">
        <f t="shared" si="3"/>
        <v>3.2756096944160706</v>
      </c>
      <c r="F22" s="128">
        <f t="shared" si="3"/>
        <v>3.1778172711850718</v>
      </c>
      <c r="G22" s="128">
        <f t="shared" si="3"/>
        <v>3.0333710315857503</v>
      </c>
      <c r="H22" s="89">
        <f t="shared" si="3"/>
        <v>2.8889247919864287</v>
      </c>
      <c r="J22" s="11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14"/>
    </row>
    <row r="23" spans="2:22" ht="15" customHeight="1" x14ac:dyDescent="0.3">
      <c r="B23" s="42" t="s">
        <v>104</v>
      </c>
      <c r="C23" s="127" t="s">
        <v>92</v>
      </c>
      <c r="D23" s="128">
        <f t="shared" si="3"/>
        <v>4.7789863333333331</v>
      </c>
      <c r="E23" s="128">
        <f t="shared" si="3"/>
        <v>2.108915098150093</v>
      </c>
      <c r="F23" s="128">
        <f t="shared" si="3"/>
        <v>2.108915098150093</v>
      </c>
      <c r="G23" s="128">
        <f t="shared" si="3"/>
        <v>2.108915098150093</v>
      </c>
      <c r="H23" s="89">
        <f t="shared" si="3"/>
        <v>2.108915098150093</v>
      </c>
      <c r="J23" s="87"/>
      <c r="K23" s="87"/>
      <c r="L23" s="87"/>
    </row>
    <row r="24" spans="2:22" ht="15" customHeight="1" x14ac:dyDescent="0.3">
      <c r="B24" s="23" t="s">
        <v>89</v>
      </c>
      <c r="C24" s="129" t="s">
        <v>89</v>
      </c>
      <c r="D24" s="130">
        <v>1</v>
      </c>
      <c r="E24" s="130">
        <v>1</v>
      </c>
      <c r="F24" s="130">
        <v>1</v>
      </c>
      <c r="G24" s="130">
        <v>1</v>
      </c>
      <c r="H24" s="90">
        <v>1</v>
      </c>
    </row>
    <row r="25" spans="2:22" ht="15" customHeight="1" x14ac:dyDescent="0.3">
      <c r="B25" s="22" t="s">
        <v>90</v>
      </c>
      <c r="C25" s="125" t="s">
        <v>89</v>
      </c>
      <c r="D25" s="131">
        <v>1.4444623959932099</v>
      </c>
      <c r="E25" s="131">
        <v>1.4444623959932144</v>
      </c>
      <c r="F25" s="131">
        <v>1.4444623959932144</v>
      </c>
      <c r="G25" s="131">
        <v>1.4444623959932144</v>
      </c>
      <c r="H25" s="27">
        <v>1.4444623959932144</v>
      </c>
    </row>
    <row r="26" spans="2:22" ht="15" customHeight="1" x14ac:dyDescent="0.3">
      <c r="B26" s="24" t="s">
        <v>91</v>
      </c>
      <c r="C26" s="132" t="s">
        <v>89</v>
      </c>
      <c r="D26" s="131">
        <v>1.1111559899830359</v>
      </c>
      <c r="E26" s="131">
        <v>1.1111559899830359</v>
      </c>
      <c r="F26" s="131">
        <v>1.1111559899830359</v>
      </c>
      <c r="G26" s="131">
        <v>1.1111559899830359</v>
      </c>
      <c r="H26" s="27">
        <v>1.1111559899830359</v>
      </c>
    </row>
    <row r="27" spans="2:22" ht="15" customHeight="1" x14ac:dyDescent="0.3">
      <c r="B27" s="42" t="s">
        <v>92</v>
      </c>
      <c r="C27" s="127" t="s">
        <v>89</v>
      </c>
      <c r="D27" s="126">
        <f>D$25</f>
        <v>1.4444623959932099</v>
      </c>
      <c r="E27" s="126">
        <f>E$25</f>
        <v>1.4444623959932144</v>
      </c>
      <c r="F27" s="126">
        <f>F$25</f>
        <v>1.4444623959932144</v>
      </c>
      <c r="G27" s="126">
        <f>G$25</f>
        <v>1.4444623959932144</v>
      </c>
      <c r="H27" s="88">
        <f>H$25</f>
        <v>1.4444623959932144</v>
      </c>
    </row>
    <row r="28" spans="2:22" ht="15" customHeight="1" x14ac:dyDescent="0.3">
      <c r="B28" s="24" t="s">
        <v>93</v>
      </c>
      <c r="C28" s="132" t="s">
        <v>89</v>
      </c>
      <c r="D28" s="131">
        <v>0.81000080781969463</v>
      </c>
      <c r="E28" s="131">
        <v>0.81000080781969463</v>
      </c>
      <c r="F28" s="131">
        <v>0.81000080781969463</v>
      </c>
      <c r="G28" s="131">
        <v>0.81000080781969463</v>
      </c>
      <c r="H28" s="27">
        <v>0.81000080781969463</v>
      </c>
    </row>
    <row r="29" spans="2:22" ht="15" customHeight="1" x14ac:dyDescent="0.3">
      <c r="B29" s="119" t="s">
        <v>94</v>
      </c>
      <c r="C29" s="133" t="s">
        <v>89</v>
      </c>
      <c r="D29" s="131">
        <v>1.5556183859762502</v>
      </c>
      <c r="E29" s="131">
        <v>1.5556183859762502</v>
      </c>
      <c r="F29" s="131">
        <v>1.5556183859762502</v>
      </c>
      <c r="G29" s="131">
        <v>1.5556183859762502</v>
      </c>
      <c r="H29" s="27">
        <v>1.5556183859762502</v>
      </c>
    </row>
    <row r="30" spans="2:22" ht="15" customHeight="1" x14ac:dyDescent="0.3">
      <c r="B30" s="24" t="s">
        <v>99</v>
      </c>
      <c r="C30" s="132" t="s">
        <v>89</v>
      </c>
      <c r="D30" s="134">
        <f>D32</f>
        <v>1.1111559899830359</v>
      </c>
      <c r="E30" s="134">
        <f t="shared" ref="E30:H30" si="4">E32</f>
        <v>1.1111559899830359</v>
      </c>
      <c r="F30" s="134">
        <f t="shared" si="4"/>
        <v>1.1111559899830359</v>
      </c>
      <c r="G30" s="134">
        <f t="shared" si="4"/>
        <v>1.1111559899830359</v>
      </c>
      <c r="H30" s="135">
        <f t="shared" si="4"/>
        <v>1.1111559899830359</v>
      </c>
    </row>
    <row r="31" spans="2:22" ht="15" customHeight="1" x14ac:dyDescent="0.3">
      <c r="B31" s="24" t="s">
        <v>95</v>
      </c>
      <c r="C31" s="132" t="s">
        <v>89</v>
      </c>
      <c r="D31" s="131">
        <v>1.2222311979966072</v>
      </c>
      <c r="E31" s="131">
        <v>1.2222311979966072</v>
      </c>
      <c r="F31" s="131">
        <v>1.2222311979966072</v>
      </c>
      <c r="G31" s="131">
        <v>1.2222311979966072</v>
      </c>
      <c r="H31" s="27">
        <v>1.2222311979966072</v>
      </c>
    </row>
    <row r="32" spans="2:22" ht="15" customHeight="1" x14ac:dyDescent="0.3">
      <c r="B32" s="24" t="s">
        <v>96</v>
      </c>
      <c r="C32" s="132" t="s">
        <v>89</v>
      </c>
      <c r="D32" s="131">
        <v>1.1111559899830359</v>
      </c>
      <c r="E32" s="131">
        <v>1.1111559899830359</v>
      </c>
      <c r="F32" s="131">
        <v>1.1111559899830359</v>
      </c>
      <c r="G32" s="131">
        <v>1.1111559899830359</v>
      </c>
      <c r="H32" s="27">
        <v>1.1111559899830359</v>
      </c>
    </row>
    <row r="33" spans="2:34" ht="15" customHeight="1" x14ac:dyDescent="0.3">
      <c r="B33" s="24" t="s">
        <v>97</v>
      </c>
      <c r="C33" s="132" t="s">
        <v>89</v>
      </c>
      <c r="D33" s="131">
        <v>1.1111559899830359</v>
      </c>
      <c r="E33" s="131">
        <v>1.1111559899830359</v>
      </c>
      <c r="F33" s="131">
        <v>1.1111559899830359</v>
      </c>
      <c r="G33" s="131">
        <v>1.1111559899830359</v>
      </c>
      <c r="H33" s="27">
        <v>1.1111559899830359</v>
      </c>
    </row>
    <row r="34" spans="2:34" ht="15" customHeight="1" thickBot="1" x14ac:dyDescent="0.35">
      <c r="B34" s="25" t="s">
        <v>98</v>
      </c>
      <c r="C34" s="41" t="s">
        <v>89</v>
      </c>
      <c r="D34" s="91">
        <v>1.1111559899830359</v>
      </c>
      <c r="E34" s="91">
        <v>1.1111559899830359</v>
      </c>
      <c r="F34" s="91">
        <v>1.1111559899830359</v>
      </c>
      <c r="G34" s="91">
        <v>1.1111559899830359</v>
      </c>
      <c r="H34" s="29">
        <v>1.1111559899830359</v>
      </c>
    </row>
    <row r="38" spans="2:34" x14ac:dyDescent="0.3">
      <c r="B38" t="s">
        <v>169</v>
      </c>
    </row>
    <row r="39" spans="2:34" x14ac:dyDescent="0.3">
      <c r="B39" s="19" t="s">
        <v>163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2:34" x14ac:dyDescent="0.3">
      <c r="I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2:34" x14ac:dyDescent="0.3">
      <c r="B41" t="s">
        <v>118</v>
      </c>
      <c r="I41" s="59"/>
      <c r="K41" s="59" t="s">
        <v>120</v>
      </c>
      <c r="L41" s="59"/>
      <c r="M41" s="59"/>
      <c r="N41" s="59"/>
      <c r="O41" s="59"/>
      <c r="P41" s="59"/>
      <c r="Q41" s="59" t="s">
        <v>119</v>
      </c>
      <c r="R41" s="59"/>
      <c r="S41" s="59"/>
      <c r="U41" t="s">
        <v>200</v>
      </c>
    </row>
    <row r="42" spans="2:34" ht="15" thickBot="1" x14ac:dyDescent="0.35">
      <c r="B42" s="20" t="s">
        <v>249</v>
      </c>
      <c r="C42" s="20"/>
      <c r="D42">
        <v>2015</v>
      </c>
      <c r="E42">
        <v>2020</v>
      </c>
      <c r="F42">
        <v>2030</v>
      </c>
      <c r="G42">
        <v>2040</v>
      </c>
      <c r="H42">
        <v>2050</v>
      </c>
      <c r="I42" s="59"/>
      <c r="K42" s="59"/>
      <c r="L42" s="59"/>
      <c r="M42" s="59"/>
      <c r="N42" s="59"/>
      <c r="O42" s="59"/>
      <c r="P42" s="59"/>
      <c r="Q42" s="59"/>
      <c r="R42" s="59"/>
      <c r="S42" s="59"/>
      <c r="U42" s="155" t="s">
        <v>210</v>
      </c>
      <c r="V42" s="92" t="s">
        <v>212</v>
      </c>
      <c r="W42" s="80" t="s">
        <v>222</v>
      </c>
      <c r="X42" s="150" t="s">
        <v>206</v>
      </c>
      <c r="Y42" s="151"/>
      <c r="Z42" s="152" t="s">
        <v>204</v>
      </c>
      <c r="AA42" s="153"/>
      <c r="AB42" s="154"/>
      <c r="AC42" s="109" t="s">
        <v>197</v>
      </c>
      <c r="AD42" s="110" t="s">
        <v>201</v>
      </c>
      <c r="AE42" s="74" t="s">
        <v>202</v>
      </c>
      <c r="AF42" s="137" t="s">
        <v>277</v>
      </c>
      <c r="AH42" s="123" t="s">
        <v>253</v>
      </c>
    </row>
    <row r="43" spans="2:34" x14ac:dyDescent="0.3">
      <c r="B43" s="21" t="s">
        <v>90</v>
      </c>
      <c r="C43" s="40"/>
      <c r="D43" s="82">
        <v>1</v>
      </c>
      <c r="E43" s="82">
        <f t="shared" ref="E43:G70" si="5">AVERAGE(D43,F43)</f>
        <v>1</v>
      </c>
      <c r="F43" s="82">
        <v>1</v>
      </c>
      <c r="G43" s="82">
        <f t="shared" si="5"/>
        <v>1</v>
      </c>
      <c r="H43" s="82">
        <v>1</v>
      </c>
      <c r="I43" s="59"/>
      <c r="K43" s="60">
        <v>1</v>
      </c>
      <c r="L43" s="60">
        <f t="shared" ref="L43:L46" si="6">AVERAGE(K43,M43)</f>
        <v>1</v>
      </c>
      <c r="M43" s="60">
        <v>1</v>
      </c>
      <c r="N43" s="60">
        <f t="shared" ref="N43:N46" si="7">AVERAGE(M43,O43)</f>
        <v>1</v>
      </c>
      <c r="O43" s="60">
        <v>1</v>
      </c>
      <c r="P43" s="59"/>
      <c r="Q43" s="60">
        <v>1</v>
      </c>
      <c r="R43" s="60">
        <v>1</v>
      </c>
      <c r="S43" s="60">
        <v>1</v>
      </c>
      <c r="U43" s="156"/>
      <c r="V43" s="93"/>
      <c r="W43" s="81"/>
      <c r="X43" s="95" t="s">
        <v>198</v>
      </c>
      <c r="Y43" s="99" t="s">
        <v>199</v>
      </c>
      <c r="Z43" s="95" t="s">
        <v>198</v>
      </c>
      <c r="AA43" s="75" t="s">
        <v>199</v>
      </c>
      <c r="AB43" s="99" t="s">
        <v>279</v>
      </c>
      <c r="AC43" s="111"/>
      <c r="AD43" s="99" t="s">
        <v>214</v>
      </c>
      <c r="AE43" s="76"/>
      <c r="AF43" s="138" t="s">
        <v>278</v>
      </c>
      <c r="AH43" s="75" t="s">
        <v>254</v>
      </c>
    </row>
    <row r="44" spans="2:34" ht="15" customHeight="1" x14ac:dyDescent="0.3">
      <c r="B44" s="24" t="s">
        <v>121</v>
      </c>
      <c r="D44" s="27">
        <f>LOOKUP(B44, $W$44:$W$52, $AE$44:$AE$52)</f>
        <v>2.4327116780354068</v>
      </c>
      <c r="E44" s="27">
        <f t="shared" si="5"/>
        <v>2.3163558390177035</v>
      </c>
      <c r="F44" s="28">
        <v>2.2000000000000002</v>
      </c>
      <c r="G44" s="27">
        <f t="shared" si="5"/>
        <v>2.1</v>
      </c>
      <c r="H44" s="27">
        <v>2</v>
      </c>
      <c r="I44" s="59"/>
      <c r="K44" s="61">
        <v>1.5</v>
      </c>
      <c r="L44" s="61">
        <f t="shared" si="6"/>
        <v>1.35</v>
      </c>
      <c r="M44" s="62">
        <v>1.2</v>
      </c>
      <c r="N44" s="61">
        <f t="shared" si="7"/>
        <v>1.1499999999999999</v>
      </c>
      <c r="O44" s="61">
        <v>1.1000000000000001</v>
      </c>
      <c r="P44" s="59"/>
      <c r="Q44" s="61">
        <v>2</v>
      </c>
      <c r="R44" s="62">
        <v>1.5</v>
      </c>
      <c r="S44" s="61">
        <v>1.2</v>
      </c>
      <c r="U44" s="77" t="s">
        <v>215</v>
      </c>
      <c r="V44" s="94" t="s">
        <v>213</v>
      </c>
      <c r="W44" s="78" t="s">
        <v>121</v>
      </c>
      <c r="X44" s="96" t="s">
        <v>205</v>
      </c>
      <c r="Y44" s="100">
        <v>20</v>
      </c>
      <c r="Z44" s="102" t="s">
        <v>217</v>
      </c>
      <c r="AA44" s="103" t="s">
        <v>218</v>
      </c>
      <c r="AB44" s="104">
        <v>25</v>
      </c>
      <c r="AC44" s="106" t="s">
        <v>92</v>
      </c>
      <c r="AD44" s="112">
        <f>'INDATA prices'!$C$7*'INDATA Fuel relations'!$D$27</f>
        <v>10.276598014356281</v>
      </c>
      <c r="AE44" s="79">
        <f>AB44/AD44*AF44</f>
        <v>2.4327116780354068</v>
      </c>
      <c r="AF44" s="139">
        <v>1</v>
      </c>
      <c r="AH44" s="104">
        <v>22</v>
      </c>
    </row>
    <row r="45" spans="2:34" x14ac:dyDescent="0.3">
      <c r="B45" s="24" t="s">
        <v>122</v>
      </c>
      <c r="D45" s="27">
        <f>LOOKUP(B45, $W$44:$W$52, $AE$44:$AE$52)</f>
        <v>2.3354032109139906</v>
      </c>
      <c r="E45" s="27">
        <f t="shared" si="5"/>
        <v>2.2677016054569954</v>
      </c>
      <c r="F45" s="28">
        <v>2.2000000000000002</v>
      </c>
      <c r="G45" s="27">
        <f t="shared" si="5"/>
        <v>2.1</v>
      </c>
      <c r="H45" s="27">
        <v>2</v>
      </c>
      <c r="I45" s="59"/>
      <c r="K45" s="61">
        <v>1.1000000000000001</v>
      </c>
      <c r="L45" s="61">
        <f t="shared" si="6"/>
        <v>1.0750000000000002</v>
      </c>
      <c r="M45" s="62">
        <v>1.05</v>
      </c>
      <c r="N45" s="61">
        <f t="shared" si="7"/>
        <v>1.03</v>
      </c>
      <c r="O45" s="61">
        <v>1.01</v>
      </c>
      <c r="P45" s="59"/>
      <c r="Q45" s="61">
        <v>1.2</v>
      </c>
      <c r="R45" s="62">
        <v>1.2</v>
      </c>
      <c r="S45" s="61">
        <v>1.2</v>
      </c>
      <c r="U45" s="77" t="s">
        <v>223</v>
      </c>
      <c r="V45" s="94" t="s">
        <v>224</v>
      </c>
      <c r="W45" s="78" t="s">
        <v>122</v>
      </c>
      <c r="X45" s="97">
        <v>40</v>
      </c>
      <c r="Y45" s="100">
        <v>60</v>
      </c>
      <c r="Z45" s="102" t="s">
        <v>225</v>
      </c>
      <c r="AA45" s="103" t="s">
        <v>226</v>
      </c>
      <c r="AB45" s="104">
        <v>24</v>
      </c>
      <c r="AC45" s="106" t="s">
        <v>90</v>
      </c>
      <c r="AD45" s="112">
        <f>'INDATA prices'!$C$7*'INDATA Fuel relations'!$D$25</f>
        <v>10.276598014356281</v>
      </c>
      <c r="AE45" s="79">
        <f t="shared" ref="AE45:AE48" si="8">AB45/AD45*AF45</f>
        <v>2.3354032109139906</v>
      </c>
      <c r="AF45" s="139">
        <f>AF44</f>
        <v>1</v>
      </c>
      <c r="AH45" s="104">
        <v>21</v>
      </c>
    </row>
    <row r="46" spans="2:34" ht="15" thickBot="1" x14ac:dyDescent="0.35">
      <c r="B46" s="25" t="s">
        <v>124</v>
      </c>
      <c r="C46" s="41"/>
      <c r="D46" s="29">
        <f>LOOKUP(B46, $W$44:$W$52, $AE$44:$AE$52)</f>
        <v>3.4057963492495698</v>
      </c>
      <c r="E46" s="29">
        <f t="shared" si="5"/>
        <v>3.0528981746247847</v>
      </c>
      <c r="F46" s="29">
        <v>2.7</v>
      </c>
      <c r="G46" s="29">
        <f t="shared" si="5"/>
        <v>2.35</v>
      </c>
      <c r="H46" s="29">
        <v>2</v>
      </c>
      <c r="I46" s="59"/>
      <c r="K46" s="63">
        <f>K44</f>
        <v>1.5</v>
      </c>
      <c r="L46" s="63">
        <f t="shared" si="6"/>
        <v>1.35</v>
      </c>
      <c r="M46" s="63">
        <f>M44</f>
        <v>1.2</v>
      </c>
      <c r="N46" s="63">
        <f t="shared" si="7"/>
        <v>1.1499999999999999</v>
      </c>
      <c r="O46" s="63">
        <f>O44</f>
        <v>1.1000000000000001</v>
      </c>
      <c r="P46" s="59"/>
      <c r="Q46" s="63">
        <v>2</v>
      </c>
      <c r="R46" s="64">
        <v>1.5</v>
      </c>
      <c r="S46" s="63">
        <v>1.2</v>
      </c>
      <c r="U46" s="77" t="s">
        <v>220</v>
      </c>
      <c r="V46" s="94" t="s">
        <v>219</v>
      </c>
      <c r="W46" s="78" t="s">
        <v>123</v>
      </c>
      <c r="X46" s="96" t="s">
        <v>205</v>
      </c>
      <c r="Y46" s="100">
        <v>20</v>
      </c>
      <c r="Z46" s="102" t="s">
        <v>221</v>
      </c>
      <c r="AA46" s="105"/>
      <c r="AB46" s="104">
        <v>24</v>
      </c>
      <c r="AC46" s="106" t="s">
        <v>92</v>
      </c>
      <c r="AD46" s="112">
        <f>'INDATA prices'!$C$7*'INDATA Fuel relations'!$D$27</f>
        <v>10.276598014356281</v>
      </c>
      <c r="AE46" s="79">
        <f t="shared" si="8"/>
        <v>2.3354032109139906</v>
      </c>
      <c r="AF46" s="139">
        <f t="shared" ref="AF46:AF48" si="9">AF45</f>
        <v>1</v>
      </c>
      <c r="AH46" s="104">
        <v>21</v>
      </c>
    </row>
    <row r="47" spans="2:34" x14ac:dyDescent="0.3">
      <c r="I47" s="59"/>
      <c r="K47" s="59"/>
      <c r="L47" s="59"/>
      <c r="M47" s="59"/>
      <c r="N47" s="59"/>
      <c r="O47" s="59"/>
      <c r="P47" s="59"/>
      <c r="Q47" s="59"/>
      <c r="R47" s="59"/>
      <c r="S47" s="59"/>
      <c r="U47" s="77" t="s">
        <v>220</v>
      </c>
      <c r="V47" s="94" t="s">
        <v>227</v>
      </c>
      <c r="W47" s="78"/>
      <c r="X47" s="97">
        <v>10</v>
      </c>
      <c r="Y47" s="100">
        <v>13</v>
      </c>
      <c r="Z47" s="106">
        <v>24</v>
      </c>
      <c r="AA47" s="105">
        <v>29</v>
      </c>
      <c r="AB47" s="104">
        <v>29</v>
      </c>
      <c r="AC47" s="106" t="s">
        <v>92</v>
      </c>
      <c r="AD47" s="112">
        <f>'INDATA prices'!$C$7*'INDATA Fuel relations'!$D$27</f>
        <v>10.276598014356281</v>
      </c>
      <c r="AE47" s="79">
        <f t="shared" si="8"/>
        <v>2.8219455465210719</v>
      </c>
      <c r="AF47" s="139">
        <f t="shared" si="9"/>
        <v>1</v>
      </c>
      <c r="AH47" s="104">
        <v>26</v>
      </c>
    </row>
    <row r="48" spans="2:34" x14ac:dyDescent="0.3">
      <c r="B48" t="s">
        <v>117</v>
      </c>
      <c r="I48" s="59"/>
      <c r="K48" s="59"/>
      <c r="L48" s="59"/>
      <c r="M48" s="59"/>
      <c r="N48" s="59"/>
      <c r="O48" s="59"/>
      <c r="P48" s="59"/>
      <c r="Q48" s="59"/>
      <c r="R48" s="59"/>
      <c r="S48" s="59"/>
      <c r="U48" s="77" t="s">
        <v>203</v>
      </c>
      <c r="V48" s="94" t="s">
        <v>211</v>
      </c>
      <c r="W48" s="78" t="s">
        <v>124</v>
      </c>
      <c r="X48" s="96" t="s">
        <v>205</v>
      </c>
      <c r="Y48" s="100">
        <v>20</v>
      </c>
      <c r="Z48" s="102" t="s">
        <v>207</v>
      </c>
      <c r="AA48" s="103" t="s">
        <v>208</v>
      </c>
      <c r="AB48" s="104">
        <v>35</v>
      </c>
      <c r="AC48" s="106" t="s">
        <v>90</v>
      </c>
      <c r="AD48" s="112">
        <f>'INDATA prices'!$C$7*'INDATA Fuel relations'!$D$25</f>
        <v>10.276598014356281</v>
      </c>
      <c r="AE48" s="79">
        <f t="shared" si="8"/>
        <v>3.4057963492495698</v>
      </c>
      <c r="AF48" s="139">
        <f t="shared" si="9"/>
        <v>1</v>
      </c>
      <c r="AH48" s="104">
        <v>31</v>
      </c>
    </row>
    <row r="49" spans="2:36" ht="15" thickBot="1" x14ac:dyDescent="0.35">
      <c r="B49" s="20" t="s">
        <v>103</v>
      </c>
      <c r="C49" s="20"/>
      <c r="D49" s="3"/>
      <c r="E49" s="3"/>
      <c r="F49" s="3"/>
      <c r="G49" s="3"/>
      <c r="H49" s="3"/>
      <c r="I49" s="59"/>
      <c r="K49" s="59"/>
      <c r="L49" s="59"/>
      <c r="M49" s="59"/>
      <c r="N49" s="59"/>
      <c r="O49" s="59"/>
      <c r="P49" s="59"/>
      <c r="Q49" s="59"/>
      <c r="R49" s="59"/>
      <c r="S49" s="59"/>
      <c r="U49" s="140" t="s">
        <v>289</v>
      </c>
      <c r="V49" s="141"/>
      <c r="W49" s="142" t="s">
        <v>285</v>
      </c>
      <c r="X49" s="141"/>
      <c r="Y49" s="143"/>
      <c r="Z49" s="141"/>
      <c r="AA49" s="142"/>
      <c r="AB49" s="144">
        <v>25</v>
      </c>
      <c r="AC49" s="145" t="s">
        <v>92</v>
      </c>
      <c r="AD49" s="146">
        <f>'INDATA prices'!$C$7*'INDATA Fuel relations'!$D$27</f>
        <v>10.276598014356281</v>
      </c>
      <c r="AE49" s="147">
        <f t="shared" ref="AE49:AE58" si="10">AB49/AD49*AF49</f>
        <v>2.4327116780354068</v>
      </c>
      <c r="AF49" s="148">
        <f>AF52</f>
        <v>1</v>
      </c>
      <c r="AH49" s="104">
        <v>22</v>
      </c>
    </row>
    <row r="50" spans="2:36" x14ac:dyDescent="0.3">
      <c r="B50" s="43" t="s">
        <v>92</v>
      </c>
      <c r="C50" s="44"/>
      <c r="D50" s="83">
        <v>1</v>
      </c>
      <c r="E50" s="83">
        <f t="shared" si="5"/>
        <v>1</v>
      </c>
      <c r="F50" s="83">
        <v>1</v>
      </c>
      <c r="G50" s="83">
        <f t="shared" si="5"/>
        <v>1</v>
      </c>
      <c r="H50" s="83">
        <v>1</v>
      </c>
      <c r="I50" s="59"/>
      <c r="K50" s="65">
        <v>1</v>
      </c>
      <c r="L50" s="65">
        <f t="shared" ref="L50:L53" si="11">AVERAGE(K50,M50)</f>
        <v>1</v>
      </c>
      <c r="M50" s="65">
        <v>1</v>
      </c>
      <c r="N50" s="65">
        <f t="shared" ref="N50:N53" si="12">AVERAGE(M50,O50)</f>
        <v>1</v>
      </c>
      <c r="O50" s="65">
        <v>1</v>
      </c>
      <c r="P50" s="59"/>
      <c r="Q50" s="65">
        <v>1</v>
      </c>
      <c r="R50" s="65">
        <v>1</v>
      </c>
      <c r="S50" s="65">
        <v>1</v>
      </c>
      <c r="U50" s="77" t="s">
        <v>216</v>
      </c>
      <c r="V50" s="94" t="s">
        <v>213</v>
      </c>
      <c r="W50" s="78" t="s">
        <v>126</v>
      </c>
      <c r="X50" s="96" t="s">
        <v>205</v>
      </c>
      <c r="Y50" s="100">
        <v>20</v>
      </c>
      <c r="Z50" s="102" t="s">
        <v>217</v>
      </c>
      <c r="AA50" s="103" t="s">
        <v>218</v>
      </c>
      <c r="AB50" s="104">
        <v>25</v>
      </c>
      <c r="AC50" s="106" t="s">
        <v>92</v>
      </c>
      <c r="AD50" s="112">
        <f>'INDATA prices'!$C$7*'INDATA Fuel relations'!$D$27</f>
        <v>10.276598014356281</v>
      </c>
      <c r="AE50" s="79">
        <f t="shared" si="10"/>
        <v>2.4327116780354068</v>
      </c>
      <c r="AF50" s="139">
        <f>AF48</f>
        <v>1</v>
      </c>
      <c r="AH50" s="104">
        <v>22</v>
      </c>
    </row>
    <row r="51" spans="2:36" x14ac:dyDescent="0.3">
      <c r="B51" s="24" t="s">
        <v>123</v>
      </c>
      <c r="D51" s="27">
        <f>LOOKUP(B51, $W$44:$W$52, $AE$44:$AE$52)</f>
        <v>2.3354032109139906</v>
      </c>
      <c r="E51" s="27">
        <f t="shared" si="5"/>
        <v>2.2677016054569954</v>
      </c>
      <c r="F51" s="27">
        <v>2.2000000000000002</v>
      </c>
      <c r="G51" s="27">
        <f t="shared" si="5"/>
        <v>2.1</v>
      </c>
      <c r="H51" s="27">
        <v>2</v>
      </c>
      <c r="I51" s="59"/>
      <c r="K51" s="61">
        <f>K45</f>
        <v>1.1000000000000001</v>
      </c>
      <c r="L51" s="61">
        <f t="shared" si="11"/>
        <v>1.0750000000000002</v>
      </c>
      <c r="M51" s="61">
        <f t="shared" ref="M51" si="13">M45</f>
        <v>1.05</v>
      </c>
      <c r="N51" s="61">
        <f t="shared" si="12"/>
        <v>1.03</v>
      </c>
      <c r="O51" s="61">
        <f t="shared" ref="O51" si="14">O45</f>
        <v>1.01</v>
      </c>
      <c r="P51" s="59"/>
      <c r="Q51" s="61">
        <v>1.3</v>
      </c>
      <c r="R51" s="61">
        <v>1.3</v>
      </c>
      <c r="S51" s="61">
        <v>1.3</v>
      </c>
      <c r="U51" s="77" t="s">
        <v>209</v>
      </c>
      <c r="V51" s="94" t="s">
        <v>213</v>
      </c>
      <c r="W51" s="78" t="s">
        <v>137</v>
      </c>
      <c r="X51" s="96" t="s">
        <v>205</v>
      </c>
      <c r="Y51" s="100">
        <v>20</v>
      </c>
      <c r="Z51" s="102" t="s">
        <v>217</v>
      </c>
      <c r="AA51" s="103" t="s">
        <v>218</v>
      </c>
      <c r="AB51" s="104">
        <v>24</v>
      </c>
      <c r="AC51" s="106" t="s">
        <v>92</v>
      </c>
      <c r="AD51" s="112">
        <f>'INDATA prices'!$C$7*'INDATA Fuel relations'!$D$27</f>
        <v>10.276598014356281</v>
      </c>
      <c r="AE51" s="79">
        <f t="shared" si="10"/>
        <v>2.3354032109139906</v>
      </c>
      <c r="AF51" s="139">
        <f t="shared" ref="AF51:AF58" si="15">AF50</f>
        <v>1</v>
      </c>
      <c r="AH51" s="104">
        <v>18</v>
      </c>
    </row>
    <row r="52" spans="2:36" x14ac:dyDescent="0.3">
      <c r="B52" s="24" t="s">
        <v>285</v>
      </c>
      <c r="D52" s="27">
        <f>LOOKUP(B52, $W$44:$W$52, $AE$44:$AE$52)</f>
        <v>2.4327116780354068</v>
      </c>
      <c r="E52" s="27">
        <f t="shared" ref="E52" si="16">AVERAGE(D52,F52)</f>
        <v>2.3163558390177035</v>
      </c>
      <c r="F52" s="27">
        <v>2.2000000000000002</v>
      </c>
      <c r="G52" s="27">
        <f t="shared" ref="G52" si="17">AVERAGE(F52,H52)</f>
        <v>2.1</v>
      </c>
      <c r="H52" s="27">
        <v>2</v>
      </c>
      <c r="I52" s="59"/>
      <c r="K52" s="61"/>
      <c r="L52" s="61"/>
      <c r="M52" s="61"/>
      <c r="N52" s="61"/>
      <c r="O52" s="61"/>
      <c r="P52" s="59"/>
      <c r="Q52" s="61"/>
      <c r="R52" s="61"/>
      <c r="S52" s="61"/>
      <c r="U52" s="77" t="s">
        <v>228</v>
      </c>
      <c r="V52" s="94" t="s">
        <v>229</v>
      </c>
      <c r="W52" s="78" t="s">
        <v>104</v>
      </c>
      <c r="X52" s="94">
        <v>0</v>
      </c>
      <c r="Y52" s="100">
        <v>80</v>
      </c>
      <c r="Z52" s="94">
        <v>11</v>
      </c>
      <c r="AA52" s="78">
        <v>34</v>
      </c>
      <c r="AB52" s="104">
        <v>34</v>
      </c>
      <c r="AC52" s="106" t="s">
        <v>92</v>
      </c>
      <c r="AD52" s="112">
        <f>'INDATA prices'!$C$7*'INDATA Fuel relations'!$D$27</f>
        <v>10.276598014356281</v>
      </c>
      <c r="AE52" s="79">
        <f t="shared" si="10"/>
        <v>3.3084878821281536</v>
      </c>
      <c r="AF52" s="139">
        <f t="shared" si="15"/>
        <v>1</v>
      </c>
      <c r="AH52" s="104"/>
      <c r="AJ52" s="149" t="s">
        <v>290</v>
      </c>
    </row>
    <row r="53" spans="2:36" ht="15" thickBot="1" x14ac:dyDescent="0.35">
      <c r="B53" s="25" t="s">
        <v>126</v>
      </c>
      <c r="C53" s="41"/>
      <c r="D53" s="29">
        <f>LOOKUP(B53, $W$44:$W$52, $AE$44:$AE$52)</f>
        <v>2.4327116780354068</v>
      </c>
      <c r="E53" s="29">
        <f t="shared" si="5"/>
        <v>2.3163558390177035</v>
      </c>
      <c r="F53" s="29">
        <v>2.2000000000000002</v>
      </c>
      <c r="G53" s="29">
        <f t="shared" si="5"/>
        <v>2.1</v>
      </c>
      <c r="H53" s="29">
        <f t="shared" ref="H53" si="18">H44</f>
        <v>2</v>
      </c>
      <c r="I53" s="59"/>
      <c r="K53" s="63">
        <f>K44</f>
        <v>1.5</v>
      </c>
      <c r="L53" s="63">
        <f t="shared" si="11"/>
        <v>1.35</v>
      </c>
      <c r="M53" s="63">
        <f t="shared" ref="M53" si="19">M44</f>
        <v>1.2</v>
      </c>
      <c r="N53" s="63">
        <f t="shared" si="12"/>
        <v>1.1499999999999999</v>
      </c>
      <c r="O53" s="63">
        <f t="shared" ref="O53" si="20">O44</f>
        <v>1.1000000000000001</v>
      </c>
      <c r="P53" s="59"/>
      <c r="Q53" s="63">
        <v>2</v>
      </c>
      <c r="R53" s="63">
        <v>1.5</v>
      </c>
      <c r="S53" s="63">
        <v>1.3</v>
      </c>
      <c r="U53" s="77" t="s">
        <v>216</v>
      </c>
      <c r="V53" s="94" t="s">
        <v>219</v>
      </c>
      <c r="W53" s="78"/>
      <c r="X53" s="96" t="s">
        <v>205</v>
      </c>
      <c r="Y53" s="100">
        <v>20</v>
      </c>
      <c r="Z53" s="102" t="s">
        <v>221</v>
      </c>
      <c r="AA53" s="105"/>
      <c r="AB53" s="104">
        <v>24</v>
      </c>
      <c r="AC53" s="106" t="s">
        <v>92</v>
      </c>
      <c r="AD53" s="112">
        <f>'INDATA prices'!$C$7*'INDATA Fuel relations'!$D$27</f>
        <v>10.276598014356281</v>
      </c>
      <c r="AE53" s="79">
        <f t="shared" si="10"/>
        <v>2.3354032109139906</v>
      </c>
      <c r="AF53" s="139">
        <f t="shared" si="15"/>
        <v>1</v>
      </c>
      <c r="AH53" s="104">
        <v>21</v>
      </c>
    </row>
    <row r="54" spans="2:36" x14ac:dyDescent="0.3">
      <c r="I54" s="59"/>
      <c r="K54" s="59"/>
      <c r="L54" s="59"/>
      <c r="M54" s="59"/>
      <c r="N54" s="59"/>
      <c r="O54" s="59"/>
      <c r="P54" s="59"/>
      <c r="Q54" s="59"/>
      <c r="R54" s="59"/>
      <c r="S54" s="59"/>
      <c r="U54" s="77" t="s">
        <v>230</v>
      </c>
      <c r="V54" s="94"/>
      <c r="W54" s="78"/>
      <c r="X54" s="94"/>
      <c r="Y54" s="101"/>
      <c r="Z54" s="107">
        <f>80/3.6</f>
        <v>22.222222222222221</v>
      </c>
      <c r="AA54" s="108">
        <f>140/3.6</f>
        <v>38.888888888888886</v>
      </c>
      <c r="AB54" s="104">
        <v>39</v>
      </c>
      <c r="AC54" s="106" t="s">
        <v>94</v>
      </c>
      <c r="AD54" s="112">
        <f>'INDATA prices'!$C$7*'INDATA Fuel relations'!$D$29</f>
        <v>11.067415019431772</v>
      </c>
      <c r="AE54" s="79">
        <f t="shared" si="10"/>
        <v>3.5238580943720996</v>
      </c>
      <c r="AF54" s="139">
        <f t="shared" si="15"/>
        <v>1</v>
      </c>
      <c r="AH54" s="104">
        <v>33</v>
      </c>
    </row>
    <row r="55" spans="2:36" x14ac:dyDescent="0.3">
      <c r="B55" t="s">
        <v>232</v>
      </c>
      <c r="I55" s="59"/>
      <c r="K55" s="59"/>
      <c r="L55" s="59"/>
      <c r="M55" s="59"/>
      <c r="N55" s="59"/>
      <c r="O55" s="59"/>
      <c r="P55" s="59"/>
      <c r="Q55" s="59"/>
      <c r="R55" s="59"/>
      <c r="S55" s="59"/>
      <c r="U55" s="77" t="s">
        <v>203</v>
      </c>
      <c r="V55" s="94" t="s">
        <v>211</v>
      </c>
      <c r="W55" s="78" t="s">
        <v>124</v>
      </c>
      <c r="X55" s="96" t="s">
        <v>205</v>
      </c>
      <c r="Y55" s="100">
        <v>20</v>
      </c>
      <c r="Z55" s="102" t="s">
        <v>207</v>
      </c>
      <c r="AA55" s="103" t="s">
        <v>208</v>
      </c>
      <c r="AB55" s="104">
        <v>35</v>
      </c>
      <c r="AC55" s="106" t="s">
        <v>90</v>
      </c>
      <c r="AD55" s="112">
        <f>'INDATA prices'!$C$7*'INDATA Fuel relations'!$D$25</f>
        <v>10.276598014356281</v>
      </c>
      <c r="AE55" s="79">
        <f t="shared" si="10"/>
        <v>3.4057963492495698</v>
      </c>
      <c r="AF55" s="139">
        <f t="shared" si="15"/>
        <v>1</v>
      </c>
      <c r="AH55" s="104">
        <v>31</v>
      </c>
    </row>
    <row r="56" spans="2:36" ht="15" thickBot="1" x14ac:dyDescent="0.35">
      <c r="B56" s="20" t="s">
        <v>103</v>
      </c>
      <c r="C56" s="20"/>
      <c r="D56" s="3"/>
      <c r="E56" s="3"/>
      <c r="F56" s="3"/>
      <c r="G56" s="3"/>
      <c r="H56" s="3"/>
      <c r="I56" s="59"/>
      <c r="K56" s="59"/>
      <c r="L56" s="59"/>
      <c r="M56" s="59"/>
      <c r="N56" s="59"/>
      <c r="O56" s="59"/>
      <c r="P56" s="59"/>
      <c r="Q56" s="59"/>
      <c r="R56" s="59"/>
      <c r="S56" s="59"/>
      <c r="U56" s="77" t="s">
        <v>216</v>
      </c>
      <c r="V56" s="94" t="s">
        <v>213</v>
      </c>
      <c r="W56" s="78" t="s">
        <v>126</v>
      </c>
      <c r="X56" s="96" t="s">
        <v>205</v>
      </c>
      <c r="Y56" s="100">
        <v>20</v>
      </c>
      <c r="Z56" s="102" t="s">
        <v>217</v>
      </c>
      <c r="AA56" s="103" t="s">
        <v>218</v>
      </c>
      <c r="AB56" s="104">
        <v>25</v>
      </c>
      <c r="AC56" s="106" t="s">
        <v>92</v>
      </c>
      <c r="AD56" s="112">
        <f>'INDATA prices'!$C$7*'INDATA Fuel relations'!$D$27</f>
        <v>10.276598014356281</v>
      </c>
      <c r="AE56" s="79">
        <f t="shared" si="10"/>
        <v>2.4327116780354068</v>
      </c>
      <c r="AF56" s="139">
        <f t="shared" si="15"/>
        <v>1</v>
      </c>
      <c r="AH56" s="104">
        <v>22</v>
      </c>
    </row>
    <row r="57" spans="2:36" x14ac:dyDescent="0.3">
      <c r="B57" s="43" t="s">
        <v>94</v>
      </c>
      <c r="C57" s="44"/>
      <c r="D57" s="83">
        <v>1</v>
      </c>
      <c r="E57" s="83">
        <f t="shared" ref="E57:E58" si="21">AVERAGE(D57,F57)</f>
        <v>1</v>
      </c>
      <c r="F57" s="83">
        <v>1</v>
      </c>
      <c r="G57" s="83">
        <f t="shared" ref="G57:G58" si="22">AVERAGE(F57,H57)</f>
        <v>1</v>
      </c>
      <c r="H57" s="83">
        <v>1</v>
      </c>
      <c r="I57" s="59"/>
      <c r="K57" s="65">
        <v>1</v>
      </c>
      <c r="L57" s="65">
        <f t="shared" ref="L57:L58" si="23">AVERAGE(K57,M57)</f>
        <v>1</v>
      </c>
      <c r="M57" s="65">
        <v>1</v>
      </c>
      <c r="N57" s="65">
        <f t="shared" ref="N57:N58" si="24">AVERAGE(M57,O57)</f>
        <v>1</v>
      </c>
      <c r="O57" s="65">
        <v>1</v>
      </c>
      <c r="P57" s="59"/>
      <c r="Q57" s="65">
        <v>1</v>
      </c>
      <c r="R57" s="65">
        <v>1</v>
      </c>
      <c r="S57" s="65">
        <v>1</v>
      </c>
      <c r="U57" s="77" t="s">
        <v>209</v>
      </c>
      <c r="V57" s="94" t="s">
        <v>213</v>
      </c>
      <c r="W57" s="78" t="s">
        <v>137</v>
      </c>
      <c r="X57" s="96" t="s">
        <v>205</v>
      </c>
      <c r="Y57" s="100">
        <v>20</v>
      </c>
      <c r="Z57" s="102" t="s">
        <v>217</v>
      </c>
      <c r="AA57" s="103" t="s">
        <v>218</v>
      </c>
      <c r="AB57" s="104">
        <v>25</v>
      </c>
      <c r="AC57" s="106" t="s">
        <v>92</v>
      </c>
      <c r="AD57" s="112">
        <f>'INDATA prices'!$C$7*'INDATA Fuel relations'!$D$27</f>
        <v>10.276598014356281</v>
      </c>
      <c r="AE57" s="79">
        <f t="shared" si="10"/>
        <v>2.4327116780354068</v>
      </c>
      <c r="AF57" s="139">
        <f t="shared" si="15"/>
        <v>1</v>
      </c>
      <c r="AH57" s="104">
        <v>22</v>
      </c>
    </row>
    <row r="58" spans="2:36" ht="15" thickBot="1" x14ac:dyDescent="0.35">
      <c r="B58" s="25" t="s">
        <v>231</v>
      </c>
      <c r="C58" s="41"/>
      <c r="D58" s="29">
        <f>AE54</f>
        <v>3.5238580943720996</v>
      </c>
      <c r="E58" s="29">
        <f t="shared" si="21"/>
        <v>3.3619290471860497</v>
      </c>
      <c r="F58" s="29">
        <v>3.2</v>
      </c>
      <c r="G58" s="29">
        <f t="shared" si="22"/>
        <v>3.1</v>
      </c>
      <c r="H58" s="29">
        <v>3</v>
      </c>
      <c r="I58" s="59"/>
      <c r="K58" s="61">
        <f>K51</f>
        <v>1.1000000000000001</v>
      </c>
      <c r="L58" s="61">
        <f t="shared" si="23"/>
        <v>1.0750000000000002</v>
      </c>
      <c r="M58" s="61">
        <f t="shared" ref="M58" si="25">M51</f>
        <v>1.05</v>
      </c>
      <c r="N58" s="61">
        <f t="shared" si="24"/>
        <v>1.03</v>
      </c>
      <c r="O58" s="61">
        <f t="shared" ref="O58" si="26">O51</f>
        <v>1.01</v>
      </c>
      <c r="P58" s="59"/>
      <c r="Q58" s="61">
        <v>1.3</v>
      </c>
      <c r="R58" s="61">
        <v>1.3</v>
      </c>
      <c r="S58" s="61">
        <v>1.3</v>
      </c>
      <c r="U58" s="77" t="s">
        <v>228</v>
      </c>
      <c r="V58" s="94" t="s">
        <v>229</v>
      </c>
      <c r="W58" s="78" t="s">
        <v>104</v>
      </c>
      <c r="X58" s="98">
        <v>0</v>
      </c>
      <c r="Y58" s="100">
        <v>80</v>
      </c>
      <c r="Z58" s="94">
        <v>11</v>
      </c>
      <c r="AA58">
        <v>34</v>
      </c>
      <c r="AB58" s="104">
        <v>30</v>
      </c>
      <c r="AC58" s="106" t="s">
        <v>92</v>
      </c>
      <c r="AD58" s="112">
        <f>'INDATA prices'!$C$7*'INDATA Fuel relations'!$D$27</f>
        <v>10.276598014356281</v>
      </c>
      <c r="AE58" s="79">
        <f t="shared" si="10"/>
        <v>2.9192540136424885</v>
      </c>
      <c r="AF58" s="139">
        <f t="shared" si="15"/>
        <v>1</v>
      </c>
      <c r="AH58" s="104">
        <v>18</v>
      </c>
    </row>
    <row r="59" spans="2:36" x14ac:dyDescent="0.3">
      <c r="I59" s="59"/>
      <c r="K59" s="59"/>
      <c r="L59" s="59"/>
      <c r="M59" s="59"/>
      <c r="N59" s="59"/>
      <c r="O59" s="59"/>
      <c r="P59" s="59"/>
      <c r="Q59" s="59"/>
      <c r="R59" s="59"/>
      <c r="S59" s="59"/>
    </row>
    <row r="60" spans="2:36" x14ac:dyDescent="0.3">
      <c r="B60" t="s">
        <v>170</v>
      </c>
      <c r="I60" s="59"/>
      <c r="K60" s="59"/>
      <c r="L60" s="59"/>
      <c r="M60" s="59"/>
      <c r="N60" s="59"/>
      <c r="O60" s="59"/>
      <c r="P60" s="59"/>
      <c r="Q60" s="59"/>
      <c r="R60" s="59"/>
      <c r="S60" s="59"/>
    </row>
    <row r="61" spans="2:36" ht="15" thickBot="1" x14ac:dyDescent="0.35">
      <c r="B61" s="20" t="s">
        <v>103</v>
      </c>
      <c r="C61" s="20"/>
      <c r="I61" s="59"/>
      <c r="K61" s="59"/>
      <c r="L61" s="59"/>
      <c r="M61" s="59"/>
      <c r="N61" s="59"/>
      <c r="O61" s="59"/>
      <c r="P61" s="59"/>
      <c r="Q61" s="59"/>
      <c r="R61" s="59"/>
      <c r="S61" s="59"/>
    </row>
    <row r="62" spans="2:36" x14ac:dyDescent="0.3">
      <c r="B62" s="45" t="s">
        <v>88</v>
      </c>
      <c r="C62" s="46"/>
      <c r="D62" s="85">
        <v>1</v>
      </c>
      <c r="E62" s="84">
        <f t="shared" si="5"/>
        <v>1</v>
      </c>
      <c r="F62" s="84">
        <v>1</v>
      </c>
      <c r="G62" s="84">
        <f t="shared" si="5"/>
        <v>1</v>
      </c>
      <c r="H62" s="84">
        <v>1</v>
      </c>
      <c r="I62" s="59"/>
      <c r="K62" s="66">
        <v>1</v>
      </c>
      <c r="L62" s="67">
        <f t="shared" ref="L62:L64" si="27">AVERAGE(K62,M62)</f>
        <v>1</v>
      </c>
      <c r="M62" s="67">
        <v>1</v>
      </c>
      <c r="N62" s="67">
        <f t="shared" ref="N62:N64" si="28">AVERAGE(M62,O62)</f>
        <v>1</v>
      </c>
      <c r="O62" s="67">
        <v>1</v>
      </c>
      <c r="P62" s="59"/>
      <c r="Q62" s="68">
        <v>1</v>
      </c>
      <c r="R62" s="68">
        <v>1</v>
      </c>
      <c r="S62" s="68">
        <v>1</v>
      </c>
    </row>
    <row r="63" spans="2:36" ht="15" thickBot="1" x14ac:dyDescent="0.35">
      <c r="B63" s="24" t="s">
        <v>137</v>
      </c>
      <c r="D63" s="27">
        <f>LOOKUP(B63, $W$44:$W$52, $AE$44:$AE$52)</f>
        <v>2.3354032109139906</v>
      </c>
      <c r="E63" s="28">
        <f t="shared" si="5"/>
        <v>2.2677016054569954</v>
      </c>
      <c r="F63" s="28">
        <v>2.2000000000000002</v>
      </c>
      <c r="G63" s="28">
        <f t="shared" si="5"/>
        <v>2.1</v>
      </c>
      <c r="H63" s="28">
        <f>H51</f>
        <v>2</v>
      </c>
      <c r="I63" s="59"/>
      <c r="K63" s="69">
        <f>K51</f>
        <v>1.1000000000000001</v>
      </c>
      <c r="L63" s="62">
        <f t="shared" si="27"/>
        <v>1.0750000000000002</v>
      </c>
      <c r="M63" s="62">
        <f>M51</f>
        <v>1.05</v>
      </c>
      <c r="N63" s="62">
        <f t="shared" si="28"/>
        <v>1.03</v>
      </c>
      <c r="O63" s="62">
        <f>O51</f>
        <v>1.01</v>
      </c>
      <c r="P63" s="59"/>
      <c r="Q63" s="63">
        <f>Q62*1.2</f>
        <v>1.2</v>
      </c>
      <c r="R63" s="63">
        <f>R62*1.2</f>
        <v>1.2</v>
      </c>
      <c r="S63" s="63">
        <f>S62*1.2</f>
        <v>1.2</v>
      </c>
    </row>
    <row r="64" spans="2:36" ht="15" thickBot="1" x14ac:dyDescent="0.35">
      <c r="B64" s="25" t="s">
        <v>104</v>
      </c>
      <c r="C64" s="41"/>
      <c r="D64" s="29">
        <f>LOOKUP(B64, $W$44:$W$52, $AE$44:$AE$52)</f>
        <v>3.3084878821281536</v>
      </c>
      <c r="E64" s="47">
        <v>1.46</v>
      </c>
      <c r="F64" s="47">
        <v>1.46</v>
      </c>
      <c r="G64" s="47">
        <v>1.46</v>
      </c>
      <c r="H64" s="47">
        <v>1.46</v>
      </c>
      <c r="I64" s="59"/>
      <c r="K64" s="70">
        <f>K63/0.6</f>
        <v>1.8333333333333335</v>
      </c>
      <c r="L64" s="71">
        <f t="shared" si="27"/>
        <v>1.791666666666667</v>
      </c>
      <c r="M64" s="71">
        <f>M63/0.6</f>
        <v>1.7500000000000002</v>
      </c>
      <c r="N64" s="71">
        <f t="shared" si="28"/>
        <v>1.7166666666666668</v>
      </c>
      <c r="O64" s="71">
        <f>O63/0.6</f>
        <v>1.6833333333333333</v>
      </c>
      <c r="P64" s="59"/>
      <c r="Q64" s="72"/>
      <c r="R64" s="72"/>
      <c r="S64" s="72"/>
      <c r="T64" s="136"/>
    </row>
    <row r="65" spans="2:19" x14ac:dyDescent="0.3">
      <c r="I65" s="59"/>
      <c r="K65" s="59"/>
      <c r="L65" s="59"/>
      <c r="M65" s="59"/>
      <c r="N65" s="59"/>
      <c r="O65" s="59"/>
      <c r="P65" s="59"/>
      <c r="Q65" s="59"/>
      <c r="R65" s="59"/>
      <c r="S65" s="59"/>
    </row>
    <row r="66" spans="2:19" x14ac:dyDescent="0.3">
      <c r="B66" t="s">
        <v>127</v>
      </c>
      <c r="I66" s="59"/>
      <c r="K66" s="59"/>
      <c r="L66" s="59"/>
      <c r="M66" s="59"/>
      <c r="N66" s="59"/>
      <c r="O66" s="59"/>
      <c r="P66" s="59"/>
      <c r="Q66" s="59"/>
      <c r="R66" s="59"/>
      <c r="S66" s="59"/>
    </row>
    <row r="67" spans="2:19" ht="15" thickBot="1" x14ac:dyDescent="0.35">
      <c r="B67" s="20" t="s">
        <v>103</v>
      </c>
      <c r="C67" s="20"/>
      <c r="I67" s="59"/>
      <c r="K67" s="59"/>
      <c r="L67" s="59"/>
      <c r="M67" s="59"/>
      <c r="N67" s="59"/>
      <c r="O67" s="59"/>
      <c r="P67" s="59"/>
      <c r="Q67" s="59"/>
      <c r="R67" s="59"/>
      <c r="S67" s="59"/>
    </row>
    <row r="68" spans="2:19" x14ac:dyDescent="0.3">
      <c r="B68" s="26" t="s">
        <v>105</v>
      </c>
      <c r="C68" s="33"/>
      <c r="D68" s="86">
        <v>1</v>
      </c>
      <c r="E68" s="86">
        <f t="shared" si="5"/>
        <v>1</v>
      </c>
      <c r="F68" s="86">
        <v>1</v>
      </c>
      <c r="G68" s="86">
        <f t="shared" si="5"/>
        <v>1</v>
      </c>
      <c r="H68" s="86">
        <v>1</v>
      </c>
      <c r="I68" s="59"/>
      <c r="K68" s="73">
        <v>1</v>
      </c>
      <c r="L68" s="73">
        <f t="shared" ref="L68:L70" si="29">AVERAGE(K68,M68)</f>
        <v>1</v>
      </c>
      <c r="M68" s="73">
        <v>1</v>
      </c>
      <c r="N68" s="73">
        <f t="shared" ref="N68:N70" si="30">AVERAGE(M68,O68)</f>
        <v>1</v>
      </c>
      <c r="O68" s="73">
        <v>1</v>
      </c>
      <c r="P68" s="59"/>
      <c r="Q68" s="73">
        <v>1</v>
      </c>
      <c r="R68" s="73">
        <v>1</v>
      </c>
      <c r="S68" s="73">
        <v>1</v>
      </c>
    </row>
    <row r="69" spans="2:19" x14ac:dyDescent="0.3">
      <c r="B69" s="24" t="s">
        <v>129</v>
      </c>
      <c r="D69" s="27">
        <f>D68*1.5</f>
        <v>1.5</v>
      </c>
      <c r="E69" s="27">
        <f t="shared" si="5"/>
        <v>1.5</v>
      </c>
      <c r="F69" s="28">
        <f>F68*1.5</f>
        <v>1.5</v>
      </c>
      <c r="G69" s="27">
        <f t="shared" si="5"/>
        <v>1.5</v>
      </c>
      <c r="H69" s="27">
        <f>H68*1.5</f>
        <v>1.5</v>
      </c>
      <c r="I69" s="59"/>
      <c r="K69" s="61">
        <f>K68*1.5</f>
        <v>1.5</v>
      </c>
      <c r="L69" s="61">
        <f t="shared" si="29"/>
        <v>1.5</v>
      </c>
      <c r="M69" s="62">
        <f>M68*1.5</f>
        <v>1.5</v>
      </c>
      <c r="N69" s="61">
        <f t="shared" si="30"/>
        <v>1.5</v>
      </c>
      <c r="O69" s="61">
        <f>O68*1.5</f>
        <v>1.5</v>
      </c>
      <c r="P69" s="59"/>
      <c r="Q69" s="61">
        <f>Q68*1.5</f>
        <v>1.5</v>
      </c>
      <c r="R69" s="62">
        <f>R68*1.5</f>
        <v>1.5</v>
      </c>
      <c r="S69" s="61">
        <f>S68*1.5</f>
        <v>1.5</v>
      </c>
    </row>
    <row r="70" spans="2:19" ht="15" thickBot="1" x14ac:dyDescent="0.35">
      <c r="B70" s="25" t="s">
        <v>128</v>
      </c>
      <c r="C70" s="41"/>
      <c r="D70" s="29">
        <f>D69</f>
        <v>1.5</v>
      </c>
      <c r="E70" s="29">
        <f t="shared" si="5"/>
        <v>1.5</v>
      </c>
      <c r="F70" s="29">
        <f>F69</f>
        <v>1.5</v>
      </c>
      <c r="G70" s="29">
        <f t="shared" si="5"/>
        <v>1.5</v>
      </c>
      <c r="H70" s="29">
        <f>H69</f>
        <v>1.5</v>
      </c>
      <c r="I70" s="59"/>
      <c r="K70" s="63">
        <f>K69</f>
        <v>1.5</v>
      </c>
      <c r="L70" s="63">
        <f t="shared" si="29"/>
        <v>1.5</v>
      </c>
      <c r="M70" s="63">
        <f>M69</f>
        <v>1.5</v>
      </c>
      <c r="N70" s="63">
        <f t="shared" si="30"/>
        <v>1.5</v>
      </c>
      <c r="O70" s="63">
        <f>O69</f>
        <v>1.5</v>
      </c>
      <c r="P70" s="59"/>
      <c r="Q70" s="63">
        <f>Q69</f>
        <v>1.5</v>
      </c>
      <c r="R70" s="63">
        <f>R69</f>
        <v>1.5</v>
      </c>
      <c r="S70" s="63">
        <f>S69</f>
        <v>1.5</v>
      </c>
    </row>
    <row r="71" spans="2:19" x14ac:dyDescent="0.3">
      <c r="I71" s="59"/>
      <c r="K71" s="59"/>
      <c r="L71" s="59"/>
      <c r="M71" s="59"/>
      <c r="N71" s="59"/>
      <c r="O71" s="59"/>
      <c r="P71" s="59"/>
      <c r="Q71" s="59"/>
      <c r="R71" s="59"/>
      <c r="S71" s="59"/>
    </row>
    <row r="72" spans="2:19" x14ac:dyDescent="0.3"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2:19" x14ac:dyDescent="0.3">
      <c r="D73" t="s">
        <v>106</v>
      </c>
    </row>
    <row r="74" spans="2:19" x14ac:dyDescent="0.3">
      <c r="D74" t="s">
        <v>106</v>
      </c>
    </row>
    <row r="75" spans="2:19" x14ac:dyDescent="0.3">
      <c r="D75" t="s">
        <v>106</v>
      </c>
    </row>
    <row r="76" spans="2:19" x14ac:dyDescent="0.3">
      <c r="D76" t="s">
        <v>106</v>
      </c>
    </row>
    <row r="77" spans="2:19" x14ac:dyDescent="0.3">
      <c r="D77" t="s">
        <v>106</v>
      </c>
    </row>
    <row r="78" spans="2:19" x14ac:dyDescent="0.3">
      <c r="D78" t="s">
        <v>106</v>
      </c>
    </row>
    <row r="79" spans="2:19" x14ac:dyDescent="0.3">
      <c r="D79" t="s">
        <v>106</v>
      </c>
    </row>
    <row r="80" spans="2:19" x14ac:dyDescent="0.3">
      <c r="D80" t="s">
        <v>106</v>
      </c>
    </row>
    <row r="81" spans="3:4" x14ac:dyDescent="0.3">
      <c r="D81" t="s">
        <v>106</v>
      </c>
    </row>
    <row r="82" spans="3:4" x14ac:dyDescent="0.3">
      <c r="D82" t="s">
        <v>106</v>
      </c>
    </row>
    <row r="83" spans="3:4" x14ac:dyDescent="0.3">
      <c r="D83" t="s">
        <v>106</v>
      </c>
    </row>
    <row r="84" spans="3:4" x14ac:dyDescent="0.3">
      <c r="D84" t="s">
        <v>106</v>
      </c>
    </row>
    <row r="85" spans="3:4" x14ac:dyDescent="0.3">
      <c r="C85" t="s">
        <v>106</v>
      </c>
    </row>
    <row r="86" spans="3:4" x14ac:dyDescent="0.3">
      <c r="C86" t="s">
        <v>106</v>
      </c>
    </row>
    <row r="87" spans="3:4" x14ac:dyDescent="0.3">
      <c r="C87" t="s">
        <v>106</v>
      </c>
    </row>
    <row r="88" spans="3:4" x14ac:dyDescent="0.3">
      <c r="C88" t="s">
        <v>106</v>
      </c>
    </row>
    <row r="89" spans="3:4" x14ac:dyDescent="0.3">
      <c r="C89" t="s">
        <v>106</v>
      </c>
    </row>
  </sheetData>
  <sortState xmlns:xlrd2="http://schemas.microsoft.com/office/spreadsheetml/2017/richdata2" ref="U41:AF58">
    <sortCondition ref="W44:W54"/>
  </sortState>
  <mergeCells count="3">
    <mergeCell ref="X42:Y42"/>
    <mergeCell ref="Z42:AB42"/>
    <mergeCell ref="U42:U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U53"/>
  <sheetViews>
    <sheetView zoomScale="80" zoomScaleNormal="80" workbookViewId="0">
      <selection activeCell="E7" sqref="E7"/>
    </sheetView>
  </sheetViews>
  <sheetFormatPr defaultColWidth="9.109375" defaultRowHeight="14.4" x14ac:dyDescent="0.3"/>
  <cols>
    <col min="1" max="1" width="8.33203125" customWidth="1"/>
    <col min="2" max="2" width="22.109375" customWidth="1"/>
    <col min="9" max="9" width="10" customWidth="1"/>
    <col min="12" max="12" width="21.88671875" bestFit="1" customWidth="1"/>
    <col min="14" max="14" width="18.6640625" customWidth="1"/>
    <col min="20" max="20" width="11.6640625" bestFit="1" customWidth="1"/>
  </cols>
  <sheetData>
    <row r="2" spans="2:19" x14ac:dyDescent="0.3">
      <c r="B2" t="s">
        <v>83</v>
      </c>
      <c r="E2">
        <v>2100</v>
      </c>
      <c r="G2">
        <f>LOOKUP($E2,'INDATA prices'!$C$6:$I$6,'INDATA prices'!C$9:$I$9)</f>
        <v>1.5684208752980484</v>
      </c>
    </row>
    <row r="3" spans="2:19" x14ac:dyDescent="0.3">
      <c r="B3" t="s">
        <v>84</v>
      </c>
      <c r="C3" t="s">
        <v>86</v>
      </c>
    </row>
    <row r="4" spans="2:19" x14ac:dyDescent="0.3">
      <c r="B4" t="s">
        <v>85</v>
      </c>
      <c r="C4" t="s">
        <v>87</v>
      </c>
    </row>
    <row r="6" spans="2:19" x14ac:dyDescent="0.3">
      <c r="B6" s="1" t="s">
        <v>78</v>
      </c>
      <c r="C6" s="35">
        <f>O19</f>
        <v>2015</v>
      </c>
      <c r="D6" s="35">
        <f t="shared" ref="D6:H6" si="0">P19</f>
        <v>2020</v>
      </c>
      <c r="E6" s="35">
        <f t="shared" si="0"/>
        <v>2030</v>
      </c>
      <c r="F6" s="35">
        <f t="shared" si="0"/>
        <v>2040</v>
      </c>
      <c r="G6" s="35">
        <f t="shared" si="0"/>
        <v>2050</v>
      </c>
      <c r="H6" s="35">
        <f t="shared" si="0"/>
        <v>2060</v>
      </c>
      <c r="I6" s="35">
        <v>2100</v>
      </c>
      <c r="J6" s="2"/>
    </row>
    <row r="7" spans="2:19" x14ac:dyDescent="0.3">
      <c r="B7" s="2" t="s">
        <v>46</v>
      </c>
      <c r="C7" s="11">
        <f>C39</f>
        <v>7.114479437375806</v>
      </c>
      <c r="D7" s="11">
        <f t="shared" ref="D7:I7" si="1">D39</f>
        <v>10.183470567224193</v>
      </c>
      <c r="E7" s="11">
        <f t="shared" si="1"/>
        <v>11.857465728959678</v>
      </c>
      <c r="F7" s="11">
        <f t="shared" si="1"/>
        <v>10.880968551280644</v>
      </c>
      <c r="G7" s="11">
        <f t="shared" si="1"/>
        <v>10.043970970412904</v>
      </c>
      <c r="H7" s="11">
        <f t="shared" si="1"/>
        <v>9.3464729863564511</v>
      </c>
      <c r="I7" s="11">
        <f t="shared" si="1"/>
        <v>9.3464729863564511</v>
      </c>
      <c r="J7" s="2" t="s">
        <v>50</v>
      </c>
    </row>
    <row r="8" spans="2:19" x14ac:dyDescent="0.3">
      <c r="B8" s="2" t="s">
        <v>47</v>
      </c>
      <c r="C8" s="11">
        <f t="shared" ref="C8:I8" si="2">C40</f>
        <v>5.9753078172352909</v>
      </c>
      <c r="D8" s="11">
        <f t="shared" si="2"/>
        <v>5.8899462769890727</v>
      </c>
      <c r="E8" s="11">
        <f t="shared" si="2"/>
        <v>8.0239847831445346</v>
      </c>
      <c r="F8" s="11">
        <f t="shared" si="2"/>
        <v>8.4507924843756275</v>
      </c>
      <c r="G8" s="11">
        <f t="shared" si="2"/>
        <v>8.7068771051142804</v>
      </c>
      <c r="H8" s="11">
        <f t="shared" si="2"/>
        <v>8.9629617258529368</v>
      </c>
      <c r="I8" s="11">
        <f t="shared" si="2"/>
        <v>8.9629617258529368</v>
      </c>
      <c r="J8" s="2" t="s">
        <v>50</v>
      </c>
    </row>
    <row r="9" spans="2:19" x14ac:dyDescent="0.3">
      <c r="B9" s="2" t="s">
        <v>45</v>
      </c>
      <c r="C9" s="11">
        <f t="shared" ref="C9:I9" si="3">C41</f>
        <v>1.7529409782742895</v>
      </c>
      <c r="D9" s="11">
        <f t="shared" si="3"/>
        <v>1.7836943287703295</v>
      </c>
      <c r="E9" s="11">
        <f t="shared" si="3"/>
        <v>1.7529409782742895</v>
      </c>
      <c r="F9" s="11">
        <f t="shared" si="3"/>
        <v>1.5684208752980484</v>
      </c>
      <c r="G9" s="11">
        <f t="shared" si="3"/>
        <v>1.5684208752980484</v>
      </c>
      <c r="H9" s="11">
        <f t="shared" si="3"/>
        <v>1.5684208752980484</v>
      </c>
      <c r="I9" s="11">
        <f t="shared" si="3"/>
        <v>1.5684208752980484</v>
      </c>
      <c r="J9" s="2" t="s">
        <v>50</v>
      </c>
    </row>
    <row r="10" spans="2:19" x14ac:dyDescent="0.3">
      <c r="B10" s="2" t="s">
        <v>110</v>
      </c>
      <c r="C10" s="16">
        <v>2.8</v>
      </c>
      <c r="D10" s="16">
        <v>2.8</v>
      </c>
      <c r="E10" s="16">
        <v>2.8</v>
      </c>
      <c r="F10" s="16">
        <v>2.8</v>
      </c>
      <c r="G10" s="16">
        <v>2.8</v>
      </c>
      <c r="H10" s="16">
        <v>2.8</v>
      </c>
      <c r="I10" s="16">
        <v>2.8</v>
      </c>
      <c r="J10" s="2" t="s">
        <v>50</v>
      </c>
      <c r="L10" t="s">
        <v>113</v>
      </c>
    </row>
    <row r="11" spans="2:19" x14ac:dyDescent="0.3">
      <c r="B11" s="2" t="s">
        <v>111</v>
      </c>
      <c r="C11" s="2">
        <f>C10*1.6</f>
        <v>4.4799999999999995</v>
      </c>
      <c r="D11" s="2">
        <f t="shared" ref="D11:I11" si="4">D10*1.6</f>
        <v>4.4799999999999995</v>
      </c>
      <c r="E11" s="2">
        <f t="shared" si="4"/>
        <v>4.4799999999999995</v>
      </c>
      <c r="F11" s="2">
        <f t="shared" si="4"/>
        <v>4.4799999999999995</v>
      </c>
      <c r="G11" s="2">
        <f t="shared" si="4"/>
        <v>4.4799999999999995</v>
      </c>
      <c r="H11" s="2">
        <f t="shared" si="4"/>
        <v>4.4799999999999995</v>
      </c>
      <c r="I11" s="2">
        <f t="shared" si="4"/>
        <v>4.4799999999999995</v>
      </c>
      <c r="J11" s="2" t="s">
        <v>50</v>
      </c>
      <c r="L11" t="s">
        <v>113</v>
      </c>
    </row>
    <row r="12" spans="2:19" x14ac:dyDescent="0.3">
      <c r="B12" s="2" t="s">
        <v>112</v>
      </c>
      <c r="C12" s="2">
        <f>C10*1.8</f>
        <v>5.04</v>
      </c>
      <c r="D12" s="2">
        <f t="shared" ref="D12:I12" si="5">D10*1.8</f>
        <v>5.04</v>
      </c>
      <c r="E12" s="2">
        <f t="shared" si="5"/>
        <v>5.04</v>
      </c>
      <c r="F12" s="2">
        <f t="shared" si="5"/>
        <v>5.04</v>
      </c>
      <c r="G12" s="2">
        <f t="shared" si="5"/>
        <v>5.04</v>
      </c>
      <c r="H12" s="2">
        <f t="shared" si="5"/>
        <v>5.04</v>
      </c>
      <c r="I12" s="2">
        <f t="shared" si="5"/>
        <v>5.04</v>
      </c>
      <c r="J12" s="2" t="s">
        <v>50</v>
      </c>
      <c r="L12" t="s">
        <v>113</v>
      </c>
    </row>
    <row r="13" spans="2:19" x14ac:dyDescent="0.3">
      <c r="B13" s="2" t="s">
        <v>114</v>
      </c>
      <c r="C13" s="2">
        <f>C10*2.8</f>
        <v>7.839999999999999</v>
      </c>
      <c r="D13" s="2">
        <f t="shared" ref="D13:I13" si="6">D10*2.8</f>
        <v>7.839999999999999</v>
      </c>
      <c r="E13" s="2">
        <f t="shared" si="6"/>
        <v>7.839999999999999</v>
      </c>
      <c r="F13" s="2">
        <f t="shared" si="6"/>
        <v>7.839999999999999</v>
      </c>
      <c r="G13" s="2">
        <f t="shared" si="6"/>
        <v>7.839999999999999</v>
      </c>
      <c r="H13" s="2">
        <f t="shared" si="6"/>
        <v>7.839999999999999</v>
      </c>
      <c r="I13" s="2">
        <f t="shared" si="6"/>
        <v>7.839999999999999</v>
      </c>
      <c r="J13" s="2" t="s">
        <v>50</v>
      </c>
      <c r="L13" t="s">
        <v>113</v>
      </c>
    </row>
    <row r="14" spans="2:19" x14ac:dyDescent="0.3">
      <c r="O14" s="3"/>
      <c r="P14" s="3"/>
      <c r="Q14" s="3"/>
      <c r="R14" s="3"/>
      <c r="S14" s="3"/>
    </row>
    <row r="15" spans="2:19" x14ac:dyDescent="0.3">
      <c r="B15" t="s">
        <v>80</v>
      </c>
      <c r="C15" s="2">
        <v>2015</v>
      </c>
      <c r="G15" s="12" t="s">
        <v>77</v>
      </c>
      <c r="H15">
        <v>6.4610000000000003</v>
      </c>
      <c r="I15" t="s">
        <v>48</v>
      </c>
      <c r="L15" t="s">
        <v>115</v>
      </c>
    </row>
    <row r="16" spans="2:19" x14ac:dyDescent="0.3">
      <c r="B16" t="s">
        <v>81</v>
      </c>
      <c r="C16" s="3">
        <f>LOOKUP(C15,'INDATA Fuel relations'!C8:L8,'INDATA Fuel relations'!C9:L9)</f>
        <v>1.1094999999999999</v>
      </c>
      <c r="G16" t="s">
        <v>49</v>
      </c>
      <c r="H16">
        <v>1.0558700000000001</v>
      </c>
      <c r="I16" t="s">
        <v>48</v>
      </c>
      <c r="L16" t="s">
        <v>116</v>
      </c>
    </row>
    <row r="17" spans="2:21" x14ac:dyDescent="0.3">
      <c r="B17" s="12" t="s">
        <v>79</v>
      </c>
      <c r="C17" s="13">
        <f>1/C16</f>
        <v>0.90130689499774674</v>
      </c>
      <c r="D17" t="s">
        <v>76</v>
      </c>
      <c r="G17" s="12" t="s">
        <v>82</v>
      </c>
      <c r="H17">
        <v>29.307600000000001</v>
      </c>
      <c r="I17" t="s">
        <v>48</v>
      </c>
    </row>
    <row r="18" spans="2:21" ht="28.8" x14ac:dyDescent="0.3">
      <c r="L18" t="s">
        <v>56</v>
      </c>
      <c r="M18" t="s">
        <v>57</v>
      </c>
      <c r="O18" s="14" t="s">
        <v>64</v>
      </c>
    </row>
    <row r="19" spans="2:21" x14ac:dyDescent="0.3">
      <c r="B19" s="1" t="s">
        <v>78</v>
      </c>
      <c r="C19" s="53">
        <f t="shared" ref="C19:H19" si="7">O19</f>
        <v>2015</v>
      </c>
      <c r="D19" s="53">
        <f t="shared" si="7"/>
        <v>2020</v>
      </c>
      <c r="E19" s="53">
        <f t="shared" si="7"/>
        <v>2030</v>
      </c>
      <c r="F19" s="53">
        <f t="shared" si="7"/>
        <v>2040</v>
      </c>
      <c r="G19" s="53">
        <f t="shared" si="7"/>
        <v>2050</v>
      </c>
      <c r="H19" s="53">
        <f t="shared" si="7"/>
        <v>2060</v>
      </c>
      <c r="I19" s="53">
        <v>2100</v>
      </c>
      <c r="J19" s="53"/>
      <c r="N19" s="15" t="s">
        <v>51</v>
      </c>
      <c r="O19" s="53">
        <v>2015</v>
      </c>
      <c r="P19" s="53">
        <v>2020</v>
      </c>
      <c r="Q19" s="53">
        <v>2030</v>
      </c>
      <c r="R19" s="53">
        <v>2040</v>
      </c>
      <c r="S19" s="53">
        <v>2050</v>
      </c>
      <c r="T19" s="53">
        <v>2060</v>
      </c>
      <c r="U19" s="53"/>
    </row>
    <row r="20" spans="2:21" s="34" customFormat="1" x14ac:dyDescent="0.3">
      <c r="B20" s="53" t="s">
        <v>46</v>
      </c>
      <c r="C20" s="54">
        <f t="shared" ref="C20:H20" si="8">O20/$H$15*$C$17</f>
        <v>7.114479437375806</v>
      </c>
      <c r="D20" s="54">
        <f t="shared" si="8"/>
        <v>11.020468148091934</v>
      </c>
      <c r="E20" s="54">
        <f t="shared" si="8"/>
        <v>15.484455246053223</v>
      </c>
      <c r="F20" s="54">
        <f t="shared" si="8"/>
        <v>17.297950004599997</v>
      </c>
      <c r="G20" s="54">
        <f t="shared" si="8"/>
        <v>19.111444763146771</v>
      </c>
      <c r="H20" s="54">
        <f t="shared" si="8"/>
        <v>20.645940328070964</v>
      </c>
      <c r="I20" s="55">
        <f>H20</f>
        <v>20.645940328070964</v>
      </c>
      <c r="J20" s="53" t="s">
        <v>50</v>
      </c>
      <c r="L20" s="34" t="s">
        <v>55</v>
      </c>
      <c r="M20" s="34" t="s">
        <v>58</v>
      </c>
      <c r="N20" s="53" t="s">
        <v>46</v>
      </c>
      <c r="O20" s="56">
        <v>51</v>
      </c>
      <c r="P20" s="56">
        <v>79</v>
      </c>
      <c r="Q20" s="56">
        <v>111</v>
      </c>
      <c r="R20" s="56">
        <v>124</v>
      </c>
      <c r="S20" s="56">
        <v>137</v>
      </c>
      <c r="T20" s="56">
        <v>148</v>
      </c>
      <c r="U20" s="57" t="s">
        <v>52</v>
      </c>
    </row>
    <row r="21" spans="2:21" s="34" customFormat="1" x14ac:dyDescent="0.3">
      <c r="B21" s="53" t="s">
        <v>47</v>
      </c>
      <c r="C21" s="54">
        <f t="shared" ref="C21:H21" si="9">O21/$H$16*$C$17</f>
        <v>5.9753078172352909</v>
      </c>
      <c r="D21" s="54">
        <f t="shared" si="9"/>
        <v>6.0606693574815091</v>
      </c>
      <c r="E21" s="54">
        <f t="shared" si="9"/>
        <v>8.7922386453605004</v>
      </c>
      <c r="F21" s="54">
        <f t="shared" si="9"/>
        <v>9.8165771283151209</v>
      </c>
      <c r="G21" s="54">
        <f t="shared" si="9"/>
        <v>10.414107910038648</v>
      </c>
      <c r="H21" s="54">
        <f t="shared" si="9"/>
        <v>10.755554071023523</v>
      </c>
      <c r="I21" s="55">
        <f t="shared" ref="I21:I22" si="10">H21</f>
        <v>10.755554071023523</v>
      </c>
      <c r="J21" s="53" t="s">
        <v>50</v>
      </c>
      <c r="L21" s="34" t="s">
        <v>55</v>
      </c>
      <c r="M21" s="34" t="s">
        <v>58</v>
      </c>
      <c r="N21" s="53" t="s">
        <v>47</v>
      </c>
      <c r="O21" s="56">
        <v>7</v>
      </c>
      <c r="P21" s="56">
        <v>7.1</v>
      </c>
      <c r="Q21" s="56">
        <v>10.3</v>
      </c>
      <c r="R21" s="56">
        <v>11.5</v>
      </c>
      <c r="S21" s="56">
        <v>12.2</v>
      </c>
      <c r="T21" s="56">
        <v>12.6</v>
      </c>
      <c r="U21" s="57" t="s">
        <v>53</v>
      </c>
    </row>
    <row r="22" spans="2:21" s="34" customFormat="1" x14ac:dyDescent="0.3">
      <c r="B22" s="53" t="s">
        <v>45</v>
      </c>
      <c r="C22" s="54">
        <f t="shared" ref="C22:H22" si="11">O22/$H$17*$C$17</f>
        <v>1.7529409782742895</v>
      </c>
      <c r="D22" s="54">
        <f t="shared" si="11"/>
        <v>1.9374610812505304</v>
      </c>
      <c r="E22" s="54">
        <f t="shared" si="11"/>
        <v>2.2757479367069724</v>
      </c>
      <c r="F22" s="54">
        <f t="shared" si="11"/>
        <v>2.3680079881950928</v>
      </c>
      <c r="G22" s="54">
        <f t="shared" si="11"/>
        <v>2.3680079881950928</v>
      </c>
      <c r="H22" s="54">
        <f t="shared" si="11"/>
        <v>2.3680079881950928</v>
      </c>
      <c r="I22" s="55">
        <f t="shared" si="10"/>
        <v>2.3680079881950928</v>
      </c>
      <c r="J22" s="53" t="s">
        <v>50</v>
      </c>
      <c r="L22" s="34" t="s">
        <v>55</v>
      </c>
      <c r="M22" s="58" t="s">
        <v>62</v>
      </c>
      <c r="N22" s="53" t="s">
        <v>45</v>
      </c>
      <c r="O22" s="56">
        <v>57</v>
      </c>
      <c r="P22" s="56">
        <v>63</v>
      </c>
      <c r="Q22" s="56">
        <v>74</v>
      </c>
      <c r="R22" s="56">
        <v>77</v>
      </c>
      <c r="S22" s="55">
        <f>R22</f>
        <v>77</v>
      </c>
      <c r="T22" s="55">
        <f>S22</f>
        <v>77</v>
      </c>
      <c r="U22" s="57" t="s">
        <v>54</v>
      </c>
    </row>
    <row r="23" spans="2:21" x14ac:dyDescent="0.3">
      <c r="C23" s="34"/>
      <c r="D23" s="34"/>
      <c r="E23" s="34"/>
      <c r="F23" s="34"/>
      <c r="G23" s="34"/>
      <c r="H23" s="34"/>
      <c r="I23" s="34"/>
      <c r="J23" s="34"/>
      <c r="O23" s="34"/>
      <c r="P23" s="34"/>
      <c r="Q23" s="34"/>
      <c r="R23" s="34"/>
      <c r="S23" s="34"/>
      <c r="T23" s="34"/>
      <c r="U23" s="34"/>
    </row>
    <row r="24" spans="2:21" x14ac:dyDescent="0.3">
      <c r="C24" s="34"/>
      <c r="D24" s="34"/>
      <c r="E24" s="34"/>
      <c r="F24" s="34"/>
      <c r="G24" s="34"/>
      <c r="H24" s="34"/>
      <c r="I24" s="34"/>
      <c r="J24" s="34"/>
      <c r="O24" s="34"/>
      <c r="P24" s="34"/>
      <c r="Q24" s="34"/>
      <c r="R24" s="34"/>
      <c r="S24" s="34"/>
      <c r="T24" s="34"/>
      <c r="U24" s="34"/>
    </row>
    <row r="25" spans="2:21" x14ac:dyDescent="0.3">
      <c r="C25" s="34"/>
      <c r="D25" s="34"/>
      <c r="E25" s="34"/>
      <c r="F25" s="34"/>
      <c r="G25" s="34"/>
      <c r="H25" s="34"/>
      <c r="I25" s="34"/>
      <c r="J25" s="34"/>
      <c r="L25" t="s">
        <v>56</v>
      </c>
      <c r="M25" t="s">
        <v>57</v>
      </c>
      <c r="O25" s="34"/>
      <c r="P25" s="34"/>
      <c r="Q25" s="34"/>
      <c r="R25" s="34"/>
      <c r="S25" s="34"/>
      <c r="T25" s="34"/>
      <c r="U25" s="34"/>
    </row>
    <row r="26" spans="2:21" x14ac:dyDescent="0.3">
      <c r="B26" s="1" t="s">
        <v>78</v>
      </c>
      <c r="C26" s="53">
        <f t="shared" ref="C26:H26" si="12">O26</f>
        <v>2015</v>
      </c>
      <c r="D26" s="53">
        <f t="shared" si="12"/>
        <v>2020</v>
      </c>
      <c r="E26" s="53">
        <f t="shared" si="12"/>
        <v>2030</v>
      </c>
      <c r="F26" s="53">
        <f t="shared" si="12"/>
        <v>2040</v>
      </c>
      <c r="G26" s="53">
        <f t="shared" si="12"/>
        <v>2050</v>
      </c>
      <c r="H26" s="53">
        <f t="shared" si="12"/>
        <v>2060</v>
      </c>
      <c r="I26" s="53">
        <v>2100</v>
      </c>
      <c r="J26" s="53"/>
      <c r="N26" s="15" t="s">
        <v>51</v>
      </c>
      <c r="O26" s="53">
        <v>2015</v>
      </c>
      <c r="P26" s="53">
        <v>2020</v>
      </c>
      <c r="Q26" s="53">
        <v>2030</v>
      </c>
      <c r="R26" s="53">
        <v>2040</v>
      </c>
      <c r="S26" s="53">
        <v>2050</v>
      </c>
      <c r="T26" s="53">
        <v>2060</v>
      </c>
      <c r="U26" s="53"/>
    </row>
    <row r="27" spans="2:21" s="34" customFormat="1" x14ac:dyDescent="0.3">
      <c r="B27" s="53" t="s">
        <v>46</v>
      </c>
      <c r="C27" s="54">
        <f t="shared" ref="C27:H27" si="13">O27/$H$15*$C$17</f>
        <v>7.114479437375806</v>
      </c>
      <c r="D27" s="54">
        <f t="shared" si="13"/>
        <v>11.020468148091934</v>
      </c>
      <c r="E27" s="54">
        <f t="shared" si="13"/>
        <v>15.484455246053223</v>
      </c>
      <c r="F27" s="54">
        <f t="shared" si="13"/>
        <v>17.297950004599997</v>
      </c>
      <c r="G27" s="54">
        <f t="shared" si="13"/>
        <v>19.111444763146771</v>
      </c>
      <c r="H27" s="54">
        <f t="shared" si="13"/>
        <v>20.645940328070964</v>
      </c>
      <c r="I27" s="55">
        <f>H27</f>
        <v>20.645940328070964</v>
      </c>
      <c r="J27" s="53" t="s">
        <v>50</v>
      </c>
      <c r="L27" s="34" t="s">
        <v>55</v>
      </c>
      <c r="M27" s="34" t="s">
        <v>58</v>
      </c>
      <c r="N27" s="53" t="s">
        <v>46</v>
      </c>
      <c r="O27" s="55">
        <f>O$20</f>
        <v>51</v>
      </c>
      <c r="P27" s="56">
        <v>79</v>
      </c>
      <c r="Q27" s="56">
        <v>111</v>
      </c>
      <c r="R27" s="56">
        <v>124</v>
      </c>
      <c r="S27" s="56">
        <v>137</v>
      </c>
      <c r="T27" s="56">
        <v>148</v>
      </c>
      <c r="U27" s="57" t="s">
        <v>52</v>
      </c>
    </row>
    <row r="28" spans="2:21" s="34" customFormat="1" x14ac:dyDescent="0.3">
      <c r="B28" s="53" t="s">
        <v>47</v>
      </c>
      <c r="C28" s="54">
        <f t="shared" ref="C28:H28" si="14">O28/$H$16*$C$17</f>
        <v>5.9753078172352909</v>
      </c>
      <c r="D28" s="54">
        <f t="shared" si="14"/>
        <v>6.0606693574815091</v>
      </c>
      <c r="E28" s="54">
        <f t="shared" si="14"/>
        <v>8.7922386453605004</v>
      </c>
      <c r="F28" s="54">
        <f t="shared" si="14"/>
        <v>9.8165771283151209</v>
      </c>
      <c r="G28" s="54">
        <f t="shared" si="14"/>
        <v>10.414107910038648</v>
      </c>
      <c r="H28" s="54">
        <f t="shared" si="14"/>
        <v>10.755554071023523</v>
      </c>
      <c r="I28" s="55">
        <f t="shared" ref="I28:I29" si="15">H28</f>
        <v>10.755554071023523</v>
      </c>
      <c r="J28" s="53" t="s">
        <v>50</v>
      </c>
      <c r="L28" s="58" t="s">
        <v>62</v>
      </c>
      <c r="M28" s="34" t="s">
        <v>58</v>
      </c>
      <c r="N28" s="53" t="s">
        <v>47</v>
      </c>
      <c r="O28" s="55">
        <f>O$21</f>
        <v>7</v>
      </c>
      <c r="P28" s="56">
        <v>7.1</v>
      </c>
      <c r="Q28" s="56">
        <v>10.3</v>
      </c>
      <c r="R28" s="56">
        <v>11.5</v>
      </c>
      <c r="S28" s="56">
        <v>12.2</v>
      </c>
      <c r="T28" s="56">
        <v>12.6</v>
      </c>
      <c r="U28" s="57" t="s">
        <v>53</v>
      </c>
    </row>
    <row r="29" spans="2:21" s="34" customFormat="1" x14ac:dyDescent="0.3">
      <c r="B29" s="53" t="s">
        <v>45</v>
      </c>
      <c r="C29" s="54">
        <f t="shared" ref="C29:H29" si="16">O29/$H$17*$C$17</f>
        <v>1.7529409782742895</v>
      </c>
      <c r="D29" s="54">
        <f t="shared" si="16"/>
        <v>1.9374610812505304</v>
      </c>
      <c r="E29" s="54">
        <f t="shared" si="16"/>
        <v>1.9682144317465706</v>
      </c>
      <c r="F29" s="54">
        <f t="shared" si="16"/>
        <v>1.7529409782742895</v>
      </c>
      <c r="G29" s="54">
        <f t="shared" si="16"/>
        <v>1.6914342772822091</v>
      </c>
      <c r="H29" s="54">
        <f t="shared" si="16"/>
        <v>1.6299275762901289</v>
      </c>
      <c r="I29" s="55">
        <f t="shared" si="15"/>
        <v>1.6299275762901289</v>
      </c>
      <c r="J29" s="53" t="s">
        <v>50</v>
      </c>
      <c r="L29" s="58" t="s">
        <v>62</v>
      </c>
      <c r="M29" s="34" t="s">
        <v>58</v>
      </c>
      <c r="N29" s="53" t="s">
        <v>45</v>
      </c>
      <c r="O29" s="55">
        <f>O$22</f>
        <v>57</v>
      </c>
      <c r="P29" s="55">
        <f>P$22</f>
        <v>63</v>
      </c>
      <c r="Q29" s="56">
        <v>64</v>
      </c>
      <c r="R29" s="56">
        <v>57</v>
      </c>
      <c r="S29" s="56">
        <v>55</v>
      </c>
      <c r="T29" s="56">
        <v>53</v>
      </c>
      <c r="U29" s="57" t="s">
        <v>54</v>
      </c>
    </row>
    <row r="30" spans="2:21" s="34" customFormat="1" x14ac:dyDescent="0.3"/>
    <row r="31" spans="2:21" x14ac:dyDescent="0.3">
      <c r="C31" s="34"/>
      <c r="D31" s="34"/>
      <c r="E31" s="34"/>
      <c r="F31" s="34"/>
      <c r="G31" s="34"/>
      <c r="H31" s="34"/>
      <c r="I31" s="34"/>
      <c r="J31" s="34"/>
      <c r="O31" s="34"/>
      <c r="P31" s="34"/>
      <c r="Q31" s="34"/>
      <c r="R31" s="34"/>
      <c r="S31" s="34"/>
      <c r="T31" s="34"/>
      <c r="U31" s="34"/>
    </row>
    <row r="32" spans="2:21" x14ac:dyDescent="0.3">
      <c r="B32" s="1" t="s">
        <v>78</v>
      </c>
      <c r="C32" s="53">
        <f t="shared" ref="C32:H32" si="17">O32</f>
        <v>2015</v>
      </c>
      <c r="D32" s="53">
        <f t="shared" si="17"/>
        <v>2020</v>
      </c>
      <c r="E32" s="53">
        <f t="shared" si="17"/>
        <v>2030</v>
      </c>
      <c r="F32" s="53">
        <f t="shared" si="17"/>
        <v>2040</v>
      </c>
      <c r="G32" s="53">
        <f t="shared" si="17"/>
        <v>2050</v>
      </c>
      <c r="H32" s="53">
        <f t="shared" si="17"/>
        <v>2060</v>
      </c>
      <c r="I32" s="53">
        <v>2100</v>
      </c>
      <c r="J32" s="53"/>
      <c r="N32" s="15" t="s">
        <v>51</v>
      </c>
      <c r="O32" s="53">
        <v>2015</v>
      </c>
      <c r="P32" s="53">
        <v>2020</v>
      </c>
      <c r="Q32" s="53">
        <v>2030</v>
      </c>
      <c r="R32" s="53">
        <v>2040</v>
      </c>
      <c r="S32" s="53">
        <v>2050</v>
      </c>
      <c r="T32" s="53">
        <v>2060</v>
      </c>
      <c r="U32" s="53"/>
    </row>
    <row r="33" spans="2:21" s="34" customFormat="1" x14ac:dyDescent="0.3">
      <c r="B33" s="53" t="s">
        <v>46</v>
      </c>
      <c r="C33" s="54">
        <f t="shared" ref="C33:H33" si="18">O33/$H$15*$C$17</f>
        <v>7.114479437375806</v>
      </c>
      <c r="D33" s="54">
        <f t="shared" si="18"/>
        <v>11.438966938525805</v>
      </c>
      <c r="E33" s="54">
        <f t="shared" si="18"/>
        <v>17.71644879503387</v>
      </c>
      <c r="F33" s="54">
        <f t="shared" si="18"/>
        <v>20.366941134448385</v>
      </c>
      <c r="G33" s="54">
        <f t="shared" si="18"/>
        <v>20.366941134448385</v>
      </c>
      <c r="H33" s="54">
        <f t="shared" si="18"/>
        <v>20.366941134448385</v>
      </c>
      <c r="I33" s="55">
        <f>H33</f>
        <v>20.366941134448385</v>
      </c>
      <c r="J33" s="53" t="s">
        <v>50</v>
      </c>
      <c r="L33" s="34" t="s">
        <v>63</v>
      </c>
      <c r="M33" s="58" t="s">
        <v>62</v>
      </c>
      <c r="N33" s="53" t="s">
        <v>46</v>
      </c>
      <c r="O33" s="55">
        <f>O$20</f>
        <v>51</v>
      </c>
      <c r="P33" s="56">
        <v>82</v>
      </c>
      <c r="Q33" s="56">
        <v>127</v>
      </c>
      <c r="R33" s="56">
        <v>146</v>
      </c>
      <c r="S33" s="55">
        <f t="shared" ref="S33:T35" si="19">R33</f>
        <v>146</v>
      </c>
      <c r="T33" s="55">
        <f t="shared" si="19"/>
        <v>146</v>
      </c>
      <c r="U33" s="57" t="s">
        <v>52</v>
      </c>
    </row>
    <row r="34" spans="2:21" s="34" customFormat="1" x14ac:dyDescent="0.3">
      <c r="B34" s="53" t="s">
        <v>47</v>
      </c>
      <c r="C34" s="54">
        <f t="shared" ref="C34:H34" si="20">O34/$H$16*$C$17</f>
        <v>5.9753078172352909</v>
      </c>
      <c r="D34" s="54">
        <f t="shared" si="20"/>
        <v>0</v>
      </c>
      <c r="E34" s="54">
        <f t="shared" si="20"/>
        <v>0</v>
      </c>
      <c r="F34" s="54">
        <f t="shared" si="20"/>
        <v>0</v>
      </c>
      <c r="G34" s="54">
        <f t="shared" si="20"/>
        <v>0</v>
      </c>
      <c r="H34" s="54">
        <f t="shared" si="20"/>
        <v>0</v>
      </c>
      <c r="I34" s="55">
        <f t="shared" ref="I34:I35" si="21">H34</f>
        <v>0</v>
      </c>
      <c r="J34" s="53" t="s">
        <v>50</v>
      </c>
      <c r="L34" s="34" t="s">
        <v>63</v>
      </c>
      <c r="M34" s="58" t="s">
        <v>62</v>
      </c>
      <c r="N34" s="53" t="s">
        <v>47</v>
      </c>
      <c r="O34" s="55">
        <f>O$21</f>
        <v>7</v>
      </c>
      <c r="P34" s="56"/>
      <c r="Q34" s="56"/>
      <c r="R34" s="56"/>
      <c r="S34" s="55">
        <f t="shared" si="19"/>
        <v>0</v>
      </c>
      <c r="T34" s="55">
        <f t="shared" si="19"/>
        <v>0</v>
      </c>
      <c r="U34" s="57" t="s">
        <v>53</v>
      </c>
    </row>
    <row r="35" spans="2:21" s="34" customFormat="1" x14ac:dyDescent="0.3">
      <c r="B35" s="53" t="s">
        <v>45</v>
      </c>
      <c r="C35" s="54">
        <f t="shared" ref="C35:H35" si="22">O35/$H$17*$C$17</f>
        <v>1.7529409782742895</v>
      </c>
      <c r="D35" s="54">
        <f t="shared" si="22"/>
        <v>0</v>
      </c>
      <c r="E35" s="54">
        <f t="shared" si="22"/>
        <v>0</v>
      </c>
      <c r="F35" s="54">
        <f t="shared" si="22"/>
        <v>0</v>
      </c>
      <c r="G35" s="54">
        <f t="shared" si="22"/>
        <v>0</v>
      </c>
      <c r="H35" s="54">
        <f t="shared" si="22"/>
        <v>0</v>
      </c>
      <c r="I35" s="55">
        <f t="shared" si="21"/>
        <v>0</v>
      </c>
      <c r="J35" s="53" t="s">
        <v>50</v>
      </c>
      <c r="L35" s="34" t="s">
        <v>63</v>
      </c>
      <c r="M35" s="58" t="s">
        <v>62</v>
      </c>
      <c r="N35" s="53" t="s">
        <v>45</v>
      </c>
      <c r="O35" s="55">
        <f>O$22</f>
        <v>57</v>
      </c>
      <c r="P35" s="56"/>
      <c r="Q35" s="56"/>
      <c r="R35" s="56"/>
      <c r="S35" s="55">
        <f t="shared" si="19"/>
        <v>0</v>
      </c>
      <c r="T35" s="55">
        <f t="shared" si="19"/>
        <v>0</v>
      </c>
      <c r="U35" s="57" t="s">
        <v>54</v>
      </c>
    </row>
    <row r="38" spans="2:21" x14ac:dyDescent="0.3">
      <c r="B38" s="1" t="s">
        <v>78</v>
      </c>
      <c r="C38" s="2">
        <f t="shared" ref="C38:H38" si="23">O38</f>
        <v>2015</v>
      </c>
      <c r="D38" s="2">
        <f t="shared" si="23"/>
        <v>2020</v>
      </c>
      <c r="E38" s="2">
        <f t="shared" si="23"/>
        <v>2030</v>
      </c>
      <c r="F38" s="2">
        <f t="shared" si="23"/>
        <v>2040</v>
      </c>
      <c r="G38" s="2">
        <f t="shared" si="23"/>
        <v>2050</v>
      </c>
      <c r="H38" s="2">
        <f t="shared" si="23"/>
        <v>2060</v>
      </c>
      <c r="I38" s="2">
        <v>2100</v>
      </c>
      <c r="J38" s="2"/>
      <c r="N38" s="15" t="s">
        <v>51</v>
      </c>
      <c r="O38" s="2">
        <v>2015</v>
      </c>
      <c r="P38" s="2">
        <v>2020</v>
      </c>
      <c r="Q38" s="2">
        <v>2030</v>
      </c>
      <c r="R38" s="2">
        <v>2040</v>
      </c>
      <c r="S38" s="2">
        <v>2050</v>
      </c>
      <c r="T38" s="2">
        <v>2060</v>
      </c>
      <c r="U38" s="2"/>
    </row>
    <row r="39" spans="2:21" x14ac:dyDescent="0.3">
      <c r="B39" s="2" t="s">
        <v>46</v>
      </c>
      <c r="C39" s="11">
        <f t="shared" ref="C39:H39" si="24">O39/$H$15*$C$17</f>
        <v>7.114479437375806</v>
      </c>
      <c r="D39" s="11">
        <f t="shared" si="24"/>
        <v>10.183470567224193</v>
      </c>
      <c r="E39" s="11">
        <f t="shared" si="24"/>
        <v>11.857465728959678</v>
      </c>
      <c r="F39" s="11">
        <f t="shared" si="24"/>
        <v>10.880968551280644</v>
      </c>
      <c r="G39" s="11">
        <f t="shared" si="24"/>
        <v>10.043970970412904</v>
      </c>
      <c r="H39" s="11">
        <f t="shared" si="24"/>
        <v>9.3464729863564511</v>
      </c>
      <c r="I39" s="17">
        <f>H39</f>
        <v>9.3464729863564511</v>
      </c>
      <c r="J39" s="2" t="s">
        <v>50</v>
      </c>
      <c r="L39" t="s">
        <v>61</v>
      </c>
      <c r="M39" t="s">
        <v>59</v>
      </c>
      <c r="N39" s="2" t="s">
        <v>46</v>
      </c>
      <c r="O39" s="17">
        <f>O$20</f>
        <v>51</v>
      </c>
      <c r="P39" s="18">
        <v>73</v>
      </c>
      <c r="Q39" s="18">
        <v>85</v>
      </c>
      <c r="R39" s="18">
        <v>78</v>
      </c>
      <c r="S39" s="18">
        <v>72</v>
      </c>
      <c r="T39" s="18">
        <v>67</v>
      </c>
      <c r="U39" s="15" t="s">
        <v>52</v>
      </c>
    </row>
    <row r="40" spans="2:21" x14ac:dyDescent="0.3">
      <c r="B40" s="2" t="s">
        <v>47</v>
      </c>
      <c r="C40" s="11">
        <f t="shared" ref="C40:H40" si="25">O40/$H$16*$C$17</f>
        <v>5.9753078172352909</v>
      </c>
      <c r="D40" s="11">
        <f t="shared" si="25"/>
        <v>5.8899462769890727</v>
      </c>
      <c r="E40" s="11">
        <f t="shared" si="25"/>
        <v>8.0239847831445346</v>
      </c>
      <c r="F40" s="11">
        <f t="shared" si="25"/>
        <v>8.4507924843756275</v>
      </c>
      <c r="G40" s="11">
        <f t="shared" si="25"/>
        <v>8.7068771051142804</v>
      </c>
      <c r="H40" s="11">
        <f t="shared" si="25"/>
        <v>8.9629617258529368</v>
      </c>
      <c r="I40" s="17">
        <f t="shared" ref="I40:I41" si="26">H40</f>
        <v>8.9629617258529368</v>
      </c>
      <c r="J40" s="2" t="s">
        <v>50</v>
      </c>
      <c r="L40" t="s">
        <v>61</v>
      </c>
      <c r="M40" t="s">
        <v>59</v>
      </c>
      <c r="N40" s="2" t="s">
        <v>47</v>
      </c>
      <c r="O40" s="17">
        <f>O$21</f>
        <v>7</v>
      </c>
      <c r="P40" s="18">
        <v>6.9</v>
      </c>
      <c r="Q40" s="18">
        <v>9.4</v>
      </c>
      <c r="R40" s="18">
        <v>9.9</v>
      </c>
      <c r="S40" s="18">
        <v>10.199999999999999</v>
      </c>
      <c r="T40" s="18">
        <v>10.5</v>
      </c>
      <c r="U40" s="15" t="s">
        <v>53</v>
      </c>
    </row>
    <row r="41" spans="2:21" x14ac:dyDescent="0.3">
      <c r="B41" s="2" t="s">
        <v>45</v>
      </c>
      <c r="C41" s="11">
        <f t="shared" ref="C41:H41" si="27">O41/$H$17*$C$17</f>
        <v>1.7529409782742895</v>
      </c>
      <c r="D41" s="11">
        <f t="shared" si="27"/>
        <v>1.7836943287703295</v>
      </c>
      <c r="E41" s="11">
        <f t="shared" si="27"/>
        <v>1.7529409782742895</v>
      </c>
      <c r="F41" s="11">
        <f t="shared" si="27"/>
        <v>1.5684208752980484</v>
      </c>
      <c r="G41" s="11">
        <f t="shared" si="27"/>
        <v>1.5684208752980484</v>
      </c>
      <c r="H41" s="11">
        <f t="shared" si="27"/>
        <v>1.5684208752980484</v>
      </c>
      <c r="I41" s="17">
        <f t="shared" si="26"/>
        <v>1.5684208752980484</v>
      </c>
      <c r="J41" s="2" t="s">
        <v>50</v>
      </c>
      <c r="L41" t="s">
        <v>61</v>
      </c>
      <c r="M41" s="19" t="s">
        <v>62</v>
      </c>
      <c r="N41" s="2" t="s">
        <v>45</v>
      </c>
      <c r="O41" s="17">
        <f>O$22</f>
        <v>57</v>
      </c>
      <c r="P41" s="18">
        <v>58</v>
      </c>
      <c r="Q41" s="18">
        <v>57</v>
      </c>
      <c r="R41" s="18">
        <v>51</v>
      </c>
      <c r="S41" s="17">
        <f>R41</f>
        <v>51</v>
      </c>
      <c r="T41" s="17">
        <f>S41</f>
        <v>51</v>
      </c>
      <c r="U41" s="15" t="s">
        <v>54</v>
      </c>
    </row>
    <row r="44" spans="2:21" x14ac:dyDescent="0.3">
      <c r="B44" s="1" t="s">
        <v>78</v>
      </c>
      <c r="C44" s="53">
        <f t="shared" ref="C44:H44" si="28">O44</f>
        <v>2015</v>
      </c>
      <c r="D44" s="53">
        <f t="shared" si="28"/>
        <v>2020</v>
      </c>
      <c r="E44" s="53">
        <f t="shared" si="28"/>
        <v>2030</v>
      </c>
      <c r="F44" s="53">
        <f t="shared" si="28"/>
        <v>2040</v>
      </c>
      <c r="G44" s="53">
        <f t="shared" si="28"/>
        <v>2050</v>
      </c>
      <c r="H44" s="53">
        <f t="shared" si="28"/>
        <v>2060</v>
      </c>
      <c r="I44" s="53">
        <v>2100</v>
      </c>
      <c r="J44" s="53"/>
      <c r="N44" s="15" t="s">
        <v>51</v>
      </c>
      <c r="O44" s="53">
        <v>2015</v>
      </c>
      <c r="P44" s="53">
        <v>2020</v>
      </c>
      <c r="Q44" s="53">
        <v>2030</v>
      </c>
      <c r="R44" s="53">
        <v>2040</v>
      </c>
      <c r="S44" s="53">
        <v>2050</v>
      </c>
      <c r="T44" s="53">
        <v>2060</v>
      </c>
      <c r="U44" s="53"/>
    </row>
    <row r="45" spans="2:21" s="34" customFormat="1" x14ac:dyDescent="0.3">
      <c r="B45" s="53" t="s">
        <v>46</v>
      </c>
      <c r="C45" s="54">
        <f t="shared" ref="C45:H45" si="29">O45/$H$15*$C$17</f>
        <v>7.114479437375806</v>
      </c>
      <c r="D45" s="54">
        <f t="shared" si="29"/>
        <v>10.183470567224193</v>
      </c>
      <c r="E45" s="54">
        <f t="shared" si="29"/>
        <v>11.857465728959678</v>
      </c>
      <c r="F45" s="54">
        <f t="shared" si="29"/>
        <v>10.880968551280644</v>
      </c>
      <c r="G45" s="54">
        <f t="shared" si="29"/>
        <v>10.043970970412904</v>
      </c>
      <c r="H45" s="54">
        <f t="shared" si="29"/>
        <v>9.3464729863564511</v>
      </c>
      <c r="I45" s="55">
        <f>H45</f>
        <v>9.3464729863564511</v>
      </c>
      <c r="J45" s="53" t="s">
        <v>50</v>
      </c>
      <c r="L45" s="34" t="s">
        <v>61</v>
      </c>
      <c r="M45" s="34" t="s">
        <v>59</v>
      </c>
      <c r="N45" s="53" t="s">
        <v>46</v>
      </c>
      <c r="O45" s="55">
        <f>O$20</f>
        <v>51</v>
      </c>
      <c r="P45" s="56">
        <v>73</v>
      </c>
      <c r="Q45" s="56">
        <v>85</v>
      </c>
      <c r="R45" s="56">
        <v>78</v>
      </c>
      <c r="S45" s="56">
        <v>72</v>
      </c>
      <c r="T45" s="56">
        <v>67</v>
      </c>
      <c r="U45" s="57" t="s">
        <v>52</v>
      </c>
    </row>
    <row r="46" spans="2:21" s="34" customFormat="1" x14ac:dyDescent="0.3">
      <c r="B46" s="53" t="s">
        <v>47</v>
      </c>
      <c r="C46" s="54">
        <f t="shared" ref="C46:H46" si="30">O46/$H$16*$C$17</f>
        <v>5.9753078172352909</v>
      </c>
      <c r="D46" s="54">
        <f t="shared" si="30"/>
        <v>5.8899462769890727</v>
      </c>
      <c r="E46" s="54">
        <f t="shared" si="30"/>
        <v>8.0239847831445346</v>
      </c>
      <c r="F46" s="54">
        <f t="shared" si="30"/>
        <v>8.4507924843756275</v>
      </c>
      <c r="G46" s="54">
        <f t="shared" si="30"/>
        <v>8.7068771051142804</v>
      </c>
      <c r="H46" s="54">
        <f t="shared" si="30"/>
        <v>8.9629617258529368</v>
      </c>
      <c r="I46" s="55">
        <f t="shared" ref="I46:I47" si="31">H46</f>
        <v>8.9629617258529368</v>
      </c>
      <c r="J46" s="53" t="s">
        <v>50</v>
      </c>
      <c r="L46" s="34" t="s">
        <v>61</v>
      </c>
      <c r="M46" s="34" t="s">
        <v>59</v>
      </c>
      <c r="N46" s="53" t="s">
        <v>47</v>
      </c>
      <c r="O46" s="55">
        <f>O$21</f>
        <v>7</v>
      </c>
      <c r="P46" s="56">
        <v>6.9</v>
      </c>
      <c r="Q46" s="56">
        <v>9.4</v>
      </c>
      <c r="R46" s="56">
        <v>9.9</v>
      </c>
      <c r="S46" s="56">
        <v>10.199999999999999</v>
      </c>
      <c r="T46" s="56">
        <v>10.5</v>
      </c>
      <c r="U46" s="57" t="s">
        <v>53</v>
      </c>
    </row>
    <row r="47" spans="2:21" s="34" customFormat="1" x14ac:dyDescent="0.3">
      <c r="B47" s="53" t="s">
        <v>45</v>
      </c>
      <c r="C47" s="54">
        <f t="shared" ref="C47:H47" si="32">O47/$H$17*$C$17</f>
        <v>1.7529409782742895</v>
      </c>
      <c r="D47" s="54">
        <f t="shared" si="32"/>
        <v>1.7836943287703295</v>
      </c>
      <c r="E47" s="54">
        <f t="shared" si="32"/>
        <v>1.7529409782742895</v>
      </c>
      <c r="F47" s="54">
        <f t="shared" si="32"/>
        <v>1.6606809267861689</v>
      </c>
      <c r="G47" s="54">
        <f t="shared" si="32"/>
        <v>1.5991742257940886</v>
      </c>
      <c r="H47" s="54">
        <f t="shared" si="32"/>
        <v>1.5684208752980484</v>
      </c>
      <c r="I47" s="55">
        <f t="shared" si="31"/>
        <v>1.5684208752980484</v>
      </c>
      <c r="J47" s="53" t="s">
        <v>50</v>
      </c>
      <c r="L47" s="58" t="s">
        <v>62</v>
      </c>
      <c r="M47" s="34" t="s">
        <v>59</v>
      </c>
      <c r="N47" s="53" t="s">
        <v>45</v>
      </c>
      <c r="O47" s="55">
        <f>O$22</f>
        <v>57</v>
      </c>
      <c r="P47" s="55">
        <f>P41</f>
        <v>58</v>
      </c>
      <c r="Q47" s="55">
        <f>Q41</f>
        <v>57</v>
      </c>
      <c r="R47" s="56">
        <v>54</v>
      </c>
      <c r="S47" s="56">
        <v>52</v>
      </c>
      <c r="T47" s="56">
        <v>51</v>
      </c>
      <c r="U47" s="57" t="s">
        <v>54</v>
      </c>
    </row>
    <row r="48" spans="2:21" s="34" customFormat="1" x14ac:dyDescent="0.3"/>
    <row r="49" spans="2:21" x14ac:dyDescent="0.3">
      <c r="C49" s="34"/>
      <c r="D49" s="34"/>
      <c r="E49" s="34"/>
      <c r="F49" s="34"/>
      <c r="G49" s="34"/>
      <c r="H49" s="34"/>
      <c r="I49" s="34"/>
      <c r="J49" s="34"/>
      <c r="O49" s="34"/>
      <c r="P49" s="34"/>
      <c r="Q49" s="34"/>
      <c r="R49" s="34"/>
      <c r="S49" s="34"/>
      <c r="T49" s="34"/>
      <c r="U49" s="34"/>
    </row>
    <row r="50" spans="2:21" x14ac:dyDescent="0.3">
      <c r="B50" s="1" t="s">
        <v>78</v>
      </c>
      <c r="C50" s="53">
        <f t="shared" ref="C50:H50" si="33">O50</f>
        <v>2015</v>
      </c>
      <c r="D50" s="53">
        <f t="shared" si="33"/>
        <v>2020</v>
      </c>
      <c r="E50" s="53">
        <f t="shared" si="33"/>
        <v>2030</v>
      </c>
      <c r="F50" s="53">
        <f t="shared" si="33"/>
        <v>2040</v>
      </c>
      <c r="G50" s="53">
        <f t="shared" si="33"/>
        <v>2050</v>
      </c>
      <c r="H50" s="53">
        <f t="shared" si="33"/>
        <v>2060</v>
      </c>
      <c r="I50" s="53">
        <v>2100</v>
      </c>
      <c r="J50" s="53"/>
      <c r="N50" s="15" t="s">
        <v>51</v>
      </c>
      <c r="O50" s="53">
        <v>2015</v>
      </c>
      <c r="P50" s="53">
        <v>2020</v>
      </c>
      <c r="Q50" s="53">
        <v>2030</v>
      </c>
      <c r="R50" s="53">
        <v>2040</v>
      </c>
      <c r="S50" s="53">
        <v>2050</v>
      </c>
      <c r="T50" s="53">
        <v>2060</v>
      </c>
      <c r="U50" s="53"/>
    </row>
    <row r="51" spans="2:21" s="34" customFormat="1" x14ac:dyDescent="0.3">
      <c r="B51" s="53" t="s">
        <v>46</v>
      </c>
      <c r="C51" s="54">
        <f t="shared" ref="C51:H51" si="34">O51/$H$15*$C$17</f>
        <v>7.114479437375806</v>
      </c>
      <c r="D51" s="54">
        <f t="shared" si="34"/>
        <v>10.183470567224193</v>
      </c>
      <c r="E51" s="54">
        <f t="shared" si="34"/>
        <v>9.2069733895451602</v>
      </c>
      <c r="F51" s="54">
        <f t="shared" si="34"/>
        <v>8.9279741959225802</v>
      </c>
      <c r="G51" s="54">
        <f t="shared" si="34"/>
        <v>8.6489750022999985</v>
      </c>
      <c r="H51" s="54">
        <f t="shared" si="34"/>
        <v>8.3699758086774203</v>
      </c>
      <c r="I51" s="55">
        <f>H51</f>
        <v>8.3699758086774203</v>
      </c>
      <c r="J51" s="53" t="s">
        <v>50</v>
      </c>
      <c r="L51" s="58" t="s">
        <v>62</v>
      </c>
      <c r="M51" s="34" t="s">
        <v>60</v>
      </c>
      <c r="N51" s="53" t="s">
        <v>46</v>
      </c>
      <c r="O51" s="55">
        <f>O$20</f>
        <v>51</v>
      </c>
      <c r="P51" s="56">
        <v>73</v>
      </c>
      <c r="Q51" s="56">
        <v>66</v>
      </c>
      <c r="R51" s="56">
        <v>64</v>
      </c>
      <c r="S51" s="56">
        <v>62</v>
      </c>
      <c r="T51" s="56">
        <v>60</v>
      </c>
      <c r="U51" s="57" t="s">
        <v>52</v>
      </c>
    </row>
    <row r="52" spans="2:21" s="34" customFormat="1" x14ac:dyDescent="0.3">
      <c r="B52" s="53" t="s">
        <v>47</v>
      </c>
      <c r="C52" s="54">
        <f t="shared" ref="C52:H52" si="35">O52/$H$16*$C$17</f>
        <v>5.9753078172352909</v>
      </c>
      <c r="D52" s="54">
        <f t="shared" si="35"/>
        <v>5.7192231964966362</v>
      </c>
      <c r="E52" s="54">
        <f t="shared" si="35"/>
        <v>6.9996463001899114</v>
      </c>
      <c r="F52" s="54">
        <f t="shared" si="35"/>
        <v>6.5728385989588203</v>
      </c>
      <c r="G52" s="54">
        <f t="shared" si="35"/>
        <v>6.1460308977277283</v>
      </c>
      <c r="H52" s="54">
        <f t="shared" si="35"/>
        <v>5.8899462769890727</v>
      </c>
      <c r="I52" s="55">
        <f t="shared" ref="I52:I53" si="36">H52</f>
        <v>5.8899462769890727</v>
      </c>
      <c r="J52" s="53" t="s">
        <v>50</v>
      </c>
      <c r="L52" s="58" t="s">
        <v>62</v>
      </c>
      <c r="M52" s="34" t="s">
        <v>60</v>
      </c>
      <c r="N52" s="53" t="s">
        <v>47</v>
      </c>
      <c r="O52" s="55">
        <f>O$21</f>
        <v>7</v>
      </c>
      <c r="P52" s="56">
        <v>6.7</v>
      </c>
      <c r="Q52" s="56">
        <v>8.1999999999999993</v>
      </c>
      <c r="R52" s="56">
        <v>7.7</v>
      </c>
      <c r="S52" s="56">
        <v>7.2</v>
      </c>
      <c r="T52" s="56">
        <v>6.9</v>
      </c>
      <c r="U52" s="57" t="s">
        <v>53</v>
      </c>
    </row>
    <row r="53" spans="2:21" s="34" customFormat="1" x14ac:dyDescent="0.3">
      <c r="B53" s="53" t="s">
        <v>45</v>
      </c>
      <c r="C53" s="54">
        <f t="shared" ref="C53:H53" si="37">O53/$H$17*$C$17</f>
        <v>1.7529409782742895</v>
      </c>
      <c r="D53" s="54">
        <f t="shared" si="37"/>
        <v>1.7836943287703295</v>
      </c>
      <c r="E53" s="54">
        <f t="shared" si="37"/>
        <v>1.7529409782742895</v>
      </c>
      <c r="F53" s="54">
        <f t="shared" si="37"/>
        <v>1.6606809267861689</v>
      </c>
      <c r="G53" s="54">
        <f t="shared" si="37"/>
        <v>1.5991742257940886</v>
      </c>
      <c r="H53" s="54">
        <f t="shared" si="37"/>
        <v>0.64582036041684343</v>
      </c>
      <c r="I53" s="55">
        <f t="shared" si="36"/>
        <v>0.64582036041684343</v>
      </c>
      <c r="J53" s="53" t="s">
        <v>50</v>
      </c>
      <c r="L53" s="58" t="s">
        <v>62</v>
      </c>
      <c r="M53" s="34" t="s">
        <v>60</v>
      </c>
      <c r="N53" s="53" t="s">
        <v>45</v>
      </c>
      <c r="O53" s="55">
        <f>O$22</f>
        <v>57</v>
      </c>
      <c r="P53" s="55">
        <f>P47</f>
        <v>58</v>
      </c>
      <c r="Q53" s="55">
        <f>Q47</f>
        <v>57</v>
      </c>
      <c r="R53" s="56">
        <v>54</v>
      </c>
      <c r="S53" s="56">
        <v>52</v>
      </c>
      <c r="T53" s="56">
        <v>21</v>
      </c>
      <c r="U53" s="57" t="s">
        <v>54</v>
      </c>
    </row>
  </sheetData>
  <sortState xmlns:xlrd2="http://schemas.microsoft.com/office/spreadsheetml/2017/richdata2" ref="N12:N13">
    <sortCondition ref="N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W114"/>
  <sheetViews>
    <sheetView topLeftCell="B1" zoomScale="80" zoomScaleNormal="80" workbookViewId="0">
      <selection activeCell="D6" sqref="D6"/>
    </sheetView>
  </sheetViews>
  <sheetFormatPr defaultColWidth="9.109375" defaultRowHeight="14.4" x14ac:dyDescent="0.3"/>
  <cols>
    <col min="2" max="2" width="17" bestFit="1" customWidth="1"/>
    <col min="4" max="4" width="10.66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14.3320312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41.554687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2019</v>
      </c>
      <c r="J2" s="12" t="str">
        <f>'INDATA prices'!B9</f>
        <v>Coal</v>
      </c>
      <c r="K2" s="3">
        <f>LOOKUP($G$2,'INDATA prices'!$C$6:$I$6,'INDATA prices'!$C9:$I9)</f>
        <v>1.7529409782742895</v>
      </c>
    </row>
    <row r="3" spans="1:23" x14ac:dyDescent="0.3">
      <c r="G3"/>
      <c r="J3" s="12" t="str">
        <f>'INDATA prices'!B8</f>
        <v>Gas</v>
      </c>
      <c r="K3" s="3">
        <f>LOOKUP($G$2,'INDATA prices'!$C$6:$I$6,'INDATA prices'!$C8:$I8)</f>
        <v>5.9753078172352909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7.114479437375806</v>
      </c>
    </row>
    <row r="5" spans="1:23" x14ac:dyDescent="0.3">
      <c r="D5" s="39"/>
      <c r="G5"/>
      <c r="J5" s="12"/>
      <c r="K5" s="3"/>
    </row>
    <row r="6" spans="1:23" x14ac:dyDescent="0.3">
      <c r="D6" s="162" t="s">
        <v>0</v>
      </c>
      <c r="P6" t="s">
        <v>171</v>
      </c>
    </row>
    <row r="7" spans="1:23" s="114" customFormat="1" ht="43.8" thickBot="1" x14ac:dyDescent="0.35">
      <c r="D7" s="120" t="s">
        <v>1</v>
      </c>
      <c r="E7" s="120" t="s">
        <v>2</v>
      </c>
      <c r="F7" s="120" t="s">
        <v>3</v>
      </c>
      <c r="G7" s="121" t="s">
        <v>4</v>
      </c>
      <c r="H7" s="120" t="s">
        <v>41</v>
      </c>
      <c r="I7" s="120" t="s">
        <v>42</v>
      </c>
      <c r="J7" s="120" t="s">
        <v>6</v>
      </c>
      <c r="K7" s="120" t="s">
        <v>5</v>
      </c>
      <c r="M7" s="120" t="s">
        <v>43</v>
      </c>
      <c r="N7" s="122" t="s">
        <v>176</v>
      </c>
      <c r="O7" s="122" t="s">
        <v>175</v>
      </c>
      <c r="P7" s="120" t="s">
        <v>172</v>
      </c>
      <c r="Q7" s="120" t="s">
        <v>108</v>
      </c>
      <c r="R7" s="120" t="s">
        <v>147</v>
      </c>
      <c r="U7" s="120" t="s">
        <v>109</v>
      </c>
      <c r="V7" s="120" t="s">
        <v>5</v>
      </c>
      <c r="W7" s="120" t="s">
        <v>5</v>
      </c>
    </row>
    <row r="8" spans="1:23" x14ac:dyDescent="0.3">
      <c r="B8" t="s">
        <v>100</v>
      </c>
      <c r="D8" t="s">
        <v>192</v>
      </c>
      <c r="F8" s="9" t="s">
        <v>7</v>
      </c>
      <c r="G8" s="10">
        <f t="shared" ref="G8:G57" si="0">$G$2</f>
        <v>2019</v>
      </c>
      <c r="H8" t="s">
        <v>9</v>
      </c>
      <c r="K8" s="3">
        <f>ROUND(LOOKUP(N8,$J$2:$J$4,$K$2:$K$4)*O8,3)</f>
        <v>1.7529999999999999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1.7529409782742895</v>
      </c>
      <c r="W8" s="3">
        <f>LOOKUP($G8,'INDATA prices'!$C$6:$I$6,'INDATA prices'!$C$9:$I$9)</f>
        <v>1.7529409782742895</v>
      </c>
    </row>
    <row r="9" spans="1:23" x14ac:dyDescent="0.3">
      <c r="B9" t="s">
        <v>100</v>
      </c>
      <c r="D9" t="s">
        <v>192</v>
      </c>
      <c r="F9" s="9" t="s">
        <v>7</v>
      </c>
      <c r="G9" s="10">
        <f t="shared" si="0"/>
        <v>2019</v>
      </c>
      <c r="H9" t="s">
        <v>11</v>
      </c>
      <c r="K9" s="3">
        <f t="shared" ref="K9:K17" si="1">ROUND(LOOKUP(N9,$J$2:$J$4,$K$2:$K$4)*O9,3)</f>
        <v>1.7529999999999999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1.7529409782742895</v>
      </c>
      <c r="W9" s="3">
        <f>LOOKUP($G9,'INDATA prices'!$C$6:$I$6,'INDATA prices'!$C$9:$I$9)</f>
        <v>1.7529409782742895</v>
      </c>
    </row>
    <row r="10" spans="1:23" x14ac:dyDescent="0.3">
      <c r="B10" t="s">
        <v>100</v>
      </c>
      <c r="D10" t="s">
        <v>192</v>
      </c>
      <c r="F10" s="9" t="s">
        <v>7</v>
      </c>
      <c r="G10" s="10">
        <f t="shared" si="0"/>
        <v>2019</v>
      </c>
      <c r="H10" t="s">
        <v>14</v>
      </c>
      <c r="K10" s="3">
        <f>ROUND(LOOKUP(N10,$J$2:$J$4,$K$2:$K$4)*O10,3)</f>
        <v>7.17</v>
      </c>
      <c r="L10" s="3"/>
      <c r="M10" t="s">
        <v>15</v>
      </c>
      <c r="N10" t="s">
        <v>47</v>
      </c>
      <c r="O10" s="3">
        <v>1.2</v>
      </c>
      <c r="V10" s="3">
        <f>LOOKUP($G10,'INDATA prices'!$C$6:$I$6,'INDATA prices'!$C$8:$I$8)</f>
        <v>5.9753078172352909</v>
      </c>
      <c r="W10" s="3">
        <f>LOOKUP($G10,'INDATA prices'!$C$6:$I$6,'INDATA prices'!$C$8:$I$8)</f>
        <v>5.9753078172352909</v>
      </c>
    </row>
    <row r="11" spans="1:23" x14ac:dyDescent="0.3">
      <c r="B11" t="s">
        <v>100</v>
      </c>
      <c r="D11" t="s">
        <v>192</v>
      </c>
      <c r="F11" s="9" t="s">
        <v>7</v>
      </c>
      <c r="G11" s="10">
        <f t="shared" si="0"/>
        <v>2019</v>
      </c>
      <c r="H11" t="s">
        <v>18</v>
      </c>
      <c r="K11" s="3">
        <f t="shared" si="1"/>
        <v>7.1139999999999999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7.114479437375806</v>
      </c>
      <c r="W11" s="3">
        <f>LOOKUP($G11,'INDATA prices'!$C$6:$I$6,'INDATA prices'!$C$7:$I$7)*LOOKUP(MID($H11,4,6),'INDATA Fuel relations'!$B$16:$B$34,'INDATA Fuel relations'!H$16:H$34)</f>
        <v>7.114479437375806</v>
      </c>
    </row>
    <row r="12" spans="1:23" x14ac:dyDescent="0.3">
      <c r="B12" t="s">
        <v>100</v>
      </c>
      <c r="D12" t="s">
        <v>192</v>
      </c>
      <c r="F12" s="9" t="s">
        <v>7</v>
      </c>
      <c r="G12" s="10">
        <f t="shared" si="0"/>
        <v>2019</v>
      </c>
      <c r="H12" t="s">
        <v>20</v>
      </c>
      <c r="K12" s="3">
        <f t="shared" si="1"/>
        <v>10.276999999999999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1.4444623959932099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10.276598014356312</v>
      </c>
      <c r="W12" s="3">
        <f>LOOKUP($G12,'INDATA prices'!$C$6:$I$6,'INDATA prices'!$C$7:$I$7)*LOOKUP(MID($H12,4,6),'INDATA Fuel relations'!$B$16:$B$34,'INDATA Fuel relations'!H$16:H$34)</f>
        <v>10.276598014356312</v>
      </c>
    </row>
    <row r="13" spans="1:23" x14ac:dyDescent="0.3">
      <c r="B13" t="s">
        <v>100</v>
      </c>
      <c r="D13" t="s">
        <v>192</v>
      </c>
      <c r="F13" s="9" t="s">
        <v>7</v>
      </c>
      <c r="G13" s="10">
        <f t="shared" si="0"/>
        <v>2019</v>
      </c>
      <c r="H13" t="s">
        <v>22</v>
      </c>
      <c r="K13" s="3">
        <f t="shared" si="1"/>
        <v>10.276999999999999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1.4444623959932099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10.276598014356312</v>
      </c>
      <c r="W13" s="3">
        <f>LOOKUP($G13,'INDATA prices'!$C$6:$I$6,'INDATA prices'!$C$7:$I$7)*LOOKUP(MID($H13,4,6),'INDATA Fuel relations'!$B$16:$B$34,'INDATA Fuel relations'!H$16:H$34)</f>
        <v>10.276598014356312</v>
      </c>
    </row>
    <row r="14" spans="1:23" x14ac:dyDescent="0.3">
      <c r="B14" t="s">
        <v>100</v>
      </c>
      <c r="D14" t="s">
        <v>192</v>
      </c>
      <c r="F14" s="9" t="s">
        <v>7</v>
      </c>
      <c r="G14" s="10">
        <f t="shared" si="0"/>
        <v>2019</v>
      </c>
      <c r="H14" t="s">
        <v>24</v>
      </c>
      <c r="K14" s="3">
        <f t="shared" si="1"/>
        <v>5.7629999999999999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5.7627340914910095</v>
      </c>
      <c r="W14" s="3">
        <f>LOOKUP($G14,'INDATA prices'!$C$6:$I$6,'INDATA prices'!$C$7:$I$7)*LOOKUP(MID($H14,4,6),'INDATA Fuel relations'!$B$16:$B$34,'INDATA Fuel relations'!H$16:H$34)</f>
        <v>5.7627340914910095</v>
      </c>
    </row>
    <row r="15" spans="1:23" x14ac:dyDescent="0.3">
      <c r="B15" t="s">
        <v>100</v>
      </c>
      <c r="D15" t="s">
        <v>192</v>
      </c>
      <c r="F15" s="9" t="s">
        <v>7</v>
      </c>
      <c r="G15" s="10">
        <f t="shared" si="0"/>
        <v>2019</v>
      </c>
      <c r="H15" t="s">
        <v>26</v>
      </c>
      <c r="K15" s="3">
        <f t="shared" si="1"/>
        <v>11.067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11.067415019431772</v>
      </c>
      <c r="W15" s="3">
        <f>LOOKUP($G15,'INDATA prices'!$C$6:$I$6,'INDATA prices'!$C$7:$I$7)*LOOKUP(MID($H15,4,6),'INDATA Fuel relations'!$B$16:$B$34,'INDATA Fuel relations'!H$16:H$34)</f>
        <v>11.067415019431772</v>
      </c>
    </row>
    <row r="16" spans="1:23" x14ac:dyDescent="0.3">
      <c r="B16" t="s">
        <v>100</v>
      </c>
      <c r="D16" t="s">
        <v>192</v>
      </c>
      <c r="F16" s="9" t="s">
        <v>7</v>
      </c>
      <c r="G16" s="10">
        <f t="shared" si="0"/>
        <v>2019</v>
      </c>
      <c r="H16" t="s">
        <v>28</v>
      </c>
      <c r="K16" s="3">
        <f t="shared" si="1"/>
        <v>7.9050000000000002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7.9052964424512657</v>
      </c>
      <c r="W16" s="3">
        <f>LOOKUP($G16,'INDATA prices'!$C$6:$I$6,'INDATA prices'!$C$7:$I$7)*LOOKUP(MID($H16,4,6),'INDATA Fuel relations'!$B$16:$B$34,'INDATA Fuel relations'!H$16:H$34)</f>
        <v>7.9052964424512657</v>
      </c>
    </row>
    <row r="17" spans="2:23" x14ac:dyDescent="0.3">
      <c r="B17" t="s">
        <v>100</v>
      </c>
      <c r="D17" t="s">
        <v>192</v>
      </c>
      <c r="F17" s="9" t="s">
        <v>7</v>
      </c>
      <c r="G17" s="10">
        <f t="shared" si="0"/>
        <v>2019</v>
      </c>
      <c r="H17" t="s">
        <v>30</v>
      </c>
      <c r="K17" s="3">
        <f t="shared" si="1"/>
        <v>8.6959999999999997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8.6955387258660597</v>
      </c>
      <c r="W17" s="3">
        <f>LOOKUP($G17,'INDATA prices'!$C$6:$I$6,'INDATA prices'!$C$7:$I$7)*LOOKUP(MID($H17,4,6),'INDATA Fuel relations'!$B$16:$B$34,'INDATA Fuel relations'!H$16:H$34)</f>
        <v>8.6955387258660597</v>
      </c>
    </row>
    <row r="18" spans="2:23" x14ac:dyDescent="0.3">
      <c r="B18" t="s">
        <v>101</v>
      </c>
      <c r="D18" t="s">
        <v>192</v>
      </c>
      <c r="F18" s="9" t="s">
        <v>7</v>
      </c>
      <c r="G18" s="10">
        <f t="shared" si="0"/>
        <v>2019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">
        <v>7</v>
      </c>
      <c r="G19" s="10">
        <f t="shared" si="0"/>
        <v>2019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">
        <v>7</v>
      </c>
      <c r="G20" s="10">
        <f t="shared" si="0"/>
        <v>2019</v>
      </c>
      <c r="H20" t="s">
        <v>233</v>
      </c>
      <c r="K20" s="3">
        <f>ROUND(LOOKUP(N20,$J$2:$J$4,$K$2:$K$4)*O20,3)</f>
        <v>39</v>
      </c>
      <c r="L20" s="3"/>
      <c r="M20" t="s">
        <v>234</v>
      </c>
      <c r="N20" s="19" t="s">
        <v>107</v>
      </c>
      <c r="O20" s="3">
        <f>VLOOKUP(P20,'INDATA Fuel relations'!$B$15:$H$34,LOOKUP($G$2,'INDATA Fuel relations'!$D$14:$H$14,'INDATA Fuel relations'!$D$13:$H$13))</f>
        <v>5.4817784411764707</v>
      </c>
      <c r="P20" t="str">
        <f>MID(H20,4,6)</f>
        <v>BFUBJF</v>
      </c>
      <c r="Q20" t="str">
        <f>IF(COUNTIF('INDATA Fuel relations'!$B$15:$B$34,P20)&gt;0,"ok","FALSE")</f>
        <v>ok</v>
      </c>
    </row>
    <row r="21" spans="2:23" x14ac:dyDescent="0.3">
      <c r="B21" t="s">
        <v>101</v>
      </c>
      <c r="D21" t="s">
        <v>192</v>
      </c>
      <c r="F21" s="9" t="s">
        <v>7</v>
      </c>
      <c r="G21" s="10">
        <f>$G$2</f>
        <v>2019</v>
      </c>
      <c r="H21" t="s">
        <v>131</v>
      </c>
      <c r="K21" s="3">
        <f t="shared" ref="K21:K37" si="3">ROUND(LOOKUP(N21,$J$2:$J$4,$K$2:$K$4)*O21,3)</f>
        <v>25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3.5139605392156859</v>
      </c>
      <c r="P21" t="str">
        <f>MID(H21,4,6)</f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22.608515631583888</v>
      </c>
      <c r="W21" s="3">
        <f>LOOKUP($G21,'INDATA prices'!$C$6:$I$6,'INDATA prices'!$C$7:$I$7)*LOOKUP(MID($H21,4,6),'INDATA Fuel relations'!$B$16:$B$34,'INDATA Fuel relations'!H$16:H$34)</f>
        <v>20.553196028712623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2019</v>
      </c>
      <c r="H22" t="s">
        <v>237</v>
      </c>
      <c r="K22" s="3">
        <f>ROUND($K$23*O22,3)</f>
        <v>23.76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si="0"/>
        <v>2019</v>
      </c>
      <c r="H23" t="s">
        <v>240</v>
      </c>
      <c r="K23" s="3">
        <f>ROUND(LOOKUP(N23,$J$2:$J$4,$K$2:$K$4)*O23,3)</f>
        <v>24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3.3734021176470588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0"/>
        <v>2019</v>
      </c>
      <c r="H24" t="s">
        <v>241</v>
      </c>
      <c r="K24" s="3">
        <f>$K$23*O24</f>
        <v>24</v>
      </c>
      <c r="L24" s="3"/>
      <c r="M24" t="s">
        <v>259</v>
      </c>
      <c r="N24" t="s">
        <v>132</v>
      </c>
      <c r="O24" s="3">
        <v>1</v>
      </c>
      <c r="P24" t="str">
        <f t="shared" ref="P24:P26" si="4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0"/>
        <v>2019</v>
      </c>
      <c r="H25" t="s">
        <v>242</v>
      </c>
      <c r="K25" s="3">
        <f t="shared" ref="K25:K26" si="5">$K$23*O25</f>
        <v>24</v>
      </c>
      <c r="L25" s="3"/>
      <c r="M25" t="s">
        <v>260</v>
      </c>
      <c r="N25" t="s">
        <v>132</v>
      </c>
      <c r="O25" s="3">
        <v>1</v>
      </c>
      <c r="P25" t="str">
        <f t="shared" si="4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0"/>
        <v>2019</v>
      </c>
      <c r="H26" t="s">
        <v>243</v>
      </c>
      <c r="K26" s="3">
        <f t="shared" si="5"/>
        <v>24.240000000000002</v>
      </c>
      <c r="L26" s="3"/>
      <c r="M26" t="s">
        <v>261</v>
      </c>
      <c r="N26" t="s">
        <v>132</v>
      </c>
      <c r="O26" s="3">
        <v>1.01</v>
      </c>
      <c r="P26" t="str">
        <f t="shared" si="4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">
        <v>7</v>
      </c>
      <c r="G27" s="10">
        <f t="shared" si="0"/>
        <v>2019</v>
      </c>
      <c r="H27" t="s">
        <v>133</v>
      </c>
      <c r="K27" s="3">
        <f t="shared" si="3"/>
        <v>24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3.3734021176470588</v>
      </c>
      <c r="P27" t="str">
        <f t="shared" ref="P27:P41" si="6">MID(H27,4,6)</f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22.608515631583888</v>
      </c>
      <c r="W27" s="3">
        <f>LOOKUP($G27,'INDATA prices'!$C$6:$I$6,'INDATA prices'!$C$7:$I$7)*LOOKUP(MID($H27,4,6),'INDATA Fuel relations'!$B$16:$B$34,'INDATA Fuel relations'!H$16:H$34)</f>
        <v>20.553196028712623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0"/>
        <v>2019</v>
      </c>
      <c r="H28" t="s">
        <v>244</v>
      </c>
      <c r="K28" s="3">
        <f>$K$27*O28</f>
        <v>24</v>
      </c>
      <c r="L28" s="3"/>
      <c r="M28" t="s">
        <v>263</v>
      </c>
      <c r="N28" t="s">
        <v>133</v>
      </c>
      <c r="O28" s="3"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0"/>
        <v>2019</v>
      </c>
      <c r="H29" t="s">
        <v>245</v>
      </c>
      <c r="K29" s="3">
        <f t="shared" ref="K29:K30" si="7">$K$27*O29</f>
        <v>24</v>
      </c>
      <c r="L29" s="3"/>
      <c r="M29" t="s">
        <v>264</v>
      </c>
      <c r="N29" t="s">
        <v>133</v>
      </c>
      <c r="O29" s="3"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0"/>
        <v>2019</v>
      </c>
      <c r="H30" t="s">
        <v>246</v>
      </c>
      <c r="K30" s="3">
        <f t="shared" si="7"/>
        <v>24.240000000000002</v>
      </c>
      <c r="L30" s="3"/>
      <c r="M30" t="s">
        <v>265</v>
      </c>
      <c r="N30" t="s">
        <v>133</v>
      </c>
      <c r="O30" s="3"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">
        <v>7</v>
      </c>
      <c r="G31" s="10">
        <f t="shared" si="0"/>
        <v>2019</v>
      </c>
      <c r="H31" t="s">
        <v>134</v>
      </c>
      <c r="K31" s="3">
        <f t="shared" si="3"/>
        <v>35</v>
      </c>
      <c r="L31" s="3"/>
      <c r="M31" t="s">
        <v>274</v>
      </c>
      <c r="N31" t="s">
        <v>107</v>
      </c>
      <c r="O31" s="3">
        <f>VLOOKUP(P31,'INDATA Fuel relations'!$B$15:$H$34,LOOKUP($G$2,'INDATA Fuel relations'!$D$14:$H$14,'INDATA Fuel relations'!$D$13:$H$13))</f>
        <v>4.9195447549019606</v>
      </c>
      <c r="P31" t="str">
        <f t="shared" si="6"/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27.746814638762043</v>
      </c>
      <c r="W31" s="3">
        <f>LOOKUP($G31,'INDATA prices'!$C$6:$I$6,'INDATA prices'!$C$7:$I$7)*LOOKUP(MID($H31,4,6),'INDATA Fuel relations'!$B$16:$B$34,'INDATA Fuel relations'!H$16:H$34)</f>
        <v>20.553196028712623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0"/>
        <v>2019</v>
      </c>
      <c r="H32" t="s">
        <v>281</v>
      </c>
      <c r="K32" s="3">
        <f t="shared" si="3"/>
        <v>25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3.5139605392156859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0"/>
        <v>2019</v>
      </c>
      <c r="H33" t="s">
        <v>282</v>
      </c>
      <c r="K33" s="3">
        <f>$K$32*O33</f>
        <v>25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0"/>
        <v>2019</v>
      </c>
      <c r="H34" t="s">
        <v>283</v>
      </c>
      <c r="K34" s="3">
        <f t="shared" ref="K34:K36" si="8">$K$32*O34</f>
        <v>25.25</v>
      </c>
      <c r="L34" s="3"/>
      <c r="M34" t="s">
        <v>288</v>
      </c>
      <c r="N34" t="s">
        <v>285</v>
      </c>
      <c r="O34" s="3">
        <v>1.01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0"/>
        <v>2019</v>
      </c>
      <c r="H35" t="s">
        <v>292</v>
      </c>
      <c r="K35" s="3">
        <f t="shared" ref="K35" si="9">$K$32*O35</f>
        <v>25.25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0"/>
        <v>2019</v>
      </c>
      <c r="H36" t="s">
        <v>284</v>
      </c>
      <c r="K36" s="3">
        <f t="shared" si="8"/>
        <v>25</v>
      </c>
      <c r="L36" s="3"/>
      <c r="M36" t="s">
        <v>291</v>
      </c>
      <c r="N36" t="s">
        <v>285</v>
      </c>
      <c r="O36" s="3">
        <v>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">
        <v>7</v>
      </c>
      <c r="G37" s="10">
        <v>2015</v>
      </c>
      <c r="H37" t="s">
        <v>135</v>
      </c>
      <c r="K37" s="3">
        <f t="shared" si="3"/>
        <v>25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3.5139605392156859</v>
      </c>
      <c r="P37" t="str">
        <f t="shared" si="6"/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22.608515631583888</v>
      </c>
      <c r="W37" s="3">
        <f>LOOKUP($G37,'INDATA prices'!$C$6:$I$6,'INDATA prices'!$C$7:$I$7)*LOOKUP(MID($H37,4,6),'INDATA Fuel relations'!$B$16:$B$34,'INDATA Fuel relations'!H$16:H$34)</f>
        <v>20.553196028712623</v>
      </c>
    </row>
    <row r="38" spans="2:23" x14ac:dyDescent="0.3">
      <c r="B38" t="s">
        <v>101</v>
      </c>
      <c r="D38" t="s">
        <v>192</v>
      </c>
      <c r="F38" s="9" t="s">
        <v>7</v>
      </c>
      <c r="G38" s="10">
        <f t="shared" si="0"/>
        <v>2019</v>
      </c>
      <c r="H38" t="s">
        <v>136</v>
      </c>
      <c r="K38" s="3">
        <f>ROUND(LOOKUP(N38,$J$2:$J$4,$K$2:$K$4)*O38,3)</f>
        <v>24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3.3734021176470588</v>
      </c>
      <c r="P38" t="str">
        <f t="shared" si="6"/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22.608515631583888</v>
      </c>
      <c r="W38" s="32">
        <f>LOOKUP($G38,'INDATA prices'!$C$6:$I$6,'INDATA prices'!$C$7:$I$7)*LOOKUP(MID($H38,4,6),'INDATA Fuel relations'!$B$16:$B$34,'INDATA Fuel relations'!H$16:H$34)</f>
        <v>20.553196028712623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0"/>
        <v>2019</v>
      </c>
      <c r="H39" t="s">
        <v>250</v>
      </c>
      <c r="K39" s="3">
        <f>$K$38*O39</f>
        <v>24</v>
      </c>
      <c r="L39" s="3"/>
      <c r="M39" t="s">
        <v>267</v>
      </c>
      <c r="N39" t="s">
        <v>125</v>
      </c>
      <c r="O39" s="3">
        <v>1</v>
      </c>
      <c r="P39" t="str">
        <f t="shared" si="6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0"/>
        <v>2019</v>
      </c>
      <c r="H40" t="s">
        <v>251</v>
      </c>
      <c r="K40" s="3">
        <f t="shared" ref="K40:K41" si="10">$K$38*O40</f>
        <v>24</v>
      </c>
      <c r="L40" s="3"/>
      <c r="M40" t="s">
        <v>269</v>
      </c>
      <c r="N40" t="s">
        <v>125</v>
      </c>
      <c r="O40" s="3">
        <v>1</v>
      </c>
      <c r="P40" t="str">
        <f t="shared" si="6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0"/>
        <v>2019</v>
      </c>
      <c r="H41" t="s">
        <v>252</v>
      </c>
      <c r="K41" s="3">
        <f t="shared" si="10"/>
        <v>24.240000000000002</v>
      </c>
      <c r="L41" s="3"/>
      <c r="M41" t="s">
        <v>268</v>
      </c>
      <c r="N41" t="s">
        <v>125</v>
      </c>
      <c r="O41" s="3">
        <v>1.01</v>
      </c>
      <c r="P41" t="str">
        <f t="shared" si="6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">
        <v>7</v>
      </c>
      <c r="G42" s="10">
        <f t="shared" si="0"/>
        <v>2019</v>
      </c>
      <c r="H42" t="s">
        <v>140</v>
      </c>
      <c r="K42" s="51">
        <f>LOOKUP($G42,'INDATA prices'!$C$6:$I$6,'INDATA prices'!$C$13:$I$13)</f>
        <v>7.839999999999999</v>
      </c>
      <c r="L42" s="3"/>
      <c r="M42" t="s">
        <v>142</v>
      </c>
      <c r="N42" t="s">
        <v>173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">
        <v>7</v>
      </c>
      <c r="G43" s="10">
        <f t="shared" si="0"/>
        <v>2019</v>
      </c>
      <c r="H43" t="s">
        <v>143</v>
      </c>
      <c r="K43" s="52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">
        <v>7</v>
      </c>
      <c r="G44" s="10">
        <f t="shared" si="0"/>
        <v>2019</v>
      </c>
      <c r="H44" t="s">
        <v>139</v>
      </c>
      <c r="K44" s="51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">
        <v>7</v>
      </c>
      <c r="G45" s="10">
        <f t="shared" si="0"/>
        <v>2019</v>
      </c>
      <c r="H45" t="s">
        <v>138</v>
      </c>
      <c r="K45" s="51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0"/>
        <v>2019</v>
      </c>
      <c r="H46" t="s">
        <v>255</v>
      </c>
      <c r="K46" s="3">
        <f t="shared" ref="K46" si="11">ROUND(LOOKUP(N46,$J$2:$J$4,$K$2:$K$4)*O46,3)</f>
        <v>5.9749999999999996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">
        <v>7</v>
      </c>
      <c r="G47" s="10">
        <f t="shared" si="0"/>
        <v>2019</v>
      </c>
      <c r="H47" t="s">
        <v>196</v>
      </c>
      <c r="K47" s="3">
        <f>ROUND(LOOKUP(N47,$J$2:$J$4,$K$2:$K$4)*O47,3)</f>
        <v>5.9749999999999996</v>
      </c>
      <c r="L47" s="3"/>
      <c r="M47" t="s">
        <v>257</v>
      </c>
      <c r="N47" t="s">
        <v>47</v>
      </c>
      <c r="O47">
        <v>1</v>
      </c>
      <c r="V47" s="3">
        <f>LOOKUP($G47,'INDATA prices'!$C$6:$I$6,'INDATA prices'!$C$8:$I$8)*'INDATA Fuel relations'!F$63</f>
        <v>13.145677197917641</v>
      </c>
      <c r="W47" s="3">
        <f>LOOKUP($G47,'INDATA prices'!$C$6:$I$6,'INDATA prices'!$C$8:$I$8)*'INDATA Fuel relations'!H$63</f>
        <v>11.950615634470582</v>
      </c>
    </row>
    <row r="48" spans="2:23" x14ac:dyDescent="0.3">
      <c r="B48" t="s">
        <v>102</v>
      </c>
      <c r="D48" t="s">
        <v>192</v>
      </c>
      <c r="F48" s="9" t="s">
        <v>7</v>
      </c>
      <c r="G48" s="10">
        <f t="shared" si="0"/>
        <v>2019</v>
      </c>
      <c r="H48" t="s">
        <v>130</v>
      </c>
      <c r="K48" s="51">
        <f>K10*4</f>
        <v>28.68</v>
      </c>
      <c r="M48" t="s">
        <v>272</v>
      </c>
      <c r="N48" t="s">
        <v>47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0"/>
        <v>2019</v>
      </c>
      <c r="H49" t="s">
        <v>247</v>
      </c>
      <c r="K49" s="51">
        <f>$K$48*O49</f>
        <v>35.85</v>
      </c>
      <c r="M49" t="s">
        <v>273</v>
      </c>
      <c r="N49" t="s">
        <v>130</v>
      </c>
      <c r="O49">
        <v>1.25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0"/>
        <v>2019</v>
      </c>
      <c r="H50" t="s">
        <v>275</v>
      </c>
      <c r="K50" s="51">
        <f>$K$48*O50</f>
        <v>35.85</v>
      </c>
      <c r="M50" t="s">
        <v>276</v>
      </c>
      <c r="N50" t="s">
        <v>130</v>
      </c>
      <c r="O50">
        <v>1.25</v>
      </c>
    </row>
    <row r="51" spans="2:23" x14ac:dyDescent="0.3">
      <c r="B51" t="s">
        <v>102</v>
      </c>
      <c r="D51" t="s">
        <v>192</v>
      </c>
      <c r="F51" s="9" t="s">
        <v>7</v>
      </c>
      <c r="G51" s="10">
        <f t="shared" si="0"/>
        <v>2019</v>
      </c>
      <c r="H51" t="s">
        <v>179</v>
      </c>
      <c r="K51" s="51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">
        <v>7</v>
      </c>
      <c r="G52" s="10">
        <f t="shared" si="0"/>
        <v>2019</v>
      </c>
      <c r="H52" t="s">
        <v>16</v>
      </c>
      <c r="K52" s="51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">
        <v>7</v>
      </c>
      <c r="G54" s="10">
        <f t="shared" si="0"/>
        <v>2019</v>
      </c>
      <c r="H54" t="s">
        <v>132</v>
      </c>
      <c r="K54" s="32">
        <f>ROUND(LOOKUP(N54,$J$2:$J$4,$K$2:$K$4)*O54,3)</f>
        <v>24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3.3734021176470588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22.608515631583888</v>
      </c>
      <c r="W54" s="3">
        <f>LOOKUP($G54,'INDATA prices'!$C$6:$I$6,'INDATA prices'!$C$7:$I$7)*LOOKUP(MID($H54,4,6),'INDATA Fuel relations'!$B$16:$B$34,'INDATA Fuel relations'!H$16:H$34)</f>
        <v>20.553196028712623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0"/>
        <v>2019</v>
      </c>
      <c r="H55" t="s">
        <v>237</v>
      </c>
      <c r="K55" s="32">
        <f>$K$54*O55</f>
        <v>24</v>
      </c>
      <c r="L55" s="3"/>
      <c r="M55" t="s">
        <v>248</v>
      </c>
      <c r="N55" t="s">
        <v>132</v>
      </c>
      <c r="O55" s="3"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0"/>
        <v>2019</v>
      </c>
      <c r="H56" t="s">
        <v>238</v>
      </c>
      <c r="K56" s="32">
        <f>$K$54*O56</f>
        <v>24</v>
      </c>
      <c r="L56" s="3"/>
      <c r="M56" t="s">
        <v>248</v>
      </c>
      <c r="N56" t="s">
        <v>132</v>
      </c>
      <c r="O56" s="3"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0"/>
        <v>2019</v>
      </c>
      <c r="H57" t="s">
        <v>239</v>
      </c>
      <c r="K57" s="32">
        <f>$K$54*O57</f>
        <v>24</v>
      </c>
      <c r="L57" s="3"/>
      <c r="M57" t="s">
        <v>248</v>
      </c>
      <c r="N57" t="s">
        <v>132</v>
      </c>
      <c r="O57" s="3"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59" spans="2:23" s="34" customFormat="1" x14ac:dyDescent="0.3">
      <c r="H59"/>
      <c r="S59"/>
      <c r="T59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84" si="12">F8</f>
        <v>COST</v>
      </c>
      <c r="G65" s="9">
        <f t="shared" si="12"/>
        <v>2019</v>
      </c>
      <c r="H65" t="str">
        <f t="shared" ref="H65:H76" si="13">REPLACE(H8,1,3,"EXP")</f>
        <v>EXPCOAHARY</v>
      </c>
      <c r="K65" s="3">
        <f t="shared" ref="K65:K93" si="14">ROUNDDOWN(K8*K$61,3)</f>
        <v>1.49</v>
      </c>
    </row>
    <row r="66" spans="2:11" x14ac:dyDescent="0.3">
      <c r="B66" t="s">
        <v>100</v>
      </c>
      <c r="D66" t="s">
        <v>192</v>
      </c>
      <c r="F66" s="9" t="str">
        <f t="shared" si="12"/>
        <v>COST</v>
      </c>
      <c r="G66" s="9">
        <f t="shared" si="12"/>
        <v>2019</v>
      </c>
      <c r="H66" t="str">
        <f t="shared" si="13"/>
        <v>EXPCOAPEAY</v>
      </c>
      <c r="K66" s="3">
        <f t="shared" si="14"/>
        <v>1.49</v>
      </c>
    </row>
    <row r="67" spans="2:11" x14ac:dyDescent="0.3">
      <c r="B67" t="s">
        <v>100</v>
      </c>
      <c r="D67" t="s">
        <v>192</v>
      </c>
      <c r="F67" s="9" t="str">
        <f t="shared" si="12"/>
        <v>COST</v>
      </c>
      <c r="G67" s="9">
        <f t="shared" si="12"/>
        <v>2019</v>
      </c>
      <c r="H67" t="str">
        <f t="shared" si="13"/>
        <v>EXPGASNATY</v>
      </c>
      <c r="K67" s="3">
        <f t="shared" si="14"/>
        <v>6.0940000000000003</v>
      </c>
    </row>
    <row r="68" spans="2:11" x14ac:dyDescent="0.3">
      <c r="B68" t="s">
        <v>100</v>
      </c>
      <c r="D68" t="s">
        <v>192</v>
      </c>
      <c r="F68" s="9" t="str">
        <f t="shared" si="12"/>
        <v>COST</v>
      </c>
      <c r="G68" s="9">
        <f t="shared" si="12"/>
        <v>2019</v>
      </c>
      <c r="H68" t="str">
        <f t="shared" si="13"/>
        <v>EXPOILCRDY</v>
      </c>
      <c r="K68" s="3">
        <f t="shared" si="14"/>
        <v>6.0460000000000003</v>
      </c>
    </row>
    <row r="69" spans="2:11" x14ac:dyDescent="0.3">
      <c r="B69" t="s">
        <v>100</v>
      </c>
      <c r="D69" t="s">
        <v>192</v>
      </c>
      <c r="F69" s="9" t="str">
        <f t="shared" si="12"/>
        <v>COST</v>
      </c>
      <c r="G69" s="9">
        <f t="shared" si="12"/>
        <v>2019</v>
      </c>
      <c r="H69" t="str">
        <f t="shared" si="13"/>
        <v>EXPOILDSTY</v>
      </c>
      <c r="K69" s="3">
        <f t="shared" si="14"/>
        <v>8.7349999999999994</v>
      </c>
    </row>
    <row r="70" spans="2:11" x14ac:dyDescent="0.3">
      <c r="B70" t="s">
        <v>100</v>
      </c>
      <c r="D70" t="s">
        <v>192</v>
      </c>
      <c r="F70" s="9" t="str">
        <f t="shared" si="12"/>
        <v>COST</v>
      </c>
      <c r="G70" s="9">
        <f t="shared" si="12"/>
        <v>2019</v>
      </c>
      <c r="H70" t="str">
        <f t="shared" si="13"/>
        <v>EXPOILGSLY</v>
      </c>
      <c r="K70" s="3">
        <f t="shared" si="14"/>
        <v>8.7349999999999994</v>
      </c>
    </row>
    <row r="71" spans="2:11" x14ac:dyDescent="0.3">
      <c r="B71" t="s">
        <v>100</v>
      </c>
      <c r="D71" t="s">
        <v>192</v>
      </c>
      <c r="F71" s="9" t="str">
        <f t="shared" si="12"/>
        <v>COST</v>
      </c>
      <c r="G71" s="9">
        <f t="shared" si="12"/>
        <v>2019</v>
      </c>
      <c r="H71" t="str">
        <f t="shared" si="13"/>
        <v>EXPOILHFOY</v>
      </c>
      <c r="K71" s="3">
        <f t="shared" si="14"/>
        <v>4.8979999999999997</v>
      </c>
    </row>
    <row r="72" spans="2:11" x14ac:dyDescent="0.3">
      <c r="B72" t="s">
        <v>100</v>
      </c>
      <c r="D72" t="s">
        <v>192</v>
      </c>
      <c r="F72" s="9" t="str">
        <f t="shared" si="12"/>
        <v>COST</v>
      </c>
      <c r="G72" s="9">
        <f t="shared" si="12"/>
        <v>2019</v>
      </c>
      <c r="H72" t="str">
        <f t="shared" si="13"/>
        <v>EXPOILKERY</v>
      </c>
      <c r="K72" s="3">
        <f t="shared" si="14"/>
        <v>9.4060000000000006</v>
      </c>
    </row>
    <row r="73" spans="2:11" x14ac:dyDescent="0.3">
      <c r="B73" t="s">
        <v>100</v>
      </c>
      <c r="D73" t="s">
        <v>192</v>
      </c>
      <c r="F73" s="9" t="str">
        <f t="shared" si="12"/>
        <v>COST</v>
      </c>
      <c r="G73" s="9">
        <f t="shared" si="12"/>
        <v>2019</v>
      </c>
      <c r="H73" t="str">
        <f t="shared" si="13"/>
        <v>EXPOILLFOY</v>
      </c>
      <c r="K73" s="3">
        <f t="shared" si="14"/>
        <v>6.7190000000000003</v>
      </c>
    </row>
    <row r="74" spans="2:11" x14ac:dyDescent="0.3">
      <c r="B74" t="s">
        <v>100</v>
      </c>
      <c r="D74" t="s">
        <v>192</v>
      </c>
      <c r="F74" s="9" t="str">
        <f t="shared" si="12"/>
        <v>COST</v>
      </c>
      <c r="G74" s="9">
        <f t="shared" si="12"/>
        <v>2019</v>
      </c>
      <c r="H74" t="str">
        <f t="shared" si="13"/>
        <v>EXPOILLPGY</v>
      </c>
      <c r="K74" s="3">
        <f t="shared" si="14"/>
        <v>7.391</v>
      </c>
    </row>
    <row r="75" spans="2:11" x14ac:dyDescent="0.3">
      <c r="B75" t="s">
        <v>101</v>
      </c>
      <c r="D75" t="s">
        <v>192</v>
      </c>
      <c r="F75" s="9" t="str">
        <f t="shared" si="12"/>
        <v>COST</v>
      </c>
      <c r="G75" s="9">
        <f t="shared" si="12"/>
        <v>2019</v>
      </c>
      <c r="H75" t="str">
        <f t="shared" si="13"/>
        <v>EXPBIOMFWY</v>
      </c>
      <c r="K75" s="3">
        <f t="shared" si="14"/>
        <v>0</v>
      </c>
    </row>
    <row r="76" spans="2:11" x14ac:dyDescent="0.3">
      <c r="B76" t="s">
        <v>101</v>
      </c>
      <c r="D76" t="s">
        <v>192</v>
      </c>
      <c r="F76" s="9" t="str">
        <f t="shared" si="12"/>
        <v>COST</v>
      </c>
      <c r="G76" s="9">
        <f t="shared" si="12"/>
        <v>2019</v>
      </c>
      <c r="H76" t="str">
        <f t="shared" si="13"/>
        <v>EXPBIOMSWY</v>
      </c>
      <c r="K76" s="3">
        <f t="shared" si="14"/>
        <v>0</v>
      </c>
    </row>
    <row r="77" spans="2:11" x14ac:dyDescent="0.3">
      <c r="B77" t="s">
        <v>101</v>
      </c>
      <c r="D77" t="s">
        <v>192</v>
      </c>
      <c r="F77" s="9" t="str">
        <f t="shared" si="12"/>
        <v>COST</v>
      </c>
      <c r="G77" s="9">
        <f t="shared" si="12"/>
        <v>2019</v>
      </c>
      <c r="H77" t="s">
        <v>235</v>
      </c>
      <c r="K77" s="3">
        <f t="shared" si="14"/>
        <v>33.15</v>
      </c>
    </row>
    <row r="78" spans="2:11" x14ac:dyDescent="0.3">
      <c r="B78" t="s">
        <v>101</v>
      </c>
      <c r="D78" t="s">
        <v>192</v>
      </c>
      <c r="F78" s="9" t="str">
        <f t="shared" si="12"/>
        <v>COST</v>
      </c>
      <c r="G78" s="9">
        <f t="shared" si="12"/>
        <v>2019</v>
      </c>
      <c r="H78" t="str">
        <f t="shared" ref="H78:H91" si="15">REPLACE(H21,1,3,"EXP")</f>
        <v>EXPBFUDMEY</v>
      </c>
      <c r="K78" s="3">
        <f t="shared" si="14"/>
        <v>21.25</v>
      </c>
    </row>
    <row r="79" spans="2:11" x14ac:dyDescent="0.3">
      <c r="B79" t="s">
        <v>101</v>
      </c>
      <c r="D79" t="s">
        <v>192</v>
      </c>
      <c r="F79" s="9" t="str">
        <f t="shared" si="12"/>
        <v>COST</v>
      </c>
      <c r="G79" s="9">
        <f t="shared" si="12"/>
        <v>2019</v>
      </c>
      <c r="H79" t="str">
        <f t="shared" si="15"/>
        <v>EXPBFUDST1</v>
      </c>
      <c r="K79" s="3">
        <f t="shared" si="14"/>
        <v>20.196000000000002</v>
      </c>
    </row>
    <row r="80" spans="2:11" x14ac:dyDescent="0.3">
      <c r="B80" t="s">
        <v>101</v>
      </c>
      <c r="D80" t="s">
        <v>192</v>
      </c>
      <c r="F80" s="9" t="str">
        <f t="shared" si="12"/>
        <v>COST</v>
      </c>
      <c r="G80" s="9">
        <f t="shared" si="12"/>
        <v>2019</v>
      </c>
      <c r="H80" t="str">
        <f t="shared" si="15"/>
        <v>EXPBFUDST4</v>
      </c>
      <c r="K80" s="3">
        <f t="shared" si="14"/>
        <v>20.399999999999999</v>
      </c>
    </row>
    <row r="81" spans="2:11" x14ac:dyDescent="0.3">
      <c r="B81" t="s">
        <v>101</v>
      </c>
      <c r="D81" t="s">
        <v>192</v>
      </c>
      <c r="F81" s="9" t="str">
        <f t="shared" si="12"/>
        <v>COST</v>
      </c>
      <c r="G81" s="9">
        <f t="shared" si="12"/>
        <v>2019</v>
      </c>
      <c r="H81" t="str">
        <f t="shared" si="15"/>
        <v>EXPBFUDST5</v>
      </c>
      <c r="K81" s="3">
        <f t="shared" si="14"/>
        <v>20.399999999999999</v>
      </c>
    </row>
    <row r="82" spans="2:11" x14ac:dyDescent="0.3">
      <c r="B82" t="s">
        <v>101</v>
      </c>
      <c r="D82" t="s">
        <v>192</v>
      </c>
      <c r="F82" s="9" t="str">
        <f t="shared" si="12"/>
        <v>COST</v>
      </c>
      <c r="G82" s="9">
        <f t="shared" si="12"/>
        <v>2019</v>
      </c>
      <c r="H82" t="str">
        <f t="shared" si="15"/>
        <v>EXPBFUDST6</v>
      </c>
      <c r="K82" s="3">
        <f t="shared" si="14"/>
        <v>20.399999999999999</v>
      </c>
    </row>
    <row r="83" spans="2:11" x14ac:dyDescent="0.3">
      <c r="B83" t="s">
        <v>101</v>
      </c>
      <c r="D83" t="s">
        <v>192</v>
      </c>
      <c r="F83" s="9" t="str">
        <f t="shared" si="12"/>
        <v>COST</v>
      </c>
      <c r="G83" s="9">
        <f t="shared" si="12"/>
        <v>2019</v>
      </c>
      <c r="H83" t="str">
        <f t="shared" si="15"/>
        <v>EXPBFUDST7</v>
      </c>
      <c r="K83" s="3">
        <f t="shared" si="14"/>
        <v>20.603999999999999</v>
      </c>
    </row>
    <row r="84" spans="2:11" x14ac:dyDescent="0.3">
      <c r="B84" t="s">
        <v>101</v>
      </c>
      <c r="D84" t="s">
        <v>192</v>
      </c>
      <c r="F84" s="9" t="str">
        <f t="shared" si="12"/>
        <v>COST</v>
      </c>
      <c r="G84" s="9">
        <f t="shared" si="12"/>
        <v>2019</v>
      </c>
      <c r="H84" t="str">
        <f t="shared" si="15"/>
        <v>EXPBFUETHY</v>
      </c>
      <c r="K84" s="3">
        <f t="shared" si="14"/>
        <v>20.399999999999999</v>
      </c>
    </row>
    <row r="85" spans="2:11" x14ac:dyDescent="0.3">
      <c r="B85" t="s">
        <v>101</v>
      </c>
      <c r="D85" t="s">
        <v>192</v>
      </c>
      <c r="F85" s="9" t="str">
        <f t="shared" ref="F85:G88" si="16">F28</f>
        <v>COST</v>
      </c>
      <c r="G85" s="9">
        <f t="shared" si="16"/>
        <v>2019</v>
      </c>
      <c r="H85" t="str">
        <f t="shared" si="15"/>
        <v>EXPBFUETH1</v>
      </c>
      <c r="K85" s="3">
        <f t="shared" si="14"/>
        <v>20.399999999999999</v>
      </c>
    </row>
    <row r="86" spans="2:11" x14ac:dyDescent="0.3">
      <c r="B86" t="s">
        <v>101</v>
      </c>
      <c r="D86" t="s">
        <v>192</v>
      </c>
      <c r="F86" s="9" t="str">
        <f t="shared" si="16"/>
        <v>COST</v>
      </c>
      <c r="G86" s="9">
        <f t="shared" si="16"/>
        <v>2019</v>
      </c>
      <c r="H86" t="str">
        <f t="shared" si="15"/>
        <v>EXPBFUETH2</v>
      </c>
      <c r="K86" s="3">
        <f t="shared" si="14"/>
        <v>20.399999999999999</v>
      </c>
    </row>
    <row r="87" spans="2:11" x14ac:dyDescent="0.3">
      <c r="B87" t="s">
        <v>101</v>
      </c>
      <c r="D87" t="s">
        <v>192</v>
      </c>
      <c r="F87" s="9" t="str">
        <f t="shared" si="16"/>
        <v>COST</v>
      </c>
      <c r="G87" s="9">
        <f t="shared" si="16"/>
        <v>2019</v>
      </c>
      <c r="H87" t="str">
        <f t="shared" si="15"/>
        <v>EXPBFUETH3</v>
      </c>
      <c r="K87" s="3">
        <f t="shared" si="14"/>
        <v>20.603999999999999</v>
      </c>
    </row>
    <row r="88" spans="2:11" x14ac:dyDescent="0.3">
      <c r="B88" t="s">
        <v>101</v>
      </c>
      <c r="D88" t="s">
        <v>192</v>
      </c>
      <c r="F88" s="9" t="str">
        <f t="shared" si="16"/>
        <v>COST</v>
      </c>
      <c r="G88" s="9">
        <f t="shared" si="16"/>
        <v>2019</v>
      </c>
      <c r="H88" t="str">
        <f t="shared" si="15"/>
        <v>EXPBFUFTDY</v>
      </c>
      <c r="K88" s="3">
        <f t="shared" si="14"/>
        <v>29.75</v>
      </c>
    </row>
    <row r="89" spans="2:11" x14ac:dyDescent="0.3">
      <c r="B89" t="s">
        <v>101</v>
      </c>
      <c r="D89" t="s">
        <v>192</v>
      </c>
      <c r="F89" s="9" t="str">
        <f t="shared" ref="F89:G89" si="17">F32</f>
        <v>COST</v>
      </c>
      <c r="G89" s="9">
        <f t="shared" si="17"/>
        <v>2019</v>
      </c>
      <c r="H89" t="str">
        <f t="shared" si="15"/>
        <v>EXPBFUGSL1</v>
      </c>
      <c r="K89" s="3">
        <f t="shared" si="14"/>
        <v>21.25</v>
      </c>
    </row>
    <row r="90" spans="2:11" x14ac:dyDescent="0.3">
      <c r="B90" t="s">
        <v>101</v>
      </c>
      <c r="D90" t="s">
        <v>192</v>
      </c>
      <c r="F90" s="9" t="str">
        <f t="shared" ref="F90:G90" si="18">F33</f>
        <v>COST</v>
      </c>
      <c r="G90" s="9">
        <f t="shared" si="18"/>
        <v>2019</v>
      </c>
      <c r="H90" t="str">
        <f t="shared" si="15"/>
        <v>EXPBFUGSL2</v>
      </c>
      <c r="K90" s="3">
        <f t="shared" si="14"/>
        <v>21.25</v>
      </c>
    </row>
    <row r="91" spans="2:11" x14ac:dyDescent="0.3">
      <c r="B91" t="s">
        <v>101</v>
      </c>
      <c r="D91" t="s">
        <v>192</v>
      </c>
      <c r="F91" s="9" t="str">
        <f t="shared" ref="F91:G91" si="19">F34</f>
        <v>COST</v>
      </c>
      <c r="G91" s="9">
        <f t="shared" si="19"/>
        <v>2019</v>
      </c>
      <c r="H91" t="str">
        <f t="shared" si="15"/>
        <v>EXPBFUGSL3</v>
      </c>
      <c r="K91" s="3">
        <f t="shared" si="14"/>
        <v>21.462</v>
      </c>
    </row>
    <row r="92" spans="2:11" x14ac:dyDescent="0.3">
      <c r="B92" t="s">
        <v>101</v>
      </c>
      <c r="D92" t="s">
        <v>192</v>
      </c>
      <c r="F92" s="9" t="str">
        <f t="shared" ref="F92:G93" si="20">F35</f>
        <v>COST</v>
      </c>
      <c r="G92" s="9">
        <f t="shared" si="20"/>
        <v>2019</v>
      </c>
      <c r="H92" t="str">
        <f t="shared" ref="H92:H93" si="21">REPLACE(H35,1,3,"EXP")</f>
        <v>EXPBFUGSL4</v>
      </c>
      <c r="K92" s="3">
        <f t="shared" si="14"/>
        <v>21.462</v>
      </c>
    </row>
    <row r="93" spans="2:11" x14ac:dyDescent="0.3">
      <c r="B93" t="s">
        <v>101</v>
      </c>
      <c r="D93" t="s">
        <v>192</v>
      </c>
      <c r="F93" s="9" t="str">
        <f t="shared" si="20"/>
        <v>COST</v>
      </c>
      <c r="G93" s="9">
        <f t="shared" si="20"/>
        <v>2019</v>
      </c>
      <c r="H93" t="str">
        <f t="shared" si="21"/>
        <v>EXPBFUGSLY</v>
      </c>
      <c r="K93" s="3">
        <f t="shared" si="14"/>
        <v>21.25</v>
      </c>
    </row>
    <row r="94" spans="2:11" x14ac:dyDescent="0.3">
      <c r="B94" t="s">
        <v>101</v>
      </c>
      <c r="D94" t="s">
        <v>192</v>
      </c>
      <c r="F94" s="9" t="str">
        <f t="shared" ref="F94:G109" si="22">F37</f>
        <v>COST</v>
      </c>
      <c r="G94" s="9">
        <f t="shared" si="22"/>
        <v>2015</v>
      </c>
      <c r="H94" t="str">
        <f t="shared" ref="H94:H109" si="23">REPLACE(H37,1,3,"EXP")</f>
        <v>EXPBFUMTHY</v>
      </c>
      <c r="K94" s="3">
        <f t="shared" ref="K94:K109" si="24">ROUNDDOWN(K37*K$61,3)</f>
        <v>21.25</v>
      </c>
    </row>
    <row r="95" spans="2:11" x14ac:dyDescent="0.3">
      <c r="B95" t="s">
        <v>101</v>
      </c>
      <c r="D95" t="s">
        <v>192</v>
      </c>
      <c r="F95" s="9" t="str">
        <f t="shared" si="22"/>
        <v>COST</v>
      </c>
      <c r="G95" s="9">
        <f t="shared" si="22"/>
        <v>2019</v>
      </c>
      <c r="H95" t="str">
        <f t="shared" si="23"/>
        <v>EXPBFUSNGY</v>
      </c>
      <c r="K95" s="3">
        <f t="shared" si="24"/>
        <v>20.399999999999999</v>
      </c>
    </row>
    <row r="96" spans="2:11" x14ac:dyDescent="0.3">
      <c r="B96" t="s">
        <v>101</v>
      </c>
      <c r="D96" t="s">
        <v>192</v>
      </c>
      <c r="F96" s="9" t="str">
        <f t="shared" si="22"/>
        <v>COST</v>
      </c>
      <c r="G96" s="9">
        <f t="shared" si="22"/>
        <v>2019</v>
      </c>
      <c r="H96" t="str">
        <f t="shared" si="23"/>
        <v>EXPBFUSNG1</v>
      </c>
      <c r="K96" s="3">
        <f t="shared" si="24"/>
        <v>20.399999999999999</v>
      </c>
    </row>
    <row r="97" spans="2:11" x14ac:dyDescent="0.3">
      <c r="B97" t="s">
        <v>101</v>
      </c>
      <c r="D97" t="s">
        <v>192</v>
      </c>
      <c r="F97" s="9" t="str">
        <f t="shared" si="22"/>
        <v>COST</v>
      </c>
      <c r="G97" s="9">
        <f t="shared" si="22"/>
        <v>2019</v>
      </c>
      <c r="H97" t="str">
        <f t="shared" si="23"/>
        <v>EXPBFUSNG2</v>
      </c>
      <c r="K97" s="3">
        <f t="shared" si="24"/>
        <v>20.399999999999999</v>
      </c>
    </row>
    <row r="98" spans="2:11" x14ac:dyDescent="0.3">
      <c r="B98" t="s">
        <v>101</v>
      </c>
      <c r="D98" t="s">
        <v>192</v>
      </c>
      <c r="F98" s="9" t="str">
        <f t="shared" si="22"/>
        <v>COST</v>
      </c>
      <c r="G98" s="9">
        <f t="shared" si="22"/>
        <v>2019</v>
      </c>
      <c r="H98" t="str">
        <f t="shared" si="23"/>
        <v>EXPBFUSNG3</v>
      </c>
      <c r="K98" s="3">
        <f t="shared" si="24"/>
        <v>20.603999999999999</v>
      </c>
    </row>
    <row r="99" spans="2:11" x14ac:dyDescent="0.3">
      <c r="B99" t="s">
        <v>101</v>
      </c>
      <c r="D99" t="s">
        <v>192</v>
      </c>
      <c r="F99" s="9" t="str">
        <f t="shared" si="22"/>
        <v>COST</v>
      </c>
      <c r="G99" s="9">
        <f t="shared" si="22"/>
        <v>2019</v>
      </c>
      <c r="H99" t="str">
        <f t="shared" si="23"/>
        <v>EXPBFUPLTY</v>
      </c>
      <c r="K99" s="3">
        <f t="shared" si="24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2"/>
        <v>COST</v>
      </c>
      <c r="G100" s="9">
        <f t="shared" si="22"/>
        <v>2019</v>
      </c>
      <c r="H100" t="str">
        <f t="shared" si="23"/>
        <v>EXPBIOCRPY</v>
      </c>
      <c r="K100" s="3">
        <f t="shared" si="24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2"/>
        <v>COST</v>
      </c>
      <c r="G101" s="9">
        <f t="shared" si="22"/>
        <v>2019</v>
      </c>
      <c r="H101" t="str">
        <f t="shared" si="23"/>
        <v>EXPBIOWOFY</v>
      </c>
      <c r="K101" s="3">
        <f t="shared" si="24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2"/>
        <v>COST</v>
      </c>
      <c r="G102" s="9">
        <f t="shared" si="22"/>
        <v>2019</v>
      </c>
      <c r="H102" t="str">
        <f t="shared" si="23"/>
        <v>EXPBIOWOOY</v>
      </c>
      <c r="K102" s="3">
        <f t="shared" si="24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2"/>
        <v>COST</v>
      </c>
      <c r="G103" s="9">
        <f t="shared" si="22"/>
        <v>2019</v>
      </c>
      <c r="H103" t="str">
        <f t="shared" si="23"/>
        <v>EXPBIOGAS1</v>
      </c>
      <c r="K103" s="3">
        <f t="shared" si="24"/>
        <v>5.0780000000000003</v>
      </c>
    </row>
    <row r="104" spans="2:11" x14ac:dyDescent="0.3">
      <c r="B104" t="s">
        <v>101</v>
      </c>
      <c r="D104" t="s">
        <v>192</v>
      </c>
      <c r="F104" s="9" t="str">
        <f t="shared" si="22"/>
        <v>COST</v>
      </c>
      <c r="G104" s="9">
        <f t="shared" si="22"/>
        <v>2019</v>
      </c>
      <c r="H104" t="str">
        <f t="shared" si="23"/>
        <v>EXPBIOGASY</v>
      </c>
      <c r="K104" s="3">
        <f t="shared" si="24"/>
        <v>5.0780000000000003</v>
      </c>
    </row>
    <row r="105" spans="2:11" x14ac:dyDescent="0.3">
      <c r="B105" t="s">
        <v>102</v>
      </c>
      <c r="D105" t="s">
        <v>192</v>
      </c>
      <c r="F105" s="9" t="str">
        <f t="shared" si="22"/>
        <v>COST</v>
      </c>
      <c r="G105" s="9">
        <f t="shared" si="22"/>
        <v>2019</v>
      </c>
      <c r="H105" t="str">
        <f t="shared" si="23"/>
        <v>EXPH2GY</v>
      </c>
      <c r="K105" s="3">
        <f t="shared" si="24"/>
        <v>24.378</v>
      </c>
    </row>
    <row r="106" spans="2:11" x14ac:dyDescent="0.3">
      <c r="B106" t="s">
        <v>102</v>
      </c>
      <c r="D106" t="s">
        <v>192</v>
      </c>
      <c r="F106" s="9" t="str">
        <f t="shared" si="22"/>
        <v>COST</v>
      </c>
      <c r="G106" s="9">
        <f t="shared" si="22"/>
        <v>2019</v>
      </c>
      <c r="H106" t="str">
        <f t="shared" si="23"/>
        <v>EXPH2G1</v>
      </c>
      <c r="K106" s="3">
        <f t="shared" si="24"/>
        <v>30.472000000000001</v>
      </c>
    </row>
    <row r="107" spans="2:11" x14ac:dyDescent="0.3">
      <c r="B107" t="s">
        <v>102</v>
      </c>
      <c r="D107" t="s">
        <v>192</v>
      </c>
      <c r="F107" s="9" t="str">
        <f t="shared" si="22"/>
        <v>COST</v>
      </c>
      <c r="G107" s="9">
        <f t="shared" si="22"/>
        <v>2019</v>
      </c>
      <c r="H107" t="str">
        <f t="shared" si="23"/>
        <v>EXPH2G2</v>
      </c>
      <c r="K107" s="3">
        <f t="shared" si="24"/>
        <v>30.472000000000001</v>
      </c>
    </row>
    <row r="108" spans="2:11" x14ac:dyDescent="0.3">
      <c r="B108" t="s">
        <v>102</v>
      </c>
      <c r="D108" t="s">
        <v>192</v>
      </c>
      <c r="F108" s="9" t="str">
        <f t="shared" si="22"/>
        <v>COST</v>
      </c>
      <c r="G108" s="9">
        <f t="shared" si="22"/>
        <v>2019</v>
      </c>
      <c r="H108" t="str">
        <f t="shared" si="23"/>
        <v>EXPH2LY</v>
      </c>
      <c r="K108" s="3">
        <f t="shared" si="24"/>
        <v>849.15</v>
      </c>
    </row>
    <row r="109" spans="2:11" x14ac:dyDescent="0.3">
      <c r="B109" t="s">
        <v>102</v>
      </c>
      <c r="D109" t="s">
        <v>192</v>
      </c>
      <c r="F109" s="9" t="str">
        <f t="shared" si="22"/>
        <v>COST</v>
      </c>
      <c r="G109" s="9">
        <f t="shared" si="22"/>
        <v>2019</v>
      </c>
      <c r="H109" t="str">
        <f t="shared" si="23"/>
        <v>EXPNUCRSVY</v>
      </c>
      <c r="K109" s="3">
        <f t="shared" si="24"/>
        <v>849.15</v>
      </c>
    </row>
    <row r="111" spans="2:11" x14ac:dyDescent="0.3">
      <c r="B111" t="s">
        <v>101</v>
      </c>
      <c r="D111" t="s">
        <v>192</v>
      </c>
      <c r="F111" s="9" t="str">
        <f>F54</f>
        <v>COST</v>
      </c>
      <c r="G111" s="9">
        <f>G54</f>
        <v>2019</v>
      </c>
      <c r="H111" t="str">
        <f>REPLACE(H54,1,3,"EXP")</f>
        <v>EXPBFUDSTY</v>
      </c>
      <c r="K111" s="3">
        <f>ROUNDDOWN(K54*K$61,3)</f>
        <v>20.399999999999999</v>
      </c>
    </row>
    <row r="112" spans="2:11" x14ac:dyDescent="0.3">
      <c r="B112" t="s">
        <v>101</v>
      </c>
      <c r="D112" t="s">
        <v>192</v>
      </c>
      <c r="F112" s="9" t="str">
        <f>F55</f>
        <v>COST</v>
      </c>
      <c r="G112" s="9">
        <f>G55</f>
        <v>2019</v>
      </c>
      <c r="H112" t="str">
        <f>REPLACE(H55,1,3,"EXP")</f>
        <v>EXPBFUDST1</v>
      </c>
      <c r="K112" s="3">
        <f>ROUNDDOWN(K55*K$61,3)</f>
        <v>20.399999999999999</v>
      </c>
    </row>
    <row r="113" spans="2:11" x14ac:dyDescent="0.3">
      <c r="B113" t="s">
        <v>101</v>
      </c>
      <c r="D113" t="s">
        <v>192</v>
      </c>
      <c r="F113" s="9" t="str">
        <f t="shared" ref="F113:G114" si="25">F56</f>
        <v>COST</v>
      </c>
      <c r="G113" s="9">
        <f t="shared" si="25"/>
        <v>2019</v>
      </c>
      <c r="H113" t="str">
        <f>REPLACE(H56,1,3,"EXP")</f>
        <v>EXPBFUDST2</v>
      </c>
      <c r="K113" s="3">
        <f>ROUNDDOWN(K56*K$61,3)</f>
        <v>20.399999999999999</v>
      </c>
    </row>
    <row r="114" spans="2:11" x14ac:dyDescent="0.3">
      <c r="B114" t="s">
        <v>101</v>
      </c>
      <c r="D114" t="s">
        <v>192</v>
      </c>
      <c r="F114" s="9" t="str">
        <f t="shared" si="25"/>
        <v>COST</v>
      </c>
      <c r="G114" s="9">
        <f t="shared" si="25"/>
        <v>2019</v>
      </c>
      <c r="H114" t="str">
        <f>REPLACE(H57,1,3,"EXP")</f>
        <v>EXPBFUDST3</v>
      </c>
      <c r="K114" s="3">
        <f>ROUNDDOWN(K57*K$61,3)</f>
        <v>20.399999999999999</v>
      </c>
    </row>
  </sheetData>
  <sortState xmlns:xlrd2="http://schemas.microsoft.com/office/spreadsheetml/2017/richdata2" ref="H8:H52">
    <sortCondition ref="H37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4"/>
  <sheetViews>
    <sheetView tabSelected="1" zoomScale="80" zoomScaleNormal="80" workbookViewId="0">
      <selection activeCell="D63" sqref="D63"/>
    </sheetView>
  </sheetViews>
  <sheetFormatPr defaultColWidth="9.109375" defaultRowHeight="14.4" x14ac:dyDescent="0.3"/>
  <cols>
    <col min="2" max="2" width="14.6640625" bestFit="1" customWidth="1"/>
    <col min="4" max="4" width="9.441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23.10937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37.4414062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2020</v>
      </c>
      <c r="J2" s="12" t="str">
        <f>'INDATA prices'!B9</f>
        <v>Coal</v>
      </c>
      <c r="K2" s="3">
        <f>LOOKUP($G$2,'INDATA prices'!$C$6:$I$6,'INDATA prices'!$C9:$I9)</f>
        <v>1.7836943287703295</v>
      </c>
    </row>
    <row r="3" spans="1:23" x14ac:dyDescent="0.3">
      <c r="G3"/>
      <c r="J3" s="12" t="str">
        <f>'INDATA prices'!B8</f>
        <v>Gas</v>
      </c>
      <c r="K3" s="3">
        <f>LOOKUP($G$2,'INDATA prices'!$C$6:$I$6,'INDATA prices'!$C8:$I8)</f>
        <v>5.8899462769890727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10.183470567224193</v>
      </c>
    </row>
    <row r="5" spans="1:23" s="136" customFormat="1" x14ac:dyDescent="0.3">
      <c r="D5" s="157"/>
      <c r="J5" s="160"/>
      <c r="K5" s="161"/>
    </row>
    <row r="6" spans="1:23" x14ac:dyDescent="0.3">
      <c r="D6" s="162" t="s">
        <v>0</v>
      </c>
      <c r="P6" t="s">
        <v>171</v>
      </c>
    </row>
    <row r="7" spans="1:23" ht="43.8" thickBot="1" x14ac:dyDescent="0.35">
      <c r="D7" s="7" t="s">
        <v>1</v>
      </c>
      <c r="E7" s="7" t="s">
        <v>2</v>
      </c>
      <c r="F7" s="7" t="s">
        <v>3</v>
      </c>
      <c r="G7" s="8" t="s">
        <v>4</v>
      </c>
      <c r="H7" s="7" t="s">
        <v>41</v>
      </c>
      <c r="I7" s="7" t="s">
        <v>42</v>
      </c>
      <c r="J7" s="7" t="s">
        <v>6</v>
      </c>
      <c r="K7" s="7" t="s">
        <v>5</v>
      </c>
      <c r="M7" s="7" t="s">
        <v>43</v>
      </c>
      <c r="N7" s="49" t="s">
        <v>176</v>
      </c>
      <c r="O7" s="49" t="s">
        <v>175</v>
      </c>
      <c r="P7" s="7" t="s">
        <v>172</v>
      </c>
      <c r="Q7" s="7" t="s">
        <v>108</v>
      </c>
      <c r="R7" s="7" t="s">
        <v>147</v>
      </c>
      <c r="U7" s="7" t="s">
        <v>109</v>
      </c>
      <c r="V7" s="7" t="s">
        <v>5</v>
      </c>
      <c r="W7" s="7" t="s">
        <v>5</v>
      </c>
    </row>
    <row r="8" spans="1:23" x14ac:dyDescent="0.3">
      <c r="B8" t="s">
        <v>100</v>
      </c>
      <c r="D8" t="s">
        <v>192</v>
      </c>
      <c r="F8" s="9" t="str">
        <f>'Prices (2019)'!F8</f>
        <v>COST</v>
      </c>
      <c r="G8" s="10">
        <f t="shared" ref="G8:G52" si="0">$G$2</f>
        <v>2020</v>
      </c>
      <c r="H8" t="s">
        <v>9</v>
      </c>
      <c r="K8" s="3">
        <f>ROUND(LOOKUP(N8,$J$2:$J$4,$K$2:$K$4)*O8,3)</f>
        <v>1.784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1.7836943287703295</v>
      </c>
      <c r="W8" s="3">
        <f>LOOKUP($G8,'INDATA prices'!$C$6:$I$6,'INDATA prices'!$C$9:$I$9)</f>
        <v>1.7836943287703295</v>
      </c>
    </row>
    <row r="9" spans="1:23" x14ac:dyDescent="0.3">
      <c r="B9" t="s">
        <v>100</v>
      </c>
      <c r="D9" t="s">
        <v>192</v>
      </c>
      <c r="F9" s="9" t="str">
        <f>'Prices (2019)'!F9</f>
        <v>COST</v>
      </c>
      <c r="G9" s="10">
        <f t="shared" si="0"/>
        <v>2020</v>
      </c>
      <c r="H9" t="s">
        <v>11</v>
      </c>
      <c r="K9" s="3">
        <f t="shared" ref="K9:K17" si="1">ROUND(LOOKUP(N9,$J$2:$J$4,$K$2:$K$4)*O9,3)</f>
        <v>1.784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1.7836943287703295</v>
      </c>
      <c r="W9" s="3">
        <f>LOOKUP($G9,'INDATA prices'!$C$6:$I$6,'INDATA prices'!$C$9:$I$9)</f>
        <v>1.7836943287703295</v>
      </c>
    </row>
    <row r="10" spans="1:23" x14ac:dyDescent="0.3">
      <c r="B10" t="s">
        <v>100</v>
      </c>
      <c r="D10" t="s">
        <v>192</v>
      </c>
      <c r="F10" s="9" t="str">
        <f>'Prices (2019)'!F10</f>
        <v>COST</v>
      </c>
      <c r="G10" s="10">
        <f t="shared" si="0"/>
        <v>2020</v>
      </c>
      <c r="H10" t="s">
        <v>14</v>
      </c>
      <c r="K10" s="3">
        <f>ROUND(LOOKUP(N10,$J$2:$J$4,$K$2:$K$4)*O10,3)</f>
        <v>7.0679999999999996</v>
      </c>
      <c r="L10" s="3"/>
      <c r="M10" t="s">
        <v>15</v>
      </c>
      <c r="N10" t="s">
        <v>47</v>
      </c>
      <c r="O10">
        <f>'Prices (2019)'!O10</f>
        <v>1.2</v>
      </c>
      <c r="V10" s="3">
        <f>LOOKUP($G10,'INDATA prices'!$C$6:$I$6,'INDATA prices'!$C$8:$I$8)</f>
        <v>5.8899462769890727</v>
      </c>
      <c r="W10" s="3">
        <f>LOOKUP($G10,'INDATA prices'!$C$6:$I$6,'INDATA prices'!$C$8:$I$8)</f>
        <v>5.8899462769890727</v>
      </c>
    </row>
    <row r="11" spans="1:23" x14ac:dyDescent="0.3">
      <c r="B11" t="s">
        <v>100</v>
      </c>
      <c r="D11" t="s">
        <v>192</v>
      </c>
      <c r="F11" s="9" t="str">
        <f>'Prices (2019)'!F11</f>
        <v>COST</v>
      </c>
      <c r="G11" s="10">
        <f t="shared" si="0"/>
        <v>2020</v>
      </c>
      <c r="H11" t="s">
        <v>18</v>
      </c>
      <c r="K11" s="3">
        <f t="shared" si="1"/>
        <v>10.183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10.183470567224193</v>
      </c>
      <c r="W11" s="3">
        <f>LOOKUP($G11,'INDATA prices'!$C$6:$I$6,'INDATA prices'!$C$7:$I$7)*LOOKUP(MID($H11,4,6),'INDATA Fuel relations'!$B$16:$B$34,'INDATA Fuel relations'!H$16:H$34)</f>
        <v>10.183470567224193</v>
      </c>
    </row>
    <row r="12" spans="1:23" x14ac:dyDescent="0.3">
      <c r="B12" t="s">
        <v>100</v>
      </c>
      <c r="D12" t="s">
        <v>192</v>
      </c>
      <c r="F12" s="9" t="str">
        <f>'Prices (2019)'!F12</f>
        <v>COST</v>
      </c>
      <c r="G12" s="10">
        <f t="shared" si="0"/>
        <v>2020</v>
      </c>
      <c r="H12" t="s">
        <v>20</v>
      </c>
      <c r="K12" s="3">
        <f t="shared" si="1"/>
        <v>14.71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1.4444623959932144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14.709640295059035</v>
      </c>
      <c r="W12" s="3">
        <f>LOOKUP($G12,'INDATA prices'!$C$6:$I$6,'INDATA prices'!$C$7:$I$7)*LOOKUP(MID($H12,4,6),'INDATA Fuel relations'!$B$16:$B$34,'INDATA Fuel relations'!H$16:H$34)</f>
        <v>14.709640295059035</v>
      </c>
    </row>
    <row r="13" spans="1:23" x14ac:dyDescent="0.3">
      <c r="B13" t="s">
        <v>100</v>
      </c>
      <c r="D13" t="s">
        <v>192</v>
      </c>
      <c r="F13" s="9" t="str">
        <f>'Prices (2019)'!F13</f>
        <v>COST</v>
      </c>
      <c r="G13" s="10">
        <f t="shared" si="0"/>
        <v>2020</v>
      </c>
      <c r="H13" t="s">
        <v>22</v>
      </c>
      <c r="K13" s="3">
        <f t="shared" si="1"/>
        <v>14.71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1.4444623959932144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14.709640295059035</v>
      </c>
      <c r="W13" s="3">
        <f>LOOKUP($G13,'INDATA prices'!$C$6:$I$6,'INDATA prices'!$C$7:$I$7)*LOOKUP(MID($H13,4,6),'INDATA Fuel relations'!$B$16:$B$34,'INDATA Fuel relations'!H$16:H$34)</f>
        <v>14.709640295059035</v>
      </c>
    </row>
    <row r="14" spans="1:23" x14ac:dyDescent="0.3">
      <c r="B14" t="s">
        <v>100</v>
      </c>
      <c r="D14" t="s">
        <v>192</v>
      </c>
      <c r="F14" s="9" t="str">
        <f>'Prices (2019)'!F14</f>
        <v>COST</v>
      </c>
      <c r="G14" s="10">
        <f t="shared" si="0"/>
        <v>2020</v>
      </c>
      <c r="H14" t="s">
        <v>24</v>
      </c>
      <c r="K14" s="3">
        <f t="shared" si="1"/>
        <v>8.2490000000000006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8.2486193858596799</v>
      </c>
      <c r="W14" s="3">
        <f>LOOKUP($G14,'INDATA prices'!$C$6:$I$6,'INDATA prices'!$C$7:$I$7)*LOOKUP(MID($H14,4,6),'INDATA Fuel relations'!$B$16:$B$34,'INDATA Fuel relations'!H$16:H$34)</f>
        <v>8.2486193858596799</v>
      </c>
    </row>
    <row r="15" spans="1:23" x14ac:dyDescent="0.3">
      <c r="B15" t="s">
        <v>100</v>
      </c>
      <c r="D15" t="s">
        <v>192</v>
      </c>
      <c r="F15" s="9" t="str">
        <f>'Prices (2019)'!F15</f>
        <v>COST</v>
      </c>
      <c r="G15" s="10">
        <f t="shared" si="0"/>
        <v>2020</v>
      </c>
      <c r="H15" t="s">
        <v>26</v>
      </c>
      <c r="K15" s="3">
        <f t="shared" si="1"/>
        <v>15.842000000000001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15.841594047421948</v>
      </c>
      <c r="W15" s="3">
        <f>LOOKUP($G15,'INDATA prices'!$C$6:$I$6,'INDATA prices'!$C$7:$I$7)*LOOKUP(MID($H15,4,6),'INDATA Fuel relations'!$B$16:$B$34,'INDATA Fuel relations'!H$16:H$34)</f>
        <v>15.841594047421948</v>
      </c>
    </row>
    <row r="16" spans="1:23" x14ac:dyDescent="0.3">
      <c r="B16" t="s">
        <v>100</v>
      </c>
      <c r="D16" t="s">
        <v>192</v>
      </c>
      <c r="F16" s="9" t="str">
        <f>'Prices (2019)'!F16</f>
        <v>COST</v>
      </c>
      <c r="G16" s="10">
        <f t="shared" si="0"/>
        <v>2020</v>
      </c>
      <c r="H16" t="s">
        <v>28</v>
      </c>
      <c r="K16" s="3">
        <f t="shared" si="1"/>
        <v>11.315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11.315424319587105</v>
      </c>
      <c r="W16" s="3">
        <f>LOOKUP($G16,'INDATA prices'!$C$6:$I$6,'INDATA prices'!$C$7:$I$7)*LOOKUP(MID($H16,4,6),'INDATA Fuel relations'!$B$16:$B$34,'INDATA Fuel relations'!H$16:H$34)</f>
        <v>11.315424319587105</v>
      </c>
    </row>
    <row r="17" spans="2:23" x14ac:dyDescent="0.3">
      <c r="B17" t="s">
        <v>100</v>
      </c>
      <c r="D17" t="s">
        <v>192</v>
      </c>
      <c r="F17" s="9" t="str">
        <f>'Prices (2019)'!F17</f>
        <v>COST</v>
      </c>
      <c r="G17" s="10">
        <f t="shared" si="0"/>
        <v>2020</v>
      </c>
      <c r="H17" t="s">
        <v>30</v>
      </c>
      <c r="K17" s="3">
        <f t="shared" si="1"/>
        <v>12.446999999999999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12.446555431141613</v>
      </c>
      <c r="W17" s="3">
        <f>LOOKUP($G17,'INDATA prices'!$C$6:$I$6,'INDATA prices'!$C$7:$I$7)*LOOKUP(MID($H17,4,6),'INDATA Fuel relations'!$B$16:$B$34,'INDATA Fuel relations'!H$16:H$34)</f>
        <v>12.446555431141613</v>
      </c>
    </row>
    <row r="18" spans="2:23" x14ac:dyDescent="0.3">
      <c r="B18" t="s">
        <v>101</v>
      </c>
      <c r="D18" t="s">
        <v>192</v>
      </c>
      <c r="F18" s="9" t="str">
        <f>'Prices (2019)'!F18</f>
        <v>COST</v>
      </c>
      <c r="G18" s="10">
        <f t="shared" si="0"/>
        <v>2020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tr">
        <f>'Prices (2019)'!F19</f>
        <v>COST</v>
      </c>
      <c r="G19" s="10">
        <f t="shared" si="0"/>
        <v>2020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tr">
        <f>'Prices (2019)'!F20</f>
        <v>COST</v>
      </c>
      <c r="G20" s="10">
        <f t="shared" si="0"/>
        <v>2020</v>
      </c>
      <c r="H20" t="s">
        <v>233</v>
      </c>
      <c r="K20" s="3">
        <f>ROUND(LOOKUP(N20,$J$2:$J$4,$K$2:$K$4)*O20,3)</f>
        <v>53.258000000000003</v>
      </c>
      <c r="L20" s="3"/>
      <c r="M20" t="s">
        <v>236</v>
      </c>
      <c r="N20" t="s">
        <v>107</v>
      </c>
      <c r="O20" s="3">
        <f>VLOOKUP(P20,'INDATA Fuel relations'!$B$15:$H$34,LOOKUP($G$2,'INDATA Fuel relations'!$D$14:$H$14,'INDATA Fuel relations'!$D$13:$H$13))</f>
        <v>5.2298786381502351</v>
      </c>
      <c r="P20" t="str">
        <f t="shared" ref="P20:P27" si="3">MID(H20,4,6)</f>
        <v>BFUBJF</v>
      </c>
      <c r="Q20" t="str">
        <f>IF(COUNTIF('INDATA Fuel relations'!$B$15:$B$34,P20)&gt;0,"ok","FALSE")</f>
        <v>ok</v>
      </c>
    </row>
    <row r="21" spans="2:23" x14ac:dyDescent="0.3">
      <c r="B21" t="s">
        <v>101</v>
      </c>
      <c r="D21" t="s">
        <v>192</v>
      </c>
      <c r="F21" s="9" t="str">
        <f>'Prices (2019)'!F21</f>
        <v>COST</v>
      </c>
      <c r="G21" s="10">
        <f>$G$2</f>
        <v>2020</v>
      </c>
      <c r="H21" t="s">
        <v>131</v>
      </c>
      <c r="K21" s="3">
        <f t="shared" ref="K21:K27" si="4">ROUND(LOOKUP(N21,$J$2:$J$4,$K$2:$K$4)*O21,3)</f>
        <v>34.073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3.3458889052003844</v>
      </c>
      <c r="P21" t="str">
        <f t="shared" si="3"/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32.361208649129878</v>
      </c>
      <c r="W21" s="3">
        <f>LOOKUP($G21,'INDATA prices'!$C$6:$I$6,'INDATA prices'!$C$7:$I$7)*LOOKUP(MID($H21,4,6),'INDATA Fuel relations'!$B$16:$B$34,'INDATA Fuel relations'!H$16:H$34)</f>
        <v>29.419280590118071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2020</v>
      </c>
      <c r="H22" t="s">
        <v>237</v>
      </c>
      <c r="K22" s="3">
        <f>$K$23*O22</f>
        <v>33.023429999999998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ref="G23:G57" si="5">$G$2</f>
        <v>2020</v>
      </c>
      <c r="H23" t="s">
        <v>240</v>
      </c>
      <c r="K23" s="3">
        <f t="shared" si="4"/>
        <v>33.356999999999999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3.2756096944160706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5"/>
        <v>2020</v>
      </c>
      <c r="H24" t="s">
        <v>241</v>
      </c>
      <c r="K24" s="3">
        <f>$K$23*O24</f>
        <v>33.356999999999999</v>
      </c>
      <c r="L24" s="3"/>
      <c r="M24" t="s">
        <v>259</v>
      </c>
      <c r="N24" t="s">
        <v>132</v>
      </c>
      <c r="O24" s="3">
        <f>'Prices (2019)'!O24</f>
        <v>1</v>
      </c>
      <c r="P24" t="str">
        <f t="shared" ref="P24:P26" si="6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5"/>
        <v>2020</v>
      </c>
      <c r="H25" t="s">
        <v>242</v>
      </c>
      <c r="K25" s="3">
        <f t="shared" ref="K25:K26" si="7">$K$23*O25</f>
        <v>33.356999999999999</v>
      </c>
      <c r="L25" s="3"/>
      <c r="M25" t="s">
        <v>260</v>
      </c>
      <c r="N25" t="s">
        <v>132</v>
      </c>
      <c r="O25" s="3">
        <f>'Prices (2019)'!O25</f>
        <v>1</v>
      </c>
      <c r="P25" t="str">
        <f t="shared" si="6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5"/>
        <v>2020</v>
      </c>
      <c r="H26" t="s">
        <v>243</v>
      </c>
      <c r="K26" s="3">
        <f t="shared" si="7"/>
        <v>33.690570000000001</v>
      </c>
      <c r="L26" s="3"/>
      <c r="M26" t="s">
        <v>261</v>
      </c>
      <c r="N26" t="s">
        <v>132</v>
      </c>
      <c r="O26" s="3">
        <f>'Prices (2019)'!O26</f>
        <v>1.01</v>
      </c>
      <c r="P26" t="str">
        <f t="shared" si="6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tr">
        <f>'Prices (2019)'!F27</f>
        <v>COST</v>
      </c>
      <c r="G27" s="10">
        <f t="shared" si="5"/>
        <v>2020</v>
      </c>
      <c r="H27" t="s">
        <v>133</v>
      </c>
      <c r="K27" s="3">
        <f t="shared" si="4"/>
        <v>33.356999999999999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3.2756096944160706</v>
      </c>
      <c r="P27" t="str">
        <f t="shared" si="3"/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32.361208649129878</v>
      </c>
      <c r="W27" s="3">
        <f>LOOKUP($G27,'INDATA prices'!$C$6:$I$6,'INDATA prices'!$C$7:$I$7)*LOOKUP(MID($H27,4,6),'INDATA Fuel relations'!$B$16:$B$34,'INDATA Fuel relations'!H$16:H$34)</f>
        <v>29.419280590118071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5"/>
        <v>2020</v>
      </c>
      <c r="H28" t="s">
        <v>244</v>
      </c>
      <c r="K28" s="3">
        <f>$K$27*O28</f>
        <v>33.356999999999999</v>
      </c>
      <c r="L28" s="3"/>
      <c r="M28" t="s">
        <v>263</v>
      </c>
      <c r="N28" t="s">
        <v>133</v>
      </c>
      <c r="O28" s="3">
        <f>'Prices (2019)'!O28</f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5"/>
        <v>2020</v>
      </c>
      <c r="H29" t="s">
        <v>245</v>
      </c>
      <c r="K29" s="3">
        <f t="shared" ref="K29:K30" si="8">$K$27*O29</f>
        <v>33.356999999999999</v>
      </c>
      <c r="L29" s="3"/>
      <c r="M29" t="s">
        <v>264</v>
      </c>
      <c r="N29" t="s">
        <v>133</v>
      </c>
      <c r="O29" s="3">
        <f>'Prices (2019)'!O29</f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5"/>
        <v>2020</v>
      </c>
      <c r="H30" t="s">
        <v>246</v>
      </c>
      <c r="K30" s="3">
        <f t="shared" si="8"/>
        <v>33.690570000000001</v>
      </c>
      <c r="L30" s="3"/>
      <c r="M30" t="s">
        <v>265</v>
      </c>
      <c r="N30" t="s">
        <v>133</v>
      </c>
      <c r="O30" s="3">
        <f>'Prices (2019)'!O30</f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">
        <v>7</v>
      </c>
      <c r="G31" s="10">
        <f t="shared" si="5"/>
        <v>2020</v>
      </c>
      <c r="H31" t="s">
        <v>134</v>
      </c>
      <c r="K31" s="3">
        <f>ROUND(LOOKUP(N31,$J$2:$J$4,$K$2:$K$4)*O31,3)</f>
        <v>44.906999999999996</v>
      </c>
      <c r="L31" s="3"/>
      <c r="M31" t="s">
        <v>141</v>
      </c>
      <c r="N31" t="s">
        <v>107</v>
      </c>
      <c r="O31" s="3">
        <f>VLOOKUP(P31,'INDATA Fuel relations'!$B$15:$H$34,LOOKUP($G$2,'INDATA Fuel relations'!$D$14:$H$14,'INDATA Fuel relations'!$D$13:$H$13))</f>
        <v>4.409796612041827</v>
      </c>
      <c r="P31" t="str">
        <f t="shared" ref="P31:P41" si="9">MID(H31,4,6)</f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39.716028796659394</v>
      </c>
      <c r="W31" s="3">
        <f>LOOKUP($G31,'INDATA prices'!$C$6:$I$6,'INDATA prices'!$C$7:$I$7)*LOOKUP(MID($H31,4,6),'INDATA Fuel relations'!$B$16:$B$34,'INDATA Fuel relations'!H$16:H$34)</f>
        <v>29.419280590118071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5"/>
        <v>2020</v>
      </c>
      <c r="H32" t="s">
        <v>281</v>
      </c>
      <c r="K32" s="3">
        <f t="shared" ref="K32" si="10">ROUND(LOOKUP(N32,$J$2:$J$4,$K$2:$K$4)*O32,3)</f>
        <v>34.073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3.3458889052003844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5"/>
        <v>2020</v>
      </c>
      <c r="H33" t="s">
        <v>282</v>
      </c>
      <c r="K33" s="3">
        <f>$K$32*O33</f>
        <v>34.073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5"/>
        <v>2020</v>
      </c>
      <c r="H34" t="s">
        <v>283</v>
      </c>
      <c r="K34" s="3">
        <f t="shared" ref="K34:K36" si="11">$K$32*O34</f>
        <v>34.073</v>
      </c>
      <c r="L34" s="3"/>
      <c r="M34" t="s">
        <v>288</v>
      </c>
      <c r="N34" t="s">
        <v>285</v>
      </c>
      <c r="O34" s="3">
        <v>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5"/>
        <v>2020</v>
      </c>
      <c r="H35" t="s">
        <v>292</v>
      </c>
      <c r="K35" s="3">
        <f t="shared" si="11"/>
        <v>34.413730000000001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5"/>
        <v>2020</v>
      </c>
      <c r="H36" t="s">
        <v>284</v>
      </c>
      <c r="K36" s="3">
        <f t="shared" si="11"/>
        <v>34.413730000000001</v>
      </c>
      <c r="L36" s="3"/>
      <c r="M36" t="s">
        <v>291</v>
      </c>
      <c r="N36" t="s">
        <v>285</v>
      </c>
      <c r="O36" s="3">
        <v>1.01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">
        <v>7</v>
      </c>
      <c r="G37" s="10">
        <f t="shared" si="5"/>
        <v>2020</v>
      </c>
      <c r="H37" t="s">
        <v>135</v>
      </c>
      <c r="K37" s="3">
        <f t="shared" ref="K37" si="12">ROUND(LOOKUP(N37,$J$2:$J$4,$K$2:$K$4)*O37,3)</f>
        <v>34.073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3.3458889052003844</v>
      </c>
      <c r="P37" t="str">
        <f t="shared" ref="P37" si="13">MID(H37,4,6)</f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32.361208649129878</v>
      </c>
      <c r="W37" s="3">
        <f>LOOKUP($G37,'INDATA prices'!$C$6:$I$6,'INDATA prices'!$C$7:$I$7)*LOOKUP(MID($H37,4,6),'INDATA Fuel relations'!$B$16:$B$34,'INDATA Fuel relations'!H$16:H$34)</f>
        <v>29.419280590118071</v>
      </c>
    </row>
    <row r="38" spans="2:23" x14ac:dyDescent="0.3">
      <c r="B38" t="s">
        <v>101</v>
      </c>
      <c r="D38" t="s">
        <v>192</v>
      </c>
      <c r="F38" s="9" t="s">
        <v>7</v>
      </c>
      <c r="G38" s="10">
        <f t="shared" si="5"/>
        <v>2020</v>
      </c>
      <c r="H38" t="s">
        <v>136</v>
      </c>
      <c r="K38" s="3">
        <f>ROUND(LOOKUP(N38,$J$2:$J$4,$K$2:$K$4)*O38,3)</f>
        <v>33.356999999999999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3.2756096944160706</v>
      </c>
      <c r="P38" t="str">
        <f t="shared" ref="P38:P40" si="14">MID(H38,4,6)</f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32.361208649129878</v>
      </c>
      <c r="W38" s="32">
        <f>LOOKUP($G38,'INDATA prices'!$C$6:$I$6,'INDATA prices'!$C$7:$I$7)*LOOKUP(MID($H38,4,6),'INDATA Fuel relations'!$B$16:$B$34,'INDATA Fuel relations'!H$16:H$34)</f>
        <v>29.419280590118071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5"/>
        <v>2020</v>
      </c>
      <c r="H39" t="s">
        <v>250</v>
      </c>
      <c r="K39" s="3">
        <f>$K$38*O39</f>
        <v>33.356999999999999</v>
      </c>
      <c r="L39" s="3"/>
      <c r="M39" t="s">
        <v>267</v>
      </c>
      <c r="N39" t="s">
        <v>125</v>
      </c>
      <c r="O39" s="3">
        <v>1</v>
      </c>
      <c r="P39" t="str">
        <f t="shared" si="14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5"/>
        <v>2020</v>
      </c>
      <c r="H40" t="s">
        <v>251</v>
      </c>
      <c r="K40" s="3">
        <f t="shared" ref="K40" si="15">$K$39*O40</f>
        <v>33.356999999999999</v>
      </c>
      <c r="L40" s="3"/>
      <c r="M40" t="s">
        <v>269</v>
      </c>
      <c r="N40" t="s">
        <v>125</v>
      </c>
      <c r="O40" s="3">
        <v>1</v>
      </c>
      <c r="P40" t="str">
        <f t="shared" si="14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5"/>
        <v>2020</v>
      </c>
      <c r="H41" t="s">
        <v>252</v>
      </c>
      <c r="K41" s="3">
        <f t="shared" ref="K41" si="16">$K$33*O41</f>
        <v>34.413730000000001</v>
      </c>
      <c r="L41" s="3"/>
      <c r="M41" t="s">
        <v>268</v>
      </c>
      <c r="N41" t="s">
        <v>125</v>
      </c>
      <c r="O41" s="3">
        <f>'Prices (2019)'!O41</f>
        <v>1.01</v>
      </c>
      <c r="P41" t="str">
        <f t="shared" si="9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tr">
        <f>'Prices (2019)'!F42</f>
        <v>COST</v>
      </c>
      <c r="G42" s="10">
        <f t="shared" si="5"/>
        <v>2020</v>
      </c>
      <c r="H42" t="s">
        <v>140</v>
      </c>
      <c r="K42" s="51">
        <f>LOOKUP($G42,'INDATA prices'!$C$6:$I$6,'INDATA prices'!$C$13:$I$13)</f>
        <v>7.839999999999999</v>
      </c>
      <c r="L42" s="3"/>
      <c r="M42" t="s">
        <v>142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tr">
        <f>'Prices (2019)'!F43</f>
        <v>COST</v>
      </c>
      <c r="G43" s="10">
        <f t="shared" si="5"/>
        <v>2020</v>
      </c>
      <c r="H43" t="s">
        <v>143</v>
      </c>
      <c r="K43" s="52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tr">
        <f>'Prices (2019)'!F44</f>
        <v>COST</v>
      </c>
      <c r="G44" s="10">
        <f t="shared" si="5"/>
        <v>2020</v>
      </c>
      <c r="H44" t="s">
        <v>139</v>
      </c>
      <c r="K44" s="51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tr">
        <f>'Prices (2019)'!F45</f>
        <v>COST</v>
      </c>
      <c r="G45" s="10">
        <f t="shared" si="5"/>
        <v>2020</v>
      </c>
      <c r="H45" t="s">
        <v>138</v>
      </c>
      <c r="K45" s="51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5"/>
        <v>2020</v>
      </c>
      <c r="H46" t="s">
        <v>255</v>
      </c>
      <c r="K46" s="3">
        <f t="shared" ref="K46" si="17">ROUND(LOOKUP(N46,$J$2:$J$4,$K$2:$K$4)*O46,3)</f>
        <v>5.89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tr">
        <f>'Prices (2019)'!F47</f>
        <v>COST</v>
      </c>
      <c r="G47" s="10">
        <f t="shared" si="5"/>
        <v>2020</v>
      </c>
      <c r="H47" t="s">
        <v>196</v>
      </c>
      <c r="K47" s="3">
        <f t="shared" ref="K47" si="18">ROUND(LOOKUP(N47,$J$2:$J$4,$K$2:$K$4)*O47,3)</f>
        <v>5.89</v>
      </c>
      <c r="L47" s="3"/>
      <c r="M47" t="s">
        <v>8</v>
      </c>
      <c r="N47" t="s">
        <v>47</v>
      </c>
      <c r="O47">
        <v>1</v>
      </c>
      <c r="V47" s="3">
        <f>LOOKUP($G47,'INDATA prices'!$C$6:$I$6,'INDATA prices'!$C$8:$I$8)*'INDATA Fuel relations'!F$63</f>
        <v>12.95788180937596</v>
      </c>
      <c r="W47" s="3">
        <f>LOOKUP($G47,'INDATA prices'!$C$6:$I$6,'INDATA prices'!$C$8:$I$8)*'INDATA Fuel relations'!H$63</f>
        <v>11.779892553978145</v>
      </c>
    </row>
    <row r="48" spans="2:23" x14ac:dyDescent="0.3">
      <c r="B48" t="s">
        <v>102</v>
      </c>
      <c r="D48" t="s">
        <v>192</v>
      </c>
      <c r="F48" s="9" t="str">
        <f>'Prices (2019)'!F48</f>
        <v>COST</v>
      </c>
      <c r="G48" s="10">
        <f t="shared" si="5"/>
        <v>2020</v>
      </c>
      <c r="H48" t="s">
        <v>130</v>
      </c>
      <c r="K48" s="51">
        <f>K10*4</f>
        <v>28.271999999999998</v>
      </c>
      <c r="M48" t="s">
        <v>272</v>
      </c>
      <c r="N48" t="s">
        <v>271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5"/>
        <v>2020</v>
      </c>
      <c r="H49" t="s">
        <v>247</v>
      </c>
      <c r="K49" s="51">
        <f>$K$48*O49</f>
        <v>35.339999999999996</v>
      </c>
      <c r="M49" t="s">
        <v>273</v>
      </c>
      <c r="N49" t="s">
        <v>130</v>
      </c>
      <c r="O49">
        <f>'Prices (2019)'!O49</f>
        <v>1.25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5"/>
        <v>2020</v>
      </c>
      <c r="H50" t="s">
        <v>275</v>
      </c>
      <c r="K50" s="51">
        <f>$K$48*O50</f>
        <v>35.339999999999996</v>
      </c>
      <c r="M50" t="s">
        <v>276</v>
      </c>
      <c r="N50" t="s">
        <v>130</v>
      </c>
      <c r="O50">
        <f>'Prices (2019)'!O50</f>
        <v>1.25</v>
      </c>
    </row>
    <row r="51" spans="2:23" x14ac:dyDescent="0.3">
      <c r="B51" t="s">
        <v>102</v>
      </c>
      <c r="D51" t="s">
        <v>192</v>
      </c>
      <c r="F51" s="9" t="str">
        <f>'Prices (2019)'!F51</f>
        <v>COST</v>
      </c>
      <c r="G51" s="10">
        <f t="shared" si="0"/>
        <v>2020</v>
      </c>
      <c r="H51" t="s">
        <v>179</v>
      </c>
      <c r="K51" s="51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tr">
        <f>'Prices (2019)'!F52</f>
        <v>COST</v>
      </c>
      <c r="G52" s="10">
        <f t="shared" si="0"/>
        <v>2020</v>
      </c>
      <c r="H52" t="s">
        <v>16</v>
      </c>
      <c r="K52" s="51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tr">
        <f>'Prices (2019)'!F54</f>
        <v>COST</v>
      </c>
      <c r="G54" s="10">
        <f t="shared" si="5"/>
        <v>2020</v>
      </c>
      <c r="H54" t="s">
        <v>132</v>
      </c>
      <c r="K54" s="32">
        <f>ROUND(LOOKUP(N54,$J$2:$J$4,$K$2:$K$4)*O54,3)</f>
        <v>33.356999999999999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3.2756096944160706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32.361208649129878</v>
      </c>
      <c r="W54" s="3">
        <f>LOOKUP($G54,'INDATA prices'!$C$6:$I$6,'INDATA prices'!$C$7:$I$7)*LOOKUP(MID($H54,4,6),'INDATA Fuel relations'!$B$16:$B$34,'INDATA Fuel relations'!H$16:H$34)</f>
        <v>29.419280590118071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5"/>
        <v>2020</v>
      </c>
      <c r="H55" t="s">
        <v>237</v>
      </c>
      <c r="K55" s="32">
        <f>$K$54*O55</f>
        <v>33.356999999999999</v>
      </c>
      <c r="L55" s="3"/>
      <c r="M55" t="s">
        <v>248</v>
      </c>
      <c r="N55" t="s">
        <v>132</v>
      </c>
      <c r="O55" s="3">
        <f>'Prices (2019)'!O55</f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5"/>
        <v>2020</v>
      </c>
      <c r="H56" t="s">
        <v>238</v>
      </c>
      <c r="K56" s="32">
        <f>$K$54*O56</f>
        <v>33.356999999999999</v>
      </c>
      <c r="L56" s="3"/>
      <c r="M56" t="s">
        <v>248</v>
      </c>
      <c r="N56" t="s">
        <v>132</v>
      </c>
      <c r="O56" s="3">
        <f>'Prices (2019)'!O56</f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5"/>
        <v>2020</v>
      </c>
      <c r="H57" t="s">
        <v>239</v>
      </c>
      <c r="K57" s="32">
        <f>$K$54*O57</f>
        <v>33.356999999999999</v>
      </c>
      <c r="L57" s="3"/>
      <c r="M57" t="s">
        <v>248</v>
      </c>
      <c r="N57" t="s">
        <v>132</v>
      </c>
      <c r="O57" s="3">
        <f>'Prices (2019)'!O57</f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f>'Prices (2019)'!K61</f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94" si="19">F8</f>
        <v>COST</v>
      </c>
      <c r="G65" s="9">
        <f t="shared" si="19"/>
        <v>2020</v>
      </c>
      <c r="H65" t="str">
        <f t="shared" ref="H65:H94" si="20">REPLACE(H8,1,3,"EXP")</f>
        <v>EXPCOAHARY</v>
      </c>
      <c r="K65" s="3">
        <f t="shared" ref="K65:K94" si="21">ROUNDDOWN(K8*K$61,3)</f>
        <v>1.516</v>
      </c>
    </row>
    <row r="66" spans="2:11" x14ac:dyDescent="0.3">
      <c r="B66" t="s">
        <v>100</v>
      </c>
      <c r="D66" t="s">
        <v>192</v>
      </c>
      <c r="F66" s="9" t="str">
        <f t="shared" si="19"/>
        <v>COST</v>
      </c>
      <c r="G66" s="9">
        <f t="shared" si="19"/>
        <v>2020</v>
      </c>
      <c r="H66" t="str">
        <f t="shared" si="20"/>
        <v>EXPCOAPEAY</v>
      </c>
      <c r="K66" s="3">
        <f t="shared" si="21"/>
        <v>1.516</v>
      </c>
    </row>
    <row r="67" spans="2:11" x14ac:dyDescent="0.3">
      <c r="B67" t="s">
        <v>100</v>
      </c>
      <c r="D67" t="s">
        <v>192</v>
      </c>
      <c r="F67" s="9" t="str">
        <f t="shared" si="19"/>
        <v>COST</v>
      </c>
      <c r="G67" s="9">
        <f t="shared" si="19"/>
        <v>2020</v>
      </c>
      <c r="H67" t="str">
        <f t="shared" si="20"/>
        <v>EXPGASNATY</v>
      </c>
      <c r="K67" s="3">
        <f t="shared" si="21"/>
        <v>6.0069999999999997</v>
      </c>
    </row>
    <row r="68" spans="2:11" x14ac:dyDescent="0.3">
      <c r="B68" t="s">
        <v>100</v>
      </c>
      <c r="D68" t="s">
        <v>192</v>
      </c>
      <c r="F68" s="9" t="str">
        <f t="shared" si="19"/>
        <v>COST</v>
      </c>
      <c r="G68" s="9">
        <f t="shared" si="19"/>
        <v>2020</v>
      </c>
      <c r="H68" t="str">
        <f t="shared" si="20"/>
        <v>EXPOILCRDY</v>
      </c>
      <c r="K68" s="3">
        <f t="shared" si="21"/>
        <v>8.6549999999999994</v>
      </c>
    </row>
    <row r="69" spans="2:11" x14ac:dyDescent="0.3">
      <c r="B69" t="s">
        <v>100</v>
      </c>
      <c r="D69" t="s">
        <v>192</v>
      </c>
      <c r="F69" s="9" t="str">
        <f t="shared" si="19"/>
        <v>COST</v>
      </c>
      <c r="G69" s="9">
        <f t="shared" si="19"/>
        <v>2020</v>
      </c>
      <c r="H69" t="str">
        <f t="shared" si="20"/>
        <v>EXPOILDSTY</v>
      </c>
      <c r="K69" s="3">
        <f t="shared" si="21"/>
        <v>12.503</v>
      </c>
    </row>
    <row r="70" spans="2:11" x14ac:dyDescent="0.3">
      <c r="B70" t="s">
        <v>100</v>
      </c>
      <c r="D70" t="s">
        <v>192</v>
      </c>
      <c r="F70" s="9" t="str">
        <f t="shared" si="19"/>
        <v>COST</v>
      </c>
      <c r="G70" s="9">
        <f t="shared" si="19"/>
        <v>2020</v>
      </c>
      <c r="H70" t="str">
        <f t="shared" si="20"/>
        <v>EXPOILGSLY</v>
      </c>
      <c r="K70" s="3">
        <f t="shared" si="21"/>
        <v>12.503</v>
      </c>
    </row>
    <row r="71" spans="2:11" x14ac:dyDescent="0.3">
      <c r="B71" t="s">
        <v>100</v>
      </c>
      <c r="D71" t="s">
        <v>192</v>
      </c>
      <c r="F71" s="9" t="str">
        <f t="shared" si="19"/>
        <v>COST</v>
      </c>
      <c r="G71" s="9">
        <f t="shared" si="19"/>
        <v>2020</v>
      </c>
      <c r="H71" t="str">
        <f t="shared" si="20"/>
        <v>EXPOILHFOY</v>
      </c>
      <c r="K71" s="3">
        <f t="shared" si="21"/>
        <v>7.0110000000000001</v>
      </c>
    </row>
    <row r="72" spans="2:11" x14ac:dyDescent="0.3">
      <c r="B72" t="s">
        <v>100</v>
      </c>
      <c r="D72" t="s">
        <v>192</v>
      </c>
      <c r="F72" s="9" t="str">
        <f t="shared" si="19"/>
        <v>COST</v>
      </c>
      <c r="G72" s="9">
        <f t="shared" si="19"/>
        <v>2020</v>
      </c>
      <c r="H72" t="str">
        <f t="shared" si="20"/>
        <v>EXPOILKERY</v>
      </c>
      <c r="K72" s="3">
        <f t="shared" si="21"/>
        <v>13.465</v>
      </c>
    </row>
    <row r="73" spans="2:11" x14ac:dyDescent="0.3">
      <c r="B73" t="s">
        <v>100</v>
      </c>
      <c r="D73" t="s">
        <v>192</v>
      </c>
      <c r="F73" s="9" t="str">
        <f t="shared" si="19"/>
        <v>COST</v>
      </c>
      <c r="G73" s="9">
        <f t="shared" si="19"/>
        <v>2020</v>
      </c>
      <c r="H73" t="str">
        <f t="shared" si="20"/>
        <v>EXPOILLFOY</v>
      </c>
      <c r="K73" s="3">
        <f t="shared" si="21"/>
        <v>9.6170000000000009</v>
      </c>
    </row>
    <row r="74" spans="2:11" x14ac:dyDescent="0.3">
      <c r="B74" t="s">
        <v>100</v>
      </c>
      <c r="D74" t="s">
        <v>192</v>
      </c>
      <c r="F74" s="9" t="str">
        <f t="shared" si="19"/>
        <v>COST</v>
      </c>
      <c r="G74" s="9">
        <f t="shared" si="19"/>
        <v>2020</v>
      </c>
      <c r="H74" t="str">
        <f t="shared" si="20"/>
        <v>EXPOILLPGY</v>
      </c>
      <c r="K74" s="3">
        <f t="shared" si="21"/>
        <v>10.579000000000001</v>
      </c>
    </row>
    <row r="75" spans="2:11" x14ac:dyDescent="0.3">
      <c r="B75" t="s">
        <v>101</v>
      </c>
      <c r="D75" t="s">
        <v>192</v>
      </c>
      <c r="F75" s="9" t="str">
        <f t="shared" si="19"/>
        <v>COST</v>
      </c>
      <c r="G75" s="9">
        <f t="shared" si="19"/>
        <v>2020</v>
      </c>
      <c r="H75" t="str">
        <f t="shared" si="20"/>
        <v>EXPBIOMFWY</v>
      </c>
      <c r="K75" s="3">
        <f t="shared" si="21"/>
        <v>0</v>
      </c>
    </row>
    <row r="76" spans="2:11" x14ac:dyDescent="0.3">
      <c r="B76" t="s">
        <v>101</v>
      </c>
      <c r="D76" t="s">
        <v>192</v>
      </c>
      <c r="F76" s="9" t="str">
        <f t="shared" si="19"/>
        <v>COST</v>
      </c>
      <c r="G76" s="9">
        <f t="shared" si="19"/>
        <v>2020</v>
      </c>
      <c r="H76" t="str">
        <f t="shared" si="20"/>
        <v>EXPBIOMSWY</v>
      </c>
      <c r="K76" s="3">
        <f t="shared" si="21"/>
        <v>0</v>
      </c>
    </row>
    <row r="77" spans="2:11" x14ac:dyDescent="0.3">
      <c r="B77" t="s">
        <v>101</v>
      </c>
      <c r="D77" t="s">
        <v>192</v>
      </c>
      <c r="F77" s="9" t="str">
        <f t="shared" si="19"/>
        <v>COST</v>
      </c>
      <c r="G77" s="9">
        <f t="shared" si="19"/>
        <v>2020</v>
      </c>
      <c r="H77" t="str">
        <f t="shared" si="20"/>
        <v>EXPBFUBJFY</v>
      </c>
      <c r="K77" s="3">
        <f t="shared" si="21"/>
        <v>45.268999999999998</v>
      </c>
    </row>
    <row r="78" spans="2:11" x14ac:dyDescent="0.3">
      <c r="B78" t="s">
        <v>101</v>
      </c>
      <c r="D78" t="s">
        <v>192</v>
      </c>
      <c r="F78" s="9" t="str">
        <f t="shared" si="19"/>
        <v>COST</v>
      </c>
      <c r="G78" s="9">
        <f t="shared" si="19"/>
        <v>2020</v>
      </c>
      <c r="H78" t="str">
        <f t="shared" si="20"/>
        <v>EXPBFUDMEY</v>
      </c>
      <c r="K78" s="3">
        <f t="shared" si="21"/>
        <v>28.962</v>
      </c>
    </row>
    <row r="79" spans="2:11" x14ac:dyDescent="0.3">
      <c r="B79" t="s">
        <v>101</v>
      </c>
      <c r="D79" t="s">
        <v>192</v>
      </c>
      <c r="F79" s="9" t="str">
        <f t="shared" si="19"/>
        <v>COST</v>
      </c>
      <c r="G79" s="9">
        <f t="shared" si="19"/>
        <v>2020</v>
      </c>
      <c r="H79" t="str">
        <f t="shared" si="20"/>
        <v>EXPBFUDST1</v>
      </c>
      <c r="K79" s="3">
        <f t="shared" si="21"/>
        <v>28.068999999999999</v>
      </c>
    </row>
    <row r="80" spans="2:11" x14ac:dyDescent="0.3">
      <c r="B80" t="s">
        <v>101</v>
      </c>
      <c r="D80" t="s">
        <v>192</v>
      </c>
      <c r="F80" s="9" t="str">
        <f t="shared" si="19"/>
        <v>COST</v>
      </c>
      <c r="G80" s="9">
        <f t="shared" si="19"/>
        <v>2020</v>
      </c>
      <c r="H80" t="str">
        <f t="shared" si="20"/>
        <v>EXPBFUDST4</v>
      </c>
      <c r="K80" s="3">
        <f t="shared" si="21"/>
        <v>28.353000000000002</v>
      </c>
    </row>
    <row r="81" spans="2:11" x14ac:dyDescent="0.3">
      <c r="B81" t="s">
        <v>101</v>
      </c>
      <c r="D81" t="s">
        <v>192</v>
      </c>
      <c r="F81" s="9" t="str">
        <f t="shared" si="19"/>
        <v>COST</v>
      </c>
      <c r="G81" s="9">
        <f t="shared" si="19"/>
        <v>2020</v>
      </c>
      <c r="H81" t="str">
        <f t="shared" si="20"/>
        <v>EXPBFUDST5</v>
      </c>
      <c r="K81" s="3">
        <f t="shared" si="21"/>
        <v>28.353000000000002</v>
      </c>
    </row>
    <row r="82" spans="2:11" x14ac:dyDescent="0.3">
      <c r="B82" t="s">
        <v>101</v>
      </c>
      <c r="D82" t="s">
        <v>192</v>
      </c>
      <c r="F82" s="9" t="str">
        <f t="shared" si="19"/>
        <v>COST</v>
      </c>
      <c r="G82" s="9">
        <f t="shared" si="19"/>
        <v>2020</v>
      </c>
      <c r="H82" t="str">
        <f t="shared" si="20"/>
        <v>EXPBFUDST6</v>
      </c>
      <c r="K82" s="3">
        <f t="shared" si="21"/>
        <v>28.353000000000002</v>
      </c>
    </row>
    <row r="83" spans="2:11" x14ac:dyDescent="0.3">
      <c r="B83" t="s">
        <v>101</v>
      </c>
      <c r="D83" t="s">
        <v>192</v>
      </c>
      <c r="F83" s="9" t="str">
        <f t="shared" si="19"/>
        <v>COST</v>
      </c>
      <c r="G83" s="9">
        <f t="shared" si="19"/>
        <v>2020</v>
      </c>
      <c r="H83" t="str">
        <f t="shared" si="20"/>
        <v>EXPBFUDST7</v>
      </c>
      <c r="K83" s="3">
        <f t="shared" si="21"/>
        <v>28.635999999999999</v>
      </c>
    </row>
    <row r="84" spans="2:11" x14ac:dyDescent="0.3">
      <c r="B84" t="s">
        <v>101</v>
      </c>
      <c r="D84" t="s">
        <v>192</v>
      </c>
      <c r="F84" s="9" t="str">
        <f t="shared" si="19"/>
        <v>COST</v>
      </c>
      <c r="G84" s="9">
        <f t="shared" si="19"/>
        <v>2020</v>
      </c>
      <c r="H84" t="str">
        <f t="shared" si="20"/>
        <v>EXPBFUETHY</v>
      </c>
      <c r="K84" s="3">
        <f t="shared" si="21"/>
        <v>28.353000000000002</v>
      </c>
    </row>
    <row r="85" spans="2:11" x14ac:dyDescent="0.3">
      <c r="B85" t="s">
        <v>101</v>
      </c>
      <c r="D85" t="s">
        <v>192</v>
      </c>
      <c r="F85" s="9" t="str">
        <f t="shared" si="19"/>
        <v>COST</v>
      </c>
      <c r="G85" s="9">
        <f t="shared" si="19"/>
        <v>2020</v>
      </c>
      <c r="H85" t="str">
        <f t="shared" si="20"/>
        <v>EXPBFUETH1</v>
      </c>
      <c r="K85" s="3">
        <f t="shared" si="21"/>
        <v>28.353000000000002</v>
      </c>
    </row>
    <row r="86" spans="2:11" x14ac:dyDescent="0.3">
      <c r="B86" t="s">
        <v>101</v>
      </c>
      <c r="D86" t="s">
        <v>192</v>
      </c>
      <c r="F86" s="9" t="str">
        <f t="shared" si="19"/>
        <v>COST</v>
      </c>
      <c r="G86" s="9">
        <f t="shared" si="19"/>
        <v>2020</v>
      </c>
      <c r="H86" t="str">
        <f t="shared" si="20"/>
        <v>EXPBFUETH2</v>
      </c>
      <c r="K86" s="3">
        <f t="shared" si="21"/>
        <v>28.353000000000002</v>
      </c>
    </row>
    <row r="87" spans="2:11" x14ac:dyDescent="0.3">
      <c r="B87" t="s">
        <v>101</v>
      </c>
      <c r="D87" t="s">
        <v>192</v>
      </c>
      <c r="F87" s="9" t="str">
        <f t="shared" si="19"/>
        <v>COST</v>
      </c>
      <c r="G87" s="9">
        <f t="shared" si="19"/>
        <v>2020</v>
      </c>
      <c r="H87" t="str">
        <f t="shared" si="20"/>
        <v>EXPBFUETH3</v>
      </c>
      <c r="K87" s="3">
        <f t="shared" si="21"/>
        <v>28.635999999999999</v>
      </c>
    </row>
    <row r="88" spans="2:11" x14ac:dyDescent="0.3">
      <c r="B88" t="s">
        <v>101</v>
      </c>
      <c r="D88" t="s">
        <v>192</v>
      </c>
      <c r="F88" s="9" t="str">
        <f t="shared" si="19"/>
        <v>COST</v>
      </c>
      <c r="G88" s="9">
        <f t="shared" si="19"/>
        <v>2020</v>
      </c>
      <c r="H88" t="str">
        <f t="shared" si="20"/>
        <v>EXPBFUFTDY</v>
      </c>
      <c r="K88" s="3">
        <f t="shared" si="21"/>
        <v>38.17</v>
      </c>
    </row>
    <row r="89" spans="2:11" x14ac:dyDescent="0.3">
      <c r="B89" t="s">
        <v>101</v>
      </c>
      <c r="D89" t="s">
        <v>192</v>
      </c>
      <c r="F89" s="9" t="str">
        <f t="shared" si="19"/>
        <v>COST</v>
      </c>
      <c r="G89" s="9">
        <f t="shared" si="19"/>
        <v>2020</v>
      </c>
      <c r="H89" t="str">
        <f t="shared" si="20"/>
        <v>EXPBFUGSL1</v>
      </c>
      <c r="K89" s="3">
        <f t="shared" si="21"/>
        <v>28.962</v>
      </c>
    </row>
    <row r="90" spans="2:11" x14ac:dyDescent="0.3">
      <c r="B90" t="s">
        <v>101</v>
      </c>
      <c r="D90" t="s">
        <v>192</v>
      </c>
      <c r="F90" s="9" t="str">
        <f t="shared" si="19"/>
        <v>COST</v>
      </c>
      <c r="G90" s="9">
        <f t="shared" si="19"/>
        <v>2020</v>
      </c>
      <c r="H90" t="str">
        <f t="shared" si="20"/>
        <v>EXPBFUGSL2</v>
      </c>
      <c r="K90" s="3">
        <f t="shared" si="21"/>
        <v>28.962</v>
      </c>
    </row>
    <row r="91" spans="2:11" x14ac:dyDescent="0.3">
      <c r="B91" t="s">
        <v>101</v>
      </c>
      <c r="D91" t="s">
        <v>192</v>
      </c>
      <c r="F91" s="9" t="str">
        <f t="shared" si="19"/>
        <v>COST</v>
      </c>
      <c r="G91" s="9">
        <f t="shared" si="19"/>
        <v>2020</v>
      </c>
      <c r="H91" t="str">
        <f t="shared" si="20"/>
        <v>EXPBFUGSL3</v>
      </c>
      <c r="K91" s="3">
        <f t="shared" si="21"/>
        <v>28.962</v>
      </c>
    </row>
    <row r="92" spans="2:11" x14ac:dyDescent="0.3">
      <c r="B92" t="s">
        <v>101</v>
      </c>
      <c r="D92" t="s">
        <v>192</v>
      </c>
      <c r="F92" s="9" t="str">
        <f t="shared" si="19"/>
        <v>COST</v>
      </c>
      <c r="G92" s="9">
        <f t="shared" si="19"/>
        <v>2020</v>
      </c>
      <c r="H92" t="str">
        <f t="shared" si="20"/>
        <v>EXPBFUGSL4</v>
      </c>
      <c r="K92" s="3">
        <f t="shared" si="21"/>
        <v>29.251000000000001</v>
      </c>
    </row>
    <row r="93" spans="2:11" x14ac:dyDescent="0.3">
      <c r="B93" t="s">
        <v>101</v>
      </c>
      <c r="D93" t="s">
        <v>192</v>
      </c>
      <c r="F93" s="9" t="str">
        <f t="shared" si="19"/>
        <v>COST</v>
      </c>
      <c r="G93" s="9">
        <f t="shared" si="19"/>
        <v>2020</v>
      </c>
      <c r="H93" t="str">
        <f t="shared" si="20"/>
        <v>EXPBFUGSLY</v>
      </c>
      <c r="K93" s="3">
        <f t="shared" si="21"/>
        <v>29.251000000000001</v>
      </c>
    </row>
    <row r="94" spans="2:11" x14ac:dyDescent="0.3">
      <c r="B94" t="s">
        <v>101</v>
      </c>
      <c r="D94" t="s">
        <v>192</v>
      </c>
      <c r="F94" s="9" t="str">
        <f t="shared" si="19"/>
        <v>COST</v>
      </c>
      <c r="G94" s="9">
        <f t="shared" si="19"/>
        <v>2020</v>
      </c>
      <c r="H94" t="str">
        <f t="shared" si="20"/>
        <v>EXPBFUMTHY</v>
      </c>
      <c r="K94" s="3">
        <f t="shared" si="21"/>
        <v>28.962</v>
      </c>
    </row>
    <row r="95" spans="2:11" x14ac:dyDescent="0.3">
      <c r="B95" t="s">
        <v>101</v>
      </c>
      <c r="D95" t="s">
        <v>192</v>
      </c>
      <c r="F95" s="9" t="str">
        <f t="shared" ref="F95:G95" si="22">F38</f>
        <v>COST</v>
      </c>
      <c r="G95" s="9">
        <f t="shared" si="22"/>
        <v>2020</v>
      </c>
      <c r="H95" t="str">
        <f t="shared" ref="H95:H97" si="23">REPLACE(H38,1,3,"EXP")</f>
        <v>EXPBFUSNGY</v>
      </c>
      <c r="K95" s="3">
        <f t="shared" ref="K95:K97" si="24">ROUNDDOWN(K38*K$61,3)</f>
        <v>28.353000000000002</v>
      </c>
    </row>
    <row r="96" spans="2:11" x14ac:dyDescent="0.3">
      <c r="B96" t="s">
        <v>101</v>
      </c>
      <c r="D96" t="s">
        <v>192</v>
      </c>
      <c r="F96" s="9" t="str">
        <f t="shared" ref="F96:G96" si="25">F39</f>
        <v>COST</v>
      </c>
      <c r="G96" s="9">
        <f t="shared" si="25"/>
        <v>2020</v>
      </c>
      <c r="H96" t="str">
        <f t="shared" si="23"/>
        <v>EXPBFUSNG1</v>
      </c>
      <c r="K96" s="3">
        <f t="shared" si="24"/>
        <v>28.353000000000002</v>
      </c>
    </row>
    <row r="97" spans="2:11" x14ac:dyDescent="0.3">
      <c r="B97" t="s">
        <v>101</v>
      </c>
      <c r="D97" t="s">
        <v>192</v>
      </c>
      <c r="F97" s="9" t="str">
        <f t="shared" ref="F97:G97" si="26">F40</f>
        <v>COST</v>
      </c>
      <c r="G97" s="9">
        <f t="shared" si="26"/>
        <v>2020</v>
      </c>
      <c r="H97" t="str">
        <f t="shared" si="23"/>
        <v>EXPBFUSNG2</v>
      </c>
      <c r="K97" s="3">
        <f t="shared" si="24"/>
        <v>28.353000000000002</v>
      </c>
    </row>
    <row r="98" spans="2:11" x14ac:dyDescent="0.3">
      <c r="B98" t="s">
        <v>101</v>
      </c>
      <c r="D98" t="s">
        <v>192</v>
      </c>
      <c r="F98" s="9" t="str">
        <f t="shared" ref="F98:G109" si="27">F41</f>
        <v>COST</v>
      </c>
      <c r="G98" s="9">
        <f t="shared" si="27"/>
        <v>2020</v>
      </c>
      <c r="H98" t="str">
        <f t="shared" ref="H98:H109" si="28">REPLACE(H41,1,3,"EXP")</f>
        <v>EXPBFUSNG3</v>
      </c>
      <c r="K98" s="3">
        <f t="shared" ref="K98:K109" si="29">ROUNDDOWN(K41*K$61,3)</f>
        <v>29.251000000000001</v>
      </c>
    </row>
    <row r="99" spans="2:11" x14ac:dyDescent="0.3">
      <c r="B99" t="s">
        <v>101</v>
      </c>
      <c r="D99" t="s">
        <v>192</v>
      </c>
      <c r="F99" s="9" t="str">
        <f t="shared" si="27"/>
        <v>COST</v>
      </c>
      <c r="G99" s="9">
        <f t="shared" si="27"/>
        <v>2020</v>
      </c>
      <c r="H99" t="str">
        <f t="shared" si="28"/>
        <v>EXPBFUPLTY</v>
      </c>
      <c r="K99" s="3">
        <f t="shared" si="29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7"/>
        <v>COST</v>
      </c>
      <c r="G100" s="9">
        <f t="shared" si="27"/>
        <v>2020</v>
      </c>
      <c r="H100" t="str">
        <f t="shared" si="28"/>
        <v>EXPBIOCRPY</v>
      </c>
      <c r="K100" s="3">
        <f t="shared" si="29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7"/>
        <v>COST</v>
      </c>
      <c r="G101" s="9">
        <f t="shared" si="27"/>
        <v>2020</v>
      </c>
      <c r="H101" t="str">
        <f t="shared" si="28"/>
        <v>EXPBIOWOFY</v>
      </c>
      <c r="K101" s="3">
        <f t="shared" si="29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7"/>
        <v>COST</v>
      </c>
      <c r="G102" s="9">
        <f t="shared" si="27"/>
        <v>2020</v>
      </c>
      <c r="H102" t="str">
        <f t="shared" si="28"/>
        <v>EXPBIOWOOY</v>
      </c>
      <c r="K102" s="3">
        <f t="shared" si="29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7"/>
        <v>COST</v>
      </c>
      <c r="G103" s="9">
        <f t="shared" si="27"/>
        <v>2020</v>
      </c>
      <c r="H103" t="str">
        <f t="shared" si="28"/>
        <v>EXPBIOGAS1</v>
      </c>
      <c r="K103" s="3">
        <f t="shared" si="29"/>
        <v>5.0060000000000002</v>
      </c>
    </row>
    <row r="104" spans="2:11" x14ac:dyDescent="0.3">
      <c r="B104" t="s">
        <v>101</v>
      </c>
      <c r="D104" t="s">
        <v>192</v>
      </c>
      <c r="F104" s="9" t="str">
        <f t="shared" si="27"/>
        <v>COST</v>
      </c>
      <c r="G104" s="9">
        <f t="shared" si="27"/>
        <v>2020</v>
      </c>
      <c r="H104" t="str">
        <f t="shared" si="28"/>
        <v>EXPBIOGASY</v>
      </c>
      <c r="K104" s="3">
        <f t="shared" si="29"/>
        <v>5.0060000000000002</v>
      </c>
    </row>
    <row r="105" spans="2:11" x14ac:dyDescent="0.3">
      <c r="B105" t="s">
        <v>102</v>
      </c>
      <c r="D105" t="s">
        <v>192</v>
      </c>
      <c r="F105" s="9" t="str">
        <f t="shared" si="27"/>
        <v>COST</v>
      </c>
      <c r="G105" s="9">
        <f t="shared" si="27"/>
        <v>2020</v>
      </c>
      <c r="H105" t="str">
        <f t="shared" si="28"/>
        <v>EXPH2GY</v>
      </c>
      <c r="K105" s="3">
        <f t="shared" si="29"/>
        <v>24.030999999999999</v>
      </c>
    </row>
    <row r="106" spans="2:11" x14ac:dyDescent="0.3">
      <c r="B106" t="s">
        <v>102</v>
      </c>
      <c r="D106" t="s">
        <v>192</v>
      </c>
      <c r="F106" s="9" t="str">
        <f t="shared" si="27"/>
        <v>COST</v>
      </c>
      <c r="G106" s="9">
        <f t="shared" si="27"/>
        <v>2020</v>
      </c>
      <c r="H106" t="str">
        <f t="shared" si="28"/>
        <v>EXPH2G1</v>
      </c>
      <c r="K106" s="3">
        <f t="shared" si="29"/>
        <v>30.039000000000001</v>
      </c>
    </row>
    <row r="107" spans="2:11" x14ac:dyDescent="0.3">
      <c r="B107" t="s">
        <v>102</v>
      </c>
      <c r="D107" t="s">
        <v>192</v>
      </c>
      <c r="F107" s="9" t="str">
        <f t="shared" si="27"/>
        <v>COST</v>
      </c>
      <c r="G107" s="9">
        <f t="shared" si="27"/>
        <v>2020</v>
      </c>
      <c r="H107" t="str">
        <f t="shared" si="28"/>
        <v>EXPH2G2</v>
      </c>
      <c r="K107" s="3">
        <f t="shared" si="29"/>
        <v>30.039000000000001</v>
      </c>
    </row>
    <row r="108" spans="2:11" x14ac:dyDescent="0.3">
      <c r="B108" t="s">
        <v>102</v>
      </c>
      <c r="D108" t="s">
        <v>192</v>
      </c>
      <c r="F108" s="9" t="str">
        <f t="shared" si="27"/>
        <v>COST</v>
      </c>
      <c r="G108" s="9">
        <f t="shared" si="27"/>
        <v>2020</v>
      </c>
      <c r="H108" t="str">
        <f t="shared" si="28"/>
        <v>EXPH2LY</v>
      </c>
      <c r="K108" s="3">
        <f t="shared" si="29"/>
        <v>849.15</v>
      </c>
    </row>
    <row r="109" spans="2:11" x14ac:dyDescent="0.3">
      <c r="B109" t="s">
        <v>102</v>
      </c>
      <c r="D109" t="s">
        <v>192</v>
      </c>
      <c r="F109" s="9" t="str">
        <f t="shared" si="27"/>
        <v>COST</v>
      </c>
      <c r="G109" s="9">
        <f t="shared" si="27"/>
        <v>2020</v>
      </c>
      <c r="H109" t="str">
        <f t="shared" si="28"/>
        <v>EXPNUCRSVY</v>
      </c>
      <c r="K109" s="3">
        <f t="shared" si="29"/>
        <v>849.15</v>
      </c>
    </row>
    <row r="111" spans="2:11" x14ac:dyDescent="0.3">
      <c r="B111" t="s">
        <v>101</v>
      </c>
      <c r="D111" t="s">
        <v>192</v>
      </c>
      <c r="F111" s="9" t="str">
        <f>F54</f>
        <v>COST</v>
      </c>
      <c r="G111" s="9">
        <f>G54</f>
        <v>2020</v>
      </c>
      <c r="H111" t="str">
        <f>REPLACE(H54,1,3,"EXP")</f>
        <v>EXPBFUDSTY</v>
      </c>
      <c r="K111" s="3">
        <f>ROUNDDOWN(K54*K$61,3)</f>
        <v>28.353000000000002</v>
      </c>
    </row>
    <row r="112" spans="2:11" x14ac:dyDescent="0.3">
      <c r="B112" t="s">
        <v>101</v>
      </c>
      <c r="D112" t="s">
        <v>192</v>
      </c>
      <c r="F112" s="9" t="str">
        <f>F55</f>
        <v>COST</v>
      </c>
      <c r="G112" s="9">
        <f>G55</f>
        <v>2020</v>
      </c>
      <c r="H112" t="str">
        <f>REPLACE(H55,1,3,"EXP")</f>
        <v>EXPBFUDST1</v>
      </c>
      <c r="K112" s="3">
        <f>ROUNDDOWN(K55*K$61,3)</f>
        <v>28.353000000000002</v>
      </c>
    </row>
    <row r="113" spans="2:11" x14ac:dyDescent="0.3">
      <c r="B113" t="s">
        <v>101</v>
      </c>
      <c r="D113" t="s">
        <v>192</v>
      </c>
      <c r="F113" s="9" t="str">
        <f t="shared" ref="F113:G114" si="30">F56</f>
        <v>COST</v>
      </c>
      <c r="G113" s="9">
        <f t="shared" si="30"/>
        <v>2020</v>
      </c>
      <c r="H113" t="str">
        <f>REPLACE(H56,1,3,"EXP")</f>
        <v>EXPBFUDST2</v>
      </c>
      <c r="K113" s="3">
        <f>ROUNDDOWN(K56*K$61,3)</f>
        <v>28.353000000000002</v>
      </c>
    </row>
    <row r="114" spans="2:11" x14ac:dyDescent="0.3">
      <c r="B114" t="s">
        <v>101</v>
      </c>
      <c r="D114" t="s">
        <v>192</v>
      </c>
      <c r="F114" s="9" t="str">
        <f t="shared" si="30"/>
        <v>COST</v>
      </c>
      <c r="G114" s="9">
        <f t="shared" si="30"/>
        <v>2020</v>
      </c>
      <c r="H114" t="str">
        <f>REPLACE(H57,1,3,"EXP")</f>
        <v>EXPBFUDST3</v>
      </c>
      <c r="K114" s="3">
        <f>ROUNDDOWN(K57*K$61,3)</f>
        <v>28.353000000000002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4"/>
  <sheetViews>
    <sheetView zoomScale="80" zoomScaleNormal="80" workbookViewId="0">
      <selection activeCell="A62" sqref="A62:XFD62"/>
    </sheetView>
  </sheetViews>
  <sheetFormatPr defaultColWidth="9.109375" defaultRowHeight="14.4" x14ac:dyDescent="0.3"/>
  <cols>
    <col min="2" max="2" width="14.6640625" bestFit="1" customWidth="1"/>
    <col min="4" max="4" width="9.441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23.10937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41.554687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2030</v>
      </c>
      <c r="J2" s="12" t="str">
        <f>'INDATA prices'!B9</f>
        <v>Coal</v>
      </c>
      <c r="K2" s="3">
        <f>LOOKUP($G$2,'INDATA prices'!$C$6:$I$6,'INDATA prices'!$C9:$I9)</f>
        <v>1.7529409782742895</v>
      </c>
    </row>
    <row r="3" spans="1:23" x14ac:dyDescent="0.3">
      <c r="G3"/>
      <c r="J3" s="12" t="str">
        <f>'INDATA prices'!B8</f>
        <v>Gas</v>
      </c>
      <c r="K3" s="3">
        <f>LOOKUP($G$2,'INDATA prices'!$C$6:$I$6,'INDATA prices'!$C8:$I8)</f>
        <v>8.0239847831445346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11.857465728959678</v>
      </c>
    </row>
    <row r="5" spans="1:23" s="136" customFormat="1" x14ac:dyDescent="0.3">
      <c r="D5" s="157"/>
      <c r="J5" s="160"/>
      <c r="K5" s="161"/>
    </row>
    <row r="6" spans="1:23" x14ac:dyDescent="0.3">
      <c r="D6" s="162" t="s">
        <v>0</v>
      </c>
      <c r="P6" t="s">
        <v>171</v>
      </c>
    </row>
    <row r="7" spans="1:23" ht="43.8" thickBot="1" x14ac:dyDescent="0.35">
      <c r="D7" s="7" t="s">
        <v>1</v>
      </c>
      <c r="E7" s="7" t="s">
        <v>2</v>
      </c>
      <c r="F7" s="7" t="s">
        <v>3</v>
      </c>
      <c r="G7" s="8" t="s">
        <v>4</v>
      </c>
      <c r="H7" s="7" t="s">
        <v>41</v>
      </c>
      <c r="I7" s="7" t="s">
        <v>42</v>
      </c>
      <c r="J7" s="7" t="s">
        <v>6</v>
      </c>
      <c r="K7" s="7" t="s">
        <v>5</v>
      </c>
      <c r="M7" s="7" t="s">
        <v>43</v>
      </c>
      <c r="N7" s="49" t="s">
        <v>176</v>
      </c>
      <c r="O7" s="49" t="s">
        <v>175</v>
      </c>
      <c r="P7" s="7" t="s">
        <v>172</v>
      </c>
      <c r="Q7" s="7" t="s">
        <v>108</v>
      </c>
      <c r="R7" s="7" t="s">
        <v>147</v>
      </c>
      <c r="U7" s="7" t="s">
        <v>109</v>
      </c>
      <c r="V7" s="7" t="s">
        <v>5</v>
      </c>
      <c r="W7" s="7" t="s">
        <v>5</v>
      </c>
    </row>
    <row r="8" spans="1:23" x14ac:dyDescent="0.3">
      <c r="B8" t="s">
        <v>100</v>
      </c>
      <c r="D8" t="s">
        <v>192</v>
      </c>
      <c r="F8" s="9" t="str">
        <f>'Prices (2019)'!F8</f>
        <v>COST</v>
      </c>
      <c r="G8" s="10">
        <f t="shared" ref="G8:G52" si="0">$G$2</f>
        <v>2030</v>
      </c>
      <c r="H8" t="s">
        <v>9</v>
      </c>
      <c r="K8" s="3">
        <f>ROUND(LOOKUP(N8,$J$2:$J$4,$K$2:$K$4)*O8,3)</f>
        <v>1.7529999999999999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1.7529409782742895</v>
      </c>
      <c r="W8" s="3">
        <f>LOOKUP($G8,'INDATA prices'!$C$6:$I$6,'INDATA prices'!$C$9:$I$9)</f>
        <v>1.7529409782742895</v>
      </c>
    </row>
    <row r="9" spans="1:23" x14ac:dyDescent="0.3">
      <c r="B9" t="s">
        <v>100</v>
      </c>
      <c r="D9" t="s">
        <v>192</v>
      </c>
      <c r="F9" s="9" t="str">
        <f>'Prices (2019)'!F9</f>
        <v>COST</v>
      </c>
      <c r="G9" s="10">
        <f t="shared" si="0"/>
        <v>2030</v>
      </c>
      <c r="H9" t="s">
        <v>11</v>
      </c>
      <c r="K9" s="3">
        <f t="shared" ref="K9:K17" si="1">ROUND(LOOKUP(N9,$J$2:$J$4,$K$2:$K$4)*O9,3)</f>
        <v>1.7529999999999999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1.7529409782742895</v>
      </c>
      <c r="W9" s="3">
        <f>LOOKUP($G9,'INDATA prices'!$C$6:$I$6,'INDATA prices'!$C$9:$I$9)</f>
        <v>1.7529409782742895</v>
      </c>
    </row>
    <row r="10" spans="1:23" x14ac:dyDescent="0.3">
      <c r="B10" t="s">
        <v>100</v>
      </c>
      <c r="D10" t="s">
        <v>192</v>
      </c>
      <c r="F10" s="9" t="str">
        <f>'Prices (2019)'!F10</f>
        <v>COST</v>
      </c>
      <c r="G10" s="10">
        <f t="shared" si="0"/>
        <v>2030</v>
      </c>
      <c r="H10" t="s">
        <v>14</v>
      </c>
      <c r="K10" s="3">
        <f t="shared" si="1"/>
        <v>9.6289999999999996</v>
      </c>
      <c r="L10" s="3"/>
      <c r="M10" t="s">
        <v>15</v>
      </c>
      <c r="N10" t="s">
        <v>47</v>
      </c>
      <c r="O10">
        <f>'Prices (2019)'!O10</f>
        <v>1.2</v>
      </c>
      <c r="V10" s="3">
        <f>LOOKUP($G10,'INDATA prices'!$C$6:$I$6,'INDATA prices'!$C$8:$I$8)</f>
        <v>8.0239847831445346</v>
      </c>
      <c r="W10" s="3">
        <f>LOOKUP($G10,'INDATA prices'!$C$6:$I$6,'INDATA prices'!$C$8:$I$8)</f>
        <v>8.0239847831445346</v>
      </c>
    </row>
    <row r="11" spans="1:23" x14ac:dyDescent="0.3">
      <c r="B11" t="s">
        <v>100</v>
      </c>
      <c r="D11" t="s">
        <v>192</v>
      </c>
      <c r="F11" s="9" t="str">
        <f>'Prices (2019)'!F11</f>
        <v>COST</v>
      </c>
      <c r="G11" s="10">
        <f t="shared" si="0"/>
        <v>2030</v>
      </c>
      <c r="H11" t="s">
        <v>18</v>
      </c>
      <c r="K11" s="3">
        <f t="shared" si="1"/>
        <v>11.856999999999999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11.857465728959678</v>
      </c>
      <c r="W11" s="3">
        <f>LOOKUP($G11,'INDATA prices'!$C$6:$I$6,'INDATA prices'!$C$7:$I$7)*LOOKUP(MID($H11,4,6),'INDATA Fuel relations'!$B$16:$B$34,'INDATA Fuel relations'!H$16:H$34)</f>
        <v>11.857465728959678</v>
      </c>
    </row>
    <row r="12" spans="1:23" x14ac:dyDescent="0.3">
      <c r="B12" t="s">
        <v>100</v>
      </c>
      <c r="D12" t="s">
        <v>192</v>
      </c>
      <c r="F12" s="9" t="str">
        <f>'Prices (2019)'!F12</f>
        <v>COST</v>
      </c>
      <c r="G12" s="10">
        <f t="shared" si="0"/>
        <v>2030</v>
      </c>
      <c r="H12" t="s">
        <v>20</v>
      </c>
      <c r="K12" s="3">
        <f t="shared" si="1"/>
        <v>17.128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1.4444623959932144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17.127663357260523</v>
      </c>
      <c r="W12" s="3">
        <f>LOOKUP($G12,'INDATA prices'!$C$6:$I$6,'INDATA prices'!$C$7:$I$7)*LOOKUP(MID($H12,4,6),'INDATA Fuel relations'!$B$16:$B$34,'INDATA Fuel relations'!H$16:H$34)</f>
        <v>17.127663357260523</v>
      </c>
    </row>
    <row r="13" spans="1:23" x14ac:dyDescent="0.3">
      <c r="B13" t="s">
        <v>100</v>
      </c>
      <c r="D13" t="s">
        <v>192</v>
      </c>
      <c r="F13" s="9" t="str">
        <f>'Prices (2019)'!F13</f>
        <v>COST</v>
      </c>
      <c r="G13" s="10">
        <f t="shared" si="0"/>
        <v>2030</v>
      </c>
      <c r="H13" t="s">
        <v>22</v>
      </c>
      <c r="K13" s="3">
        <f t="shared" si="1"/>
        <v>17.128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1.4444623959932144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17.127663357260523</v>
      </c>
      <c r="W13" s="3">
        <f>LOOKUP($G13,'INDATA prices'!$C$6:$I$6,'INDATA prices'!$C$7:$I$7)*LOOKUP(MID($H13,4,6),'INDATA Fuel relations'!$B$16:$B$34,'INDATA Fuel relations'!H$16:H$34)</f>
        <v>17.127663357260523</v>
      </c>
    </row>
    <row r="14" spans="1:23" x14ac:dyDescent="0.3">
      <c r="B14" t="s">
        <v>100</v>
      </c>
      <c r="D14" t="s">
        <v>192</v>
      </c>
      <c r="F14" s="9" t="str">
        <f>'Prices (2019)'!F14</f>
        <v>COST</v>
      </c>
      <c r="G14" s="10">
        <f t="shared" si="0"/>
        <v>2030</v>
      </c>
      <c r="H14" t="s">
        <v>24</v>
      </c>
      <c r="K14" s="3">
        <f t="shared" si="1"/>
        <v>9.6050000000000004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9.6045568191516839</v>
      </c>
      <c r="W14" s="3">
        <f>LOOKUP($G14,'INDATA prices'!$C$6:$I$6,'INDATA prices'!$C$7:$I$7)*LOOKUP(MID($H14,4,6),'INDATA Fuel relations'!$B$16:$B$34,'INDATA Fuel relations'!H$16:H$34)</f>
        <v>9.6045568191516839</v>
      </c>
    </row>
    <row r="15" spans="1:23" x14ac:dyDescent="0.3">
      <c r="B15" t="s">
        <v>100</v>
      </c>
      <c r="D15" t="s">
        <v>192</v>
      </c>
      <c r="F15" s="9" t="str">
        <f>'Prices (2019)'!F15</f>
        <v>COST</v>
      </c>
      <c r="G15" s="10">
        <f t="shared" si="0"/>
        <v>2030</v>
      </c>
      <c r="H15" t="s">
        <v>26</v>
      </c>
      <c r="K15" s="3">
        <f t="shared" si="1"/>
        <v>18.446000000000002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18.445691699052954</v>
      </c>
      <c r="W15" s="3">
        <f>LOOKUP($G15,'INDATA prices'!$C$6:$I$6,'INDATA prices'!$C$7:$I$7)*LOOKUP(MID($H15,4,6),'INDATA Fuel relations'!$B$16:$B$34,'INDATA Fuel relations'!H$16:H$34)</f>
        <v>18.445691699052954</v>
      </c>
    </row>
    <row r="16" spans="1:23" x14ac:dyDescent="0.3">
      <c r="B16" t="s">
        <v>100</v>
      </c>
      <c r="D16" t="s">
        <v>192</v>
      </c>
      <c r="F16" s="9" t="str">
        <f>'Prices (2019)'!F16</f>
        <v>COST</v>
      </c>
      <c r="G16" s="10">
        <f t="shared" si="0"/>
        <v>2030</v>
      </c>
      <c r="H16" t="s">
        <v>28</v>
      </c>
      <c r="K16" s="3">
        <f t="shared" si="1"/>
        <v>13.175000000000001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13.17549407075211</v>
      </c>
      <c r="W16" s="3">
        <f>LOOKUP($G16,'INDATA prices'!$C$6:$I$6,'INDATA prices'!$C$7:$I$7)*LOOKUP(MID($H16,4,6),'INDATA Fuel relations'!$B$16:$B$34,'INDATA Fuel relations'!H$16:H$34)</f>
        <v>13.17549407075211</v>
      </c>
    </row>
    <row r="17" spans="2:23" x14ac:dyDescent="0.3">
      <c r="B17" t="s">
        <v>100</v>
      </c>
      <c r="D17" t="s">
        <v>192</v>
      </c>
      <c r="F17" s="9" t="str">
        <f>'Prices (2019)'!F17</f>
        <v>COST</v>
      </c>
      <c r="G17" s="10">
        <f t="shared" si="0"/>
        <v>2030</v>
      </c>
      <c r="H17" t="s">
        <v>30</v>
      </c>
      <c r="K17" s="3">
        <f t="shared" si="1"/>
        <v>14.493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14.492564543110101</v>
      </c>
      <c r="W17" s="3">
        <f>LOOKUP($G17,'INDATA prices'!$C$6:$I$6,'INDATA prices'!$C$7:$I$7)*LOOKUP(MID($H17,4,6),'INDATA Fuel relations'!$B$16:$B$34,'INDATA Fuel relations'!H$16:H$34)</f>
        <v>14.492564543110101</v>
      </c>
    </row>
    <row r="18" spans="2:23" x14ac:dyDescent="0.3">
      <c r="B18" t="s">
        <v>101</v>
      </c>
      <c r="D18" t="s">
        <v>192</v>
      </c>
      <c r="F18" s="9" t="str">
        <f>'Prices (2019)'!F18</f>
        <v>COST</v>
      </c>
      <c r="G18" s="10">
        <f t="shared" si="0"/>
        <v>2030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tr">
        <f>'Prices (2019)'!F19</f>
        <v>COST</v>
      </c>
      <c r="G19" s="10">
        <f>$G$2</f>
        <v>2030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tr">
        <f>'Prices (2019)'!F20</f>
        <v>COST</v>
      </c>
      <c r="G20" s="10">
        <f t="shared" ref="G20:G57" si="3">$G$2</f>
        <v>2030</v>
      </c>
      <c r="H20" t="s">
        <v>233</v>
      </c>
      <c r="K20" s="3">
        <f>ROUND(LOOKUP(N20,$J$2:$J$4,$K$2:$K$4)*O20,3)</f>
        <v>59.026000000000003</v>
      </c>
      <c r="L20" s="3"/>
      <c r="M20" t="s">
        <v>236</v>
      </c>
      <c r="N20" t="s">
        <v>107</v>
      </c>
      <c r="O20" s="3">
        <f>VLOOKUP(P20,'INDATA Fuel relations'!$B$15:$H$34,LOOKUP($G$2,'INDATA Fuel relations'!$D$14:$H$14,'INDATA Fuel relations'!$D$13:$H$13))</f>
        <v>4.9779788351240013</v>
      </c>
      <c r="P20" t="str">
        <f t="shared" ref="P20" si="4">MID(H20,4,6)</f>
        <v>BFUBJF</v>
      </c>
      <c r="Q20" t="str">
        <f>IF(COUNTIF('INDATA Fuel relations'!$B$15:$B$34,P20)&gt;0,"ok","FALSE")</f>
        <v>ok</v>
      </c>
      <c r="V20" s="3" t="e">
        <f>LOOKUP($G20,'INDATA prices'!$C$6:$I$6,'INDATA prices'!$C$7:$I$7)*LOOKUP(MID($H20,4,6),'INDATA Fuel relations'!$B$16:$B$34,'INDATA Fuel relations'!F$16:F$34)</f>
        <v>#N/A</v>
      </c>
      <c r="W20" s="3" t="e">
        <f>LOOKUP($G20,'INDATA prices'!$C$6:$I$6,'INDATA prices'!$C$7:$I$7)*LOOKUP(MID($H20,4,6),'INDATA Fuel relations'!$B$16:$B$34,'INDATA Fuel relations'!H$16:H$34)</f>
        <v>#N/A</v>
      </c>
    </row>
    <row r="21" spans="2:23" x14ac:dyDescent="0.3">
      <c r="B21" t="s">
        <v>101</v>
      </c>
      <c r="D21" t="s">
        <v>192</v>
      </c>
      <c r="F21" s="9" t="str">
        <f>'Prices (2019)'!F21</f>
        <v>COST</v>
      </c>
      <c r="G21" s="10">
        <f t="shared" si="3"/>
        <v>2030</v>
      </c>
      <c r="H21" t="s">
        <v>131</v>
      </c>
      <c r="K21" s="3">
        <f t="shared" ref="K21:K38" si="5">ROUND(LOOKUP(N21,$J$2:$J$4,$K$2:$K$4)*O21,3)</f>
        <v>37.680999999999997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3.1778172711850718</v>
      </c>
      <c r="P21" t="str">
        <f t="shared" ref="P21:P41" si="6">MID(H21,4,6)</f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37.68085938597315</v>
      </c>
      <c r="W21" s="3">
        <f>LOOKUP($G21,'INDATA prices'!$C$6:$I$6,'INDATA prices'!$C$7:$I$7)*LOOKUP(MID($H21,4,6),'INDATA Fuel relations'!$B$16:$B$34,'INDATA Fuel relations'!H$16:H$34)</f>
        <v>34.255326714521047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2030</v>
      </c>
      <c r="H22" t="s">
        <v>237</v>
      </c>
      <c r="K22" s="3">
        <f>$K$23*O22</f>
        <v>37.304189999999998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si="3"/>
        <v>2030</v>
      </c>
      <c r="H23" t="s">
        <v>240</v>
      </c>
      <c r="K23" s="3">
        <f t="shared" si="5"/>
        <v>37.680999999999997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3.1778172711850718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3"/>
        <v>2030</v>
      </c>
      <c r="H24" t="s">
        <v>241</v>
      </c>
      <c r="K24" s="3">
        <f>$K$23*O24</f>
        <v>37.680999999999997</v>
      </c>
      <c r="L24" s="3"/>
      <c r="M24" t="s">
        <v>259</v>
      </c>
      <c r="N24" t="s">
        <v>132</v>
      </c>
      <c r="O24" s="3">
        <f>'Prices (2019)'!O24</f>
        <v>1</v>
      </c>
      <c r="P24" t="str">
        <f t="shared" ref="P24:P26" si="7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3"/>
        <v>2030</v>
      </c>
      <c r="H25" t="s">
        <v>242</v>
      </c>
      <c r="K25" s="3">
        <f t="shared" ref="K25:K26" si="8">$K$23*O25</f>
        <v>37.680999999999997</v>
      </c>
      <c r="L25" s="3"/>
      <c r="M25" t="s">
        <v>260</v>
      </c>
      <c r="N25" t="s">
        <v>132</v>
      </c>
      <c r="O25" s="3">
        <f>'Prices (2019)'!O25</f>
        <v>1</v>
      </c>
      <c r="P25" t="str">
        <f t="shared" si="7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3"/>
        <v>2030</v>
      </c>
      <c r="H26" t="s">
        <v>243</v>
      </c>
      <c r="K26" s="3">
        <f t="shared" si="8"/>
        <v>38.057809999999996</v>
      </c>
      <c r="L26" s="3"/>
      <c r="M26" t="s">
        <v>261</v>
      </c>
      <c r="N26" t="s">
        <v>132</v>
      </c>
      <c r="O26" s="3">
        <f>'Prices (2019)'!O26</f>
        <v>1.01</v>
      </c>
      <c r="P26" t="str">
        <f t="shared" si="7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tr">
        <f>'Prices (2019)'!F27</f>
        <v>COST</v>
      </c>
      <c r="G27" s="10">
        <f t="shared" si="3"/>
        <v>2030</v>
      </c>
      <c r="H27" t="s">
        <v>133</v>
      </c>
      <c r="K27" s="3">
        <f t="shared" si="5"/>
        <v>37.680999999999997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3.1778172711850718</v>
      </c>
      <c r="P27" t="str">
        <f t="shared" si="6"/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37.68085938597315</v>
      </c>
      <c r="W27" s="3">
        <f>LOOKUP($G27,'INDATA prices'!$C$6:$I$6,'INDATA prices'!$C$7:$I$7)*LOOKUP(MID($H27,4,6),'INDATA Fuel relations'!$B$16:$B$34,'INDATA Fuel relations'!H$16:H$34)</f>
        <v>34.255326714521047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3"/>
        <v>2030</v>
      </c>
      <c r="H28" t="s">
        <v>244</v>
      </c>
      <c r="K28" s="3">
        <f>$K$27*O28</f>
        <v>37.680999999999997</v>
      </c>
      <c r="L28" s="3"/>
      <c r="M28" t="s">
        <v>263</v>
      </c>
      <c r="N28" t="s">
        <v>133</v>
      </c>
      <c r="O28" s="3">
        <f>'Prices (2019)'!O28</f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3"/>
        <v>2030</v>
      </c>
      <c r="H29" t="s">
        <v>245</v>
      </c>
      <c r="K29" s="3">
        <f t="shared" ref="K29:K30" si="9">$K$27*O29</f>
        <v>37.680999999999997</v>
      </c>
      <c r="L29" s="3"/>
      <c r="M29" t="s">
        <v>264</v>
      </c>
      <c r="N29" t="s">
        <v>133</v>
      </c>
      <c r="O29" s="3">
        <f>'Prices (2019)'!O29</f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3"/>
        <v>2030</v>
      </c>
      <c r="H30" t="s">
        <v>246</v>
      </c>
      <c r="K30" s="3">
        <f t="shared" si="9"/>
        <v>38.057809999999996</v>
      </c>
      <c r="L30" s="3"/>
      <c r="M30" t="s">
        <v>265</v>
      </c>
      <c r="N30" t="s">
        <v>133</v>
      </c>
      <c r="O30" s="3">
        <f>'Prices (2019)'!O30</f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tr">
        <f>'Prices (2019)'!F31</f>
        <v>COST</v>
      </c>
      <c r="G31" s="10">
        <f t="shared" si="3"/>
        <v>2030</v>
      </c>
      <c r="H31" t="s">
        <v>134</v>
      </c>
      <c r="K31" s="3">
        <f t="shared" si="5"/>
        <v>46.244999999999997</v>
      </c>
      <c r="L31" s="3"/>
      <c r="M31" t="s">
        <v>141</v>
      </c>
      <c r="N31" t="s">
        <v>107</v>
      </c>
      <c r="O31" s="3">
        <f>VLOOKUP(P31,'INDATA Fuel relations'!$B$15:$H$34,LOOKUP($G$2,'INDATA Fuel relations'!$D$14:$H$14,'INDATA Fuel relations'!$D$13:$H$13))</f>
        <v>3.9000484691816788</v>
      </c>
      <c r="P31" t="str">
        <f t="shared" si="6"/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46.244691064603408</v>
      </c>
      <c r="W31" s="3">
        <f>LOOKUP($G31,'INDATA prices'!$C$6:$I$6,'INDATA prices'!$C$7:$I$7)*LOOKUP(MID($H31,4,6),'INDATA Fuel relations'!$B$16:$B$34,'INDATA Fuel relations'!H$16:H$34)</f>
        <v>34.255326714521047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3"/>
        <v>2030</v>
      </c>
      <c r="H32" t="s">
        <v>281</v>
      </c>
      <c r="K32" s="3">
        <f t="shared" si="5"/>
        <v>37.680999999999997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3.1778172711850718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3"/>
        <v>2030</v>
      </c>
      <c r="H33" t="s">
        <v>282</v>
      </c>
      <c r="K33" s="3">
        <f>$K$32*O33</f>
        <v>37.680999999999997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3"/>
        <v>2030</v>
      </c>
      <c r="H34" t="s">
        <v>283</v>
      </c>
      <c r="K34" s="3">
        <f t="shared" ref="K34:K36" si="10">$K$32*O34</f>
        <v>37.680999999999997</v>
      </c>
      <c r="L34" s="3"/>
      <c r="M34" t="s">
        <v>288</v>
      </c>
      <c r="N34" t="s">
        <v>285</v>
      </c>
      <c r="O34" s="3">
        <v>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3"/>
        <v>2030</v>
      </c>
      <c r="H35" t="s">
        <v>292</v>
      </c>
      <c r="K35" s="3">
        <f t="shared" si="10"/>
        <v>38.057809999999996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3"/>
        <v>2030</v>
      </c>
      <c r="H36" t="s">
        <v>284</v>
      </c>
      <c r="K36" s="3">
        <f t="shared" si="10"/>
        <v>38.057809999999996</v>
      </c>
      <c r="L36" s="3"/>
      <c r="M36" t="s">
        <v>291</v>
      </c>
      <c r="N36" t="s">
        <v>285</v>
      </c>
      <c r="O36" s="3">
        <v>1.01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tr">
        <f>'Prices (2019)'!F37</f>
        <v>COST</v>
      </c>
      <c r="G37" s="10">
        <f t="shared" si="3"/>
        <v>2030</v>
      </c>
      <c r="H37" t="s">
        <v>135</v>
      </c>
      <c r="K37" s="3">
        <f t="shared" si="5"/>
        <v>37.680999999999997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3.1778172711850718</v>
      </c>
      <c r="P37" t="str">
        <f t="shared" si="6"/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37.68085938597315</v>
      </c>
      <c r="W37" s="3">
        <f>LOOKUP($G37,'INDATA prices'!$C$6:$I$6,'INDATA prices'!$C$7:$I$7)*LOOKUP(MID($H37,4,6),'INDATA Fuel relations'!$B$16:$B$34,'INDATA Fuel relations'!H$16:H$34)</f>
        <v>34.255326714521047</v>
      </c>
    </row>
    <row r="38" spans="2:23" x14ac:dyDescent="0.3">
      <c r="B38" t="s">
        <v>101</v>
      </c>
      <c r="D38" t="s">
        <v>192</v>
      </c>
      <c r="F38" s="9" t="str">
        <f>'Prices (2019)'!F38</f>
        <v>COST</v>
      </c>
      <c r="G38" s="10">
        <f t="shared" si="3"/>
        <v>2030</v>
      </c>
      <c r="H38" t="s">
        <v>136</v>
      </c>
      <c r="K38" s="3">
        <f t="shared" si="5"/>
        <v>37.680999999999997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3.1778172711850718</v>
      </c>
      <c r="P38" t="str">
        <f t="shared" si="6"/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37.68085938597315</v>
      </c>
      <c r="W38" s="32">
        <f>LOOKUP($G38,'INDATA prices'!$C$6:$I$6,'INDATA prices'!$C$7:$I$7)*LOOKUP(MID($H38,4,6),'INDATA Fuel relations'!$B$16:$B$34,'INDATA Fuel relations'!H$16:H$34)</f>
        <v>34.255326714521047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3"/>
        <v>2030</v>
      </c>
      <c r="H39" t="s">
        <v>250</v>
      </c>
      <c r="K39" s="3">
        <f>$K$38*O39</f>
        <v>37.680999999999997</v>
      </c>
      <c r="L39" s="3"/>
      <c r="M39" t="s">
        <v>267</v>
      </c>
      <c r="N39" t="s">
        <v>125</v>
      </c>
      <c r="O39" s="3">
        <f>'Prices (2019)'!O39</f>
        <v>1</v>
      </c>
      <c r="P39" t="str">
        <f t="shared" si="6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3"/>
        <v>2030</v>
      </c>
      <c r="H40" t="s">
        <v>251</v>
      </c>
      <c r="K40" s="3">
        <f t="shared" ref="K40:K41" si="11">$K$38*O40</f>
        <v>37.680999999999997</v>
      </c>
      <c r="L40" s="3"/>
      <c r="M40" t="s">
        <v>269</v>
      </c>
      <c r="N40" t="s">
        <v>125</v>
      </c>
      <c r="O40" s="3">
        <f>'Prices (2019)'!O40</f>
        <v>1</v>
      </c>
      <c r="P40" t="str">
        <f t="shared" si="6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3"/>
        <v>2030</v>
      </c>
      <c r="H41" t="s">
        <v>252</v>
      </c>
      <c r="K41" s="3">
        <f t="shared" si="11"/>
        <v>38.057809999999996</v>
      </c>
      <c r="L41" s="3"/>
      <c r="M41" t="s">
        <v>268</v>
      </c>
      <c r="N41" t="s">
        <v>125</v>
      </c>
      <c r="O41" s="3">
        <f>'Prices (2019)'!O41</f>
        <v>1.01</v>
      </c>
      <c r="P41" t="str">
        <f t="shared" si="6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tr">
        <f>'Prices (2019)'!F42</f>
        <v>COST</v>
      </c>
      <c r="G42" s="10">
        <f t="shared" si="3"/>
        <v>2030</v>
      </c>
      <c r="H42" t="s">
        <v>140</v>
      </c>
      <c r="K42" s="51">
        <f>LOOKUP($G42,'INDATA prices'!$C$6:$I$6,'INDATA prices'!$C$13:$I$13)</f>
        <v>7.839999999999999</v>
      </c>
      <c r="L42" s="3"/>
      <c r="M42" t="s">
        <v>142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tr">
        <f>'Prices (2019)'!F43</f>
        <v>COST</v>
      </c>
      <c r="G43" s="10">
        <f t="shared" si="3"/>
        <v>2030</v>
      </c>
      <c r="H43" t="s">
        <v>143</v>
      </c>
      <c r="K43" s="52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tr">
        <f>'Prices (2019)'!F44</f>
        <v>COST</v>
      </c>
      <c r="G44" s="10">
        <f t="shared" si="3"/>
        <v>2030</v>
      </c>
      <c r="H44" t="s">
        <v>139</v>
      </c>
      <c r="K44" s="51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tr">
        <f>'Prices (2019)'!F45</f>
        <v>COST</v>
      </c>
      <c r="G45" s="10">
        <f t="shared" si="3"/>
        <v>2030</v>
      </c>
      <c r="H45" t="s">
        <v>138</v>
      </c>
      <c r="K45" s="51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3"/>
        <v>2030</v>
      </c>
      <c r="H46" t="s">
        <v>255</v>
      </c>
      <c r="K46" s="3">
        <f t="shared" ref="K46" si="12">ROUND(LOOKUP(N46,$J$2:$J$4,$K$2:$K$4)*O46,3)</f>
        <v>8.0239999999999991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tr">
        <f>'Prices (2019)'!F47</f>
        <v>COST</v>
      </c>
      <c r="G47" s="10">
        <f t="shared" si="3"/>
        <v>2030</v>
      </c>
      <c r="H47" t="s">
        <v>196</v>
      </c>
      <c r="K47" s="3">
        <f t="shared" ref="K47" si="13">ROUND(LOOKUP(N47,$J$2:$J$4,$K$2:$K$4)*O47,3)</f>
        <v>8.0239999999999991</v>
      </c>
      <c r="L47" s="3"/>
      <c r="M47" t="s">
        <v>8</v>
      </c>
      <c r="N47" t="s">
        <v>47</v>
      </c>
      <c r="O47">
        <v>1</v>
      </c>
      <c r="V47" s="3">
        <f>LOOKUP($G47,'INDATA prices'!$C$6:$I$6,'INDATA prices'!$C$8:$I$8)*'INDATA Fuel relations'!F$63</f>
        <v>17.652766522917979</v>
      </c>
      <c r="W47" s="3">
        <f>LOOKUP($G47,'INDATA prices'!$C$6:$I$6,'INDATA prices'!$C$8:$I$8)*'INDATA Fuel relations'!H$63</f>
        <v>16.047969566289069</v>
      </c>
    </row>
    <row r="48" spans="2:23" x14ac:dyDescent="0.3">
      <c r="B48" t="s">
        <v>102</v>
      </c>
      <c r="D48" t="s">
        <v>192</v>
      </c>
      <c r="F48" s="9" t="str">
        <f>'Prices (2019)'!F48</f>
        <v>COST</v>
      </c>
      <c r="G48" s="10">
        <f t="shared" si="0"/>
        <v>2030</v>
      </c>
      <c r="H48" t="s">
        <v>130</v>
      </c>
      <c r="K48" s="51">
        <f>K10*4</f>
        <v>38.515999999999998</v>
      </c>
      <c r="M48" t="s">
        <v>272</v>
      </c>
      <c r="N48" t="s">
        <v>271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0"/>
        <v>2030</v>
      </c>
      <c r="H49" t="s">
        <v>247</v>
      </c>
      <c r="K49" s="51">
        <f>$K$48*O49</f>
        <v>42.367600000000003</v>
      </c>
      <c r="M49" t="s">
        <v>273</v>
      </c>
      <c r="N49" t="s">
        <v>130</v>
      </c>
      <c r="O49">
        <v>1.1000000000000001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0"/>
        <v>2030</v>
      </c>
      <c r="H50" t="s">
        <v>275</v>
      </c>
      <c r="K50" s="51">
        <f>$K$48*O50</f>
        <v>42.367600000000003</v>
      </c>
      <c r="M50" t="s">
        <v>276</v>
      </c>
      <c r="N50" t="s">
        <v>130</v>
      </c>
      <c r="O50">
        <v>1.1000000000000001</v>
      </c>
    </row>
    <row r="51" spans="2:23" x14ac:dyDescent="0.3">
      <c r="B51" t="s">
        <v>102</v>
      </c>
      <c r="D51" t="s">
        <v>192</v>
      </c>
      <c r="F51" s="9" t="str">
        <f>'Prices (2019)'!F51</f>
        <v>COST</v>
      </c>
      <c r="G51" s="10">
        <f t="shared" si="0"/>
        <v>2030</v>
      </c>
      <c r="H51" t="s">
        <v>179</v>
      </c>
      <c r="K51" s="48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tr">
        <f>'Prices (2019)'!F52</f>
        <v>COST</v>
      </c>
      <c r="G52" s="10">
        <f t="shared" si="0"/>
        <v>2030</v>
      </c>
      <c r="H52" t="s">
        <v>16</v>
      </c>
      <c r="K52" s="48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tr">
        <f>'Prices (2019)'!F54</f>
        <v>COST</v>
      </c>
      <c r="G54" s="10">
        <f t="shared" si="3"/>
        <v>2030</v>
      </c>
      <c r="H54" t="s">
        <v>132</v>
      </c>
      <c r="K54" s="32">
        <f>ROUND(LOOKUP(N54,$J$2:$J$4,$K$2:$K$4)*O54,3)</f>
        <v>37.680999999999997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3.1778172711850718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37.68085938597315</v>
      </c>
      <c r="W54" s="3">
        <f>LOOKUP($G54,'INDATA prices'!$C$6:$I$6,'INDATA prices'!$C$7:$I$7)*LOOKUP(MID($H54,4,6),'INDATA Fuel relations'!$B$16:$B$34,'INDATA Fuel relations'!H$16:H$34)</f>
        <v>34.255326714521047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3"/>
        <v>2030</v>
      </c>
      <c r="H55" t="s">
        <v>237</v>
      </c>
      <c r="K55" s="32">
        <f>$K$54*O55</f>
        <v>37.680999999999997</v>
      </c>
      <c r="L55" s="3"/>
      <c r="M55" t="s">
        <v>248</v>
      </c>
      <c r="N55" t="s">
        <v>132</v>
      </c>
      <c r="O55" s="3">
        <f>'Prices (2019)'!O55</f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3"/>
        <v>2030</v>
      </c>
      <c r="H56" t="s">
        <v>238</v>
      </c>
      <c r="K56" s="32">
        <f>$K$54*O56</f>
        <v>37.680999999999997</v>
      </c>
      <c r="L56" s="3"/>
      <c r="M56" t="s">
        <v>248</v>
      </c>
      <c r="N56" t="s">
        <v>132</v>
      </c>
      <c r="O56" s="3">
        <f>'Prices (2019)'!O56</f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3"/>
        <v>2030</v>
      </c>
      <c r="H57" t="s">
        <v>239</v>
      </c>
      <c r="K57" s="32">
        <f>$K$54*O57</f>
        <v>37.680999999999997</v>
      </c>
      <c r="L57" s="3"/>
      <c r="M57" t="s">
        <v>248</v>
      </c>
      <c r="N57" t="s">
        <v>132</v>
      </c>
      <c r="O57" s="3">
        <f>'Prices (2019)'!O57</f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f>'Prices (2019)'!K61</f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88" si="14">F8</f>
        <v>COST</v>
      </c>
      <c r="G65" s="9">
        <f t="shared" si="14"/>
        <v>2030</v>
      </c>
      <c r="H65" t="str">
        <f t="shared" ref="H65:H91" si="15">REPLACE(H8,1,3,"EXP")</f>
        <v>EXPCOAHARY</v>
      </c>
      <c r="K65" s="3">
        <f t="shared" ref="K65:K93" si="16">ROUNDDOWN(K8*K$61,3)</f>
        <v>1.49</v>
      </c>
    </row>
    <row r="66" spans="2:11" x14ac:dyDescent="0.3">
      <c r="B66" t="s">
        <v>100</v>
      </c>
      <c r="D66" t="s">
        <v>192</v>
      </c>
      <c r="F66" s="9" t="str">
        <f t="shared" si="14"/>
        <v>COST</v>
      </c>
      <c r="G66" s="9">
        <f t="shared" si="14"/>
        <v>2030</v>
      </c>
      <c r="H66" t="str">
        <f t="shared" si="15"/>
        <v>EXPCOAPEAY</v>
      </c>
      <c r="K66" s="3">
        <f t="shared" si="16"/>
        <v>1.49</v>
      </c>
    </row>
    <row r="67" spans="2:11" x14ac:dyDescent="0.3">
      <c r="B67" t="s">
        <v>100</v>
      </c>
      <c r="D67" t="s">
        <v>192</v>
      </c>
      <c r="F67" s="9" t="str">
        <f t="shared" si="14"/>
        <v>COST</v>
      </c>
      <c r="G67" s="9">
        <f t="shared" si="14"/>
        <v>2030</v>
      </c>
      <c r="H67" t="str">
        <f t="shared" si="15"/>
        <v>EXPGASNATY</v>
      </c>
      <c r="K67" s="3">
        <f t="shared" si="16"/>
        <v>8.1839999999999993</v>
      </c>
    </row>
    <row r="68" spans="2:11" x14ac:dyDescent="0.3">
      <c r="B68" t="s">
        <v>100</v>
      </c>
      <c r="D68" t="s">
        <v>192</v>
      </c>
      <c r="F68" s="9" t="str">
        <f t="shared" si="14"/>
        <v>COST</v>
      </c>
      <c r="G68" s="9">
        <f t="shared" si="14"/>
        <v>2030</v>
      </c>
      <c r="H68" t="str">
        <f t="shared" si="15"/>
        <v>EXPOILCRDY</v>
      </c>
      <c r="K68" s="3">
        <f t="shared" si="16"/>
        <v>10.077999999999999</v>
      </c>
    </row>
    <row r="69" spans="2:11" x14ac:dyDescent="0.3">
      <c r="B69" t="s">
        <v>100</v>
      </c>
      <c r="D69" t="s">
        <v>192</v>
      </c>
      <c r="F69" s="9" t="str">
        <f t="shared" si="14"/>
        <v>COST</v>
      </c>
      <c r="G69" s="9">
        <f t="shared" si="14"/>
        <v>2030</v>
      </c>
      <c r="H69" t="str">
        <f t="shared" si="15"/>
        <v>EXPOILDSTY</v>
      </c>
      <c r="K69" s="3">
        <f t="shared" si="16"/>
        <v>14.558</v>
      </c>
    </row>
    <row r="70" spans="2:11" x14ac:dyDescent="0.3">
      <c r="B70" t="s">
        <v>100</v>
      </c>
      <c r="D70" t="s">
        <v>192</v>
      </c>
      <c r="F70" s="9" t="str">
        <f t="shared" si="14"/>
        <v>COST</v>
      </c>
      <c r="G70" s="9">
        <f t="shared" si="14"/>
        <v>2030</v>
      </c>
      <c r="H70" t="str">
        <f t="shared" si="15"/>
        <v>EXPOILGSLY</v>
      </c>
      <c r="K70" s="3">
        <f t="shared" si="16"/>
        <v>14.558</v>
      </c>
    </row>
    <row r="71" spans="2:11" x14ac:dyDescent="0.3">
      <c r="B71" t="s">
        <v>100</v>
      </c>
      <c r="D71" t="s">
        <v>192</v>
      </c>
      <c r="F71" s="9" t="str">
        <f t="shared" si="14"/>
        <v>COST</v>
      </c>
      <c r="G71" s="9">
        <f t="shared" si="14"/>
        <v>2030</v>
      </c>
      <c r="H71" t="str">
        <f t="shared" si="15"/>
        <v>EXPOILHFOY</v>
      </c>
      <c r="K71" s="3">
        <f t="shared" si="16"/>
        <v>8.1639999999999997</v>
      </c>
    </row>
    <row r="72" spans="2:11" x14ac:dyDescent="0.3">
      <c r="B72" t="s">
        <v>100</v>
      </c>
      <c r="D72" t="s">
        <v>192</v>
      </c>
      <c r="F72" s="9" t="str">
        <f t="shared" si="14"/>
        <v>COST</v>
      </c>
      <c r="G72" s="9">
        <f t="shared" si="14"/>
        <v>2030</v>
      </c>
      <c r="H72" t="str">
        <f t="shared" si="15"/>
        <v>EXPOILKERY</v>
      </c>
      <c r="K72" s="3">
        <f t="shared" si="16"/>
        <v>15.679</v>
      </c>
    </row>
    <row r="73" spans="2:11" x14ac:dyDescent="0.3">
      <c r="B73" t="s">
        <v>100</v>
      </c>
      <c r="D73" t="s">
        <v>192</v>
      </c>
      <c r="F73" s="9" t="str">
        <f t="shared" si="14"/>
        <v>COST</v>
      </c>
      <c r="G73" s="9">
        <f t="shared" si="14"/>
        <v>2030</v>
      </c>
      <c r="H73" t="str">
        <f t="shared" si="15"/>
        <v>EXPOILLFOY</v>
      </c>
      <c r="K73" s="3">
        <f t="shared" si="16"/>
        <v>11.198</v>
      </c>
    </row>
    <row r="74" spans="2:11" x14ac:dyDescent="0.3">
      <c r="B74" t="s">
        <v>100</v>
      </c>
      <c r="D74" t="s">
        <v>192</v>
      </c>
      <c r="F74" s="9" t="str">
        <f t="shared" si="14"/>
        <v>COST</v>
      </c>
      <c r="G74" s="9">
        <f t="shared" si="14"/>
        <v>2030</v>
      </c>
      <c r="H74" t="str">
        <f t="shared" si="15"/>
        <v>EXPOILLPGY</v>
      </c>
      <c r="K74" s="3">
        <f t="shared" si="16"/>
        <v>12.319000000000001</v>
      </c>
    </row>
    <row r="75" spans="2:11" x14ac:dyDescent="0.3">
      <c r="B75" t="s">
        <v>101</v>
      </c>
      <c r="D75" t="s">
        <v>192</v>
      </c>
      <c r="F75" s="9" t="str">
        <f t="shared" si="14"/>
        <v>COST</v>
      </c>
      <c r="G75" s="9">
        <f t="shared" si="14"/>
        <v>2030</v>
      </c>
      <c r="H75" t="str">
        <f t="shared" si="15"/>
        <v>EXPBIOMFWY</v>
      </c>
      <c r="K75" s="3">
        <f t="shared" si="16"/>
        <v>0</v>
      </c>
    </row>
    <row r="76" spans="2:11" x14ac:dyDescent="0.3">
      <c r="B76" t="s">
        <v>101</v>
      </c>
      <c r="D76" t="s">
        <v>192</v>
      </c>
      <c r="F76" s="9" t="str">
        <f t="shared" si="14"/>
        <v>COST</v>
      </c>
      <c r="G76" s="9">
        <f t="shared" si="14"/>
        <v>2030</v>
      </c>
      <c r="H76" t="str">
        <f t="shared" si="15"/>
        <v>EXPBIOMSWY</v>
      </c>
      <c r="K76" s="3">
        <f t="shared" si="16"/>
        <v>0</v>
      </c>
    </row>
    <row r="77" spans="2:11" x14ac:dyDescent="0.3">
      <c r="B77" t="s">
        <v>101</v>
      </c>
      <c r="D77" t="s">
        <v>192</v>
      </c>
      <c r="F77" s="9" t="str">
        <f t="shared" si="14"/>
        <v>COST</v>
      </c>
      <c r="G77" s="9">
        <f t="shared" si="14"/>
        <v>2030</v>
      </c>
      <c r="H77" t="str">
        <f t="shared" si="15"/>
        <v>EXPBFUBJFY</v>
      </c>
      <c r="K77" s="3">
        <f t="shared" si="16"/>
        <v>50.171999999999997</v>
      </c>
    </row>
    <row r="78" spans="2:11" x14ac:dyDescent="0.3">
      <c r="B78" t="s">
        <v>101</v>
      </c>
      <c r="D78" t="s">
        <v>192</v>
      </c>
      <c r="F78" s="9" t="str">
        <f t="shared" si="14"/>
        <v>COST</v>
      </c>
      <c r="G78" s="9">
        <f t="shared" si="14"/>
        <v>2030</v>
      </c>
      <c r="H78" t="str">
        <f t="shared" si="15"/>
        <v>EXPBFUDMEY</v>
      </c>
      <c r="K78" s="3">
        <f t="shared" si="16"/>
        <v>32.027999999999999</v>
      </c>
    </row>
    <row r="79" spans="2:11" x14ac:dyDescent="0.3">
      <c r="B79" t="s">
        <v>101</v>
      </c>
      <c r="D79" t="s">
        <v>192</v>
      </c>
      <c r="F79" s="9" t="str">
        <f t="shared" si="14"/>
        <v>COST</v>
      </c>
      <c r="G79" s="9">
        <f t="shared" si="14"/>
        <v>2030</v>
      </c>
      <c r="H79" t="str">
        <f t="shared" si="15"/>
        <v>EXPBFUDST1</v>
      </c>
      <c r="K79" s="3">
        <f t="shared" si="16"/>
        <v>31.707999999999998</v>
      </c>
    </row>
    <row r="80" spans="2:11" x14ac:dyDescent="0.3">
      <c r="B80" t="s">
        <v>101</v>
      </c>
      <c r="D80" t="s">
        <v>192</v>
      </c>
      <c r="F80" s="9" t="str">
        <f t="shared" si="14"/>
        <v>COST</v>
      </c>
      <c r="G80" s="9">
        <f t="shared" si="14"/>
        <v>2030</v>
      </c>
      <c r="H80" t="str">
        <f t="shared" si="15"/>
        <v>EXPBFUDST4</v>
      </c>
      <c r="K80" s="3">
        <f t="shared" si="16"/>
        <v>32.027999999999999</v>
      </c>
    </row>
    <row r="81" spans="2:11" x14ac:dyDescent="0.3">
      <c r="B81" t="s">
        <v>101</v>
      </c>
      <c r="D81" t="s">
        <v>192</v>
      </c>
      <c r="F81" s="9" t="str">
        <f t="shared" si="14"/>
        <v>COST</v>
      </c>
      <c r="G81" s="9">
        <f t="shared" si="14"/>
        <v>2030</v>
      </c>
      <c r="H81" t="str">
        <f t="shared" si="15"/>
        <v>EXPBFUDST5</v>
      </c>
      <c r="K81" s="3">
        <f t="shared" si="16"/>
        <v>32.027999999999999</v>
      </c>
    </row>
    <row r="82" spans="2:11" x14ac:dyDescent="0.3">
      <c r="B82" t="s">
        <v>101</v>
      </c>
      <c r="D82" t="s">
        <v>192</v>
      </c>
      <c r="F82" s="9" t="str">
        <f t="shared" si="14"/>
        <v>COST</v>
      </c>
      <c r="G82" s="9">
        <f t="shared" si="14"/>
        <v>2030</v>
      </c>
      <c r="H82" t="str">
        <f t="shared" si="15"/>
        <v>EXPBFUDST6</v>
      </c>
      <c r="K82" s="3">
        <f t="shared" si="16"/>
        <v>32.027999999999999</v>
      </c>
    </row>
    <row r="83" spans="2:11" x14ac:dyDescent="0.3">
      <c r="B83" t="s">
        <v>101</v>
      </c>
      <c r="D83" t="s">
        <v>192</v>
      </c>
      <c r="F83" s="9" t="str">
        <f t="shared" si="14"/>
        <v>COST</v>
      </c>
      <c r="G83" s="9">
        <f t="shared" si="14"/>
        <v>2030</v>
      </c>
      <c r="H83" t="str">
        <f t="shared" si="15"/>
        <v>EXPBFUDST7</v>
      </c>
      <c r="K83" s="3">
        <f t="shared" si="16"/>
        <v>32.348999999999997</v>
      </c>
    </row>
    <row r="84" spans="2:11" x14ac:dyDescent="0.3">
      <c r="B84" t="s">
        <v>101</v>
      </c>
      <c r="D84" t="s">
        <v>192</v>
      </c>
      <c r="F84" s="9" t="str">
        <f t="shared" si="14"/>
        <v>COST</v>
      </c>
      <c r="G84" s="9">
        <f t="shared" si="14"/>
        <v>2030</v>
      </c>
      <c r="H84" t="str">
        <f t="shared" si="15"/>
        <v>EXPBFUETHY</v>
      </c>
      <c r="K84" s="3">
        <f t="shared" si="16"/>
        <v>32.027999999999999</v>
      </c>
    </row>
    <row r="85" spans="2:11" x14ac:dyDescent="0.3">
      <c r="B85" t="s">
        <v>101</v>
      </c>
      <c r="D85" t="s">
        <v>192</v>
      </c>
      <c r="F85" s="9" t="str">
        <f t="shared" si="14"/>
        <v>COST</v>
      </c>
      <c r="G85" s="9">
        <f t="shared" si="14"/>
        <v>2030</v>
      </c>
      <c r="H85" t="str">
        <f t="shared" si="15"/>
        <v>EXPBFUETH1</v>
      </c>
      <c r="K85" s="3">
        <f t="shared" si="16"/>
        <v>32.027999999999999</v>
      </c>
    </row>
    <row r="86" spans="2:11" x14ac:dyDescent="0.3">
      <c r="B86" t="s">
        <v>101</v>
      </c>
      <c r="D86" t="s">
        <v>192</v>
      </c>
      <c r="F86" s="9" t="str">
        <f t="shared" si="14"/>
        <v>COST</v>
      </c>
      <c r="G86" s="9">
        <f t="shared" si="14"/>
        <v>2030</v>
      </c>
      <c r="H86" t="str">
        <f t="shared" si="15"/>
        <v>EXPBFUETH2</v>
      </c>
      <c r="K86" s="3">
        <f t="shared" si="16"/>
        <v>32.027999999999999</v>
      </c>
    </row>
    <row r="87" spans="2:11" x14ac:dyDescent="0.3">
      <c r="B87" t="s">
        <v>101</v>
      </c>
      <c r="D87" t="s">
        <v>192</v>
      </c>
      <c r="F87" s="9" t="str">
        <f t="shared" si="14"/>
        <v>COST</v>
      </c>
      <c r="G87" s="9">
        <f t="shared" si="14"/>
        <v>2030</v>
      </c>
      <c r="H87" t="str">
        <f t="shared" si="15"/>
        <v>EXPBFUETH3</v>
      </c>
      <c r="K87" s="3">
        <f t="shared" si="16"/>
        <v>32.348999999999997</v>
      </c>
    </row>
    <row r="88" spans="2:11" x14ac:dyDescent="0.3">
      <c r="B88" t="s">
        <v>101</v>
      </c>
      <c r="D88" t="s">
        <v>192</v>
      </c>
      <c r="F88" s="9" t="str">
        <f t="shared" si="14"/>
        <v>COST</v>
      </c>
      <c r="G88" s="9">
        <f t="shared" si="14"/>
        <v>2030</v>
      </c>
      <c r="H88" t="str">
        <f t="shared" si="15"/>
        <v>EXPBFUFTDY</v>
      </c>
      <c r="K88" s="3">
        <f t="shared" si="16"/>
        <v>39.308</v>
      </c>
    </row>
    <row r="89" spans="2:11" x14ac:dyDescent="0.3">
      <c r="B89" t="s">
        <v>101</v>
      </c>
      <c r="D89" t="s">
        <v>192</v>
      </c>
      <c r="F89" s="9" t="str">
        <f t="shared" ref="F89:G89" si="17">F32</f>
        <v>COST</v>
      </c>
      <c r="G89" s="9">
        <f t="shared" si="17"/>
        <v>2030</v>
      </c>
      <c r="H89" t="str">
        <f t="shared" si="15"/>
        <v>EXPBFUGSL1</v>
      </c>
      <c r="K89" s="3">
        <f t="shared" si="16"/>
        <v>32.027999999999999</v>
      </c>
    </row>
    <row r="90" spans="2:11" x14ac:dyDescent="0.3">
      <c r="B90" t="s">
        <v>101</v>
      </c>
      <c r="D90" t="s">
        <v>192</v>
      </c>
      <c r="F90" s="9" t="str">
        <f t="shared" ref="F90:G90" si="18">F33</f>
        <v>COST</v>
      </c>
      <c r="G90" s="9">
        <f t="shared" si="18"/>
        <v>2030</v>
      </c>
      <c r="H90" t="str">
        <f t="shared" si="15"/>
        <v>EXPBFUGSL2</v>
      </c>
      <c r="K90" s="3">
        <f t="shared" si="16"/>
        <v>32.027999999999999</v>
      </c>
    </row>
    <row r="91" spans="2:11" x14ac:dyDescent="0.3">
      <c r="B91" t="s">
        <v>101</v>
      </c>
      <c r="D91" t="s">
        <v>192</v>
      </c>
      <c r="F91" s="9" t="str">
        <f t="shared" ref="F91:G91" si="19">F34</f>
        <v>COST</v>
      </c>
      <c r="G91" s="9">
        <f t="shared" si="19"/>
        <v>2030</v>
      </c>
      <c r="H91" t="str">
        <f t="shared" si="15"/>
        <v>EXPBFUGSL3</v>
      </c>
      <c r="K91" s="3">
        <f t="shared" si="16"/>
        <v>32.027999999999999</v>
      </c>
    </row>
    <row r="92" spans="2:11" x14ac:dyDescent="0.3">
      <c r="B92" t="s">
        <v>101</v>
      </c>
      <c r="D92" t="s">
        <v>192</v>
      </c>
      <c r="F92" s="9" t="str">
        <f t="shared" ref="F92:G93" si="20">F35</f>
        <v>COST</v>
      </c>
      <c r="G92" s="9">
        <f t="shared" si="20"/>
        <v>2030</v>
      </c>
      <c r="H92" t="str">
        <f t="shared" ref="H92:H93" si="21">REPLACE(H35,1,3,"EXP")</f>
        <v>EXPBFUGSL4</v>
      </c>
      <c r="K92" s="3">
        <f t="shared" si="16"/>
        <v>32.348999999999997</v>
      </c>
    </row>
    <row r="93" spans="2:11" x14ac:dyDescent="0.3">
      <c r="B93" t="s">
        <v>101</v>
      </c>
      <c r="D93" t="s">
        <v>192</v>
      </c>
      <c r="F93" s="9" t="str">
        <f t="shared" si="20"/>
        <v>COST</v>
      </c>
      <c r="G93" s="9">
        <f t="shared" si="20"/>
        <v>2030</v>
      </c>
      <c r="H93" t="str">
        <f t="shared" si="21"/>
        <v>EXPBFUGSLY</v>
      </c>
      <c r="K93" s="3">
        <f t="shared" si="16"/>
        <v>32.348999999999997</v>
      </c>
    </row>
    <row r="94" spans="2:11" x14ac:dyDescent="0.3">
      <c r="B94" t="s">
        <v>101</v>
      </c>
      <c r="D94" t="s">
        <v>192</v>
      </c>
      <c r="F94" s="9" t="str">
        <f t="shared" ref="F94:G105" si="22">F37</f>
        <v>COST</v>
      </c>
      <c r="G94" s="9">
        <f t="shared" si="22"/>
        <v>2030</v>
      </c>
      <c r="H94" t="str">
        <f t="shared" ref="H94:H105" si="23">REPLACE(H37,1,3,"EXP")</f>
        <v>EXPBFUMTHY</v>
      </c>
      <c r="K94" s="3">
        <f t="shared" ref="K94:K109" si="24">ROUNDDOWN(K37*K$61,3)</f>
        <v>32.027999999999999</v>
      </c>
    </row>
    <row r="95" spans="2:11" x14ac:dyDescent="0.3">
      <c r="B95" t="s">
        <v>101</v>
      </c>
      <c r="D95" t="s">
        <v>192</v>
      </c>
      <c r="F95" s="9" t="str">
        <f t="shared" si="22"/>
        <v>COST</v>
      </c>
      <c r="G95" s="9">
        <f t="shared" si="22"/>
        <v>2030</v>
      </c>
      <c r="H95" t="str">
        <f t="shared" si="23"/>
        <v>EXPBFUSNGY</v>
      </c>
      <c r="K95" s="3">
        <f t="shared" si="24"/>
        <v>32.027999999999999</v>
      </c>
    </row>
    <row r="96" spans="2:11" x14ac:dyDescent="0.3">
      <c r="B96" t="s">
        <v>101</v>
      </c>
      <c r="D96" t="s">
        <v>192</v>
      </c>
      <c r="F96" s="9" t="str">
        <f t="shared" si="22"/>
        <v>COST</v>
      </c>
      <c r="G96" s="9">
        <f t="shared" si="22"/>
        <v>2030</v>
      </c>
      <c r="H96" t="str">
        <f t="shared" si="23"/>
        <v>EXPBFUSNG1</v>
      </c>
      <c r="K96" s="3">
        <f t="shared" si="24"/>
        <v>32.027999999999999</v>
      </c>
    </row>
    <row r="97" spans="2:11" x14ac:dyDescent="0.3">
      <c r="B97" t="s">
        <v>101</v>
      </c>
      <c r="D97" t="s">
        <v>192</v>
      </c>
      <c r="F97" s="9" t="str">
        <f t="shared" si="22"/>
        <v>COST</v>
      </c>
      <c r="G97" s="9">
        <f t="shared" si="22"/>
        <v>2030</v>
      </c>
      <c r="H97" t="str">
        <f t="shared" si="23"/>
        <v>EXPBFUSNG2</v>
      </c>
      <c r="K97" s="3">
        <f t="shared" si="24"/>
        <v>32.027999999999999</v>
      </c>
    </row>
    <row r="98" spans="2:11" x14ac:dyDescent="0.3">
      <c r="B98" t="s">
        <v>101</v>
      </c>
      <c r="D98" t="s">
        <v>192</v>
      </c>
      <c r="F98" s="9" t="str">
        <f t="shared" si="22"/>
        <v>COST</v>
      </c>
      <c r="G98" s="9">
        <f t="shared" si="22"/>
        <v>2030</v>
      </c>
      <c r="H98" t="str">
        <f t="shared" si="23"/>
        <v>EXPBFUSNG3</v>
      </c>
      <c r="K98" s="3">
        <f t="shared" si="24"/>
        <v>32.348999999999997</v>
      </c>
    </row>
    <row r="99" spans="2:11" x14ac:dyDescent="0.3">
      <c r="B99" t="s">
        <v>101</v>
      </c>
      <c r="D99" t="s">
        <v>192</v>
      </c>
      <c r="F99" s="9" t="str">
        <f t="shared" si="22"/>
        <v>COST</v>
      </c>
      <c r="G99" s="9">
        <f t="shared" si="22"/>
        <v>2030</v>
      </c>
      <c r="H99" t="str">
        <f t="shared" si="23"/>
        <v>EXPBFUPLTY</v>
      </c>
      <c r="K99" s="3">
        <f t="shared" si="24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2"/>
        <v>COST</v>
      </c>
      <c r="G100" s="9">
        <f t="shared" si="22"/>
        <v>2030</v>
      </c>
      <c r="H100" t="str">
        <f t="shared" si="23"/>
        <v>EXPBIOCRPY</v>
      </c>
      <c r="K100" s="3">
        <f t="shared" si="24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2"/>
        <v>COST</v>
      </c>
      <c r="G101" s="9">
        <f t="shared" si="22"/>
        <v>2030</v>
      </c>
      <c r="H101" t="str">
        <f t="shared" si="23"/>
        <v>EXPBIOWOFY</v>
      </c>
      <c r="K101" s="3">
        <f t="shared" si="24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2"/>
        <v>COST</v>
      </c>
      <c r="G102" s="9">
        <f t="shared" si="22"/>
        <v>2030</v>
      </c>
      <c r="H102" t="str">
        <f t="shared" si="23"/>
        <v>EXPBIOWOOY</v>
      </c>
      <c r="K102" s="3">
        <f t="shared" si="24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2"/>
        <v>COST</v>
      </c>
      <c r="G103" s="9">
        <f t="shared" si="22"/>
        <v>2030</v>
      </c>
      <c r="H103" t="str">
        <f t="shared" si="23"/>
        <v>EXPBIOGAS1</v>
      </c>
      <c r="K103" s="3">
        <f t="shared" si="24"/>
        <v>6.82</v>
      </c>
    </row>
    <row r="104" spans="2:11" x14ac:dyDescent="0.3">
      <c r="B104" t="s">
        <v>101</v>
      </c>
      <c r="D104" t="s">
        <v>192</v>
      </c>
      <c r="F104" s="9" t="str">
        <f t="shared" si="22"/>
        <v>COST</v>
      </c>
      <c r="G104" s="9">
        <f t="shared" si="22"/>
        <v>2030</v>
      </c>
      <c r="H104" t="str">
        <f t="shared" si="23"/>
        <v>EXPBIOGASY</v>
      </c>
      <c r="K104" s="3">
        <f t="shared" si="24"/>
        <v>6.82</v>
      </c>
    </row>
    <row r="105" spans="2:11" x14ac:dyDescent="0.3">
      <c r="B105" t="s">
        <v>102</v>
      </c>
      <c r="D105" t="s">
        <v>192</v>
      </c>
      <c r="F105" s="9" t="str">
        <f t="shared" si="22"/>
        <v>COST</v>
      </c>
      <c r="G105" s="9">
        <f t="shared" si="22"/>
        <v>2030</v>
      </c>
      <c r="H105" t="str">
        <f t="shared" si="23"/>
        <v>EXPH2GY</v>
      </c>
      <c r="K105" s="3">
        <f t="shared" si="24"/>
        <v>32.738</v>
      </c>
    </row>
    <row r="106" spans="2:11" x14ac:dyDescent="0.3">
      <c r="B106" t="s">
        <v>102</v>
      </c>
      <c r="D106" t="s">
        <v>192</v>
      </c>
      <c r="F106" s="9" t="str">
        <f t="shared" ref="F106:G107" si="25">F49</f>
        <v>COST</v>
      </c>
      <c r="G106" s="9">
        <f t="shared" si="25"/>
        <v>2030</v>
      </c>
      <c r="H106" t="str">
        <f t="shared" ref="H106:H107" si="26">REPLACE(H49,1,3,"EXP")</f>
        <v>EXPH2G1</v>
      </c>
      <c r="K106" s="3">
        <f t="shared" si="24"/>
        <v>36.012</v>
      </c>
    </row>
    <row r="107" spans="2:11" x14ac:dyDescent="0.3">
      <c r="B107" t="s">
        <v>102</v>
      </c>
      <c r="D107" t="s">
        <v>192</v>
      </c>
      <c r="F107" s="9" t="str">
        <f t="shared" si="25"/>
        <v>COST</v>
      </c>
      <c r="G107" s="9">
        <f t="shared" si="25"/>
        <v>2030</v>
      </c>
      <c r="H107" t="str">
        <f t="shared" si="26"/>
        <v>EXPH2G2</v>
      </c>
      <c r="K107" s="3">
        <f t="shared" si="24"/>
        <v>36.012</v>
      </c>
    </row>
    <row r="108" spans="2:11" x14ac:dyDescent="0.3">
      <c r="B108" t="s">
        <v>102</v>
      </c>
      <c r="D108" t="s">
        <v>192</v>
      </c>
      <c r="F108" s="9" t="str">
        <f t="shared" ref="F108:G109" si="27">F51</f>
        <v>COST</v>
      </c>
      <c r="G108" s="9">
        <f t="shared" si="27"/>
        <v>2030</v>
      </c>
      <c r="H108" t="str">
        <f t="shared" ref="H108:H109" si="28">REPLACE(H51,1,3,"EXP")</f>
        <v>EXPH2LY</v>
      </c>
      <c r="K108" s="3">
        <f t="shared" si="24"/>
        <v>849.15</v>
      </c>
    </row>
    <row r="109" spans="2:11" x14ac:dyDescent="0.3">
      <c r="B109" t="s">
        <v>102</v>
      </c>
      <c r="D109" t="s">
        <v>192</v>
      </c>
      <c r="F109" s="9" t="str">
        <f t="shared" si="27"/>
        <v>COST</v>
      </c>
      <c r="G109" s="9">
        <f t="shared" si="27"/>
        <v>2030</v>
      </c>
      <c r="H109" t="str">
        <f t="shared" si="28"/>
        <v>EXPNUCRSVY</v>
      </c>
      <c r="K109" s="3">
        <f t="shared" si="24"/>
        <v>849.15</v>
      </c>
    </row>
    <row r="111" spans="2:11" x14ac:dyDescent="0.3">
      <c r="B111" t="s">
        <v>101</v>
      </c>
      <c r="D111" t="s">
        <v>192</v>
      </c>
      <c r="F111" s="9" t="str">
        <f t="shared" ref="F111:G114" si="29">F54</f>
        <v>COST</v>
      </c>
      <c r="G111" s="9">
        <f t="shared" si="29"/>
        <v>2030</v>
      </c>
      <c r="H111" t="str">
        <f>REPLACE(H54,1,3,"EXP")</f>
        <v>EXPBFUDSTY</v>
      </c>
      <c r="K111" s="3">
        <f>ROUNDDOWN(K54*K$61,3)</f>
        <v>32.027999999999999</v>
      </c>
    </row>
    <row r="112" spans="2:11" x14ac:dyDescent="0.3">
      <c r="B112" t="s">
        <v>101</v>
      </c>
      <c r="D112" t="s">
        <v>192</v>
      </c>
      <c r="F112" s="9" t="str">
        <f t="shared" si="29"/>
        <v>COST</v>
      </c>
      <c r="G112" s="9">
        <f t="shared" si="29"/>
        <v>2030</v>
      </c>
      <c r="H112" t="str">
        <f>REPLACE(H55,1,3,"EXP")</f>
        <v>EXPBFUDST1</v>
      </c>
      <c r="K112" s="3">
        <f>ROUNDDOWN(K55*K$61,3)</f>
        <v>32.027999999999999</v>
      </c>
    </row>
    <row r="113" spans="2:11" x14ac:dyDescent="0.3">
      <c r="B113" t="s">
        <v>101</v>
      </c>
      <c r="D113" t="s">
        <v>192</v>
      </c>
      <c r="F113" s="9" t="str">
        <f t="shared" si="29"/>
        <v>COST</v>
      </c>
      <c r="G113" s="9">
        <f t="shared" si="29"/>
        <v>2030</v>
      </c>
      <c r="H113" t="str">
        <f>REPLACE(H56,1,3,"EXP")</f>
        <v>EXPBFUDST2</v>
      </c>
      <c r="K113" s="3">
        <f>ROUNDDOWN(K56*K$61,3)</f>
        <v>32.027999999999999</v>
      </c>
    </row>
    <row r="114" spans="2:11" x14ac:dyDescent="0.3">
      <c r="B114" t="s">
        <v>101</v>
      </c>
      <c r="D114" t="s">
        <v>192</v>
      </c>
      <c r="F114" s="9" t="str">
        <f t="shared" si="29"/>
        <v>COST</v>
      </c>
      <c r="G114" s="9">
        <f t="shared" si="29"/>
        <v>2030</v>
      </c>
      <c r="H114" t="str">
        <f>REPLACE(H57,1,3,"EXP")</f>
        <v>EXPBFUDST3</v>
      </c>
      <c r="K114" s="3">
        <f>ROUNDDOWN(K57*K$61,3)</f>
        <v>32.027999999999999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4"/>
  <sheetViews>
    <sheetView zoomScale="80" zoomScaleNormal="80" workbookViewId="0">
      <selection activeCell="A5" sqref="A5:XFD5"/>
    </sheetView>
  </sheetViews>
  <sheetFormatPr defaultColWidth="9.109375" defaultRowHeight="14.4" x14ac:dyDescent="0.3"/>
  <cols>
    <col min="2" max="2" width="14.6640625" bestFit="1" customWidth="1"/>
    <col min="4" max="4" width="9.441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23.10937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37.4414062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2040</v>
      </c>
      <c r="J2" s="12" t="str">
        <f>'INDATA prices'!B9</f>
        <v>Coal</v>
      </c>
      <c r="K2" s="3">
        <f>LOOKUP($G$2,'INDATA prices'!$C$6:$I$6,'INDATA prices'!$C9:$I9)</f>
        <v>1.5684208752980484</v>
      </c>
    </row>
    <row r="3" spans="1:23" x14ac:dyDescent="0.3">
      <c r="G3"/>
      <c r="J3" s="12" t="str">
        <f>'INDATA prices'!B8</f>
        <v>Gas</v>
      </c>
      <c r="K3" s="3">
        <f>LOOKUP($G$2,'INDATA prices'!$C$6:$I$6,'INDATA prices'!$C8:$I8)</f>
        <v>8.4507924843756275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10.880968551280644</v>
      </c>
    </row>
    <row r="5" spans="1:23" s="136" customFormat="1" x14ac:dyDescent="0.3">
      <c r="D5" s="157"/>
      <c r="J5" s="160"/>
      <c r="K5" s="161"/>
    </row>
    <row r="6" spans="1:23" x14ac:dyDescent="0.3">
      <c r="D6" s="162" t="s">
        <v>0</v>
      </c>
      <c r="P6" t="s">
        <v>171</v>
      </c>
    </row>
    <row r="7" spans="1:23" ht="43.8" thickBot="1" x14ac:dyDescent="0.35">
      <c r="D7" s="7" t="s">
        <v>1</v>
      </c>
      <c r="E7" s="7" t="s">
        <v>2</v>
      </c>
      <c r="F7" s="7" t="s">
        <v>3</v>
      </c>
      <c r="G7" s="8" t="s">
        <v>4</v>
      </c>
      <c r="H7" s="7" t="s">
        <v>41</v>
      </c>
      <c r="I7" s="7" t="s">
        <v>42</v>
      </c>
      <c r="J7" s="7" t="s">
        <v>6</v>
      </c>
      <c r="K7" s="7" t="s">
        <v>5</v>
      </c>
      <c r="M7" s="7" t="s">
        <v>43</v>
      </c>
      <c r="N7" s="49" t="s">
        <v>176</v>
      </c>
      <c r="O7" s="49" t="s">
        <v>175</v>
      </c>
      <c r="P7" s="7" t="s">
        <v>172</v>
      </c>
      <c r="Q7" s="7" t="s">
        <v>108</v>
      </c>
      <c r="R7" s="7" t="s">
        <v>147</v>
      </c>
      <c r="U7" s="7" t="s">
        <v>109</v>
      </c>
      <c r="V7" s="7" t="s">
        <v>5</v>
      </c>
      <c r="W7" s="7" t="s">
        <v>5</v>
      </c>
    </row>
    <row r="8" spans="1:23" x14ac:dyDescent="0.3">
      <c r="B8" t="s">
        <v>100</v>
      </c>
      <c r="D8" t="s">
        <v>192</v>
      </c>
      <c r="F8" s="9" t="str">
        <f>'Prices (2019)'!F8</f>
        <v>COST</v>
      </c>
      <c r="G8" s="10">
        <f t="shared" ref="G8:G52" si="0">$G$2</f>
        <v>2040</v>
      </c>
      <c r="H8" t="s">
        <v>9</v>
      </c>
      <c r="K8" s="3">
        <f>ROUND(LOOKUP(N8,$J$2:$J$4,$K$2:$K$4)*O8,3)</f>
        <v>1.5680000000000001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1.5684208752980484</v>
      </c>
      <c r="W8" s="3">
        <f>LOOKUP($G8,'INDATA prices'!$C$6:$I$6,'INDATA prices'!$C$9:$I$9)</f>
        <v>1.5684208752980484</v>
      </c>
    </row>
    <row r="9" spans="1:23" x14ac:dyDescent="0.3">
      <c r="B9" t="s">
        <v>100</v>
      </c>
      <c r="D9" t="s">
        <v>192</v>
      </c>
      <c r="F9" s="9" t="str">
        <f>'Prices (2019)'!F9</f>
        <v>COST</v>
      </c>
      <c r="G9" s="10">
        <f t="shared" si="0"/>
        <v>2040</v>
      </c>
      <c r="H9" t="s">
        <v>11</v>
      </c>
      <c r="K9" s="3">
        <f t="shared" ref="K9:K17" si="1">ROUND(LOOKUP(N9,$J$2:$J$4,$K$2:$K$4)*O9,3)</f>
        <v>1.5680000000000001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1.5684208752980484</v>
      </c>
      <c r="W9" s="3">
        <f>LOOKUP($G9,'INDATA prices'!$C$6:$I$6,'INDATA prices'!$C$9:$I$9)</f>
        <v>1.5684208752980484</v>
      </c>
    </row>
    <row r="10" spans="1:23" x14ac:dyDescent="0.3">
      <c r="B10" t="s">
        <v>100</v>
      </c>
      <c r="D10" t="s">
        <v>192</v>
      </c>
      <c r="F10" s="9" t="str">
        <f>'Prices (2019)'!F10</f>
        <v>COST</v>
      </c>
      <c r="G10" s="10">
        <f t="shared" si="0"/>
        <v>2040</v>
      </c>
      <c r="H10" t="s">
        <v>14</v>
      </c>
      <c r="K10" s="3">
        <f t="shared" si="1"/>
        <v>10.141</v>
      </c>
      <c r="L10" s="3"/>
      <c r="M10" t="s">
        <v>15</v>
      </c>
      <c r="N10" t="s">
        <v>47</v>
      </c>
      <c r="O10">
        <f>'Prices (2019)'!O10</f>
        <v>1.2</v>
      </c>
      <c r="V10" s="3">
        <f>LOOKUP($G10,'INDATA prices'!$C$6:$I$6,'INDATA prices'!$C$8:$I$8)</f>
        <v>8.4507924843756275</v>
      </c>
      <c r="W10" s="3">
        <f>LOOKUP($G10,'INDATA prices'!$C$6:$I$6,'INDATA prices'!$C$8:$I$8)</f>
        <v>8.4507924843756275</v>
      </c>
    </row>
    <row r="11" spans="1:23" x14ac:dyDescent="0.3">
      <c r="B11" t="s">
        <v>100</v>
      </c>
      <c r="D11" t="s">
        <v>192</v>
      </c>
      <c r="F11" s="9" t="str">
        <f>'Prices (2019)'!F11</f>
        <v>COST</v>
      </c>
      <c r="G11" s="10">
        <f t="shared" si="0"/>
        <v>2040</v>
      </c>
      <c r="H11" t="s">
        <v>18</v>
      </c>
      <c r="K11" s="3">
        <f t="shared" si="1"/>
        <v>10.881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10.880968551280644</v>
      </c>
      <c r="W11" s="3">
        <f>LOOKUP($G11,'INDATA prices'!$C$6:$I$6,'INDATA prices'!$C$7:$I$7)*LOOKUP(MID($H11,4,6),'INDATA Fuel relations'!$B$16:$B$34,'INDATA Fuel relations'!H$16:H$34)</f>
        <v>10.880968551280644</v>
      </c>
    </row>
    <row r="12" spans="1:23" x14ac:dyDescent="0.3">
      <c r="B12" t="s">
        <v>100</v>
      </c>
      <c r="D12" t="s">
        <v>192</v>
      </c>
      <c r="F12" s="9" t="str">
        <f>'Prices (2019)'!F12</f>
        <v>COST</v>
      </c>
      <c r="G12" s="10">
        <f t="shared" si="0"/>
        <v>2040</v>
      </c>
      <c r="H12" t="s">
        <v>20</v>
      </c>
      <c r="K12" s="3">
        <f t="shared" si="1"/>
        <v>15.717000000000001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1.4444623959932144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15.717149904309652</v>
      </c>
      <c r="W12" s="3">
        <f>LOOKUP($G12,'INDATA prices'!$C$6:$I$6,'INDATA prices'!$C$7:$I$7)*LOOKUP(MID($H12,4,6),'INDATA Fuel relations'!$B$16:$B$34,'INDATA Fuel relations'!H$16:H$34)</f>
        <v>15.717149904309652</v>
      </c>
    </row>
    <row r="13" spans="1:23" x14ac:dyDescent="0.3">
      <c r="B13" t="s">
        <v>100</v>
      </c>
      <c r="D13" t="s">
        <v>192</v>
      </c>
      <c r="F13" s="9" t="str">
        <f>'Prices (2019)'!F13</f>
        <v>COST</v>
      </c>
      <c r="G13" s="10">
        <f t="shared" si="0"/>
        <v>2040</v>
      </c>
      <c r="H13" t="s">
        <v>22</v>
      </c>
      <c r="K13" s="3">
        <f t="shared" si="1"/>
        <v>15.717000000000001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1.4444623959932144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15.717149904309652</v>
      </c>
      <c r="W13" s="3">
        <f>LOOKUP($G13,'INDATA prices'!$C$6:$I$6,'INDATA prices'!$C$7:$I$7)*LOOKUP(MID($H13,4,6),'INDATA Fuel relations'!$B$16:$B$34,'INDATA Fuel relations'!H$16:H$34)</f>
        <v>15.717149904309652</v>
      </c>
    </row>
    <row r="14" spans="1:23" x14ac:dyDescent="0.3">
      <c r="B14" t="s">
        <v>100</v>
      </c>
      <c r="D14" t="s">
        <v>192</v>
      </c>
      <c r="F14" s="9" t="str">
        <f>'Prices (2019)'!F14</f>
        <v>COST</v>
      </c>
      <c r="G14" s="10">
        <f t="shared" si="0"/>
        <v>2040</v>
      </c>
      <c r="H14" t="s">
        <v>24</v>
      </c>
      <c r="K14" s="3">
        <f t="shared" si="1"/>
        <v>8.8140000000000001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8.8135933163980145</v>
      </c>
      <c r="W14" s="3">
        <f>LOOKUP($G14,'INDATA prices'!$C$6:$I$6,'INDATA prices'!$C$7:$I$7)*LOOKUP(MID($H14,4,6),'INDATA Fuel relations'!$B$16:$B$34,'INDATA Fuel relations'!H$16:H$34)</f>
        <v>8.8135933163980145</v>
      </c>
    </row>
    <row r="15" spans="1:23" x14ac:dyDescent="0.3">
      <c r="B15" t="s">
        <v>100</v>
      </c>
      <c r="D15" t="s">
        <v>192</v>
      </c>
      <c r="F15" s="9" t="str">
        <f>'Prices (2019)'!F15</f>
        <v>COST</v>
      </c>
      <c r="G15" s="10">
        <f t="shared" si="0"/>
        <v>2040</v>
      </c>
      <c r="H15" t="s">
        <v>26</v>
      </c>
      <c r="K15" s="3">
        <f t="shared" si="1"/>
        <v>16.927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16.926634735601532</v>
      </c>
      <c r="W15" s="3">
        <f>LOOKUP($G15,'INDATA prices'!$C$6:$I$6,'INDATA prices'!$C$7:$I$7)*LOOKUP(MID($H15,4,6),'INDATA Fuel relations'!$B$16:$B$34,'INDATA Fuel relations'!H$16:H$34)</f>
        <v>16.926634735601532</v>
      </c>
    </row>
    <row r="16" spans="1:23" x14ac:dyDescent="0.3">
      <c r="B16" t="s">
        <v>100</v>
      </c>
      <c r="D16" t="s">
        <v>192</v>
      </c>
      <c r="F16" s="9" t="str">
        <f>'Prices (2019)'!F16</f>
        <v>COST</v>
      </c>
      <c r="G16" s="10">
        <f t="shared" si="0"/>
        <v>2040</v>
      </c>
      <c r="H16" t="s">
        <v>28</v>
      </c>
      <c r="K16" s="3">
        <f t="shared" si="1"/>
        <v>12.09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12.090453382572523</v>
      </c>
      <c r="W16" s="3">
        <f>LOOKUP($G16,'INDATA prices'!$C$6:$I$6,'INDATA prices'!$C$7:$I$7)*LOOKUP(MID($H16,4,6),'INDATA Fuel relations'!$B$16:$B$34,'INDATA Fuel relations'!H$16:H$34)</f>
        <v>12.090453382572523</v>
      </c>
    </row>
    <row r="17" spans="2:23" x14ac:dyDescent="0.3">
      <c r="B17" t="s">
        <v>100</v>
      </c>
      <c r="D17" t="s">
        <v>192</v>
      </c>
      <c r="F17" s="9" t="str">
        <f>'Prices (2019)'!F17</f>
        <v>COST</v>
      </c>
      <c r="G17" s="10">
        <f t="shared" si="0"/>
        <v>2040</v>
      </c>
      <c r="H17" t="s">
        <v>30</v>
      </c>
      <c r="K17" s="3">
        <f t="shared" si="1"/>
        <v>13.298999999999999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13.299059227795148</v>
      </c>
      <c r="W17" s="3">
        <f>LOOKUP($G17,'INDATA prices'!$C$6:$I$6,'INDATA prices'!$C$7:$I$7)*LOOKUP(MID($H17,4,6),'INDATA Fuel relations'!$B$16:$B$34,'INDATA Fuel relations'!H$16:H$34)</f>
        <v>13.299059227795148</v>
      </c>
    </row>
    <row r="18" spans="2:23" x14ac:dyDescent="0.3">
      <c r="B18" t="s">
        <v>101</v>
      </c>
      <c r="D18" t="s">
        <v>192</v>
      </c>
      <c r="F18" s="9" t="str">
        <f>'Prices (2019)'!F18</f>
        <v>COST</v>
      </c>
      <c r="G18" s="10">
        <f t="shared" si="0"/>
        <v>2040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tr">
        <f>'Prices (2019)'!F19</f>
        <v>COST</v>
      </c>
      <c r="G19" s="10">
        <f t="shared" si="0"/>
        <v>2040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tr">
        <f>'Prices (2019)'!F20</f>
        <v>COST</v>
      </c>
      <c r="G20" s="10">
        <f>$G$2</f>
        <v>2040</v>
      </c>
      <c r="H20" t="s">
        <v>233</v>
      </c>
      <c r="K20" s="3">
        <f t="shared" ref="K20" si="3">ROUND(LOOKUP(N20,$J$2:$J$4,$K$2:$K$4)*O20,3)</f>
        <v>52.472999999999999</v>
      </c>
      <c r="L20" s="3"/>
      <c r="M20" t="s">
        <v>236</v>
      </c>
      <c r="N20" t="s">
        <v>107</v>
      </c>
      <c r="O20" s="3">
        <f>VLOOKUP(P20,'INDATA Fuel relations'!$B$15:$H$34,LOOKUP($G$2,'INDATA Fuel relations'!$D$14:$H$14,'INDATA Fuel relations'!$D$13:$H$13))</f>
        <v>4.8224169965263757</v>
      </c>
      <c r="P20" t="str">
        <f t="shared" ref="P20" si="4">MID(H20,4,6)</f>
        <v>BFUBJF</v>
      </c>
      <c r="Q20" t="str">
        <f>IF(COUNTIF('INDATA Fuel relations'!$B$15:$B$34,P20)&gt;0,"ok","FALSE")</f>
        <v>ok</v>
      </c>
      <c r="V20" s="3" t="e">
        <f>LOOKUP($G20,'INDATA prices'!$C$6:$I$6,'INDATA prices'!$C$7:$I$7)*LOOKUP(MID($H20,4,6),'INDATA Fuel relations'!$B$16:$B$34,'INDATA Fuel relations'!F$16:F$34)</f>
        <v>#N/A</v>
      </c>
      <c r="W20" s="3" t="e">
        <f>LOOKUP($G20,'INDATA prices'!$C$6:$I$6,'INDATA prices'!$C$7:$I$7)*LOOKUP(MID($H20,4,6),'INDATA Fuel relations'!$B$16:$B$34,'INDATA Fuel relations'!H$16:H$34)</f>
        <v>#N/A</v>
      </c>
    </row>
    <row r="21" spans="2:23" x14ac:dyDescent="0.3">
      <c r="B21" t="s">
        <v>101</v>
      </c>
      <c r="D21" t="s">
        <v>192</v>
      </c>
      <c r="F21" s="9" t="str">
        <f>'Prices (2019)'!F21</f>
        <v>COST</v>
      </c>
      <c r="G21" s="10">
        <f>$G$2</f>
        <v>2040</v>
      </c>
      <c r="H21" t="s">
        <v>131</v>
      </c>
      <c r="K21" s="3">
        <f t="shared" ref="K21:K38" si="5">ROUND(LOOKUP(N21,$J$2:$J$4,$K$2:$K$4)*O21,3)</f>
        <v>33.006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3.0333710315857503</v>
      </c>
      <c r="P21" t="str">
        <f t="shared" ref="P21:P41" si="6">MID(H21,4,6)</f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34.577729789481239</v>
      </c>
      <c r="W21" s="3">
        <f>LOOKUP($G21,'INDATA prices'!$C$6:$I$6,'INDATA prices'!$C$7:$I$7)*LOOKUP(MID($H21,4,6),'INDATA Fuel relations'!$B$16:$B$34,'INDATA Fuel relations'!H$16:H$34)</f>
        <v>31.434299808619304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2040</v>
      </c>
      <c r="H22" t="s">
        <v>237</v>
      </c>
      <c r="K22" s="3">
        <f>$K$23*O22</f>
        <v>32.675939999999997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ref="G23:G57" si="7">$G$2</f>
        <v>2040</v>
      </c>
      <c r="H23" t="s">
        <v>240</v>
      </c>
      <c r="K23" s="3">
        <f t="shared" si="5"/>
        <v>33.006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3.0333710315857503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7"/>
        <v>2040</v>
      </c>
      <c r="H24" t="s">
        <v>241</v>
      </c>
      <c r="K24" s="3">
        <f>$K$23*O24</f>
        <v>33.006</v>
      </c>
      <c r="L24" s="3"/>
      <c r="M24" t="s">
        <v>259</v>
      </c>
      <c r="N24" t="s">
        <v>132</v>
      </c>
      <c r="O24" s="3">
        <f>'Prices (2019)'!O24</f>
        <v>1</v>
      </c>
      <c r="P24" t="str">
        <f t="shared" ref="P24:P26" si="8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7"/>
        <v>2040</v>
      </c>
      <c r="H25" t="s">
        <v>242</v>
      </c>
      <c r="K25" s="3">
        <f t="shared" ref="K25:K26" si="9">$K$23*O25</f>
        <v>33.006</v>
      </c>
      <c r="L25" s="3"/>
      <c r="M25" t="s">
        <v>260</v>
      </c>
      <c r="N25" t="s">
        <v>132</v>
      </c>
      <c r="O25" s="3">
        <f>'Prices (2019)'!O25</f>
        <v>1</v>
      </c>
      <c r="P25" t="str">
        <f t="shared" si="8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7"/>
        <v>2040</v>
      </c>
      <c r="H26" t="s">
        <v>243</v>
      </c>
      <c r="K26" s="3">
        <f t="shared" si="9"/>
        <v>33.336060000000003</v>
      </c>
      <c r="L26" s="3"/>
      <c r="M26" t="s">
        <v>261</v>
      </c>
      <c r="N26" t="s">
        <v>132</v>
      </c>
      <c r="O26" s="3">
        <f>'Prices (2019)'!O26</f>
        <v>1.01</v>
      </c>
      <c r="P26" t="str">
        <f t="shared" si="8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tr">
        <f>'Prices (2019)'!F27</f>
        <v>COST</v>
      </c>
      <c r="G27" s="10">
        <f t="shared" si="7"/>
        <v>2040</v>
      </c>
      <c r="H27" t="s">
        <v>133</v>
      </c>
      <c r="K27" s="3">
        <f t="shared" si="5"/>
        <v>33.006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3.0333710315857503</v>
      </c>
      <c r="P27" t="str">
        <f t="shared" si="6"/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34.577729789481239</v>
      </c>
      <c r="W27" s="3">
        <f>LOOKUP($G27,'INDATA prices'!$C$6:$I$6,'INDATA prices'!$C$7:$I$7)*LOOKUP(MID($H27,4,6),'INDATA Fuel relations'!$B$16:$B$34,'INDATA Fuel relations'!H$16:H$34)</f>
        <v>31.434299808619304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7"/>
        <v>2040</v>
      </c>
      <c r="H28" t="s">
        <v>244</v>
      </c>
      <c r="K28" s="3">
        <f>$K$27*O28</f>
        <v>33.006</v>
      </c>
      <c r="L28" s="3"/>
      <c r="M28" t="s">
        <v>263</v>
      </c>
      <c r="N28" t="s">
        <v>133</v>
      </c>
      <c r="O28" s="3">
        <f>'Prices (2019)'!O28</f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7"/>
        <v>2040</v>
      </c>
      <c r="H29" t="s">
        <v>245</v>
      </c>
      <c r="K29" s="3">
        <f t="shared" ref="K29:K30" si="10">$K$27*O29</f>
        <v>33.006</v>
      </c>
      <c r="L29" s="3"/>
      <c r="M29" t="s">
        <v>264</v>
      </c>
      <c r="N29" t="s">
        <v>133</v>
      </c>
      <c r="O29" s="3">
        <f>'Prices (2019)'!O29</f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7"/>
        <v>2040</v>
      </c>
      <c r="H30" t="s">
        <v>246</v>
      </c>
      <c r="K30" s="3">
        <f t="shared" si="10"/>
        <v>33.336060000000003</v>
      </c>
      <c r="L30" s="3"/>
      <c r="M30" t="s">
        <v>265</v>
      </c>
      <c r="N30" t="s">
        <v>133</v>
      </c>
      <c r="O30" s="3">
        <f>'Prices (2019)'!O30</f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tr">
        <f>'Prices (2019)'!F31</f>
        <v>COST</v>
      </c>
      <c r="G31" s="10">
        <f t="shared" si="7"/>
        <v>2040</v>
      </c>
      <c r="H31" t="s">
        <v>134</v>
      </c>
      <c r="K31" s="3">
        <f t="shared" si="5"/>
        <v>36.935000000000002</v>
      </c>
      <c r="L31" s="3"/>
      <c r="M31" t="s">
        <v>141</v>
      </c>
      <c r="N31" t="s">
        <v>107</v>
      </c>
      <c r="O31" s="3">
        <f>VLOOKUP(P31,'INDATA Fuel relations'!$B$15:$H$34,LOOKUP($G$2,'INDATA Fuel relations'!$D$14:$H$14,'INDATA Fuel relations'!$D$13:$H$13))</f>
        <v>3.394486630584054</v>
      </c>
      <c r="P31" t="str">
        <f t="shared" si="6"/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42.436304741636064</v>
      </c>
      <c r="W31" s="3">
        <f>LOOKUP($G31,'INDATA prices'!$C$6:$I$6,'INDATA prices'!$C$7:$I$7)*LOOKUP(MID($H31,4,6),'INDATA Fuel relations'!$B$16:$B$34,'INDATA Fuel relations'!H$16:H$34)</f>
        <v>31.434299808619304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7"/>
        <v>2040</v>
      </c>
      <c r="H32" t="s">
        <v>281</v>
      </c>
      <c r="K32" s="3">
        <f t="shared" si="5"/>
        <v>33.006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3.0333710315857503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7"/>
        <v>2040</v>
      </c>
      <c r="H33" t="s">
        <v>282</v>
      </c>
      <c r="K33" s="3">
        <f>$K$32*O33</f>
        <v>33.006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7"/>
        <v>2040</v>
      </c>
      <c r="H34" t="s">
        <v>283</v>
      </c>
      <c r="K34" s="3">
        <f t="shared" ref="K34:K36" si="11">$K$32*O34</f>
        <v>33.006</v>
      </c>
      <c r="L34" s="3"/>
      <c r="M34" t="s">
        <v>288</v>
      </c>
      <c r="N34" t="s">
        <v>285</v>
      </c>
      <c r="O34" s="3">
        <v>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7"/>
        <v>2040</v>
      </c>
      <c r="H35" t="s">
        <v>292</v>
      </c>
      <c r="K35" s="3">
        <f t="shared" si="11"/>
        <v>33.336060000000003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7"/>
        <v>2040</v>
      </c>
      <c r="H36" t="s">
        <v>284</v>
      </c>
      <c r="K36" s="3">
        <f t="shared" si="11"/>
        <v>33.336060000000003</v>
      </c>
      <c r="L36" s="3"/>
      <c r="M36" t="s">
        <v>291</v>
      </c>
      <c r="N36" t="s">
        <v>285</v>
      </c>
      <c r="O36" s="3">
        <v>1.01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tr">
        <f>'Prices (2019)'!F37</f>
        <v>COST</v>
      </c>
      <c r="G37" s="10">
        <f t="shared" si="7"/>
        <v>2040</v>
      </c>
      <c r="H37" t="s">
        <v>135</v>
      </c>
      <c r="K37" s="3">
        <f t="shared" si="5"/>
        <v>33.006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3.0333710315857503</v>
      </c>
      <c r="P37" t="str">
        <f t="shared" si="6"/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34.577729789481239</v>
      </c>
      <c r="W37" s="3">
        <f>LOOKUP($G37,'INDATA prices'!$C$6:$I$6,'INDATA prices'!$C$7:$I$7)*LOOKUP(MID($H37,4,6),'INDATA Fuel relations'!$B$16:$B$34,'INDATA Fuel relations'!H$16:H$34)</f>
        <v>31.434299808619304</v>
      </c>
    </row>
    <row r="38" spans="2:23" x14ac:dyDescent="0.3">
      <c r="B38" t="s">
        <v>101</v>
      </c>
      <c r="D38" t="s">
        <v>192</v>
      </c>
      <c r="F38" s="9" t="str">
        <f>'Prices (2019)'!F38</f>
        <v>COST</v>
      </c>
      <c r="G38" s="10">
        <f t="shared" si="7"/>
        <v>2040</v>
      </c>
      <c r="H38" t="s">
        <v>136</v>
      </c>
      <c r="K38" s="3">
        <f t="shared" si="5"/>
        <v>33.006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3.0333710315857503</v>
      </c>
      <c r="P38" t="str">
        <f t="shared" si="6"/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34.577729789481239</v>
      </c>
      <c r="W38" s="32">
        <f>LOOKUP($G38,'INDATA prices'!$C$6:$I$6,'INDATA prices'!$C$7:$I$7)*LOOKUP(MID($H38,4,6),'INDATA Fuel relations'!$B$16:$B$34,'INDATA Fuel relations'!H$16:H$34)</f>
        <v>31.434299808619304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7"/>
        <v>2040</v>
      </c>
      <c r="H39" t="s">
        <v>250</v>
      </c>
      <c r="K39" s="3">
        <f>$K$38*O39</f>
        <v>33.006</v>
      </c>
      <c r="L39" s="3"/>
      <c r="M39" t="s">
        <v>267</v>
      </c>
      <c r="N39" t="s">
        <v>125</v>
      </c>
      <c r="O39" s="3">
        <f>'Prices (2019)'!O39</f>
        <v>1</v>
      </c>
      <c r="P39" t="str">
        <f t="shared" si="6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7"/>
        <v>2040</v>
      </c>
      <c r="H40" t="s">
        <v>251</v>
      </c>
      <c r="K40" s="3">
        <f t="shared" ref="K40:K41" si="12">$K$38*O40</f>
        <v>33.006</v>
      </c>
      <c r="L40" s="3"/>
      <c r="M40" t="s">
        <v>269</v>
      </c>
      <c r="N40" t="s">
        <v>125</v>
      </c>
      <c r="O40" s="3">
        <f>'Prices (2019)'!O40</f>
        <v>1</v>
      </c>
      <c r="P40" t="str">
        <f t="shared" si="6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7"/>
        <v>2040</v>
      </c>
      <c r="H41" t="s">
        <v>252</v>
      </c>
      <c r="K41" s="3">
        <f t="shared" si="12"/>
        <v>33.336060000000003</v>
      </c>
      <c r="L41" s="3"/>
      <c r="M41" t="s">
        <v>268</v>
      </c>
      <c r="N41" t="s">
        <v>125</v>
      </c>
      <c r="O41" s="3">
        <f>'Prices (2019)'!O41</f>
        <v>1.01</v>
      </c>
      <c r="P41" t="str">
        <f t="shared" si="6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tr">
        <f>'Prices (2019)'!F42</f>
        <v>COST</v>
      </c>
      <c r="G42" s="10">
        <f t="shared" si="7"/>
        <v>2040</v>
      </c>
      <c r="H42" t="s">
        <v>140</v>
      </c>
      <c r="K42" s="48">
        <f>LOOKUP($G42,'INDATA prices'!$C$6:$I$6,'INDATA prices'!$C$13:$I$13)</f>
        <v>7.839999999999999</v>
      </c>
      <c r="L42" s="3"/>
      <c r="M42" t="s">
        <v>142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tr">
        <f>'Prices (2019)'!F43</f>
        <v>COST</v>
      </c>
      <c r="G43" s="10">
        <f t="shared" si="7"/>
        <v>2040</v>
      </c>
      <c r="H43" t="s">
        <v>143</v>
      </c>
      <c r="K43" s="50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tr">
        <f>'Prices (2019)'!F44</f>
        <v>COST</v>
      </c>
      <c r="G44" s="10">
        <f t="shared" si="7"/>
        <v>2040</v>
      </c>
      <c r="H44" t="s">
        <v>139</v>
      </c>
      <c r="K44" s="48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tr">
        <f>'Prices (2019)'!F45</f>
        <v>COST</v>
      </c>
      <c r="G45" s="10">
        <f t="shared" si="7"/>
        <v>2040</v>
      </c>
      <c r="H45" t="s">
        <v>138</v>
      </c>
      <c r="K45" s="48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7"/>
        <v>2040</v>
      </c>
      <c r="H46" t="s">
        <v>255</v>
      </c>
      <c r="K46" s="3">
        <f t="shared" ref="K46" si="13">ROUND(LOOKUP(N46,$J$2:$J$4,$K$2:$K$4)*O46,3)</f>
        <v>8.4510000000000005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tr">
        <f>'Prices (2019)'!F47</f>
        <v>COST</v>
      </c>
      <c r="G47" s="10">
        <f t="shared" si="7"/>
        <v>2040</v>
      </c>
      <c r="H47" t="s">
        <v>196</v>
      </c>
      <c r="K47">
        <f t="shared" ref="K47" si="14">ROUND(LOOKUP(N47,$J$2:$J$4,$K$2:$K$4)*O47,3)</f>
        <v>8.4510000000000005</v>
      </c>
      <c r="L47" s="3"/>
      <c r="M47" t="s">
        <v>8</v>
      </c>
      <c r="N47" t="s">
        <v>47</v>
      </c>
      <c r="O47">
        <v>1</v>
      </c>
      <c r="V47" s="3">
        <f>LOOKUP($G47,'INDATA prices'!$C$6:$I$6,'INDATA prices'!$C$8:$I$8)*'INDATA Fuel relations'!F$63</f>
        <v>18.591743465626383</v>
      </c>
      <c r="W47" s="3">
        <f>LOOKUP($G47,'INDATA prices'!$C$6:$I$6,'INDATA prices'!$C$8:$I$8)*'INDATA Fuel relations'!H$63</f>
        <v>16.901584968751255</v>
      </c>
    </row>
    <row r="48" spans="2:23" x14ac:dyDescent="0.3">
      <c r="B48" t="s">
        <v>102</v>
      </c>
      <c r="D48" t="s">
        <v>192</v>
      </c>
      <c r="F48" s="9" t="str">
        <f>'Prices (2019)'!F48</f>
        <v>COST</v>
      </c>
      <c r="G48" s="10">
        <f t="shared" si="7"/>
        <v>2040</v>
      </c>
      <c r="H48" t="s">
        <v>130</v>
      </c>
      <c r="K48" s="51">
        <f>K10*4</f>
        <v>40.564</v>
      </c>
      <c r="M48" t="s">
        <v>272</v>
      </c>
      <c r="N48" t="s">
        <v>271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7"/>
        <v>2040</v>
      </c>
      <c r="H49" t="s">
        <v>247</v>
      </c>
      <c r="K49" s="51">
        <f>$K$48*O49</f>
        <v>44.620400000000004</v>
      </c>
      <c r="M49" t="s">
        <v>273</v>
      </c>
      <c r="N49" t="s">
        <v>130</v>
      </c>
      <c r="O49">
        <v>1.1000000000000001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7"/>
        <v>2040</v>
      </c>
      <c r="H50" t="s">
        <v>275</v>
      </c>
      <c r="K50" s="51">
        <f>$K$48*O50</f>
        <v>44.620400000000004</v>
      </c>
      <c r="M50" t="s">
        <v>276</v>
      </c>
      <c r="N50" t="s">
        <v>130</v>
      </c>
      <c r="O50">
        <v>1.1000000000000001</v>
      </c>
    </row>
    <row r="51" spans="2:23" x14ac:dyDescent="0.3">
      <c r="B51" t="s">
        <v>102</v>
      </c>
      <c r="D51" t="s">
        <v>192</v>
      </c>
      <c r="F51" s="9" t="str">
        <f>'Prices (2019)'!F51</f>
        <v>COST</v>
      </c>
      <c r="G51" s="10">
        <f t="shared" si="0"/>
        <v>2040</v>
      </c>
      <c r="H51" t="s">
        <v>179</v>
      </c>
      <c r="K51" s="48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tr">
        <f>'Prices (2019)'!F52</f>
        <v>COST</v>
      </c>
      <c r="G52" s="10">
        <f t="shared" si="0"/>
        <v>2040</v>
      </c>
      <c r="H52" t="s">
        <v>16</v>
      </c>
      <c r="K52" s="48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tr">
        <f>'Prices (2019)'!F54</f>
        <v>COST</v>
      </c>
      <c r="G54" s="10">
        <f t="shared" si="7"/>
        <v>2040</v>
      </c>
      <c r="H54" t="s">
        <v>132</v>
      </c>
      <c r="K54" s="32">
        <f>ROUND(LOOKUP(N54,$J$2:$J$4,$K$2:$K$4)*O54,3)</f>
        <v>33.006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3.0333710315857503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34.577729789481239</v>
      </c>
      <c r="W54" s="3">
        <f>LOOKUP($G54,'INDATA prices'!$C$6:$I$6,'INDATA prices'!$C$7:$I$7)*LOOKUP(MID($H54,4,6),'INDATA Fuel relations'!$B$16:$B$34,'INDATA Fuel relations'!H$16:H$34)</f>
        <v>31.434299808619304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7"/>
        <v>2040</v>
      </c>
      <c r="H55" t="s">
        <v>237</v>
      </c>
      <c r="K55" s="32">
        <f>$K$54*O55</f>
        <v>33.006</v>
      </c>
      <c r="L55" s="3"/>
      <c r="M55" t="s">
        <v>248</v>
      </c>
      <c r="N55" t="s">
        <v>132</v>
      </c>
      <c r="O55" s="3">
        <f>'Prices (2019)'!O55</f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7"/>
        <v>2040</v>
      </c>
      <c r="H56" t="s">
        <v>238</v>
      </c>
      <c r="K56" s="32">
        <f>$K$54*O56</f>
        <v>33.006</v>
      </c>
      <c r="L56" s="3"/>
      <c r="M56" t="s">
        <v>248</v>
      </c>
      <c r="N56" t="s">
        <v>132</v>
      </c>
      <c r="O56" s="3">
        <f>'Prices (2019)'!O56</f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7"/>
        <v>2040</v>
      </c>
      <c r="H57" t="s">
        <v>239</v>
      </c>
      <c r="K57" s="32">
        <f>$K$54*O57</f>
        <v>33.006</v>
      </c>
      <c r="L57" s="3"/>
      <c r="M57" t="s">
        <v>248</v>
      </c>
      <c r="N57" t="s">
        <v>132</v>
      </c>
      <c r="O57" s="3">
        <f>'Prices (2019)'!O57</f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f>'Prices (2019)'!K61</f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88" si="15">F8</f>
        <v>COST</v>
      </c>
      <c r="G65" s="9">
        <f t="shared" si="15"/>
        <v>2040</v>
      </c>
      <c r="H65" t="str">
        <f t="shared" ref="H65:H91" si="16">REPLACE(H8,1,3,"EXP")</f>
        <v>EXPCOAHARY</v>
      </c>
      <c r="K65" s="3">
        <f t="shared" ref="K65:K93" si="17">ROUNDDOWN(K8*K$61,3)</f>
        <v>1.3320000000000001</v>
      </c>
    </row>
    <row r="66" spans="2:11" x14ac:dyDescent="0.3">
      <c r="B66" t="s">
        <v>100</v>
      </c>
      <c r="D66" t="s">
        <v>192</v>
      </c>
      <c r="F66" s="9" t="str">
        <f t="shared" si="15"/>
        <v>COST</v>
      </c>
      <c r="G66" s="9">
        <f t="shared" si="15"/>
        <v>2040</v>
      </c>
      <c r="H66" t="str">
        <f t="shared" si="16"/>
        <v>EXPCOAPEAY</v>
      </c>
      <c r="K66" s="3">
        <f t="shared" si="17"/>
        <v>1.3320000000000001</v>
      </c>
    </row>
    <row r="67" spans="2:11" x14ac:dyDescent="0.3">
      <c r="B67" t="s">
        <v>100</v>
      </c>
      <c r="D67" t="s">
        <v>192</v>
      </c>
      <c r="F67" s="9" t="str">
        <f t="shared" si="15"/>
        <v>COST</v>
      </c>
      <c r="G67" s="9">
        <f t="shared" si="15"/>
        <v>2040</v>
      </c>
      <c r="H67" t="str">
        <f t="shared" si="16"/>
        <v>EXPGASNATY</v>
      </c>
      <c r="K67" s="3">
        <f t="shared" si="17"/>
        <v>8.6189999999999998</v>
      </c>
    </row>
    <row r="68" spans="2:11" x14ac:dyDescent="0.3">
      <c r="B68" t="s">
        <v>100</v>
      </c>
      <c r="D68" t="s">
        <v>192</v>
      </c>
      <c r="F68" s="9" t="str">
        <f t="shared" si="15"/>
        <v>COST</v>
      </c>
      <c r="G68" s="9">
        <f t="shared" si="15"/>
        <v>2040</v>
      </c>
      <c r="H68" t="str">
        <f t="shared" si="16"/>
        <v>EXPOILCRDY</v>
      </c>
      <c r="K68" s="3">
        <f t="shared" si="17"/>
        <v>9.2479999999999993</v>
      </c>
    </row>
    <row r="69" spans="2:11" x14ac:dyDescent="0.3">
      <c r="B69" t="s">
        <v>100</v>
      </c>
      <c r="D69" t="s">
        <v>192</v>
      </c>
      <c r="F69" s="9" t="str">
        <f t="shared" si="15"/>
        <v>COST</v>
      </c>
      <c r="G69" s="9">
        <f t="shared" si="15"/>
        <v>2040</v>
      </c>
      <c r="H69" t="str">
        <f t="shared" si="16"/>
        <v>EXPOILDSTY</v>
      </c>
      <c r="K69" s="3">
        <f t="shared" si="17"/>
        <v>13.359</v>
      </c>
    </row>
    <row r="70" spans="2:11" x14ac:dyDescent="0.3">
      <c r="B70" t="s">
        <v>100</v>
      </c>
      <c r="D70" t="s">
        <v>192</v>
      </c>
      <c r="F70" s="9" t="str">
        <f t="shared" si="15"/>
        <v>COST</v>
      </c>
      <c r="G70" s="9">
        <f t="shared" si="15"/>
        <v>2040</v>
      </c>
      <c r="H70" t="str">
        <f t="shared" si="16"/>
        <v>EXPOILGSLY</v>
      </c>
      <c r="K70" s="3">
        <f t="shared" si="17"/>
        <v>13.359</v>
      </c>
    </row>
    <row r="71" spans="2:11" x14ac:dyDescent="0.3">
      <c r="B71" t="s">
        <v>100</v>
      </c>
      <c r="D71" t="s">
        <v>192</v>
      </c>
      <c r="F71" s="9" t="str">
        <f t="shared" si="15"/>
        <v>COST</v>
      </c>
      <c r="G71" s="9">
        <f t="shared" si="15"/>
        <v>2040</v>
      </c>
      <c r="H71" t="str">
        <f t="shared" si="16"/>
        <v>EXPOILHFOY</v>
      </c>
      <c r="K71" s="3">
        <f t="shared" si="17"/>
        <v>7.4909999999999997</v>
      </c>
    </row>
    <row r="72" spans="2:11" x14ac:dyDescent="0.3">
      <c r="B72" t="s">
        <v>100</v>
      </c>
      <c r="D72" t="s">
        <v>192</v>
      </c>
      <c r="F72" s="9" t="str">
        <f t="shared" si="15"/>
        <v>COST</v>
      </c>
      <c r="G72" s="9">
        <f t="shared" si="15"/>
        <v>2040</v>
      </c>
      <c r="H72" t="str">
        <f t="shared" si="16"/>
        <v>EXPOILKERY</v>
      </c>
      <c r="K72" s="3">
        <f t="shared" si="17"/>
        <v>14.387</v>
      </c>
    </row>
    <row r="73" spans="2:11" x14ac:dyDescent="0.3">
      <c r="B73" t="s">
        <v>100</v>
      </c>
      <c r="D73" t="s">
        <v>192</v>
      </c>
      <c r="F73" s="9" t="str">
        <f t="shared" si="15"/>
        <v>COST</v>
      </c>
      <c r="G73" s="9">
        <f t="shared" si="15"/>
        <v>2040</v>
      </c>
      <c r="H73" t="str">
        <f t="shared" si="16"/>
        <v>EXPOILLFOY</v>
      </c>
      <c r="K73" s="3">
        <f t="shared" si="17"/>
        <v>10.276</v>
      </c>
    </row>
    <row r="74" spans="2:11" x14ac:dyDescent="0.3">
      <c r="B74" t="s">
        <v>100</v>
      </c>
      <c r="D74" t="s">
        <v>192</v>
      </c>
      <c r="F74" s="9" t="str">
        <f t="shared" si="15"/>
        <v>COST</v>
      </c>
      <c r="G74" s="9">
        <f t="shared" si="15"/>
        <v>2040</v>
      </c>
      <c r="H74" t="str">
        <f t="shared" si="16"/>
        <v>EXPOILLPGY</v>
      </c>
      <c r="K74" s="3">
        <f t="shared" si="17"/>
        <v>11.304</v>
      </c>
    </row>
    <row r="75" spans="2:11" x14ac:dyDescent="0.3">
      <c r="B75" t="s">
        <v>101</v>
      </c>
      <c r="D75" t="s">
        <v>192</v>
      </c>
      <c r="F75" s="9" t="str">
        <f t="shared" si="15"/>
        <v>COST</v>
      </c>
      <c r="G75" s="9">
        <f t="shared" si="15"/>
        <v>2040</v>
      </c>
      <c r="H75" t="str">
        <f t="shared" si="16"/>
        <v>EXPBIOMFWY</v>
      </c>
      <c r="K75" s="3">
        <f t="shared" si="17"/>
        <v>0</v>
      </c>
    </row>
    <row r="76" spans="2:11" x14ac:dyDescent="0.3">
      <c r="B76" t="s">
        <v>101</v>
      </c>
      <c r="D76" t="s">
        <v>192</v>
      </c>
      <c r="F76" s="9" t="str">
        <f t="shared" si="15"/>
        <v>COST</v>
      </c>
      <c r="G76" s="9">
        <f t="shared" si="15"/>
        <v>2040</v>
      </c>
      <c r="H76" t="str">
        <f t="shared" si="16"/>
        <v>EXPBIOMSWY</v>
      </c>
      <c r="K76" s="3">
        <f t="shared" si="17"/>
        <v>0</v>
      </c>
    </row>
    <row r="77" spans="2:11" x14ac:dyDescent="0.3">
      <c r="B77" t="s">
        <v>101</v>
      </c>
      <c r="D77" t="s">
        <v>192</v>
      </c>
      <c r="F77" s="9" t="str">
        <f t="shared" si="15"/>
        <v>COST</v>
      </c>
      <c r="G77" s="9">
        <f t="shared" si="15"/>
        <v>2040</v>
      </c>
      <c r="H77" t="str">
        <f t="shared" si="16"/>
        <v>EXPBFUBJFY</v>
      </c>
      <c r="K77" s="3">
        <f t="shared" si="17"/>
        <v>44.601999999999997</v>
      </c>
    </row>
    <row r="78" spans="2:11" x14ac:dyDescent="0.3">
      <c r="B78" t="s">
        <v>101</v>
      </c>
      <c r="D78" t="s">
        <v>192</v>
      </c>
      <c r="F78" s="9" t="str">
        <f t="shared" si="15"/>
        <v>COST</v>
      </c>
      <c r="G78" s="9">
        <f t="shared" si="15"/>
        <v>2040</v>
      </c>
      <c r="H78" t="str">
        <f t="shared" si="16"/>
        <v>EXPBFUDMEY</v>
      </c>
      <c r="K78" s="3">
        <f t="shared" si="17"/>
        <v>28.055</v>
      </c>
    </row>
    <row r="79" spans="2:11" x14ac:dyDescent="0.3">
      <c r="B79" t="s">
        <v>101</v>
      </c>
      <c r="D79" t="s">
        <v>192</v>
      </c>
      <c r="F79" s="9" t="str">
        <f t="shared" si="15"/>
        <v>COST</v>
      </c>
      <c r="G79" s="9">
        <f t="shared" si="15"/>
        <v>2040</v>
      </c>
      <c r="H79" t="str">
        <f t="shared" si="16"/>
        <v>EXPBFUDST1</v>
      </c>
      <c r="K79" s="3">
        <f t="shared" si="17"/>
        <v>27.774000000000001</v>
      </c>
    </row>
    <row r="80" spans="2:11" x14ac:dyDescent="0.3">
      <c r="B80" t="s">
        <v>101</v>
      </c>
      <c r="D80" t="s">
        <v>192</v>
      </c>
      <c r="F80" s="9" t="str">
        <f t="shared" si="15"/>
        <v>COST</v>
      </c>
      <c r="G80" s="9">
        <f t="shared" si="15"/>
        <v>2040</v>
      </c>
      <c r="H80" t="str">
        <f t="shared" si="16"/>
        <v>EXPBFUDST4</v>
      </c>
      <c r="K80" s="3">
        <f t="shared" si="17"/>
        <v>28.055</v>
      </c>
    </row>
    <row r="81" spans="2:11" x14ac:dyDescent="0.3">
      <c r="B81" t="s">
        <v>101</v>
      </c>
      <c r="D81" t="s">
        <v>192</v>
      </c>
      <c r="F81" s="9" t="str">
        <f t="shared" si="15"/>
        <v>COST</v>
      </c>
      <c r="G81" s="9">
        <f t="shared" si="15"/>
        <v>2040</v>
      </c>
      <c r="H81" t="str">
        <f t="shared" si="16"/>
        <v>EXPBFUDST5</v>
      </c>
      <c r="K81" s="3">
        <f t="shared" si="17"/>
        <v>28.055</v>
      </c>
    </row>
    <row r="82" spans="2:11" x14ac:dyDescent="0.3">
      <c r="B82" t="s">
        <v>101</v>
      </c>
      <c r="D82" t="s">
        <v>192</v>
      </c>
      <c r="F82" s="9" t="str">
        <f t="shared" si="15"/>
        <v>COST</v>
      </c>
      <c r="G82" s="9">
        <f t="shared" si="15"/>
        <v>2040</v>
      </c>
      <c r="H82" t="str">
        <f t="shared" si="16"/>
        <v>EXPBFUDST6</v>
      </c>
      <c r="K82" s="3">
        <f t="shared" si="17"/>
        <v>28.055</v>
      </c>
    </row>
    <row r="83" spans="2:11" x14ac:dyDescent="0.3">
      <c r="B83" t="s">
        <v>101</v>
      </c>
      <c r="D83" t="s">
        <v>192</v>
      </c>
      <c r="F83" s="9" t="str">
        <f t="shared" si="15"/>
        <v>COST</v>
      </c>
      <c r="G83" s="9">
        <f t="shared" si="15"/>
        <v>2040</v>
      </c>
      <c r="H83" t="str">
        <f t="shared" si="16"/>
        <v>EXPBFUDST7</v>
      </c>
      <c r="K83" s="3">
        <f t="shared" si="17"/>
        <v>28.335000000000001</v>
      </c>
    </row>
    <row r="84" spans="2:11" x14ac:dyDescent="0.3">
      <c r="B84" t="s">
        <v>101</v>
      </c>
      <c r="D84" t="s">
        <v>192</v>
      </c>
      <c r="F84" s="9" t="str">
        <f t="shared" si="15"/>
        <v>COST</v>
      </c>
      <c r="G84" s="9">
        <f t="shared" si="15"/>
        <v>2040</v>
      </c>
      <c r="H84" t="str">
        <f t="shared" si="16"/>
        <v>EXPBFUETHY</v>
      </c>
      <c r="K84" s="3">
        <f t="shared" si="17"/>
        <v>28.055</v>
      </c>
    </row>
    <row r="85" spans="2:11" x14ac:dyDescent="0.3">
      <c r="B85" t="s">
        <v>101</v>
      </c>
      <c r="D85" t="s">
        <v>192</v>
      </c>
      <c r="F85" s="9" t="str">
        <f t="shared" si="15"/>
        <v>COST</v>
      </c>
      <c r="G85" s="9">
        <f t="shared" si="15"/>
        <v>2040</v>
      </c>
      <c r="H85" t="str">
        <f t="shared" si="16"/>
        <v>EXPBFUETH1</v>
      </c>
      <c r="K85" s="3">
        <f t="shared" si="17"/>
        <v>28.055</v>
      </c>
    </row>
    <row r="86" spans="2:11" x14ac:dyDescent="0.3">
      <c r="B86" t="s">
        <v>101</v>
      </c>
      <c r="D86" t="s">
        <v>192</v>
      </c>
      <c r="F86" s="9" t="str">
        <f t="shared" si="15"/>
        <v>COST</v>
      </c>
      <c r="G86" s="9">
        <f t="shared" si="15"/>
        <v>2040</v>
      </c>
      <c r="H86" t="str">
        <f t="shared" si="16"/>
        <v>EXPBFUETH2</v>
      </c>
      <c r="K86" s="3">
        <f t="shared" si="17"/>
        <v>28.055</v>
      </c>
    </row>
    <row r="87" spans="2:11" x14ac:dyDescent="0.3">
      <c r="B87" t="s">
        <v>101</v>
      </c>
      <c r="D87" t="s">
        <v>192</v>
      </c>
      <c r="F87" s="9" t="str">
        <f t="shared" si="15"/>
        <v>COST</v>
      </c>
      <c r="G87" s="9">
        <f t="shared" si="15"/>
        <v>2040</v>
      </c>
      <c r="H87" t="str">
        <f t="shared" si="16"/>
        <v>EXPBFUETH3</v>
      </c>
      <c r="K87" s="3">
        <f t="shared" si="17"/>
        <v>28.335000000000001</v>
      </c>
    </row>
    <row r="88" spans="2:11" x14ac:dyDescent="0.3">
      <c r="B88" t="s">
        <v>101</v>
      </c>
      <c r="D88" t="s">
        <v>192</v>
      </c>
      <c r="F88" s="9" t="str">
        <f t="shared" si="15"/>
        <v>COST</v>
      </c>
      <c r="G88" s="9">
        <f t="shared" si="15"/>
        <v>2040</v>
      </c>
      <c r="H88" t="str">
        <f t="shared" si="16"/>
        <v>EXPBFUFTDY</v>
      </c>
      <c r="K88" s="3">
        <f t="shared" si="17"/>
        <v>31.393999999999998</v>
      </c>
    </row>
    <row r="89" spans="2:11" x14ac:dyDescent="0.3">
      <c r="B89" t="s">
        <v>101</v>
      </c>
      <c r="D89" t="s">
        <v>192</v>
      </c>
      <c r="F89" s="9" t="str">
        <f t="shared" ref="F89:G89" si="18">F32</f>
        <v>COST</v>
      </c>
      <c r="G89" s="9">
        <f t="shared" si="18"/>
        <v>2040</v>
      </c>
      <c r="H89" t="str">
        <f t="shared" si="16"/>
        <v>EXPBFUGSL1</v>
      </c>
      <c r="K89" s="3">
        <f t="shared" si="17"/>
        <v>28.055</v>
      </c>
    </row>
    <row r="90" spans="2:11" x14ac:dyDescent="0.3">
      <c r="B90" t="s">
        <v>101</v>
      </c>
      <c r="D90" t="s">
        <v>192</v>
      </c>
      <c r="F90" s="9" t="str">
        <f t="shared" ref="F90:G90" si="19">F33</f>
        <v>COST</v>
      </c>
      <c r="G90" s="9">
        <f t="shared" si="19"/>
        <v>2040</v>
      </c>
      <c r="H90" t="str">
        <f t="shared" si="16"/>
        <v>EXPBFUGSL2</v>
      </c>
      <c r="K90" s="3">
        <f t="shared" si="17"/>
        <v>28.055</v>
      </c>
    </row>
    <row r="91" spans="2:11" x14ac:dyDescent="0.3">
      <c r="B91" t="s">
        <v>101</v>
      </c>
      <c r="D91" t="s">
        <v>192</v>
      </c>
      <c r="F91" s="9" t="str">
        <f t="shared" ref="F91:G91" si="20">F34</f>
        <v>COST</v>
      </c>
      <c r="G91" s="9">
        <f t="shared" si="20"/>
        <v>2040</v>
      </c>
      <c r="H91" t="str">
        <f t="shared" si="16"/>
        <v>EXPBFUGSL3</v>
      </c>
      <c r="K91" s="3">
        <f t="shared" si="17"/>
        <v>28.055</v>
      </c>
    </row>
    <row r="92" spans="2:11" x14ac:dyDescent="0.3">
      <c r="B92" t="s">
        <v>101</v>
      </c>
      <c r="D92" t="s">
        <v>192</v>
      </c>
      <c r="F92" s="9" t="str">
        <f t="shared" ref="F92:G93" si="21">F35</f>
        <v>COST</v>
      </c>
      <c r="G92" s="9">
        <f t="shared" si="21"/>
        <v>2040</v>
      </c>
      <c r="H92" t="str">
        <f t="shared" ref="H92:H93" si="22">REPLACE(H35,1,3,"EXP")</f>
        <v>EXPBFUGSL4</v>
      </c>
      <c r="K92" s="3">
        <f t="shared" si="17"/>
        <v>28.335000000000001</v>
      </c>
    </row>
    <row r="93" spans="2:11" x14ac:dyDescent="0.3">
      <c r="B93" t="s">
        <v>101</v>
      </c>
      <c r="D93" t="s">
        <v>192</v>
      </c>
      <c r="F93" s="9" t="str">
        <f t="shared" si="21"/>
        <v>COST</v>
      </c>
      <c r="G93" s="9">
        <f t="shared" si="21"/>
        <v>2040</v>
      </c>
      <c r="H93" t="str">
        <f t="shared" si="22"/>
        <v>EXPBFUGSLY</v>
      </c>
      <c r="K93" s="3">
        <f t="shared" si="17"/>
        <v>28.335000000000001</v>
      </c>
    </row>
    <row r="94" spans="2:11" x14ac:dyDescent="0.3">
      <c r="B94" t="s">
        <v>101</v>
      </c>
      <c r="D94" t="s">
        <v>192</v>
      </c>
      <c r="F94" s="9" t="str">
        <f t="shared" ref="F94:G105" si="23">F37</f>
        <v>COST</v>
      </c>
      <c r="G94" s="9">
        <f t="shared" si="23"/>
        <v>2040</v>
      </c>
      <c r="H94" t="str">
        <f t="shared" ref="H94:H105" si="24">REPLACE(H37,1,3,"EXP")</f>
        <v>EXPBFUMTHY</v>
      </c>
      <c r="K94" s="3">
        <f t="shared" ref="K94:K109" si="25">ROUNDDOWN(K37*K$61,3)</f>
        <v>28.055</v>
      </c>
    </row>
    <row r="95" spans="2:11" x14ac:dyDescent="0.3">
      <c r="B95" t="s">
        <v>101</v>
      </c>
      <c r="D95" t="s">
        <v>192</v>
      </c>
      <c r="F95" s="9" t="str">
        <f t="shared" si="23"/>
        <v>COST</v>
      </c>
      <c r="G95" s="9">
        <f t="shared" si="23"/>
        <v>2040</v>
      </c>
      <c r="H95" t="str">
        <f t="shared" si="24"/>
        <v>EXPBFUSNGY</v>
      </c>
      <c r="K95" s="3">
        <f t="shared" si="25"/>
        <v>28.055</v>
      </c>
    </row>
    <row r="96" spans="2:11" x14ac:dyDescent="0.3">
      <c r="B96" t="s">
        <v>101</v>
      </c>
      <c r="D96" t="s">
        <v>192</v>
      </c>
      <c r="F96" s="9" t="str">
        <f t="shared" si="23"/>
        <v>COST</v>
      </c>
      <c r="G96" s="9">
        <f t="shared" si="23"/>
        <v>2040</v>
      </c>
      <c r="H96" t="str">
        <f t="shared" si="24"/>
        <v>EXPBFUSNG1</v>
      </c>
      <c r="K96" s="3">
        <f t="shared" si="25"/>
        <v>28.055</v>
      </c>
    </row>
    <row r="97" spans="2:11" x14ac:dyDescent="0.3">
      <c r="B97" t="s">
        <v>101</v>
      </c>
      <c r="D97" t="s">
        <v>192</v>
      </c>
      <c r="F97" s="9" t="str">
        <f t="shared" si="23"/>
        <v>COST</v>
      </c>
      <c r="G97" s="9">
        <f t="shared" si="23"/>
        <v>2040</v>
      </c>
      <c r="H97" t="str">
        <f t="shared" si="24"/>
        <v>EXPBFUSNG2</v>
      </c>
      <c r="K97" s="3">
        <f t="shared" si="25"/>
        <v>28.055</v>
      </c>
    </row>
    <row r="98" spans="2:11" x14ac:dyDescent="0.3">
      <c r="B98" t="s">
        <v>101</v>
      </c>
      <c r="D98" t="s">
        <v>192</v>
      </c>
      <c r="F98" s="9" t="str">
        <f t="shared" si="23"/>
        <v>COST</v>
      </c>
      <c r="G98" s="9">
        <f t="shared" si="23"/>
        <v>2040</v>
      </c>
      <c r="H98" t="str">
        <f t="shared" si="24"/>
        <v>EXPBFUSNG3</v>
      </c>
      <c r="K98" s="3">
        <f t="shared" si="25"/>
        <v>28.335000000000001</v>
      </c>
    </row>
    <row r="99" spans="2:11" x14ac:dyDescent="0.3">
      <c r="B99" t="s">
        <v>101</v>
      </c>
      <c r="D99" t="s">
        <v>192</v>
      </c>
      <c r="F99" s="9" t="str">
        <f t="shared" si="23"/>
        <v>COST</v>
      </c>
      <c r="G99" s="9">
        <f t="shared" si="23"/>
        <v>2040</v>
      </c>
      <c r="H99" t="str">
        <f t="shared" si="24"/>
        <v>EXPBFUPLTY</v>
      </c>
      <c r="K99" s="3">
        <f t="shared" si="25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3"/>
        <v>COST</v>
      </c>
      <c r="G100" s="9">
        <f t="shared" si="23"/>
        <v>2040</v>
      </c>
      <c r="H100" t="str">
        <f t="shared" si="24"/>
        <v>EXPBIOCRPY</v>
      </c>
      <c r="K100" s="3">
        <f t="shared" si="25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3"/>
        <v>COST</v>
      </c>
      <c r="G101" s="9">
        <f t="shared" si="23"/>
        <v>2040</v>
      </c>
      <c r="H101" t="str">
        <f t="shared" si="24"/>
        <v>EXPBIOWOFY</v>
      </c>
      <c r="K101" s="3">
        <f t="shared" si="25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3"/>
        <v>COST</v>
      </c>
      <c r="G102" s="9">
        <f t="shared" si="23"/>
        <v>2040</v>
      </c>
      <c r="H102" t="str">
        <f t="shared" si="24"/>
        <v>EXPBIOWOOY</v>
      </c>
      <c r="K102" s="3">
        <f t="shared" si="25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3"/>
        <v>COST</v>
      </c>
      <c r="G103" s="9">
        <f t="shared" si="23"/>
        <v>2040</v>
      </c>
      <c r="H103" t="str">
        <f t="shared" si="24"/>
        <v>EXPBIOGAS1</v>
      </c>
      <c r="K103" s="3">
        <f t="shared" si="25"/>
        <v>7.1829999999999998</v>
      </c>
    </row>
    <row r="104" spans="2:11" x14ac:dyDescent="0.3">
      <c r="B104" t="s">
        <v>101</v>
      </c>
      <c r="D104" t="s">
        <v>192</v>
      </c>
      <c r="F104" s="9" t="str">
        <f t="shared" si="23"/>
        <v>COST</v>
      </c>
      <c r="G104" s="9">
        <f t="shared" si="23"/>
        <v>2040</v>
      </c>
      <c r="H104" t="str">
        <f t="shared" si="24"/>
        <v>EXPBIOGASY</v>
      </c>
      <c r="K104" s="3">
        <f t="shared" si="25"/>
        <v>7.1829999999999998</v>
      </c>
    </row>
    <row r="105" spans="2:11" x14ac:dyDescent="0.3">
      <c r="B105" t="s">
        <v>102</v>
      </c>
      <c r="D105" t="s">
        <v>192</v>
      </c>
      <c r="F105" s="9" t="str">
        <f t="shared" si="23"/>
        <v>COST</v>
      </c>
      <c r="G105" s="9">
        <f t="shared" si="23"/>
        <v>2040</v>
      </c>
      <c r="H105" t="str">
        <f t="shared" si="24"/>
        <v>EXPH2GY</v>
      </c>
      <c r="K105" s="3">
        <f t="shared" si="25"/>
        <v>34.478999999999999</v>
      </c>
    </row>
    <row r="106" spans="2:11" x14ac:dyDescent="0.3">
      <c r="B106" t="s">
        <v>102</v>
      </c>
      <c r="D106" t="s">
        <v>192</v>
      </c>
      <c r="F106" s="9" t="str">
        <f t="shared" ref="F106:G107" si="26">F49</f>
        <v>COST</v>
      </c>
      <c r="G106" s="9">
        <f t="shared" si="26"/>
        <v>2040</v>
      </c>
      <c r="H106" t="str">
        <f t="shared" ref="H106:H107" si="27">REPLACE(H49,1,3,"EXP")</f>
        <v>EXPH2G1</v>
      </c>
      <c r="K106" s="3">
        <f t="shared" si="25"/>
        <v>37.927</v>
      </c>
    </row>
    <row r="107" spans="2:11" x14ac:dyDescent="0.3">
      <c r="B107" t="s">
        <v>102</v>
      </c>
      <c r="D107" t="s">
        <v>192</v>
      </c>
      <c r="F107" s="9" t="str">
        <f t="shared" si="26"/>
        <v>COST</v>
      </c>
      <c r="G107" s="9">
        <f t="shared" si="26"/>
        <v>2040</v>
      </c>
      <c r="H107" t="str">
        <f t="shared" si="27"/>
        <v>EXPH2G2</v>
      </c>
      <c r="K107" s="3">
        <f t="shared" si="25"/>
        <v>37.927</v>
      </c>
    </row>
    <row r="108" spans="2:11" x14ac:dyDescent="0.3">
      <c r="B108" t="s">
        <v>102</v>
      </c>
      <c r="D108" t="s">
        <v>192</v>
      </c>
      <c r="F108" s="9" t="str">
        <f t="shared" ref="F108:G109" si="28">F51</f>
        <v>COST</v>
      </c>
      <c r="G108" s="9">
        <f t="shared" si="28"/>
        <v>2040</v>
      </c>
      <c r="H108" t="str">
        <f t="shared" ref="H108:H109" si="29">REPLACE(H51,1,3,"EXP")</f>
        <v>EXPH2LY</v>
      </c>
      <c r="K108" s="3">
        <f t="shared" si="25"/>
        <v>849.15</v>
      </c>
    </row>
    <row r="109" spans="2:11" x14ac:dyDescent="0.3">
      <c r="B109" t="s">
        <v>102</v>
      </c>
      <c r="D109" t="s">
        <v>192</v>
      </c>
      <c r="F109" s="9" t="str">
        <f t="shared" si="28"/>
        <v>COST</v>
      </c>
      <c r="G109" s="9">
        <f t="shared" si="28"/>
        <v>2040</v>
      </c>
      <c r="H109" t="str">
        <f t="shared" si="29"/>
        <v>EXPNUCRSVY</v>
      </c>
      <c r="K109" s="3">
        <f t="shared" si="25"/>
        <v>849.15</v>
      </c>
    </row>
    <row r="111" spans="2:11" x14ac:dyDescent="0.3">
      <c r="B111" t="s">
        <v>101</v>
      </c>
      <c r="D111" t="s">
        <v>192</v>
      </c>
      <c r="F111" s="9" t="str">
        <f t="shared" ref="F111:G114" si="30">F54</f>
        <v>COST</v>
      </c>
      <c r="G111" s="9">
        <f t="shared" si="30"/>
        <v>2040</v>
      </c>
      <c r="H111" t="str">
        <f>REPLACE(H54,1,3,"EXP")</f>
        <v>EXPBFUDSTY</v>
      </c>
      <c r="K111" s="3">
        <f>ROUNDDOWN(K54*K$61,3)</f>
        <v>28.055</v>
      </c>
    </row>
    <row r="112" spans="2:11" x14ac:dyDescent="0.3">
      <c r="B112" t="s">
        <v>101</v>
      </c>
      <c r="D112" t="s">
        <v>192</v>
      </c>
      <c r="F112" s="9" t="str">
        <f t="shared" si="30"/>
        <v>COST</v>
      </c>
      <c r="G112" s="9">
        <f t="shared" si="30"/>
        <v>2040</v>
      </c>
      <c r="H112" t="str">
        <f>REPLACE(H55,1,3,"EXP")</f>
        <v>EXPBFUDST1</v>
      </c>
      <c r="K112" s="3">
        <f>ROUNDDOWN(K55*K$61,3)</f>
        <v>28.055</v>
      </c>
    </row>
    <row r="113" spans="2:11" x14ac:dyDescent="0.3">
      <c r="B113" t="s">
        <v>101</v>
      </c>
      <c r="D113" t="s">
        <v>192</v>
      </c>
      <c r="F113" s="9" t="str">
        <f t="shared" si="30"/>
        <v>COST</v>
      </c>
      <c r="G113" s="9">
        <f t="shared" si="30"/>
        <v>2040</v>
      </c>
      <c r="H113" t="str">
        <f>REPLACE(H56,1,3,"EXP")</f>
        <v>EXPBFUDST2</v>
      </c>
      <c r="K113" s="3">
        <f>ROUNDDOWN(K56*K$61,3)</f>
        <v>28.055</v>
      </c>
    </row>
    <row r="114" spans="2:11" x14ac:dyDescent="0.3">
      <c r="B114" t="s">
        <v>101</v>
      </c>
      <c r="D114" t="s">
        <v>192</v>
      </c>
      <c r="F114" s="9" t="str">
        <f t="shared" si="30"/>
        <v>COST</v>
      </c>
      <c r="G114" s="9">
        <f t="shared" si="30"/>
        <v>2040</v>
      </c>
      <c r="H114" t="str">
        <f>REPLACE(H57,1,3,"EXP")</f>
        <v>EXPBFUDST3</v>
      </c>
      <c r="K114" s="3">
        <f>ROUNDDOWN(K57*K$61,3)</f>
        <v>28.055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4"/>
  <sheetViews>
    <sheetView zoomScale="80" zoomScaleNormal="80" workbookViewId="0">
      <selection activeCell="A5" sqref="A5:XFD5"/>
    </sheetView>
  </sheetViews>
  <sheetFormatPr defaultColWidth="9.109375" defaultRowHeight="14.4" x14ac:dyDescent="0.3"/>
  <cols>
    <col min="2" max="2" width="14.6640625" bestFit="1" customWidth="1"/>
    <col min="4" max="4" width="9.441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23.10937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37.4414062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2050</v>
      </c>
      <c r="J2" s="12" t="str">
        <f>'INDATA prices'!B9</f>
        <v>Coal</v>
      </c>
      <c r="K2" s="3">
        <f>LOOKUP($G$2,'INDATA prices'!$C$6:$I$6,'INDATA prices'!$C9:$I9)</f>
        <v>1.5684208752980484</v>
      </c>
    </row>
    <row r="3" spans="1:23" x14ac:dyDescent="0.3">
      <c r="G3"/>
      <c r="J3" s="12" t="str">
        <f>'INDATA prices'!B8</f>
        <v>Gas</v>
      </c>
      <c r="K3" s="3">
        <f>LOOKUP($G$2,'INDATA prices'!$C$6:$I$6,'INDATA prices'!$C8:$I8)</f>
        <v>8.7068771051142804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10.043970970412904</v>
      </c>
    </row>
    <row r="5" spans="1:23" s="136" customFormat="1" x14ac:dyDescent="0.3">
      <c r="D5" s="157"/>
      <c r="J5" s="160"/>
      <c r="K5" s="161"/>
    </row>
    <row r="6" spans="1:23" x14ac:dyDescent="0.3">
      <c r="D6" s="162" t="s">
        <v>0</v>
      </c>
      <c r="P6" t="s">
        <v>171</v>
      </c>
    </row>
    <row r="7" spans="1:23" ht="43.8" thickBot="1" x14ac:dyDescent="0.35">
      <c r="D7" s="7" t="s">
        <v>1</v>
      </c>
      <c r="E7" s="7" t="s">
        <v>2</v>
      </c>
      <c r="F7" s="7" t="s">
        <v>3</v>
      </c>
      <c r="G7" s="8" t="s">
        <v>4</v>
      </c>
      <c r="H7" s="7" t="s">
        <v>41</v>
      </c>
      <c r="I7" s="7" t="s">
        <v>42</v>
      </c>
      <c r="J7" s="7" t="s">
        <v>6</v>
      </c>
      <c r="K7" s="7" t="s">
        <v>5</v>
      </c>
      <c r="M7" s="7" t="s">
        <v>43</v>
      </c>
      <c r="N7" s="49" t="s">
        <v>176</v>
      </c>
      <c r="O7" s="49" t="s">
        <v>175</v>
      </c>
      <c r="P7" s="7" t="s">
        <v>172</v>
      </c>
      <c r="Q7" s="7" t="s">
        <v>108</v>
      </c>
      <c r="R7" s="7" t="s">
        <v>147</v>
      </c>
      <c r="U7" s="7" t="s">
        <v>109</v>
      </c>
      <c r="V7" s="7" t="s">
        <v>5</v>
      </c>
      <c r="W7" s="7" t="s">
        <v>5</v>
      </c>
    </row>
    <row r="8" spans="1:23" x14ac:dyDescent="0.3">
      <c r="B8" t="s">
        <v>100</v>
      </c>
      <c r="D8" t="s">
        <v>192</v>
      </c>
      <c r="F8" s="9" t="str">
        <f>'Prices (2019)'!F8</f>
        <v>COST</v>
      </c>
      <c r="G8" s="10">
        <f t="shared" ref="G8:G52" si="0">$G$2</f>
        <v>2050</v>
      </c>
      <c r="H8" t="s">
        <v>9</v>
      </c>
      <c r="K8" s="3">
        <f>ROUND(LOOKUP(N8,$J$2:$J$4,$K$2:$K$4)*O8,3)</f>
        <v>1.5680000000000001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1.5684208752980484</v>
      </c>
      <c r="W8" s="3">
        <f>LOOKUP($G8,'INDATA prices'!$C$6:$I$6,'INDATA prices'!$C$9:$I$9)</f>
        <v>1.5684208752980484</v>
      </c>
    </row>
    <row r="9" spans="1:23" x14ac:dyDescent="0.3">
      <c r="B9" t="s">
        <v>100</v>
      </c>
      <c r="D9" t="s">
        <v>192</v>
      </c>
      <c r="F9" s="9" t="str">
        <f>'Prices (2019)'!F9</f>
        <v>COST</v>
      </c>
      <c r="G9" s="10">
        <f t="shared" si="0"/>
        <v>2050</v>
      </c>
      <c r="H9" t="s">
        <v>11</v>
      </c>
      <c r="K9" s="3">
        <f t="shared" ref="K9:K17" si="1">ROUND(LOOKUP(N9,$J$2:$J$4,$K$2:$K$4)*O9,3)</f>
        <v>1.5680000000000001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1.5684208752980484</v>
      </c>
      <c r="W9" s="3">
        <f>LOOKUP($G9,'INDATA prices'!$C$6:$I$6,'INDATA prices'!$C$9:$I$9)</f>
        <v>1.5684208752980484</v>
      </c>
    </row>
    <row r="10" spans="1:23" x14ac:dyDescent="0.3">
      <c r="B10" t="s">
        <v>100</v>
      </c>
      <c r="D10" t="s">
        <v>192</v>
      </c>
      <c r="F10" s="9" t="str">
        <f>'Prices (2019)'!F10</f>
        <v>COST</v>
      </c>
      <c r="G10" s="10">
        <f t="shared" si="0"/>
        <v>2050</v>
      </c>
      <c r="H10" t="s">
        <v>14</v>
      </c>
      <c r="K10" s="3">
        <f t="shared" si="1"/>
        <v>10.448</v>
      </c>
      <c r="L10" s="3"/>
      <c r="M10" t="s">
        <v>15</v>
      </c>
      <c r="N10" t="s">
        <v>47</v>
      </c>
      <c r="O10">
        <f>'Prices (2019)'!O10</f>
        <v>1.2</v>
      </c>
      <c r="V10" s="3">
        <f>LOOKUP($G10,'INDATA prices'!$C$6:$I$6,'INDATA prices'!$C$8:$I$8)</f>
        <v>8.7068771051142804</v>
      </c>
      <c r="W10" s="3">
        <f>LOOKUP($G10,'INDATA prices'!$C$6:$I$6,'INDATA prices'!$C$8:$I$8)</f>
        <v>8.7068771051142804</v>
      </c>
    </row>
    <row r="11" spans="1:23" x14ac:dyDescent="0.3">
      <c r="B11" t="s">
        <v>100</v>
      </c>
      <c r="D11" t="s">
        <v>192</v>
      </c>
      <c r="F11" s="9" t="str">
        <f>'Prices (2019)'!F11</f>
        <v>COST</v>
      </c>
      <c r="G11" s="10">
        <f t="shared" si="0"/>
        <v>2050</v>
      </c>
      <c r="H11" t="s">
        <v>18</v>
      </c>
      <c r="K11" s="3">
        <f t="shared" si="1"/>
        <v>10.044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10.043970970412904</v>
      </c>
      <c r="W11" s="3">
        <f>LOOKUP($G11,'INDATA prices'!$C$6:$I$6,'INDATA prices'!$C$7:$I$7)*LOOKUP(MID($H11,4,6),'INDATA Fuel relations'!$B$16:$B$34,'INDATA Fuel relations'!H$16:H$34)</f>
        <v>10.043970970412904</v>
      </c>
    </row>
    <row r="12" spans="1:23" x14ac:dyDescent="0.3">
      <c r="B12" t="s">
        <v>100</v>
      </c>
      <c r="D12" t="s">
        <v>192</v>
      </c>
      <c r="F12" s="9" t="str">
        <f>'Prices (2019)'!F12</f>
        <v>COST</v>
      </c>
      <c r="G12" s="10">
        <f t="shared" si="0"/>
        <v>2050</v>
      </c>
      <c r="H12" t="s">
        <v>20</v>
      </c>
      <c r="K12" s="3">
        <f t="shared" si="1"/>
        <v>14.507999999999999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1.4444623959932144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14.508138373208913</v>
      </c>
      <c r="W12" s="3">
        <f>LOOKUP($G12,'INDATA prices'!$C$6:$I$6,'INDATA prices'!$C$7:$I$7)*LOOKUP(MID($H12,4,6),'INDATA Fuel relations'!$B$16:$B$34,'INDATA Fuel relations'!H$16:H$34)</f>
        <v>14.508138373208913</v>
      </c>
    </row>
    <row r="13" spans="1:23" x14ac:dyDescent="0.3">
      <c r="B13" t="s">
        <v>100</v>
      </c>
      <c r="D13" t="s">
        <v>192</v>
      </c>
      <c r="F13" s="9" t="str">
        <f>'Prices (2019)'!F13</f>
        <v>COST</v>
      </c>
      <c r="G13" s="10">
        <f t="shared" si="0"/>
        <v>2050</v>
      </c>
      <c r="H13" t="s">
        <v>22</v>
      </c>
      <c r="K13" s="3">
        <f t="shared" si="1"/>
        <v>14.507999999999999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1.4444623959932144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14.508138373208913</v>
      </c>
      <c r="W13" s="3">
        <f>LOOKUP($G13,'INDATA prices'!$C$6:$I$6,'INDATA prices'!$C$7:$I$7)*LOOKUP(MID($H13,4,6),'INDATA Fuel relations'!$B$16:$B$34,'INDATA Fuel relations'!H$16:H$34)</f>
        <v>14.508138373208913</v>
      </c>
    </row>
    <row r="14" spans="1:23" x14ac:dyDescent="0.3">
      <c r="B14" t="s">
        <v>100</v>
      </c>
      <c r="D14" t="s">
        <v>192</v>
      </c>
      <c r="F14" s="9" t="str">
        <f>'Prices (2019)'!F14</f>
        <v>COST</v>
      </c>
      <c r="G14" s="10">
        <f t="shared" si="0"/>
        <v>2050</v>
      </c>
      <c r="H14" t="s">
        <v>24</v>
      </c>
      <c r="K14" s="3">
        <f t="shared" si="1"/>
        <v>8.1359999999999992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8.1356245997520134</v>
      </c>
      <c r="W14" s="3">
        <f>LOOKUP($G14,'INDATA prices'!$C$6:$I$6,'INDATA prices'!$C$7:$I$7)*LOOKUP(MID($H14,4,6),'INDATA Fuel relations'!$B$16:$B$34,'INDATA Fuel relations'!H$16:H$34)</f>
        <v>8.1356245997520134</v>
      </c>
    </row>
    <row r="15" spans="1:23" x14ac:dyDescent="0.3">
      <c r="B15" t="s">
        <v>100</v>
      </c>
      <c r="D15" t="s">
        <v>192</v>
      </c>
      <c r="F15" s="9" t="str">
        <f>'Prices (2019)'!F15</f>
        <v>COST</v>
      </c>
      <c r="G15" s="10">
        <f t="shared" si="0"/>
        <v>2050</v>
      </c>
      <c r="H15" t="s">
        <v>26</v>
      </c>
      <c r="K15" s="3">
        <f t="shared" si="1"/>
        <v>15.625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15.624585909786033</v>
      </c>
      <c r="W15" s="3">
        <f>LOOKUP($G15,'INDATA prices'!$C$6:$I$6,'INDATA prices'!$C$7:$I$7)*LOOKUP(MID($H15,4,6),'INDATA Fuel relations'!$B$16:$B$34,'INDATA Fuel relations'!H$16:H$34)</f>
        <v>15.624585909786033</v>
      </c>
    </row>
    <row r="16" spans="1:23" x14ac:dyDescent="0.3">
      <c r="B16" t="s">
        <v>100</v>
      </c>
      <c r="D16" t="s">
        <v>192</v>
      </c>
      <c r="F16" s="9" t="str">
        <f>'Prices (2019)'!F16</f>
        <v>COST</v>
      </c>
      <c r="G16" s="10">
        <f t="shared" si="0"/>
        <v>2050</v>
      </c>
      <c r="H16" t="s">
        <v>28</v>
      </c>
      <c r="K16" s="3">
        <f t="shared" si="1"/>
        <v>11.16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11.160418506990023</v>
      </c>
      <c r="W16" s="3">
        <f>LOOKUP($G16,'INDATA prices'!$C$6:$I$6,'INDATA prices'!$C$7:$I$7)*LOOKUP(MID($H16,4,6),'INDATA Fuel relations'!$B$16:$B$34,'INDATA Fuel relations'!H$16:H$34)</f>
        <v>11.160418506990023</v>
      </c>
    </row>
    <row r="17" spans="2:23" x14ac:dyDescent="0.3">
      <c r="B17" t="s">
        <v>100</v>
      </c>
      <c r="D17" t="s">
        <v>192</v>
      </c>
      <c r="F17" s="9" t="str">
        <f>'Prices (2019)'!F17</f>
        <v>COST</v>
      </c>
      <c r="G17" s="10">
        <f t="shared" si="0"/>
        <v>2050</v>
      </c>
      <c r="H17" t="s">
        <v>30</v>
      </c>
      <c r="K17" s="3">
        <f t="shared" si="1"/>
        <v>12.276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12.276054671810908</v>
      </c>
      <c r="W17" s="3">
        <f>LOOKUP($G17,'INDATA prices'!$C$6:$I$6,'INDATA prices'!$C$7:$I$7)*LOOKUP(MID($H17,4,6),'INDATA Fuel relations'!$B$16:$B$34,'INDATA Fuel relations'!H$16:H$34)</f>
        <v>12.276054671810908</v>
      </c>
    </row>
    <row r="18" spans="2:23" x14ac:dyDescent="0.3">
      <c r="B18" t="s">
        <v>101</v>
      </c>
      <c r="D18" t="s">
        <v>192</v>
      </c>
      <c r="F18" s="9" t="str">
        <f>'Prices (2019)'!F18</f>
        <v>COST</v>
      </c>
      <c r="G18" s="10">
        <f t="shared" si="0"/>
        <v>2050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tr">
        <f>'Prices (2019)'!F19</f>
        <v>COST</v>
      </c>
      <c r="G19" s="10">
        <f t="shared" si="0"/>
        <v>2050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tr">
        <f>'Prices (2019)'!F20</f>
        <v>COST</v>
      </c>
      <c r="G20" s="10">
        <f>$G$2</f>
        <v>2050</v>
      </c>
      <c r="H20" t="s">
        <v>233</v>
      </c>
      <c r="K20" s="3">
        <f t="shared" ref="K20" si="3">ROUND(LOOKUP(N20,$J$2:$J$4,$K$2:$K$4)*O20,3)</f>
        <v>46.874000000000002</v>
      </c>
      <c r="L20" s="3"/>
      <c r="M20" t="s">
        <v>236</v>
      </c>
      <c r="N20" t="s">
        <v>107</v>
      </c>
      <c r="O20" s="3">
        <f>VLOOKUP(P20,'INDATA Fuel relations'!$B$15:$H$34,LOOKUP($G$2,'INDATA Fuel relations'!$D$14:$H$14,'INDATA Fuel relations'!$D$13:$H$13))</f>
        <v>4.6668551579287509</v>
      </c>
      <c r="P20" t="str">
        <f t="shared" ref="P20" si="4">MID(H20,4,6)</f>
        <v>BFUBJF</v>
      </c>
      <c r="Q20" t="str">
        <f>IF(COUNTIF('INDATA Fuel relations'!$B$15:$B$34,P20)&gt;0,"ok","FALSE")</f>
        <v>ok</v>
      </c>
      <c r="V20" s="3" t="e">
        <f>LOOKUP($G20,'INDATA prices'!$C$6:$I$6,'INDATA prices'!$C$7:$I$7)*LOOKUP(MID($H20,4,6),'INDATA Fuel relations'!$B$16:$B$34,'INDATA Fuel relations'!F$16:F$34)</f>
        <v>#N/A</v>
      </c>
      <c r="W20" s="3" t="e">
        <f>LOOKUP($G20,'INDATA prices'!$C$6:$I$6,'INDATA prices'!$C$7:$I$7)*LOOKUP(MID($H20,4,6),'INDATA Fuel relations'!$B$16:$B$34,'INDATA Fuel relations'!H$16:H$34)</f>
        <v>#N/A</v>
      </c>
    </row>
    <row r="21" spans="2:23" x14ac:dyDescent="0.3">
      <c r="B21" t="s">
        <v>101</v>
      </c>
      <c r="D21" t="s">
        <v>192</v>
      </c>
      <c r="F21" s="9" t="str">
        <f>'Prices (2019)'!F21</f>
        <v>COST</v>
      </c>
      <c r="G21" s="10">
        <f>$G$2</f>
        <v>2050</v>
      </c>
      <c r="H21" t="s">
        <v>131</v>
      </c>
      <c r="K21" s="3">
        <f t="shared" ref="K21:K38" si="5">ROUND(LOOKUP(N21,$J$2:$J$4,$K$2:$K$4)*O21,3)</f>
        <v>29.015999999999998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2.8889247919864287</v>
      </c>
      <c r="P21" t="str">
        <f t="shared" ref="P21:P41" si="6">MID(H21,4,6)</f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31.91790442105961</v>
      </c>
      <c r="W21" s="3">
        <f>LOOKUP($G21,'INDATA prices'!$C$6:$I$6,'INDATA prices'!$C$7:$I$7)*LOOKUP(MID($H21,4,6),'INDATA Fuel relations'!$B$16:$B$34,'INDATA Fuel relations'!H$16:H$34)</f>
        <v>29.016276746417827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2050</v>
      </c>
      <c r="H22" t="s">
        <v>237</v>
      </c>
      <c r="K22" s="3">
        <f>$K$23*O22</f>
        <v>28.725839999999998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ref="G23:G57" si="7">$G$2</f>
        <v>2050</v>
      </c>
      <c r="H23" t="s">
        <v>240</v>
      </c>
      <c r="K23" s="3">
        <f t="shared" si="5"/>
        <v>29.015999999999998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2.8889247919864287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7"/>
        <v>2050</v>
      </c>
      <c r="H24" t="s">
        <v>241</v>
      </c>
      <c r="K24" s="3">
        <f>$K$23*O24</f>
        <v>29.015999999999998</v>
      </c>
      <c r="L24" s="3"/>
      <c r="M24" t="s">
        <v>259</v>
      </c>
      <c r="N24" t="s">
        <v>132</v>
      </c>
      <c r="O24" s="3">
        <f>'Prices (2019)'!O24</f>
        <v>1</v>
      </c>
      <c r="P24" t="str">
        <f t="shared" ref="P24:P26" si="8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7"/>
        <v>2050</v>
      </c>
      <c r="H25" t="s">
        <v>242</v>
      </c>
      <c r="K25" s="3">
        <f t="shared" ref="K25:K26" si="9">$K$23*O25</f>
        <v>29.015999999999998</v>
      </c>
      <c r="L25" s="3"/>
      <c r="M25" t="s">
        <v>260</v>
      </c>
      <c r="N25" t="s">
        <v>132</v>
      </c>
      <c r="O25" s="3">
        <f>'Prices (2019)'!O25</f>
        <v>1</v>
      </c>
      <c r="P25" t="str">
        <f t="shared" si="8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7"/>
        <v>2050</v>
      </c>
      <c r="H26" t="s">
        <v>243</v>
      </c>
      <c r="K26" s="3">
        <f t="shared" si="9"/>
        <v>29.306159999999998</v>
      </c>
      <c r="L26" s="3"/>
      <c r="M26" t="s">
        <v>261</v>
      </c>
      <c r="N26" t="s">
        <v>132</v>
      </c>
      <c r="O26" s="3">
        <f>'Prices (2019)'!O26</f>
        <v>1.01</v>
      </c>
      <c r="P26" t="str">
        <f t="shared" si="8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tr">
        <f>'Prices (2019)'!F27</f>
        <v>COST</v>
      </c>
      <c r="G27" s="10">
        <f t="shared" si="7"/>
        <v>2050</v>
      </c>
      <c r="H27" t="s">
        <v>133</v>
      </c>
      <c r="K27" s="3">
        <f t="shared" si="5"/>
        <v>29.015999999999998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2.8889247919864287</v>
      </c>
      <c r="P27" t="str">
        <f t="shared" si="6"/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31.91790442105961</v>
      </c>
      <c r="W27" s="3">
        <f>LOOKUP($G27,'INDATA prices'!$C$6:$I$6,'INDATA prices'!$C$7:$I$7)*LOOKUP(MID($H27,4,6),'INDATA Fuel relations'!$B$16:$B$34,'INDATA Fuel relations'!H$16:H$34)</f>
        <v>29.016276746417827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7"/>
        <v>2050</v>
      </c>
      <c r="H28" t="s">
        <v>244</v>
      </c>
      <c r="K28" s="3">
        <f>$K$27*O28</f>
        <v>29.015999999999998</v>
      </c>
      <c r="L28" s="3"/>
      <c r="M28" t="s">
        <v>263</v>
      </c>
      <c r="N28" t="s">
        <v>133</v>
      </c>
      <c r="O28" s="3">
        <f>'Prices (2019)'!O28</f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7"/>
        <v>2050</v>
      </c>
      <c r="H29" t="s">
        <v>245</v>
      </c>
      <c r="K29" s="3">
        <f t="shared" ref="K29:K30" si="10">$K$27*O29</f>
        <v>29.015999999999998</v>
      </c>
      <c r="L29" s="3"/>
      <c r="M29" t="s">
        <v>264</v>
      </c>
      <c r="N29" t="s">
        <v>133</v>
      </c>
      <c r="O29" s="3">
        <f>'Prices (2019)'!O29</f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7"/>
        <v>2050</v>
      </c>
      <c r="H30" t="s">
        <v>246</v>
      </c>
      <c r="K30" s="3">
        <f t="shared" si="10"/>
        <v>29.306159999999998</v>
      </c>
      <c r="L30" s="3"/>
      <c r="M30" t="s">
        <v>265</v>
      </c>
      <c r="N30" t="s">
        <v>133</v>
      </c>
      <c r="O30" s="3">
        <f>'Prices (2019)'!O30</f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tr">
        <f>'Prices (2019)'!F31</f>
        <v>COST</v>
      </c>
      <c r="G31" s="10">
        <f t="shared" si="7"/>
        <v>2050</v>
      </c>
      <c r="H31" t="s">
        <v>134</v>
      </c>
      <c r="K31" s="3">
        <f t="shared" si="5"/>
        <v>29.015999999999998</v>
      </c>
      <c r="L31" s="3"/>
      <c r="M31" t="s">
        <v>141</v>
      </c>
      <c r="N31" t="s">
        <v>107</v>
      </c>
      <c r="O31" s="3">
        <f>VLOOKUP(P31,'INDATA Fuel relations'!$B$15:$H$34,LOOKUP($G$2,'INDATA Fuel relations'!$D$14:$H$14,'INDATA Fuel relations'!$D$13:$H$13))</f>
        <v>2.8889247919864287</v>
      </c>
      <c r="P31" t="str">
        <f t="shared" si="6"/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39.171973607664064</v>
      </c>
      <c r="W31" s="3">
        <f>LOOKUP($G31,'INDATA prices'!$C$6:$I$6,'INDATA prices'!$C$7:$I$7)*LOOKUP(MID($H31,4,6),'INDATA Fuel relations'!$B$16:$B$34,'INDATA Fuel relations'!H$16:H$34)</f>
        <v>29.016276746417827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7"/>
        <v>2050</v>
      </c>
      <c r="H32" t="s">
        <v>281</v>
      </c>
      <c r="K32" s="3">
        <f t="shared" si="5"/>
        <v>29.015999999999998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2.8889247919864287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7"/>
        <v>2050</v>
      </c>
      <c r="H33" t="s">
        <v>282</v>
      </c>
      <c r="K33" s="3">
        <f>$K$32*O33</f>
        <v>29.015999999999998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7"/>
        <v>2050</v>
      </c>
      <c r="H34" t="s">
        <v>283</v>
      </c>
      <c r="K34" s="3">
        <f t="shared" ref="K34:K36" si="11">$K$32*O34</f>
        <v>29.015999999999998</v>
      </c>
      <c r="L34" s="3"/>
      <c r="M34" t="s">
        <v>288</v>
      </c>
      <c r="N34" t="s">
        <v>285</v>
      </c>
      <c r="O34" s="3">
        <v>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7"/>
        <v>2050</v>
      </c>
      <c r="H35" t="s">
        <v>292</v>
      </c>
      <c r="K35" s="3">
        <f t="shared" si="11"/>
        <v>29.306159999999998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7"/>
        <v>2050</v>
      </c>
      <c r="H36" t="s">
        <v>284</v>
      </c>
      <c r="K36" s="3">
        <f t="shared" si="11"/>
        <v>29.306159999999998</v>
      </c>
      <c r="L36" s="3"/>
      <c r="M36" t="s">
        <v>291</v>
      </c>
      <c r="N36" t="s">
        <v>285</v>
      </c>
      <c r="O36" s="3">
        <v>1.01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tr">
        <f>'Prices (2019)'!F37</f>
        <v>COST</v>
      </c>
      <c r="G37" s="10">
        <f t="shared" si="7"/>
        <v>2050</v>
      </c>
      <c r="H37" t="s">
        <v>135</v>
      </c>
      <c r="K37" s="3">
        <f t="shared" si="5"/>
        <v>29.015999999999998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2.8889247919864287</v>
      </c>
      <c r="P37" t="str">
        <f t="shared" si="6"/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31.91790442105961</v>
      </c>
      <c r="W37" s="3">
        <f>LOOKUP($G37,'INDATA prices'!$C$6:$I$6,'INDATA prices'!$C$7:$I$7)*LOOKUP(MID($H37,4,6),'INDATA Fuel relations'!$B$16:$B$34,'INDATA Fuel relations'!H$16:H$34)</f>
        <v>29.016276746417827</v>
      </c>
    </row>
    <row r="38" spans="2:23" x14ac:dyDescent="0.3">
      <c r="B38" t="s">
        <v>101</v>
      </c>
      <c r="D38" t="s">
        <v>192</v>
      </c>
      <c r="F38" s="9" t="str">
        <f>'Prices (2019)'!F38</f>
        <v>COST</v>
      </c>
      <c r="G38" s="10">
        <f t="shared" si="7"/>
        <v>2050</v>
      </c>
      <c r="H38" t="s">
        <v>136</v>
      </c>
      <c r="K38" s="3">
        <f t="shared" si="5"/>
        <v>29.015999999999998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2.8889247919864287</v>
      </c>
      <c r="P38" t="str">
        <f t="shared" si="6"/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31.91790442105961</v>
      </c>
      <c r="W38" s="32">
        <f>LOOKUP($G38,'INDATA prices'!$C$6:$I$6,'INDATA prices'!$C$7:$I$7)*LOOKUP(MID($H38,4,6),'INDATA Fuel relations'!$B$16:$B$34,'INDATA Fuel relations'!H$16:H$34)</f>
        <v>29.016276746417827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7"/>
        <v>2050</v>
      </c>
      <c r="H39" t="s">
        <v>250</v>
      </c>
      <c r="K39" s="3">
        <f>$K$38*O39</f>
        <v>29.015999999999998</v>
      </c>
      <c r="L39" s="3"/>
      <c r="M39" t="s">
        <v>267</v>
      </c>
      <c r="N39" t="s">
        <v>125</v>
      </c>
      <c r="O39" s="3">
        <f>'Prices (2019)'!O39</f>
        <v>1</v>
      </c>
      <c r="P39" t="str">
        <f t="shared" si="6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7"/>
        <v>2050</v>
      </c>
      <c r="H40" t="s">
        <v>251</v>
      </c>
      <c r="K40" s="3">
        <f t="shared" ref="K40:K41" si="12">$K$38*O40</f>
        <v>29.015999999999998</v>
      </c>
      <c r="L40" s="3"/>
      <c r="M40" t="s">
        <v>269</v>
      </c>
      <c r="N40" t="s">
        <v>125</v>
      </c>
      <c r="O40" s="3">
        <f>'Prices (2019)'!O40</f>
        <v>1</v>
      </c>
      <c r="P40" t="str">
        <f t="shared" si="6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7"/>
        <v>2050</v>
      </c>
      <c r="H41" t="s">
        <v>252</v>
      </c>
      <c r="K41" s="3">
        <f t="shared" si="12"/>
        <v>29.306159999999998</v>
      </c>
      <c r="L41" s="3"/>
      <c r="M41" t="s">
        <v>268</v>
      </c>
      <c r="N41" t="s">
        <v>125</v>
      </c>
      <c r="O41" s="3">
        <f>'Prices (2019)'!O41</f>
        <v>1.01</v>
      </c>
      <c r="P41" t="str">
        <f t="shared" si="6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tr">
        <f>'Prices (2019)'!F42</f>
        <v>COST</v>
      </c>
      <c r="G42" s="10">
        <f t="shared" si="7"/>
        <v>2050</v>
      </c>
      <c r="H42" t="s">
        <v>140</v>
      </c>
      <c r="K42" s="51">
        <f>LOOKUP($G42,'INDATA prices'!$C$6:$I$6,'INDATA prices'!$C$13:$I$13)</f>
        <v>7.839999999999999</v>
      </c>
      <c r="L42" s="3"/>
      <c r="M42" t="s">
        <v>142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tr">
        <f>'Prices (2019)'!F43</f>
        <v>COST</v>
      </c>
      <c r="G43" s="10">
        <f t="shared" si="7"/>
        <v>2050</v>
      </c>
      <c r="H43" t="s">
        <v>143</v>
      </c>
      <c r="K43" s="52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tr">
        <f>'Prices (2019)'!F44</f>
        <v>COST</v>
      </c>
      <c r="G44" s="10">
        <f t="shared" si="7"/>
        <v>2050</v>
      </c>
      <c r="H44" t="s">
        <v>139</v>
      </c>
      <c r="K44" s="51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tr">
        <f>'Prices (2019)'!F45</f>
        <v>COST</v>
      </c>
      <c r="G45" s="10">
        <f t="shared" si="7"/>
        <v>2050</v>
      </c>
      <c r="H45" t="s">
        <v>138</v>
      </c>
      <c r="K45" s="51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7"/>
        <v>2050</v>
      </c>
      <c r="H46" t="s">
        <v>255</v>
      </c>
      <c r="K46" s="3">
        <f t="shared" ref="K46" si="13">ROUND(LOOKUP(N46,$J$2:$J$4,$K$2:$K$4)*O46,3)</f>
        <v>8.7070000000000007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tr">
        <f>'Prices (2019)'!F47</f>
        <v>COST</v>
      </c>
      <c r="G47" s="10">
        <f t="shared" si="7"/>
        <v>2050</v>
      </c>
      <c r="H47" t="s">
        <v>196</v>
      </c>
      <c r="K47" s="3">
        <f t="shared" ref="K47" si="14">ROUND(LOOKUP(N47,$J$2:$J$4,$K$2:$K$4)*O47,3)</f>
        <v>8.7070000000000007</v>
      </c>
      <c r="L47" s="3"/>
      <c r="M47" t="s">
        <v>8</v>
      </c>
      <c r="N47" t="s">
        <v>47</v>
      </c>
      <c r="O47">
        <v>1</v>
      </c>
      <c r="V47" s="3">
        <f>LOOKUP($G47,'INDATA prices'!$C$6:$I$6,'INDATA prices'!$C$8:$I$8)*'INDATA Fuel relations'!F$63</f>
        <v>19.15512963125142</v>
      </c>
      <c r="W47" s="3">
        <f>LOOKUP($G47,'INDATA prices'!$C$6:$I$6,'INDATA prices'!$C$8:$I$8)*'INDATA Fuel relations'!H$63</f>
        <v>17.413754210228561</v>
      </c>
    </row>
    <row r="48" spans="2:23" x14ac:dyDescent="0.3">
      <c r="B48" t="s">
        <v>102</v>
      </c>
      <c r="D48" t="s">
        <v>192</v>
      </c>
      <c r="F48" s="9" t="str">
        <f>'Prices (2019)'!F48</f>
        <v>COST</v>
      </c>
      <c r="G48" s="10">
        <f t="shared" si="7"/>
        <v>2050</v>
      </c>
      <c r="H48" t="s">
        <v>130</v>
      </c>
      <c r="K48" s="51">
        <f>K10*4</f>
        <v>41.792000000000002</v>
      </c>
      <c r="M48" t="s">
        <v>272</v>
      </c>
      <c r="N48" t="s">
        <v>271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7"/>
        <v>2050</v>
      </c>
      <c r="H49" t="s">
        <v>247</v>
      </c>
      <c r="K49" s="51">
        <f>$K$48*O49</f>
        <v>42.209920000000004</v>
      </c>
      <c r="M49" t="s">
        <v>273</v>
      </c>
      <c r="N49" t="s">
        <v>130</v>
      </c>
      <c r="O49">
        <v>1.01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7"/>
        <v>2050</v>
      </c>
      <c r="H50" t="s">
        <v>275</v>
      </c>
      <c r="K50" s="51">
        <f>$K$48*O50</f>
        <v>42.209920000000004</v>
      </c>
      <c r="M50" t="s">
        <v>276</v>
      </c>
      <c r="N50" t="s">
        <v>130</v>
      </c>
      <c r="O50">
        <v>1.01</v>
      </c>
    </row>
    <row r="51" spans="2:23" x14ac:dyDescent="0.3">
      <c r="B51" t="s">
        <v>102</v>
      </c>
      <c r="D51" t="s">
        <v>192</v>
      </c>
      <c r="F51" s="9" t="str">
        <f>'Prices (2019)'!F51</f>
        <v>COST</v>
      </c>
      <c r="G51" s="10">
        <f t="shared" si="0"/>
        <v>2050</v>
      </c>
      <c r="H51" t="s">
        <v>179</v>
      </c>
      <c r="K51" s="48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tr">
        <f>'Prices (2019)'!F52</f>
        <v>COST</v>
      </c>
      <c r="G52" s="10">
        <f t="shared" si="0"/>
        <v>2050</v>
      </c>
      <c r="H52" t="s">
        <v>16</v>
      </c>
      <c r="K52" s="48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tr">
        <f>'Prices (2019)'!F54</f>
        <v>COST</v>
      </c>
      <c r="G54" s="10">
        <f t="shared" si="7"/>
        <v>2050</v>
      </c>
      <c r="H54" t="s">
        <v>132</v>
      </c>
      <c r="K54" s="32">
        <f>ROUND(LOOKUP(N54,$J$2:$J$4,$K$2:$K$4)*O54,3)</f>
        <v>29.015999999999998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2.8889247919864287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31.91790442105961</v>
      </c>
      <c r="W54" s="3">
        <f>LOOKUP($G54,'INDATA prices'!$C$6:$I$6,'INDATA prices'!$C$7:$I$7)*LOOKUP(MID($H54,4,6),'INDATA Fuel relations'!$B$16:$B$34,'INDATA Fuel relations'!H$16:H$34)</f>
        <v>29.016276746417827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7"/>
        <v>2050</v>
      </c>
      <c r="H55" t="s">
        <v>237</v>
      </c>
      <c r="K55" s="32">
        <f>$K$54*O55</f>
        <v>29.015999999999998</v>
      </c>
      <c r="L55" s="3"/>
      <c r="M55" t="s">
        <v>248</v>
      </c>
      <c r="N55" t="s">
        <v>132</v>
      </c>
      <c r="O55" s="3">
        <f>'Prices (2019)'!O55</f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7"/>
        <v>2050</v>
      </c>
      <c r="H56" t="s">
        <v>238</v>
      </c>
      <c r="K56" s="32">
        <f>$K$54*O56</f>
        <v>29.015999999999998</v>
      </c>
      <c r="L56" s="3"/>
      <c r="M56" t="s">
        <v>248</v>
      </c>
      <c r="N56" t="s">
        <v>132</v>
      </c>
      <c r="O56" s="3">
        <f>'Prices (2019)'!O56</f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7"/>
        <v>2050</v>
      </c>
      <c r="H57" t="s">
        <v>239</v>
      </c>
      <c r="K57" s="32">
        <f>$K$54*O57</f>
        <v>29.015999999999998</v>
      </c>
      <c r="L57" s="3"/>
      <c r="M57" t="s">
        <v>248</v>
      </c>
      <c r="N57" t="s">
        <v>132</v>
      </c>
      <c r="O57" s="3">
        <f>'Prices (2019)'!O57</f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f>'Prices (2019)'!K61</f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88" si="15">F8</f>
        <v>COST</v>
      </c>
      <c r="G65" s="9">
        <f t="shared" si="15"/>
        <v>2050</v>
      </c>
      <c r="H65" t="str">
        <f t="shared" ref="H65:H91" si="16">REPLACE(H8,1,3,"EXP")</f>
        <v>EXPCOAHARY</v>
      </c>
      <c r="K65" s="3">
        <f t="shared" ref="K65:K93" si="17">ROUNDDOWN(K8*K$61,3)</f>
        <v>1.3320000000000001</v>
      </c>
    </row>
    <row r="66" spans="2:11" x14ac:dyDescent="0.3">
      <c r="B66" t="s">
        <v>100</v>
      </c>
      <c r="D66" t="s">
        <v>192</v>
      </c>
      <c r="F66" s="9" t="str">
        <f t="shared" si="15"/>
        <v>COST</v>
      </c>
      <c r="G66" s="9">
        <f t="shared" si="15"/>
        <v>2050</v>
      </c>
      <c r="H66" t="str">
        <f t="shared" si="16"/>
        <v>EXPCOAPEAY</v>
      </c>
      <c r="K66" s="3">
        <f t="shared" si="17"/>
        <v>1.3320000000000001</v>
      </c>
    </row>
    <row r="67" spans="2:11" x14ac:dyDescent="0.3">
      <c r="B67" t="s">
        <v>100</v>
      </c>
      <c r="D67" t="s">
        <v>192</v>
      </c>
      <c r="F67" s="9" t="str">
        <f t="shared" si="15"/>
        <v>COST</v>
      </c>
      <c r="G67" s="9">
        <f t="shared" si="15"/>
        <v>2050</v>
      </c>
      <c r="H67" t="str">
        <f t="shared" si="16"/>
        <v>EXPGASNATY</v>
      </c>
      <c r="K67" s="3">
        <f t="shared" si="17"/>
        <v>8.8800000000000008</v>
      </c>
    </row>
    <row r="68" spans="2:11" x14ac:dyDescent="0.3">
      <c r="B68" t="s">
        <v>100</v>
      </c>
      <c r="D68" t="s">
        <v>192</v>
      </c>
      <c r="F68" s="9" t="str">
        <f t="shared" si="15"/>
        <v>COST</v>
      </c>
      <c r="G68" s="9">
        <f t="shared" si="15"/>
        <v>2050</v>
      </c>
      <c r="H68" t="str">
        <f t="shared" si="16"/>
        <v>EXPOILCRDY</v>
      </c>
      <c r="K68" s="3">
        <f t="shared" si="17"/>
        <v>8.5370000000000008</v>
      </c>
    </row>
    <row r="69" spans="2:11" x14ac:dyDescent="0.3">
      <c r="B69" t="s">
        <v>100</v>
      </c>
      <c r="D69" t="s">
        <v>192</v>
      </c>
      <c r="F69" s="9" t="str">
        <f t="shared" si="15"/>
        <v>COST</v>
      </c>
      <c r="G69" s="9">
        <f t="shared" si="15"/>
        <v>2050</v>
      </c>
      <c r="H69" t="str">
        <f t="shared" si="16"/>
        <v>EXPOILDSTY</v>
      </c>
      <c r="K69" s="3">
        <f t="shared" si="17"/>
        <v>12.331</v>
      </c>
    </row>
    <row r="70" spans="2:11" x14ac:dyDescent="0.3">
      <c r="B70" t="s">
        <v>100</v>
      </c>
      <c r="D70" t="s">
        <v>192</v>
      </c>
      <c r="F70" s="9" t="str">
        <f t="shared" si="15"/>
        <v>COST</v>
      </c>
      <c r="G70" s="9">
        <f t="shared" si="15"/>
        <v>2050</v>
      </c>
      <c r="H70" t="str">
        <f t="shared" si="16"/>
        <v>EXPOILGSLY</v>
      </c>
      <c r="K70" s="3">
        <f t="shared" si="17"/>
        <v>12.331</v>
      </c>
    </row>
    <row r="71" spans="2:11" x14ac:dyDescent="0.3">
      <c r="B71" t="s">
        <v>100</v>
      </c>
      <c r="D71" t="s">
        <v>192</v>
      </c>
      <c r="F71" s="9" t="str">
        <f t="shared" si="15"/>
        <v>COST</v>
      </c>
      <c r="G71" s="9">
        <f t="shared" si="15"/>
        <v>2050</v>
      </c>
      <c r="H71" t="str">
        <f t="shared" si="16"/>
        <v>EXPOILHFOY</v>
      </c>
      <c r="K71" s="3">
        <f t="shared" si="17"/>
        <v>6.915</v>
      </c>
    </row>
    <row r="72" spans="2:11" x14ac:dyDescent="0.3">
      <c r="B72" t="s">
        <v>100</v>
      </c>
      <c r="D72" t="s">
        <v>192</v>
      </c>
      <c r="F72" s="9" t="str">
        <f t="shared" si="15"/>
        <v>COST</v>
      </c>
      <c r="G72" s="9">
        <f t="shared" si="15"/>
        <v>2050</v>
      </c>
      <c r="H72" t="str">
        <f t="shared" si="16"/>
        <v>EXPOILKERY</v>
      </c>
      <c r="K72" s="3">
        <f t="shared" si="17"/>
        <v>13.281000000000001</v>
      </c>
    </row>
    <row r="73" spans="2:11" x14ac:dyDescent="0.3">
      <c r="B73" t="s">
        <v>100</v>
      </c>
      <c r="D73" t="s">
        <v>192</v>
      </c>
      <c r="F73" s="9" t="str">
        <f t="shared" si="15"/>
        <v>COST</v>
      </c>
      <c r="G73" s="9">
        <f t="shared" si="15"/>
        <v>2050</v>
      </c>
      <c r="H73" t="str">
        <f t="shared" si="16"/>
        <v>EXPOILLFOY</v>
      </c>
      <c r="K73" s="3">
        <f t="shared" si="17"/>
        <v>9.4860000000000007</v>
      </c>
    </row>
    <row r="74" spans="2:11" x14ac:dyDescent="0.3">
      <c r="B74" t="s">
        <v>100</v>
      </c>
      <c r="D74" t="s">
        <v>192</v>
      </c>
      <c r="F74" s="9" t="str">
        <f t="shared" si="15"/>
        <v>COST</v>
      </c>
      <c r="G74" s="9">
        <f t="shared" si="15"/>
        <v>2050</v>
      </c>
      <c r="H74" t="str">
        <f t="shared" si="16"/>
        <v>EXPOILLPGY</v>
      </c>
      <c r="K74" s="3">
        <f t="shared" si="17"/>
        <v>10.433999999999999</v>
      </c>
    </row>
    <row r="75" spans="2:11" x14ac:dyDescent="0.3">
      <c r="B75" t="s">
        <v>101</v>
      </c>
      <c r="D75" t="s">
        <v>192</v>
      </c>
      <c r="F75" s="9" t="str">
        <f t="shared" si="15"/>
        <v>COST</v>
      </c>
      <c r="G75" s="9">
        <f t="shared" si="15"/>
        <v>2050</v>
      </c>
      <c r="H75" t="str">
        <f t="shared" si="16"/>
        <v>EXPBIOMFWY</v>
      </c>
      <c r="K75" s="3">
        <f t="shared" si="17"/>
        <v>0</v>
      </c>
    </row>
    <row r="76" spans="2:11" x14ac:dyDescent="0.3">
      <c r="B76" t="s">
        <v>101</v>
      </c>
      <c r="D76" t="s">
        <v>192</v>
      </c>
      <c r="F76" s="9" t="str">
        <f t="shared" si="15"/>
        <v>COST</v>
      </c>
      <c r="G76" s="9">
        <f t="shared" si="15"/>
        <v>2050</v>
      </c>
      <c r="H76" t="str">
        <f t="shared" si="16"/>
        <v>EXPBIOMSWY</v>
      </c>
      <c r="K76" s="3">
        <f t="shared" si="17"/>
        <v>0</v>
      </c>
    </row>
    <row r="77" spans="2:11" x14ac:dyDescent="0.3">
      <c r="B77" t="s">
        <v>101</v>
      </c>
      <c r="D77" t="s">
        <v>192</v>
      </c>
      <c r="F77" s="9" t="str">
        <f t="shared" si="15"/>
        <v>COST</v>
      </c>
      <c r="G77" s="9">
        <f t="shared" si="15"/>
        <v>2050</v>
      </c>
      <c r="H77" t="str">
        <f t="shared" si="16"/>
        <v>EXPBFUBJFY</v>
      </c>
      <c r="K77" s="3">
        <f t="shared" si="17"/>
        <v>39.841999999999999</v>
      </c>
    </row>
    <row r="78" spans="2:11" x14ac:dyDescent="0.3">
      <c r="B78" t="s">
        <v>101</v>
      </c>
      <c r="D78" t="s">
        <v>192</v>
      </c>
      <c r="F78" s="9" t="str">
        <f t="shared" si="15"/>
        <v>COST</v>
      </c>
      <c r="G78" s="9">
        <f t="shared" si="15"/>
        <v>2050</v>
      </c>
      <c r="H78" t="str">
        <f t="shared" si="16"/>
        <v>EXPBFUDMEY</v>
      </c>
      <c r="K78" s="3">
        <f t="shared" si="17"/>
        <v>24.663</v>
      </c>
    </row>
    <row r="79" spans="2:11" x14ac:dyDescent="0.3">
      <c r="B79" t="s">
        <v>101</v>
      </c>
      <c r="D79" t="s">
        <v>192</v>
      </c>
      <c r="F79" s="9" t="str">
        <f t="shared" si="15"/>
        <v>COST</v>
      </c>
      <c r="G79" s="9">
        <f t="shared" si="15"/>
        <v>2050</v>
      </c>
      <c r="H79" t="str">
        <f t="shared" si="16"/>
        <v>EXPBFUDST1</v>
      </c>
      <c r="K79" s="3">
        <f t="shared" si="17"/>
        <v>24.416</v>
      </c>
    </row>
    <row r="80" spans="2:11" x14ac:dyDescent="0.3">
      <c r="B80" t="s">
        <v>101</v>
      </c>
      <c r="D80" t="s">
        <v>192</v>
      </c>
      <c r="F80" s="9" t="str">
        <f t="shared" si="15"/>
        <v>COST</v>
      </c>
      <c r="G80" s="9">
        <f t="shared" si="15"/>
        <v>2050</v>
      </c>
      <c r="H80" t="str">
        <f t="shared" si="16"/>
        <v>EXPBFUDST4</v>
      </c>
      <c r="K80" s="3">
        <f t="shared" si="17"/>
        <v>24.663</v>
      </c>
    </row>
    <row r="81" spans="2:11" x14ac:dyDescent="0.3">
      <c r="B81" t="s">
        <v>101</v>
      </c>
      <c r="D81" t="s">
        <v>192</v>
      </c>
      <c r="F81" s="9" t="str">
        <f t="shared" si="15"/>
        <v>COST</v>
      </c>
      <c r="G81" s="9">
        <f t="shared" si="15"/>
        <v>2050</v>
      </c>
      <c r="H81" t="str">
        <f t="shared" si="16"/>
        <v>EXPBFUDST5</v>
      </c>
      <c r="K81" s="3">
        <f t="shared" si="17"/>
        <v>24.663</v>
      </c>
    </row>
    <row r="82" spans="2:11" x14ac:dyDescent="0.3">
      <c r="B82" t="s">
        <v>101</v>
      </c>
      <c r="D82" t="s">
        <v>192</v>
      </c>
      <c r="F82" s="9" t="str">
        <f t="shared" si="15"/>
        <v>COST</v>
      </c>
      <c r="G82" s="9">
        <f t="shared" si="15"/>
        <v>2050</v>
      </c>
      <c r="H82" t="str">
        <f t="shared" si="16"/>
        <v>EXPBFUDST6</v>
      </c>
      <c r="K82" s="3">
        <f t="shared" si="17"/>
        <v>24.663</v>
      </c>
    </row>
    <row r="83" spans="2:11" x14ac:dyDescent="0.3">
      <c r="B83" t="s">
        <v>101</v>
      </c>
      <c r="D83" t="s">
        <v>192</v>
      </c>
      <c r="F83" s="9" t="str">
        <f t="shared" si="15"/>
        <v>COST</v>
      </c>
      <c r="G83" s="9">
        <f t="shared" si="15"/>
        <v>2050</v>
      </c>
      <c r="H83" t="str">
        <f t="shared" si="16"/>
        <v>EXPBFUDST7</v>
      </c>
      <c r="K83" s="3">
        <f t="shared" si="17"/>
        <v>24.91</v>
      </c>
    </row>
    <row r="84" spans="2:11" x14ac:dyDescent="0.3">
      <c r="B84" t="s">
        <v>101</v>
      </c>
      <c r="D84" t="s">
        <v>192</v>
      </c>
      <c r="F84" s="9" t="str">
        <f t="shared" si="15"/>
        <v>COST</v>
      </c>
      <c r="G84" s="9">
        <f t="shared" si="15"/>
        <v>2050</v>
      </c>
      <c r="H84" t="str">
        <f t="shared" si="16"/>
        <v>EXPBFUETHY</v>
      </c>
      <c r="K84" s="3">
        <f t="shared" si="17"/>
        <v>24.663</v>
      </c>
    </row>
    <row r="85" spans="2:11" x14ac:dyDescent="0.3">
      <c r="B85" t="s">
        <v>101</v>
      </c>
      <c r="D85" t="s">
        <v>192</v>
      </c>
      <c r="F85" s="9" t="str">
        <f t="shared" si="15"/>
        <v>COST</v>
      </c>
      <c r="G85" s="9">
        <f t="shared" si="15"/>
        <v>2050</v>
      </c>
      <c r="H85" t="str">
        <f t="shared" si="16"/>
        <v>EXPBFUETH1</v>
      </c>
      <c r="K85" s="3">
        <f t="shared" si="17"/>
        <v>24.663</v>
      </c>
    </row>
    <row r="86" spans="2:11" x14ac:dyDescent="0.3">
      <c r="B86" t="s">
        <v>101</v>
      </c>
      <c r="D86" t="s">
        <v>192</v>
      </c>
      <c r="F86" s="9" t="str">
        <f t="shared" si="15"/>
        <v>COST</v>
      </c>
      <c r="G86" s="9">
        <f t="shared" si="15"/>
        <v>2050</v>
      </c>
      <c r="H86" t="str">
        <f t="shared" si="16"/>
        <v>EXPBFUETH2</v>
      </c>
      <c r="K86" s="3">
        <f t="shared" si="17"/>
        <v>24.663</v>
      </c>
    </row>
    <row r="87" spans="2:11" x14ac:dyDescent="0.3">
      <c r="B87" t="s">
        <v>101</v>
      </c>
      <c r="D87" t="s">
        <v>192</v>
      </c>
      <c r="F87" s="9" t="str">
        <f t="shared" si="15"/>
        <v>COST</v>
      </c>
      <c r="G87" s="9">
        <f t="shared" si="15"/>
        <v>2050</v>
      </c>
      <c r="H87" t="str">
        <f t="shared" si="16"/>
        <v>EXPBFUETH3</v>
      </c>
      <c r="K87" s="3">
        <f t="shared" si="17"/>
        <v>24.91</v>
      </c>
    </row>
    <row r="88" spans="2:11" x14ac:dyDescent="0.3">
      <c r="B88" t="s">
        <v>101</v>
      </c>
      <c r="D88" t="s">
        <v>192</v>
      </c>
      <c r="F88" s="9" t="str">
        <f t="shared" si="15"/>
        <v>COST</v>
      </c>
      <c r="G88" s="9">
        <f t="shared" si="15"/>
        <v>2050</v>
      </c>
      <c r="H88" t="str">
        <f t="shared" si="16"/>
        <v>EXPBFUFTDY</v>
      </c>
      <c r="K88" s="3">
        <f t="shared" si="17"/>
        <v>24.663</v>
      </c>
    </row>
    <row r="89" spans="2:11" x14ac:dyDescent="0.3">
      <c r="B89" t="s">
        <v>101</v>
      </c>
      <c r="D89" t="s">
        <v>192</v>
      </c>
      <c r="F89" s="9" t="str">
        <f t="shared" ref="F89:G89" si="18">F32</f>
        <v>COST</v>
      </c>
      <c r="G89" s="9">
        <f t="shared" si="18"/>
        <v>2050</v>
      </c>
      <c r="H89" t="str">
        <f t="shared" si="16"/>
        <v>EXPBFUGSL1</v>
      </c>
      <c r="K89" s="3">
        <f t="shared" si="17"/>
        <v>24.663</v>
      </c>
    </row>
    <row r="90" spans="2:11" x14ac:dyDescent="0.3">
      <c r="B90" t="s">
        <v>101</v>
      </c>
      <c r="D90" t="s">
        <v>192</v>
      </c>
      <c r="F90" s="9" t="str">
        <f t="shared" ref="F90:G90" si="19">F33</f>
        <v>COST</v>
      </c>
      <c r="G90" s="9">
        <f t="shared" si="19"/>
        <v>2050</v>
      </c>
      <c r="H90" t="str">
        <f t="shared" si="16"/>
        <v>EXPBFUGSL2</v>
      </c>
      <c r="K90" s="3">
        <f t="shared" si="17"/>
        <v>24.663</v>
      </c>
    </row>
    <row r="91" spans="2:11" x14ac:dyDescent="0.3">
      <c r="B91" t="s">
        <v>101</v>
      </c>
      <c r="D91" t="s">
        <v>192</v>
      </c>
      <c r="F91" s="9" t="str">
        <f t="shared" ref="F91:G91" si="20">F34</f>
        <v>COST</v>
      </c>
      <c r="G91" s="9">
        <f t="shared" si="20"/>
        <v>2050</v>
      </c>
      <c r="H91" t="str">
        <f t="shared" si="16"/>
        <v>EXPBFUGSL3</v>
      </c>
      <c r="K91" s="3">
        <f t="shared" si="17"/>
        <v>24.663</v>
      </c>
    </row>
    <row r="92" spans="2:11" x14ac:dyDescent="0.3">
      <c r="B92" t="s">
        <v>101</v>
      </c>
      <c r="D92" t="s">
        <v>192</v>
      </c>
      <c r="F92" s="9" t="str">
        <f t="shared" ref="F92:G93" si="21">F35</f>
        <v>COST</v>
      </c>
      <c r="G92" s="9">
        <f t="shared" si="21"/>
        <v>2050</v>
      </c>
      <c r="H92" t="str">
        <f t="shared" ref="H92:H93" si="22">REPLACE(H35,1,3,"EXP")</f>
        <v>EXPBFUGSL4</v>
      </c>
      <c r="K92" s="3">
        <f t="shared" si="17"/>
        <v>24.91</v>
      </c>
    </row>
    <row r="93" spans="2:11" x14ac:dyDescent="0.3">
      <c r="B93" t="s">
        <v>101</v>
      </c>
      <c r="D93" t="s">
        <v>192</v>
      </c>
      <c r="F93" s="9" t="str">
        <f t="shared" si="21"/>
        <v>COST</v>
      </c>
      <c r="G93" s="9">
        <f t="shared" si="21"/>
        <v>2050</v>
      </c>
      <c r="H93" t="str">
        <f t="shared" si="22"/>
        <v>EXPBFUGSLY</v>
      </c>
      <c r="K93" s="3">
        <f t="shared" si="17"/>
        <v>24.91</v>
      </c>
    </row>
    <row r="94" spans="2:11" x14ac:dyDescent="0.3">
      <c r="B94" t="s">
        <v>101</v>
      </c>
      <c r="D94" t="s">
        <v>192</v>
      </c>
      <c r="F94" s="9" t="str">
        <f t="shared" ref="F94:G105" si="23">F37</f>
        <v>COST</v>
      </c>
      <c r="G94" s="9">
        <f t="shared" si="23"/>
        <v>2050</v>
      </c>
      <c r="H94" t="str">
        <f t="shared" ref="H94:H105" si="24">REPLACE(H37,1,3,"EXP")</f>
        <v>EXPBFUMTHY</v>
      </c>
      <c r="K94" s="3">
        <f t="shared" ref="K94:K109" si="25">ROUNDDOWN(K37*K$61,3)</f>
        <v>24.663</v>
      </c>
    </row>
    <row r="95" spans="2:11" x14ac:dyDescent="0.3">
      <c r="B95" t="s">
        <v>101</v>
      </c>
      <c r="D95" t="s">
        <v>192</v>
      </c>
      <c r="F95" s="9" t="str">
        <f t="shared" si="23"/>
        <v>COST</v>
      </c>
      <c r="G95" s="9">
        <f t="shared" si="23"/>
        <v>2050</v>
      </c>
      <c r="H95" t="str">
        <f t="shared" si="24"/>
        <v>EXPBFUSNGY</v>
      </c>
      <c r="K95" s="3">
        <f t="shared" si="25"/>
        <v>24.663</v>
      </c>
    </row>
    <row r="96" spans="2:11" x14ac:dyDescent="0.3">
      <c r="B96" t="s">
        <v>101</v>
      </c>
      <c r="D96" t="s">
        <v>192</v>
      </c>
      <c r="F96" s="9" t="str">
        <f t="shared" si="23"/>
        <v>COST</v>
      </c>
      <c r="G96" s="9">
        <f t="shared" si="23"/>
        <v>2050</v>
      </c>
      <c r="H96" t="str">
        <f t="shared" si="24"/>
        <v>EXPBFUSNG1</v>
      </c>
      <c r="K96" s="3">
        <f t="shared" si="25"/>
        <v>24.663</v>
      </c>
    </row>
    <row r="97" spans="2:11" x14ac:dyDescent="0.3">
      <c r="B97" t="s">
        <v>101</v>
      </c>
      <c r="D97" t="s">
        <v>192</v>
      </c>
      <c r="F97" s="9" t="str">
        <f t="shared" si="23"/>
        <v>COST</v>
      </c>
      <c r="G97" s="9">
        <f t="shared" si="23"/>
        <v>2050</v>
      </c>
      <c r="H97" t="str">
        <f t="shared" si="24"/>
        <v>EXPBFUSNG2</v>
      </c>
      <c r="K97" s="3">
        <f t="shared" si="25"/>
        <v>24.663</v>
      </c>
    </row>
    <row r="98" spans="2:11" x14ac:dyDescent="0.3">
      <c r="B98" t="s">
        <v>101</v>
      </c>
      <c r="D98" t="s">
        <v>192</v>
      </c>
      <c r="F98" s="9" t="str">
        <f t="shared" si="23"/>
        <v>COST</v>
      </c>
      <c r="G98" s="9">
        <f t="shared" si="23"/>
        <v>2050</v>
      </c>
      <c r="H98" t="str">
        <f t="shared" si="24"/>
        <v>EXPBFUSNG3</v>
      </c>
      <c r="K98" s="3">
        <f t="shared" si="25"/>
        <v>24.91</v>
      </c>
    </row>
    <row r="99" spans="2:11" x14ac:dyDescent="0.3">
      <c r="B99" t="s">
        <v>101</v>
      </c>
      <c r="D99" t="s">
        <v>192</v>
      </c>
      <c r="F99" s="9" t="str">
        <f t="shared" si="23"/>
        <v>COST</v>
      </c>
      <c r="G99" s="9">
        <f t="shared" si="23"/>
        <v>2050</v>
      </c>
      <c r="H99" t="str">
        <f t="shared" si="24"/>
        <v>EXPBFUPLTY</v>
      </c>
      <c r="K99" s="3">
        <f t="shared" si="25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3"/>
        <v>COST</v>
      </c>
      <c r="G100" s="9">
        <f t="shared" si="23"/>
        <v>2050</v>
      </c>
      <c r="H100" t="str">
        <f t="shared" si="24"/>
        <v>EXPBIOCRPY</v>
      </c>
      <c r="K100" s="3">
        <f t="shared" si="25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3"/>
        <v>COST</v>
      </c>
      <c r="G101" s="9">
        <f t="shared" si="23"/>
        <v>2050</v>
      </c>
      <c r="H101" t="str">
        <f t="shared" si="24"/>
        <v>EXPBIOWOFY</v>
      </c>
      <c r="K101" s="3">
        <f t="shared" si="25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3"/>
        <v>COST</v>
      </c>
      <c r="G102" s="9">
        <f t="shared" si="23"/>
        <v>2050</v>
      </c>
      <c r="H102" t="str">
        <f t="shared" si="24"/>
        <v>EXPBIOWOOY</v>
      </c>
      <c r="K102" s="3">
        <f t="shared" si="25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3"/>
        <v>COST</v>
      </c>
      <c r="G103" s="9">
        <f t="shared" si="23"/>
        <v>2050</v>
      </c>
      <c r="H103" t="str">
        <f t="shared" si="24"/>
        <v>EXPBIOGAS1</v>
      </c>
      <c r="K103" s="3">
        <f t="shared" si="25"/>
        <v>7.4</v>
      </c>
    </row>
    <row r="104" spans="2:11" x14ac:dyDescent="0.3">
      <c r="B104" t="s">
        <v>101</v>
      </c>
      <c r="D104" t="s">
        <v>192</v>
      </c>
      <c r="F104" s="9" t="str">
        <f t="shared" si="23"/>
        <v>COST</v>
      </c>
      <c r="G104" s="9">
        <f t="shared" si="23"/>
        <v>2050</v>
      </c>
      <c r="H104" t="str">
        <f t="shared" si="24"/>
        <v>EXPBIOGASY</v>
      </c>
      <c r="K104" s="3">
        <f t="shared" si="25"/>
        <v>7.4</v>
      </c>
    </row>
    <row r="105" spans="2:11" x14ac:dyDescent="0.3">
      <c r="B105" t="s">
        <v>102</v>
      </c>
      <c r="D105" t="s">
        <v>192</v>
      </c>
      <c r="F105" s="9" t="str">
        <f t="shared" si="23"/>
        <v>COST</v>
      </c>
      <c r="G105" s="9">
        <f t="shared" si="23"/>
        <v>2050</v>
      </c>
      <c r="H105" t="str">
        <f t="shared" si="24"/>
        <v>EXPH2GY</v>
      </c>
      <c r="K105" s="3">
        <f t="shared" si="25"/>
        <v>35.523000000000003</v>
      </c>
    </row>
    <row r="106" spans="2:11" x14ac:dyDescent="0.3">
      <c r="B106" t="s">
        <v>102</v>
      </c>
      <c r="D106" t="s">
        <v>192</v>
      </c>
      <c r="F106" s="9" t="str">
        <f t="shared" ref="F106:G107" si="26">F49</f>
        <v>COST</v>
      </c>
      <c r="G106" s="9">
        <f t="shared" si="26"/>
        <v>2050</v>
      </c>
      <c r="H106" t="str">
        <f t="shared" ref="H106:H107" si="27">REPLACE(H49,1,3,"EXP")</f>
        <v>EXPH2G1</v>
      </c>
      <c r="K106" s="3">
        <f t="shared" si="25"/>
        <v>35.878</v>
      </c>
    </row>
    <row r="107" spans="2:11" x14ac:dyDescent="0.3">
      <c r="B107" t="s">
        <v>102</v>
      </c>
      <c r="D107" t="s">
        <v>192</v>
      </c>
      <c r="F107" s="9" t="str">
        <f t="shared" si="26"/>
        <v>COST</v>
      </c>
      <c r="G107" s="9">
        <f t="shared" si="26"/>
        <v>2050</v>
      </c>
      <c r="H107" t="str">
        <f t="shared" si="27"/>
        <v>EXPH2G2</v>
      </c>
      <c r="K107" s="3">
        <f t="shared" si="25"/>
        <v>35.878</v>
      </c>
    </row>
    <row r="108" spans="2:11" x14ac:dyDescent="0.3">
      <c r="B108" t="s">
        <v>102</v>
      </c>
      <c r="D108" t="s">
        <v>192</v>
      </c>
      <c r="F108" s="9" t="str">
        <f t="shared" ref="F108:G109" si="28">F51</f>
        <v>COST</v>
      </c>
      <c r="G108" s="9">
        <f t="shared" si="28"/>
        <v>2050</v>
      </c>
      <c r="H108" t="str">
        <f t="shared" ref="H108:H109" si="29">REPLACE(H51,1,3,"EXP")</f>
        <v>EXPH2LY</v>
      </c>
      <c r="K108" s="3">
        <f t="shared" si="25"/>
        <v>849.15</v>
      </c>
    </row>
    <row r="109" spans="2:11" x14ac:dyDescent="0.3">
      <c r="B109" t="s">
        <v>102</v>
      </c>
      <c r="D109" t="s">
        <v>192</v>
      </c>
      <c r="F109" s="9" t="str">
        <f t="shared" si="28"/>
        <v>COST</v>
      </c>
      <c r="G109" s="9">
        <f t="shared" si="28"/>
        <v>2050</v>
      </c>
      <c r="H109" t="str">
        <f t="shared" si="29"/>
        <v>EXPNUCRSVY</v>
      </c>
      <c r="K109" s="3">
        <f t="shared" si="25"/>
        <v>849.15</v>
      </c>
    </row>
    <row r="111" spans="2:11" x14ac:dyDescent="0.3">
      <c r="B111" t="s">
        <v>101</v>
      </c>
      <c r="D111" t="s">
        <v>192</v>
      </c>
      <c r="F111" s="9" t="str">
        <f t="shared" ref="F111:G114" si="30">F54</f>
        <v>COST</v>
      </c>
      <c r="G111" s="9">
        <f t="shared" si="30"/>
        <v>2050</v>
      </c>
      <c r="H111" t="str">
        <f>REPLACE(H54,1,3,"EXP")</f>
        <v>EXPBFUDSTY</v>
      </c>
      <c r="K111" s="3">
        <f>ROUNDDOWN(K54*K$61,3)</f>
        <v>24.663</v>
      </c>
    </row>
    <row r="112" spans="2:11" x14ac:dyDescent="0.3">
      <c r="B112" t="s">
        <v>101</v>
      </c>
      <c r="D112" t="s">
        <v>192</v>
      </c>
      <c r="F112" s="9" t="str">
        <f t="shared" si="30"/>
        <v>COST</v>
      </c>
      <c r="G112" s="9">
        <f t="shared" si="30"/>
        <v>2050</v>
      </c>
      <c r="H112" t="str">
        <f>REPLACE(H55,1,3,"EXP")</f>
        <v>EXPBFUDST1</v>
      </c>
      <c r="K112" s="3">
        <f>ROUNDDOWN(K55*K$61,3)</f>
        <v>24.663</v>
      </c>
    </row>
    <row r="113" spans="2:11" x14ac:dyDescent="0.3">
      <c r="B113" t="s">
        <v>101</v>
      </c>
      <c r="D113" t="s">
        <v>192</v>
      </c>
      <c r="F113" s="9" t="str">
        <f t="shared" si="30"/>
        <v>COST</v>
      </c>
      <c r="G113" s="9">
        <f t="shared" si="30"/>
        <v>2050</v>
      </c>
      <c r="H113" t="str">
        <f>REPLACE(H56,1,3,"EXP")</f>
        <v>EXPBFUDST2</v>
      </c>
      <c r="K113" s="3">
        <f>ROUNDDOWN(K56*K$61,3)</f>
        <v>24.663</v>
      </c>
    </row>
    <row r="114" spans="2:11" x14ac:dyDescent="0.3">
      <c r="B114" t="s">
        <v>101</v>
      </c>
      <c r="D114" t="s">
        <v>192</v>
      </c>
      <c r="F114" s="9" t="str">
        <f t="shared" si="30"/>
        <v>COST</v>
      </c>
      <c r="G114" s="9">
        <f t="shared" si="30"/>
        <v>2050</v>
      </c>
      <c r="H114" t="str">
        <f>REPLACE(H57,1,3,"EXP")</f>
        <v>EXPBFUDST3</v>
      </c>
      <c r="K114" s="3">
        <f>ROUNDDOWN(K57*K$61,3)</f>
        <v>24.663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4"/>
  <sheetViews>
    <sheetView zoomScale="80" zoomScaleNormal="80" workbookViewId="0">
      <selection activeCell="A5" sqref="A5:XFD5"/>
    </sheetView>
  </sheetViews>
  <sheetFormatPr defaultColWidth="9.109375" defaultRowHeight="14.4" x14ac:dyDescent="0.3"/>
  <cols>
    <col min="2" max="2" width="14.6640625" bestFit="1" customWidth="1"/>
    <col min="4" max="4" width="9.44140625" bestFit="1" customWidth="1"/>
    <col min="5" max="5" width="9.109375" bestFit="1" customWidth="1"/>
    <col min="6" max="6" width="9.88671875" bestFit="1" customWidth="1"/>
    <col min="7" max="7" width="5.5546875" style="5" bestFit="1" customWidth="1"/>
    <col min="8" max="8" width="23.109375" bestFit="1" customWidth="1"/>
    <col min="9" max="9" width="8.88671875" bestFit="1" customWidth="1"/>
    <col min="10" max="10" width="8.88671875" customWidth="1"/>
    <col min="11" max="11" width="11.6640625" bestFit="1" customWidth="1"/>
    <col min="13" max="13" width="56" bestFit="1" customWidth="1"/>
    <col min="14" max="14" width="14.5546875" bestFit="1" customWidth="1"/>
    <col min="15" max="16" width="14.5546875" customWidth="1"/>
    <col min="17" max="17" width="6.6640625" bestFit="1" customWidth="1"/>
    <col min="18" max="18" width="37.44140625" bestFit="1" customWidth="1"/>
    <col min="19" max="20" width="6.6640625" customWidth="1"/>
    <col min="21" max="21" width="10.109375" bestFit="1" customWidth="1"/>
    <col min="22" max="23" width="11.6640625" bestFit="1" customWidth="1"/>
    <col min="24" max="24" width="37.44140625" bestFit="1" customWidth="1"/>
  </cols>
  <sheetData>
    <row r="1" spans="1:23" ht="15" thickBot="1" x14ac:dyDescent="0.35">
      <c r="A1" s="4" t="s">
        <v>148</v>
      </c>
      <c r="B1" s="4"/>
      <c r="C1" s="4"/>
    </row>
    <row r="2" spans="1:23" ht="15" thickBot="1" x14ac:dyDescent="0.35">
      <c r="G2" s="6">
        <v>2065</v>
      </c>
      <c r="J2" s="12" t="str">
        <f>'INDATA prices'!B9</f>
        <v>Coal</v>
      </c>
      <c r="K2" s="3">
        <f>LOOKUP($G$2,'INDATA prices'!$C$6:$I$6,'INDATA prices'!$C9:$I9)</f>
        <v>1.5684208752980484</v>
      </c>
    </row>
    <row r="3" spans="1:23" x14ac:dyDescent="0.3">
      <c r="G3">
        <v>2065</v>
      </c>
      <c r="J3" s="12" t="str">
        <f>'INDATA prices'!B8</f>
        <v>Gas</v>
      </c>
      <c r="K3" s="3">
        <f>LOOKUP($G$2,'INDATA prices'!$C$6:$I$6,'INDATA prices'!$C8:$I8)</f>
        <v>8.9629617258529368</v>
      </c>
      <c r="M3" s="3"/>
      <c r="V3" s="37">
        <v>2030</v>
      </c>
      <c r="W3" s="37">
        <v>2050</v>
      </c>
    </row>
    <row r="4" spans="1:23" x14ac:dyDescent="0.3">
      <c r="D4" s="39" t="s">
        <v>160</v>
      </c>
      <c r="G4"/>
      <c r="J4" s="12" t="str">
        <f>'INDATA prices'!B7</f>
        <v>Oil</v>
      </c>
      <c r="K4" s="3">
        <f>LOOKUP($G$2,'INDATA prices'!$C$6:$I$6,'INDATA prices'!$C7:$I7)</f>
        <v>9.3464729863564511</v>
      </c>
    </row>
    <row r="5" spans="1:23" s="136" customFormat="1" x14ac:dyDescent="0.3">
      <c r="D5" s="157"/>
      <c r="J5" s="160"/>
      <c r="K5" s="161"/>
    </row>
    <row r="6" spans="1:23" x14ac:dyDescent="0.3">
      <c r="D6" s="162" t="s">
        <v>0</v>
      </c>
      <c r="P6" t="s">
        <v>171</v>
      </c>
    </row>
    <row r="7" spans="1:23" ht="43.8" thickBot="1" x14ac:dyDescent="0.35">
      <c r="D7" s="7" t="s">
        <v>1</v>
      </c>
      <c r="E7" s="7" t="s">
        <v>2</v>
      </c>
      <c r="F7" s="7" t="s">
        <v>3</v>
      </c>
      <c r="G7" s="8" t="s">
        <v>4</v>
      </c>
      <c r="H7" s="7" t="s">
        <v>41</v>
      </c>
      <c r="I7" s="7" t="s">
        <v>42</v>
      </c>
      <c r="J7" s="7" t="s">
        <v>6</v>
      </c>
      <c r="K7" s="7" t="s">
        <v>5</v>
      </c>
      <c r="M7" s="7" t="s">
        <v>43</v>
      </c>
      <c r="N7" s="49" t="s">
        <v>176</v>
      </c>
      <c r="O7" s="49" t="s">
        <v>175</v>
      </c>
      <c r="P7" s="7" t="s">
        <v>172</v>
      </c>
      <c r="Q7" s="7" t="s">
        <v>108</v>
      </c>
      <c r="R7" s="7" t="s">
        <v>147</v>
      </c>
      <c r="U7" s="7" t="s">
        <v>109</v>
      </c>
      <c r="V7" s="7" t="s">
        <v>5</v>
      </c>
      <c r="W7" s="7" t="s">
        <v>5</v>
      </c>
    </row>
    <row r="8" spans="1:23" x14ac:dyDescent="0.3">
      <c r="B8" t="s">
        <v>100</v>
      </c>
      <c r="D8" t="s">
        <v>192</v>
      </c>
      <c r="F8" s="9" t="str">
        <f>'Prices (2019)'!F8</f>
        <v>COST</v>
      </c>
      <c r="G8" s="10">
        <f t="shared" ref="G8:G52" si="0">$G$2</f>
        <v>2065</v>
      </c>
      <c r="H8" t="s">
        <v>9</v>
      </c>
      <c r="K8" s="3">
        <f>ROUND(LOOKUP(N8,$J$2:$J$4,$K$2:$K$4)*O8,3)</f>
        <v>1.5680000000000001</v>
      </c>
      <c r="L8" s="3"/>
      <c r="M8" t="s">
        <v>10</v>
      </c>
      <c r="N8" t="s">
        <v>45</v>
      </c>
      <c r="O8">
        <v>1</v>
      </c>
      <c r="V8" s="3">
        <f>LOOKUP($G8,'INDATA prices'!$C$6:$I$6,'INDATA prices'!$C$9:$I$9)</f>
        <v>1.5684208752980484</v>
      </c>
      <c r="W8" s="3">
        <f>LOOKUP($G8,'INDATA prices'!$C$6:$I$6,'INDATA prices'!$C$9:$I$9)</f>
        <v>1.5684208752980484</v>
      </c>
    </row>
    <row r="9" spans="1:23" x14ac:dyDescent="0.3">
      <c r="B9" t="s">
        <v>100</v>
      </c>
      <c r="D9" t="s">
        <v>192</v>
      </c>
      <c r="F9" s="9" t="str">
        <f>'Prices (2019)'!F9</f>
        <v>COST</v>
      </c>
      <c r="G9" s="10">
        <f t="shared" si="0"/>
        <v>2065</v>
      </c>
      <c r="H9" t="s">
        <v>11</v>
      </c>
      <c r="K9" s="3">
        <f t="shared" ref="K9:K17" si="1">ROUND(LOOKUP(N9,$J$2:$J$4,$K$2:$K$4)*O9,3)</f>
        <v>1.5680000000000001</v>
      </c>
      <c r="L9" s="3"/>
      <c r="M9" t="s">
        <v>12</v>
      </c>
      <c r="N9" t="s">
        <v>45</v>
      </c>
      <c r="O9">
        <v>1</v>
      </c>
      <c r="V9" s="3">
        <f>LOOKUP($G9,'INDATA prices'!$C$6:$I$6,'INDATA prices'!$C$9:$I$9)</f>
        <v>1.5684208752980484</v>
      </c>
      <c r="W9" s="3">
        <f>LOOKUP($G9,'INDATA prices'!$C$6:$I$6,'INDATA prices'!$C$9:$I$9)</f>
        <v>1.5684208752980484</v>
      </c>
    </row>
    <row r="10" spans="1:23" x14ac:dyDescent="0.3">
      <c r="B10" t="s">
        <v>100</v>
      </c>
      <c r="D10" t="s">
        <v>192</v>
      </c>
      <c r="F10" s="9" t="str">
        <f>'Prices (2019)'!F10</f>
        <v>COST</v>
      </c>
      <c r="G10" s="10">
        <f t="shared" si="0"/>
        <v>2065</v>
      </c>
      <c r="H10" t="s">
        <v>14</v>
      </c>
      <c r="K10" s="3">
        <f t="shared" si="1"/>
        <v>10.756</v>
      </c>
      <c r="L10" s="3"/>
      <c r="M10" t="s">
        <v>15</v>
      </c>
      <c r="N10" t="s">
        <v>47</v>
      </c>
      <c r="O10">
        <f>'Prices (2019)'!O10</f>
        <v>1.2</v>
      </c>
      <c r="V10" s="3">
        <f>LOOKUP($G10,'INDATA prices'!$C$6:$I$6,'INDATA prices'!$C$8:$I$8)</f>
        <v>8.9629617258529368</v>
      </c>
      <c r="W10" s="3">
        <f>LOOKUP($G10,'INDATA prices'!$C$6:$I$6,'INDATA prices'!$C$8:$I$8)</f>
        <v>8.9629617258529368</v>
      </c>
    </row>
    <row r="11" spans="1:23" x14ac:dyDescent="0.3">
      <c r="B11" t="s">
        <v>100</v>
      </c>
      <c r="D11" t="s">
        <v>192</v>
      </c>
      <c r="F11" s="9" t="str">
        <f>'Prices (2019)'!F11</f>
        <v>COST</v>
      </c>
      <c r="G11" s="10">
        <f t="shared" si="0"/>
        <v>2065</v>
      </c>
      <c r="H11" t="s">
        <v>18</v>
      </c>
      <c r="K11" s="3">
        <f t="shared" si="1"/>
        <v>9.3460000000000001</v>
      </c>
      <c r="L11" s="3"/>
      <c r="M11" t="s">
        <v>19</v>
      </c>
      <c r="N11" t="s">
        <v>107</v>
      </c>
      <c r="O11" s="3">
        <f>VLOOKUP(P11,'INDATA Fuel relations'!$B$15:$H$34,LOOKUP($G$2,'INDATA Fuel relations'!$D$14:$H$14,'INDATA Fuel relations'!$D$13:$H$13))</f>
        <v>1</v>
      </c>
      <c r="P11" t="str">
        <f>MID(H11,4,6)</f>
        <v>OILCRD</v>
      </c>
      <c r="Q11" t="str">
        <f>IF(COUNTIF('INDATA Fuel relations'!$B$15:$B$34,P11)&gt;0,"ok","FALSE")</f>
        <v>ok</v>
      </c>
      <c r="V11" s="3">
        <f>LOOKUP($G11,'INDATA prices'!$C$6:$I$6,'INDATA prices'!$C$7:$I$7)*LOOKUP(MID($H11,4,6),'INDATA Fuel relations'!$B$16:$B$34,'INDATA Fuel relations'!F$16:F$34)</f>
        <v>9.3464729863564511</v>
      </c>
      <c r="W11" s="3">
        <f>LOOKUP($G11,'INDATA prices'!$C$6:$I$6,'INDATA prices'!$C$7:$I$7)*LOOKUP(MID($H11,4,6),'INDATA Fuel relations'!$B$16:$B$34,'INDATA Fuel relations'!H$16:H$34)</f>
        <v>9.3464729863564511</v>
      </c>
    </row>
    <row r="12" spans="1:23" x14ac:dyDescent="0.3">
      <c r="B12" t="s">
        <v>100</v>
      </c>
      <c r="D12" t="s">
        <v>192</v>
      </c>
      <c r="F12" s="9" t="str">
        <f>'Prices (2019)'!F12</f>
        <v>COST</v>
      </c>
      <c r="G12" s="10">
        <f t="shared" si="0"/>
        <v>2065</v>
      </c>
      <c r="H12" t="s">
        <v>20</v>
      </c>
      <c r="K12" s="3">
        <f t="shared" si="1"/>
        <v>13.500999999999999</v>
      </c>
      <c r="L12" s="3"/>
      <c r="M12" t="s">
        <v>21</v>
      </c>
      <c r="N12" t="s">
        <v>107</v>
      </c>
      <c r="O12" s="3">
        <f>VLOOKUP(P12,'INDATA Fuel relations'!$B$15:$H$34,LOOKUP($G$2,'INDATA Fuel relations'!$D$14:$H$14,'INDATA Fuel relations'!$D$13:$H$13))</f>
        <v>1.4444623959932144</v>
      </c>
      <c r="P12" t="str">
        <f t="shared" ref="P12:P17" si="2">MID(H12,4,6)</f>
        <v>OILDST</v>
      </c>
      <c r="Q12" t="str">
        <f>IF(COUNTIF('INDATA Fuel relations'!$B$15:$B$34,P12)&gt;0,"ok","FALSE")</f>
        <v>ok</v>
      </c>
      <c r="V12" s="3">
        <f>LOOKUP($G12,'INDATA prices'!$C$6:$I$6,'INDATA prices'!$C$7:$I$7)*LOOKUP(MID($H12,4,6),'INDATA Fuel relations'!$B$16:$B$34,'INDATA Fuel relations'!F$16:F$34)</f>
        <v>13.500628763958293</v>
      </c>
      <c r="W12" s="3">
        <f>LOOKUP($G12,'INDATA prices'!$C$6:$I$6,'INDATA prices'!$C$7:$I$7)*LOOKUP(MID($H12,4,6),'INDATA Fuel relations'!$B$16:$B$34,'INDATA Fuel relations'!H$16:H$34)</f>
        <v>13.500628763958293</v>
      </c>
    </row>
    <row r="13" spans="1:23" x14ac:dyDescent="0.3">
      <c r="B13" t="s">
        <v>100</v>
      </c>
      <c r="D13" t="s">
        <v>192</v>
      </c>
      <c r="F13" s="9" t="str">
        <f>'Prices (2019)'!F13</f>
        <v>COST</v>
      </c>
      <c r="G13" s="10">
        <f t="shared" si="0"/>
        <v>2065</v>
      </c>
      <c r="H13" t="s">
        <v>22</v>
      </c>
      <c r="K13" s="3">
        <f t="shared" si="1"/>
        <v>13.500999999999999</v>
      </c>
      <c r="L13" s="3"/>
      <c r="M13" t="s">
        <v>23</v>
      </c>
      <c r="N13" t="s">
        <v>107</v>
      </c>
      <c r="O13" s="3">
        <f>VLOOKUP(P13,'INDATA Fuel relations'!$B$15:$H$34,LOOKUP($G$2,'INDATA Fuel relations'!$D$14:$H$14,'INDATA Fuel relations'!$D$13:$H$13))</f>
        <v>1.4444623959932144</v>
      </c>
      <c r="P13" t="str">
        <f t="shared" si="2"/>
        <v>OILGSL</v>
      </c>
      <c r="Q13" t="str">
        <f>IF(COUNTIF('INDATA Fuel relations'!$B$15:$B$34,P13)&gt;0,"ok","FALSE")</f>
        <v>ok</v>
      </c>
      <c r="V13" s="3">
        <f>LOOKUP($G13,'INDATA prices'!$C$6:$I$6,'INDATA prices'!$C$7:$I$7)*LOOKUP(MID($H13,4,6),'INDATA Fuel relations'!$B$16:$B$34,'INDATA Fuel relations'!F$16:F$34)</f>
        <v>13.500628763958293</v>
      </c>
      <c r="W13" s="3">
        <f>LOOKUP($G13,'INDATA prices'!$C$6:$I$6,'INDATA prices'!$C$7:$I$7)*LOOKUP(MID($H13,4,6),'INDATA Fuel relations'!$B$16:$B$34,'INDATA Fuel relations'!H$16:H$34)</f>
        <v>13.500628763958293</v>
      </c>
    </row>
    <row r="14" spans="1:23" x14ac:dyDescent="0.3">
      <c r="B14" t="s">
        <v>100</v>
      </c>
      <c r="D14" t="s">
        <v>192</v>
      </c>
      <c r="F14" s="9" t="str">
        <f>'Prices (2019)'!F14</f>
        <v>COST</v>
      </c>
      <c r="G14" s="10">
        <f t="shared" si="0"/>
        <v>2065</v>
      </c>
      <c r="H14" t="s">
        <v>24</v>
      </c>
      <c r="K14" s="3">
        <f t="shared" si="1"/>
        <v>7.5709999999999997</v>
      </c>
      <c r="L14" s="3"/>
      <c r="M14" t="s">
        <v>25</v>
      </c>
      <c r="N14" t="s">
        <v>107</v>
      </c>
      <c r="O14" s="3">
        <f>VLOOKUP(P14,'INDATA Fuel relations'!$B$15:$H$34,LOOKUP($G$2,'INDATA Fuel relations'!$D$14:$H$14,'INDATA Fuel relations'!$D$13:$H$13))</f>
        <v>0.81000080781969463</v>
      </c>
      <c r="P14" t="str">
        <f t="shared" si="2"/>
        <v>OILHFO</v>
      </c>
      <c r="Q14" t="str">
        <f>IF(COUNTIF('INDATA Fuel relations'!$B$15:$B$34,P14)&gt;0,"ok","FALSE")</f>
        <v>ok</v>
      </c>
      <c r="V14" s="3">
        <f>LOOKUP($G14,'INDATA prices'!$C$6:$I$6,'INDATA prices'!$C$7:$I$7)*LOOKUP(MID($H14,4,6),'INDATA Fuel relations'!$B$16:$B$34,'INDATA Fuel relations'!F$16:F$34)</f>
        <v>7.5706506692136788</v>
      </c>
      <c r="W14" s="3">
        <f>LOOKUP($G14,'INDATA prices'!$C$6:$I$6,'INDATA prices'!$C$7:$I$7)*LOOKUP(MID($H14,4,6),'INDATA Fuel relations'!$B$16:$B$34,'INDATA Fuel relations'!H$16:H$34)</f>
        <v>7.5706506692136788</v>
      </c>
    </row>
    <row r="15" spans="1:23" x14ac:dyDescent="0.3">
      <c r="B15" t="s">
        <v>100</v>
      </c>
      <c r="D15" t="s">
        <v>192</v>
      </c>
      <c r="F15" s="9" t="str">
        <f>'Prices (2019)'!F15</f>
        <v>COST</v>
      </c>
      <c r="G15" s="10">
        <f t="shared" si="0"/>
        <v>2065</v>
      </c>
      <c r="H15" t="s">
        <v>26</v>
      </c>
      <c r="K15" s="3">
        <f t="shared" si="1"/>
        <v>14.54</v>
      </c>
      <c r="L15" s="3"/>
      <c r="M15" t="s">
        <v>27</v>
      </c>
      <c r="N15" t="s">
        <v>107</v>
      </c>
      <c r="O15" s="3">
        <f>VLOOKUP(P15,'INDATA Fuel relations'!$B$15:$H$34,LOOKUP($G$2,'INDATA Fuel relations'!$D$14:$H$14,'INDATA Fuel relations'!$D$13:$H$13))</f>
        <v>1.5556183859762502</v>
      </c>
      <c r="P15" t="str">
        <f t="shared" si="2"/>
        <v>OILKER</v>
      </c>
      <c r="Q15" t="str">
        <f>IF(COUNTIF('INDATA Fuel relations'!$B$15:$B$34,P15)&gt;0,"ok","FALSE")</f>
        <v>ok</v>
      </c>
      <c r="V15" s="3">
        <f>LOOKUP($G15,'INDATA prices'!$C$6:$I$6,'INDATA prices'!$C$7:$I$7)*LOOKUP(MID($H15,4,6),'INDATA Fuel relations'!$B$16:$B$34,'INDATA Fuel relations'!F$16:F$34)</f>
        <v>14.539545221606446</v>
      </c>
      <c r="W15" s="3">
        <f>LOOKUP($G15,'INDATA prices'!$C$6:$I$6,'INDATA prices'!$C$7:$I$7)*LOOKUP(MID($H15,4,6),'INDATA Fuel relations'!$B$16:$B$34,'INDATA Fuel relations'!H$16:H$34)</f>
        <v>14.539545221606446</v>
      </c>
    </row>
    <row r="16" spans="1:23" x14ac:dyDescent="0.3">
      <c r="B16" t="s">
        <v>100</v>
      </c>
      <c r="D16" t="s">
        <v>192</v>
      </c>
      <c r="F16" s="9" t="str">
        <f>'Prices (2019)'!F16</f>
        <v>COST</v>
      </c>
      <c r="G16" s="10">
        <f t="shared" si="0"/>
        <v>2065</v>
      </c>
      <c r="H16" t="s">
        <v>28</v>
      </c>
      <c r="K16" s="3">
        <f t="shared" si="1"/>
        <v>10.385</v>
      </c>
      <c r="L16" s="3"/>
      <c r="M16" t="s">
        <v>29</v>
      </c>
      <c r="N16" t="s">
        <v>107</v>
      </c>
      <c r="O16" s="3">
        <f>VLOOKUP(P16,'INDATA Fuel relations'!$B$15:$H$34,LOOKUP($G$2,'INDATA Fuel relations'!$D$14:$H$14,'INDATA Fuel relations'!$D$13:$H$13))</f>
        <v>1.1111559899830359</v>
      </c>
      <c r="P16" t="str">
        <f t="shared" si="2"/>
        <v>OILLFO</v>
      </c>
      <c r="Q16" t="str">
        <f>IF(COUNTIF('INDATA Fuel relations'!$B$15:$B$34,P16)&gt;0,"ok","FALSE")</f>
        <v>ok</v>
      </c>
      <c r="V16" s="3">
        <f>LOOKUP($G16,'INDATA prices'!$C$6:$I$6,'INDATA prices'!$C$7:$I$7)*LOOKUP(MID($H16,4,6),'INDATA Fuel relations'!$B$16:$B$34,'INDATA Fuel relations'!F$16:F$34)</f>
        <v>10.385389444004604</v>
      </c>
      <c r="W16" s="3">
        <f>LOOKUP($G16,'INDATA prices'!$C$6:$I$6,'INDATA prices'!$C$7:$I$7)*LOOKUP(MID($H16,4,6),'INDATA Fuel relations'!$B$16:$B$34,'INDATA Fuel relations'!H$16:H$34)</f>
        <v>10.385389444004604</v>
      </c>
    </row>
    <row r="17" spans="2:23" x14ac:dyDescent="0.3">
      <c r="B17" t="s">
        <v>100</v>
      </c>
      <c r="D17" t="s">
        <v>192</v>
      </c>
      <c r="F17" s="9" t="str">
        <f>'Prices (2019)'!F17</f>
        <v>COST</v>
      </c>
      <c r="G17" s="10">
        <f>$G$2</f>
        <v>2065</v>
      </c>
      <c r="H17" t="s">
        <v>30</v>
      </c>
      <c r="K17" s="3">
        <f t="shared" si="1"/>
        <v>11.423999999999999</v>
      </c>
      <c r="L17" s="3"/>
      <c r="M17" t="s">
        <v>31</v>
      </c>
      <c r="N17" t="s">
        <v>107</v>
      </c>
      <c r="O17" s="3">
        <f>VLOOKUP(P17,'INDATA Fuel relations'!$B$15:$H$34,LOOKUP($G$2,'INDATA Fuel relations'!$D$14:$H$14,'INDATA Fuel relations'!$D$13:$H$13))</f>
        <v>1.2222311979966072</v>
      </c>
      <c r="P17" t="str">
        <f t="shared" si="2"/>
        <v>OILLPG</v>
      </c>
      <c r="Q17" t="str">
        <f>IF(COUNTIF('INDATA Fuel relations'!$B$15:$B$34,P17)&gt;0,"ok","FALSE")</f>
        <v>ok</v>
      </c>
      <c r="V17" s="3">
        <f>LOOKUP($G17,'INDATA prices'!$C$6:$I$6,'INDATA prices'!$C$7:$I$7)*LOOKUP(MID($H17,4,6),'INDATA Fuel relations'!$B$16:$B$34,'INDATA Fuel relations'!F$16:F$34)</f>
        <v>11.423550875157371</v>
      </c>
      <c r="W17" s="3">
        <f>LOOKUP($G17,'INDATA prices'!$C$6:$I$6,'INDATA prices'!$C$7:$I$7)*LOOKUP(MID($H17,4,6),'INDATA Fuel relations'!$B$16:$B$34,'INDATA Fuel relations'!H$16:H$34)</f>
        <v>11.423550875157371</v>
      </c>
    </row>
    <row r="18" spans="2:23" x14ac:dyDescent="0.3">
      <c r="B18" t="s">
        <v>101</v>
      </c>
      <c r="D18" t="s">
        <v>192</v>
      </c>
      <c r="F18" s="9" t="str">
        <f>'Prices (2019)'!F18</f>
        <v>COST</v>
      </c>
      <c r="G18" s="10">
        <f t="shared" ref="G18:G57" si="3">$G$2</f>
        <v>2065</v>
      </c>
      <c r="H18" t="s">
        <v>194</v>
      </c>
      <c r="K18" s="51">
        <v>1E-4</v>
      </c>
      <c r="L18" s="3"/>
      <c r="M18" t="s">
        <v>145</v>
      </c>
      <c r="N18" s="19" t="s">
        <v>62</v>
      </c>
      <c r="O18" s="3"/>
      <c r="V18">
        <v>1E-4</v>
      </c>
      <c r="W18">
        <v>1E-4</v>
      </c>
    </row>
    <row r="19" spans="2:23" x14ac:dyDescent="0.3">
      <c r="B19" t="s">
        <v>101</v>
      </c>
      <c r="D19" t="s">
        <v>192</v>
      </c>
      <c r="F19" s="9" t="str">
        <f>'Prices (2019)'!F19</f>
        <v>COST</v>
      </c>
      <c r="G19" s="10">
        <f t="shared" si="3"/>
        <v>2065</v>
      </c>
      <c r="H19" t="s">
        <v>195</v>
      </c>
      <c r="K19" s="51">
        <v>1E-4</v>
      </c>
      <c r="L19" s="3"/>
      <c r="M19" t="s">
        <v>146</v>
      </c>
      <c r="N19" s="19" t="s">
        <v>62</v>
      </c>
      <c r="O19" s="3"/>
      <c r="V19">
        <v>1E-4</v>
      </c>
      <c r="W19">
        <v>1E-4</v>
      </c>
    </row>
    <row r="20" spans="2:23" x14ac:dyDescent="0.3">
      <c r="B20" t="s">
        <v>101</v>
      </c>
      <c r="D20" t="s">
        <v>192</v>
      </c>
      <c r="F20" s="9" t="str">
        <f>'Prices (2019)'!F20</f>
        <v>COST</v>
      </c>
      <c r="G20" s="10">
        <f t="shared" si="3"/>
        <v>2065</v>
      </c>
      <c r="H20" t="s">
        <v>233</v>
      </c>
      <c r="K20" s="3">
        <f t="shared" ref="K20" si="4">ROUND(LOOKUP(N20,$J$2:$J$4,$K$2:$K$4)*O20,3)</f>
        <v>43.619</v>
      </c>
      <c r="L20" s="3"/>
      <c r="M20" t="s">
        <v>236</v>
      </c>
      <c r="N20" t="s">
        <v>107</v>
      </c>
      <c r="O20" s="3">
        <f>VLOOKUP(P20,'INDATA Fuel relations'!$B$15:$H$34,LOOKUP($G$2,'INDATA Fuel relations'!$D$14:$H$14,'INDATA Fuel relations'!$D$13:$H$13))</f>
        <v>4.6668551579287509</v>
      </c>
      <c r="P20" t="str">
        <f t="shared" ref="P20" si="5">MID(H20,4,6)</f>
        <v>BFUBJF</v>
      </c>
      <c r="Q20" t="str">
        <f>IF(COUNTIF('INDATA Fuel relations'!$B$15:$B$34,P20)&gt;0,"ok","FALSE")</f>
        <v>ok</v>
      </c>
      <c r="V20" s="3" t="e">
        <f>LOOKUP($G20,'INDATA prices'!$C$6:$I$6,'INDATA prices'!$C$7:$I$7)*LOOKUP(MID($H20,4,6),'INDATA Fuel relations'!$B$16:$B$34,'INDATA Fuel relations'!F$16:F$34)</f>
        <v>#N/A</v>
      </c>
      <c r="W20" s="3" t="e">
        <f>LOOKUP($G20,'INDATA prices'!$C$6:$I$6,'INDATA prices'!$C$7:$I$7)*LOOKUP(MID($H20,4,6),'INDATA Fuel relations'!$B$16:$B$34,'INDATA Fuel relations'!H$16:H$34)</f>
        <v>#N/A</v>
      </c>
    </row>
    <row r="21" spans="2:23" x14ac:dyDescent="0.3">
      <c r="B21" t="s">
        <v>101</v>
      </c>
      <c r="D21" t="s">
        <v>192</v>
      </c>
      <c r="F21" s="9" t="str">
        <f>'Prices (2019)'!F21</f>
        <v>COST</v>
      </c>
      <c r="G21" s="10">
        <f t="shared" si="3"/>
        <v>2065</v>
      </c>
      <c r="H21" t="s">
        <v>131</v>
      </c>
      <c r="K21" s="3">
        <f t="shared" ref="K21:K38" si="6">ROUND(LOOKUP(N21,$J$2:$J$4,$K$2:$K$4)*O21,3)</f>
        <v>27.001000000000001</v>
      </c>
      <c r="L21" s="3"/>
      <c r="M21" t="s">
        <v>270</v>
      </c>
      <c r="N21" t="s">
        <v>107</v>
      </c>
      <c r="O21" s="3">
        <f>VLOOKUP(P21,'INDATA Fuel relations'!$B$15:$H$34,LOOKUP($G$2,'INDATA Fuel relations'!$D$14:$H$14,'INDATA Fuel relations'!$D$13:$H$13))</f>
        <v>2.8889247919864287</v>
      </c>
      <c r="P21" t="str">
        <f t="shared" ref="P21:P41" si="7">MID(H21,4,6)</f>
        <v>BFUDME</v>
      </c>
      <c r="Q21" t="str">
        <f>IF(COUNTIF('INDATA Fuel relations'!$B$15:$B$34,P21)&gt;0,"ok","FALSE")</f>
        <v>ok</v>
      </c>
      <c r="V21" s="3">
        <f>LOOKUP($G21,'INDATA prices'!$C$6:$I$6,'INDATA prices'!$C$7:$I$7)*LOOKUP(MID($H21,4,6),'INDATA Fuel relations'!$B$16:$B$34,'INDATA Fuel relations'!F$16:F$34)</f>
        <v>29.701383280708246</v>
      </c>
      <c r="W21" s="3">
        <f>LOOKUP($G21,'INDATA prices'!$C$6:$I$6,'INDATA prices'!$C$7:$I$7)*LOOKUP(MID($H21,4,6),'INDATA Fuel relations'!$B$16:$B$34,'INDATA Fuel relations'!H$16:H$34)</f>
        <v>27.001257527916586</v>
      </c>
    </row>
    <row r="22" spans="2:23" x14ac:dyDescent="0.3">
      <c r="B22" t="s">
        <v>101</v>
      </c>
      <c r="D22" t="s">
        <v>192</v>
      </c>
      <c r="F22" s="9" t="s">
        <v>7</v>
      </c>
      <c r="G22" s="10">
        <f>$G$2</f>
        <v>2065</v>
      </c>
      <c r="H22" t="s">
        <v>237</v>
      </c>
      <c r="K22" s="3">
        <f>$K$23*O22</f>
        <v>26.730990000000002</v>
      </c>
      <c r="L22" s="3"/>
      <c r="M22" t="s">
        <v>280</v>
      </c>
      <c r="N22" t="s">
        <v>132</v>
      </c>
      <c r="O22" s="3">
        <v>0.99</v>
      </c>
      <c r="P22" t="str">
        <f>MID(H22,4,6)</f>
        <v>BFUDST</v>
      </c>
      <c r="Q22" t="str">
        <f>IF(COUNTIF('INDATA Fuel relations'!$B$15:$B$34,P22)&gt;0,"ok","FALSE")</f>
        <v>ok</v>
      </c>
      <c r="V22" s="3"/>
      <c r="W22" s="3"/>
    </row>
    <row r="23" spans="2:23" x14ac:dyDescent="0.3">
      <c r="B23" t="s">
        <v>101</v>
      </c>
      <c r="D23" t="s">
        <v>192</v>
      </c>
      <c r="F23" s="9" t="s">
        <v>7</v>
      </c>
      <c r="G23" s="10">
        <f t="shared" si="3"/>
        <v>2065</v>
      </c>
      <c r="H23" t="s">
        <v>240</v>
      </c>
      <c r="K23" s="3">
        <f t="shared" si="6"/>
        <v>27.001000000000001</v>
      </c>
      <c r="L23" s="3"/>
      <c r="M23" t="s">
        <v>258</v>
      </c>
      <c r="N23" t="s">
        <v>107</v>
      </c>
      <c r="O23" s="3">
        <f>VLOOKUP(P23,'INDATA Fuel relations'!$B$15:$H$34,LOOKUP($G$2,'INDATA Fuel relations'!$D$14:$H$14,'INDATA Fuel relations'!$D$13:$H$13))</f>
        <v>2.8889247919864287</v>
      </c>
      <c r="P23" t="str">
        <f>P57</f>
        <v>BFUDST</v>
      </c>
      <c r="Q23" t="str">
        <f>IF(COUNTIF('INDATA Fuel relations'!$B$15:$B$34,P23)&gt;0,"ok","FALSE")</f>
        <v>ok</v>
      </c>
      <c r="V23" s="3"/>
      <c r="W23" s="3"/>
    </row>
    <row r="24" spans="2:23" x14ac:dyDescent="0.3">
      <c r="B24" t="s">
        <v>101</v>
      </c>
      <c r="D24" t="s">
        <v>192</v>
      </c>
      <c r="F24" s="9" t="s">
        <v>7</v>
      </c>
      <c r="G24" s="10">
        <f t="shared" si="3"/>
        <v>2065</v>
      </c>
      <c r="H24" t="s">
        <v>241</v>
      </c>
      <c r="K24" s="3">
        <f>$K$23*O24</f>
        <v>27.001000000000001</v>
      </c>
      <c r="L24" s="3"/>
      <c r="M24" t="s">
        <v>259</v>
      </c>
      <c r="N24" t="s">
        <v>132</v>
      </c>
      <c r="O24" s="3">
        <f>'Prices (2019)'!O24</f>
        <v>1</v>
      </c>
      <c r="P24" t="str">
        <f t="shared" ref="P24:P26" si="8">P23</f>
        <v>BFUDST</v>
      </c>
      <c r="Q24" t="str">
        <f>IF(COUNTIF('INDATA Fuel relations'!$B$15:$B$34,P24)&gt;0,"ok","FALSE")</f>
        <v>ok</v>
      </c>
      <c r="V24" s="3"/>
      <c r="W24" s="3"/>
    </row>
    <row r="25" spans="2:23" x14ac:dyDescent="0.3">
      <c r="B25" t="s">
        <v>101</v>
      </c>
      <c r="D25" t="s">
        <v>192</v>
      </c>
      <c r="F25" s="9" t="s">
        <v>7</v>
      </c>
      <c r="G25" s="10">
        <f t="shared" si="3"/>
        <v>2065</v>
      </c>
      <c r="H25" t="s">
        <v>242</v>
      </c>
      <c r="K25" s="3">
        <f t="shared" ref="K25:K26" si="9">$K$23*O25</f>
        <v>27.001000000000001</v>
      </c>
      <c r="L25" s="3"/>
      <c r="M25" t="s">
        <v>260</v>
      </c>
      <c r="N25" t="s">
        <v>132</v>
      </c>
      <c r="O25" s="3">
        <f>'Prices (2019)'!O25</f>
        <v>1</v>
      </c>
      <c r="P25" t="str">
        <f t="shared" si="8"/>
        <v>BFUDST</v>
      </c>
      <c r="Q25" t="str">
        <f>IF(COUNTIF('INDATA Fuel relations'!$B$15:$B$34,P25)&gt;0,"ok","FALSE")</f>
        <v>ok</v>
      </c>
      <c r="V25" s="3"/>
      <c r="W25" s="3"/>
    </row>
    <row r="26" spans="2:23" x14ac:dyDescent="0.3">
      <c r="B26" t="s">
        <v>101</v>
      </c>
      <c r="D26" t="s">
        <v>192</v>
      </c>
      <c r="F26" s="9" t="s">
        <v>7</v>
      </c>
      <c r="G26" s="10">
        <f t="shared" si="3"/>
        <v>2065</v>
      </c>
      <c r="H26" t="s">
        <v>243</v>
      </c>
      <c r="K26" s="3">
        <f t="shared" si="9"/>
        <v>27.27101</v>
      </c>
      <c r="L26" s="3"/>
      <c r="M26" t="s">
        <v>261</v>
      </c>
      <c r="N26" t="s">
        <v>132</v>
      </c>
      <c r="O26" s="3">
        <f>'Prices (2019)'!O26</f>
        <v>1.01</v>
      </c>
      <c r="P26" t="str">
        <f t="shared" si="8"/>
        <v>BFUDST</v>
      </c>
      <c r="Q26" t="str">
        <f>IF(COUNTIF('INDATA Fuel relations'!$B$15:$B$34,P26)&gt;0,"ok","FALSE")</f>
        <v>ok</v>
      </c>
      <c r="V26" s="3"/>
      <c r="W26" s="3"/>
    </row>
    <row r="27" spans="2:23" x14ac:dyDescent="0.3">
      <c r="B27" t="s">
        <v>101</v>
      </c>
      <c r="D27" t="s">
        <v>192</v>
      </c>
      <c r="F27" s="9" t="str">
        <f>'Prices (2019)'!F27</f>
        <v>COST</v>
      </c>
      <c r="G27" s="10">
        <f t="shared" si="3"/>
        <v>2065</v>
      </c>
      <c r="H27" t="s">
        <v>133</v>
      </c>
      <c r="K27" s="3">
        <f t="shared" si="6"/>
        <v>27.001000000000001</v>
      </c>
      <c r="L27" s="3"/>
      <c r="M27" t="s">
        <v>262</v>
      </c>
      <c r="N27" t="s">
        <v>107</v>
      </c>
      <c r="O27" s="3">
        <f>VLOOKUP(P27,'INDATA Fuel relations'!$B$15:$H$34,LOOKUP($G$2,'INDATA Fuel relations'!$D$14:$H$14,'INDATA Fuel relations'!$D$13:$H$13))</f>
        <v>2.8889247919864287</v>
      </c>
      <c r="P27" t="str">
        <f t="shared" si="7"/>
        <v>BFUETH</v>
      </c>
      <c r="Q27" t="str">
        <f>IF(COUNTIF('INDATA Fuel relations'!$B$15:$B$34,P27)&gt;0,"ok","FALSE")</f>
        <v>ok</v>
      </c>
      <c r="V27" s="3">
        <f>LOOKUP($G27,'INDATA prices'!$C$6:$I$6,'INDATA prices'!$C$7:$I$7)*LOOKUP(MID($H27,4,6),'INDATA Fuel relations'!$B$16:$B$34,'INDATA Fuel relations'!F$16:F$34)</f>
        <v>29.701383280708246</v>
      </c>
      <c r="W27" s="3">
        <f>LOOKUP($G27,'INDATA prices'!$C$6:$I$6,'INDATA prices'!$C$7:$I$7)*LOOKUP(MID($H27,4,6),'INDATA Fuel relations'!$B$16:$B$34,'INDATA Fuel relations'!H$16:H$34)</f>
        <v>27.001257527916586</v>
      </c>
    </row>
    <row r="28" spans="2:23" x14ac:dyDescent="0.3">
      <c r="B28" t="s">
        <v>101</v>
      </c>
      <c r="D28" t="s">
        <v>192</v>
      </c>
      <c r="F28" s="9" t="s">
        <v>7</v>
      </c>
      <c r="G28" s="10">
        <f t="shared" si="3"/>
        <v>2065</v>
      </c>
      <c r="H28" t="s">
        <v>244</v>
      </c>
      <c r="K28" s="3">
        <f>$K$27*O28</f>
        <v>27.001000000000001</v>
      </c>
      <c r="L28" s="3"/>
      <c r="M28" t="s">
        <v>263</v>
      </c>
      <c r="N28" t="s">
        <v>133</v>
      </c>
      <c r="O28" s="3">
        <f>'Prices (2019)'!O28</f>
        <v>1</v>
      </c>
      <c r="P28" t="s">
        <v>123</v>
      </c>
      <c r="Q28" t="str">
        <f>IF(COUNTIF('INDATA Fuel relations'!$B$15:$B$34,P28)&gt;0,"ok","FALSE")</f>
        <v>ok</v>
      </c>
      <c r="V28" s="3"/>
      <c r="W28" s="3"/>
    </row>
    <row r="29" spans="2:23" x14ac:dyDescent="0.3">
      <c r="B29" t="s">
        <v>101</v>
      </c>
      <c r="D29" t="s">
        <v>192</v>
      </c>
      <c r="F29" s="9" t="s">
        <v>7</v>
      </c>
      <c r="G29" s="10">
        <f t="shared" si="3"/>
        <v>2065</v>
      </c>
      <c r="H29" t="s">
        <v>245</v>
      </c>
      <c r="K29" s="3">
        <f t="shared" ref="K29:K30" si="10">$K$27*O29</f>
        <v>27.001000000000001</v>
      </c>
      <c r="L29" s="3"/>
      <c r="M29" t="s">
        <v>264</v>
      </c>
      <c r="N29" t="s">
        <v>133</v>
      </c>
      <c r="O29" s="3">
        <f>'Prices (2019)'!O29</f>
        <v>1</v>
      </c>
      <c r="P29" t="s">
        <v>123</v>
      </c>
      <c r="Q29" t="str">
        <f>IF(COUNTIF('INDATA Fuel relations'!$B$15:$B$34,P29)&gt;0,"ok","FALSE")</f>
        <v>ok</v>
      </c>
      <c r="V29" s="3"/>
      <c r="W29" s="3"/>
    </row>
    <row r="30" spans="2:23" x14ac:dyDescent="0.3">
      <c r="B30" t="s">
        <v>101</v>
      </c>
      <c r="D30" t="s">
        <v>192</v>
      </c>
      <c r="F30" s="9" t="s">
        <v>7</v>
      </c>
      <c r="G30" s="10">
        <f t="shared" si="3"/>
        <v>2065</v>
      </c>
      <c r="H30" t="s">
        <v>246</v>
      </c>
      <c r="K30" s="3">
        <f t="shared" si="10"/>
        <v>27.27101</v>
      </c>
      <c r="L30" s="3"/>
      <c r="M30" t="s">
        <v>265</v>
      </c>
      <c r="N30" t="s">
        <v>133</v>
      </c>
      <c r="O30" s="3">
        <f>'Prices (2019)'!O30</f>
        <v>1.01</v>
      </c>
      <c r="P30" t="s">
        <v>123</v>
      </c>
      <c r="Q30" t="str">
        <f>IF(COUNTIF('INDATA Fuel relations'!$B$15:$B$34,P30)&gt;0,"ok","FALSE")</f>
        <v>ok</v>
      </c>
      <c r="V30" s="3"/>
      <c r="W30" s="3"/>
    </row>
    <row r="31" spans="2:23" x14ac:dyDescent="0.3">
      <c r="B31" t="s">
        <v>101</v>
      </c>
      <c r="D31" t="s">
        <v>192</v>
      </c>
      <c r="F31" s="9" t="str">
        <f>'Prices (2019)'!F31</f>
        <v>COST</v>
      </c>
      <c r="G31" s="10">
        <f t="shared" si="3"/>
        <v>2065</v>
      </c>
      <c r="H31" t="s">
        <v>134</v>
      </c>
      <c r="K31" s="3">
        <f t="shared" si="6"/>
        <v>27.001000000000001</v>
      </c>
      <c r="L31" s="3"/>
      <c r="M31" t="s">
        <v>141</v>
      </c>
      <c r="N31" t="s">
        <v>107</v>
      </c>
      <c r="O31" s="3">
        <f>VLOOKUP(P31,'INDATA Fuel relations'!$B$15:$H$34,LOOKUP($G$2,'INDATA Fuel relations'!$D$14:$H$14,'INDATA Fuel relations'!$D$13:$H$13))</f>
        <v>2.8889247919864287</v>
      </c>
      <c r="P31" t="str">
        <f t="shared" si="7"/>
        <v>BFUFTD</v>
      </c>
      <c r="Q31" t="str">
        <f>IF(COUNTIF('INDATA Fuel relations'!$B$15:$B$34,P31)&gt;0,"ok","FALSE")</f>
        <v>ok</v>
      </c>
      <c r="V31" s="3">
        <f>LOOKUP($G31,'INDATA prices'!$C$6:$I$6,'INDATA prices'!$C$7:$I$7)*LOOKUP(MID($H31,4,6),'INDATA Fuel relations'!$B$16:$B$34,'INDATA Fuel relations'!F$16:F$34)</f>
        <v>36.451697662687394</v>
      </c>
      <c r="W31" s="3">
        <f>LOOKUP($G31,'INDATA prices'!$C$6:$I$6,'INDATA prices'!$C$7:$I$7)*LOOKUP(MID($H31,4,6),'INDATA Fuel relations'!$B$16:$B$34,'INDATA Fuel relations'!H$16:H$34)</f>
        <v>27.001257527916586</v>
      </c>
    </row>
    <row r="32" spans="2:23" x14ac:dyDescent="0.3">
      <c r="B32" t="s">
        <v>101</v>
      </c>
      <c r="D32" t="s">
        <v>192</v>
      </c>
      <c r="F32" s="9" t="s">
        <v>7</v>
      </c>
      <c r="G32" s="10">
        <f t="shared" si="3"/>
        <v>2065</v>
      </c>
      <c r="H32" t="s">
        <v>281</v>
      </c>
      <c r="K32" s="3">
        <f t="shared" si="6"/>
        <v>27.001000000000001</v>
      </c>
      <c r="L32" s="3"/>
      <c r="M32" t="s">
        <v>286</v>
      </c>
      <c r="N32" t="s">
        <v>107</v>
      </c>
      <c r="O32" s="3">
        <f>VLOOKUP(P32,'INDATA Fuel relations'!$B$15:$H$34,LOOKUP($G$2,'INDATA Fuel relations'!$D$14:$H$14,'INDATA Fuel relations'!$D$13:$H$13))</f>
        <v>2.8889247919864287</v>
      </c>
      <c r="P32" t="s">
        <v>285</v>
      </c>
      <c r="Q32" t="str">
        <f>IF(COUNTIF('INDATA Fuel relations'!$B$15:$B$34,P32)&gt;0,"ok","FALSE")</f>
        <v>ok</v>
      </c>
      <c r="V32" s="3"/>
      <c r="W32" s="3"/>
    </row>
    <row r="33" spans="2:23" x14ac:dyDescent="0.3">
      <c r="B33" t="s">
        <v>101</v>
      </c>
      <c r="D33" t="s">
        <v>192</v>
      </c>
      <c r="F33" s="9" t="s">
        <v>7</v>
      </c>
      <c r="G33" s="10">
        <f t="shared" si="3"/>
        <v>2065</v>
      </c>
      <c r="H33" t="s">
        <v>282</v>
      </c>
      <c r="K33" s="3">
        <f>$K$32*O33</f>
        <v>27.001000000000001</v>
      </c>
      <c r="L33" s="3"/>
      <c r="M33" t="s">
        <v>287</v>
      </c>
      <c r="N33" t="s">
        <v>285</v>
      </c>
      <c r="O33" s="3">
        <v>1</v>
      </c>
      <c r="P33" t="s">
        <v>285</v>
      </c>
      <c r="Q33" t="str">
        <f>IF(COUNTIF('INDATA Fuel relations'!$B$15:$B$34,P33)&gt;0,"ok","FALSE")</f>
        <v>ok</v>
      </c>
      <c r="V33" s="3"/>
      <c r="W33" s="3"/>
    </row>
    <row r="34" spans="2:23" x14ac:dyDescent="0.3">
      <c r="B34" t="s">
        <v>101</v>
      </c>
      <c r="D34" t="s">
        <v>192</v>
      </c>
      <c r="F34" s="9" t="s">
        <v>7</v>
      </c>
      <c r="G34" s="10">
        <f t="shared" si="3"/>
        <v>2065</v>
      </c>
      <c r="H34" t="s">
        <v>283</v>
      </c>
      <c r="K34" s="3">
        <f t="shared" ref="K34:K36" si="11">$K$32*O34</f>
        <v>27.001000000000001</v>
      </c>
      <c r="L34" s="3"/>
      <c r="M34" t="s">
        <v>288</v>
      </c>
      <c r="N34" t="s">
        <v>285</v>
      </c>
      <c r="O34" s="3">
        <v>1</v>
      </c>
      <c r="P34" t="s">
        <v>285</v>
      </c>
      <c r="Q34" t="str">
        <f>IF(COUNTIF('INDATA Fuel relations'!$B$15:$B$34,P34)&gt;0,"ok","FALSE")</f>
        <v>ok</v>
      </c>
      <c r="V34" s="3"/>
      <c r="W34" s="3"/>
    </row>
    <row r="35" spans="2:23" x14ac:dyDescent="0.3">
      <c r="B35" t="s">
        <v>101</v>
      </c>
      <c r="D35" t="s">
        <v>192</v>
      </c>
      <c r="F35" s="9" t="s">
        <v>7</v>
      </c>
      <c r="G35" s="10">
        <f t="shared" si="3"/>
        <v>2065</v>
      </c>
      <c r="H35" t="s">
        <v>292</v>
      </c>
      <c r="K35" s="3">
        <f t="shared" si="11"/>
        <v>27.27101</v>
      </c>
      <c r="L35" s="3"/>
      <c r="M35" t="s">
        <v>293</v>
      </c>
      <c r="N35" t="s">
        <v>285</v>
      </c>
      <c r="O35" s="3">
        <v>1.01</v>
      </c>
      <c r="P35" t="s">
        <v>285</v>
      </c>
      <c r="Q35" t="str">
        <f>IF(COUNTIF('INDATA Fuel relations'!$B$15:$B$34,P35)&gt;0,"ok","FALSE")</f>
        <v>ok</v>
      </c>
      <c r="V35" s="3"/>
      <c r="W35" s="3"/>
    </row>
    <row r="36" spans="2:23" x14ac:dyDescent="0.3">
      <c r="B36" t="s">
        <v>101</v>
      </c>
      <c r="D36" t="s">
        <v>192</v>
      </c>
      <c r="F36" s="9" t="s">
        <v>7</v>
      </c>
      <c r="G36" s="10">
        <f t="shared" si="3"/>
        <v>2065</v>
      </c>
      <c r="H36" t="s">
        <v>284</v>
      </c>
      <c r="K36" s="3">
        <f t="shared" si="11"/>
        <v>27.27101</v>
      </c>
      <c r="L36" s="3"/>
      <c r="M36" t="s">
        <v>291</v>
      </c>
      <c r="N36" t="s">
        <v>285</v>
      </c>
      <c r="O36" s="3">
        <v>1.01</v>
      </c>
      <c r="P36" t="s">
        <v>285</v>
      </c>
      <c r="Q36" t="str">
        <f>IF(COUNTIF('INDATA Fuel relations'!$B$15:$B$34,P36)&gt;0,"ok","FALSE")</f>
        <v>ok</v>
      </c>
      <c r="V36" s="3"/>
      <c r="W36" s="3"/>
    </row>
    <row r="37" spans="2:23" x14ac:dyDescent="0.3">
      <c r="B37" t="s">
        <v>101</v>
      </c>
      <c r="D37" t="s">
        <v>192</v>
      </c>
      <c r="F37" s="9" t="str">
        <f>'Prices (2019)'!F37</f>
        <v>COST</v>
      </c>
      <c r="G37" s="10">
        <f t="shared" si="3"/>
        <v>2065</v>
      </c>
      <c r="H37" t="s">
        <v>135</v>
      </c>
      <c r="K37" s="3">
        <f t="shared" si="6"/>
        <v>27.001000000000001</v>
      </c>
      <c r="L37" s="3"/>
      <c r="M37" t="s">
        <v>144</v>
      </c>
      <c r="N37" t="s">
        <v>107</v>
      </c>
      <c r="O37" s="3">
        <f>VLOOKUP(P37,'INDATA Fuel relations'!$B$15:$H$34,LOOKUP($G$2,'INDATA Fuel relations'!$D$14:$H$14,'INDATA Fuel relations'!$D$13:$H$13))</f>
        <v>2.8889247919864287</v>
      </c>
      <c r="P37" t="str">
        <f t="shared" si="7"/>
        <v>BFUMTH</v>
      </c>
      <c r="Q37" t="str">
        <f>IF(COUNTIF('INDATA Fuel relations'!$B$15:$B$34,P37)&gt;0,"ok","FALSE")</f>
        <v>ok</v>
      </c>
      <c r="V37" s="3">
        <f>LOOKUP($G37,'INDATA prices'!$C$6:$I$6,'INDATA prices'!$C$7:$I$7)*LOOKUP(MID($H37,4,6),'INDATA Fuel relations'!$B$16:$B$34,'INDATA Fuel relations'!F$16:F$34)</f>
        <v>29.701383280708246</v>
      </c>
      <c r="W37" s="3">
        <f>LOOKUP($G37,'INDATA prices'!$C$6:$I$6,'INDATA prices'!$C$7:$I$7)*LOOKUP(MID($H37,4,6),'INDATA Fuel relations'!$B$16:$B$34,'INDATA Fuel relations'!H$16:H$34)</f>
        <v>27.001257527916586</v>
      </c>
    </row>
    <row r="38" spans="2:23" x14ac:dyDescent="0.3">
      <c r="B38" t="s">
        <v>101</v>
      </c>
      <c r="D38" t="s">
        <v>192</v>
      </c>
      <c r="F38" s="9" t="str">
        <f>'Prices (2019)'!F38</f>
        <v>COST</v>
      </c>
      <c r="G38" s="10">
        <f t="shared" si="3"/>
        <v>2065</v>
      </c>
      <c r="H38" t="s">
        <v>136</v>
      </c>
      <c r="K38" s="3">
        <f t="shared" si="6"/>
        <v>27.001000000000001</v>
      </c>
      <c r="L38" s="3"/>
      <c r="M38" t="s">
        <v>266</v>
      </c>
      <c r="N38" t="s">
        <v>107</v>
      </c>
      <c r="O38" s="3">
        <f>VLOOKUP(P38,'INDATA Fuel relations'!$B$15:$H$34,LOOKUP($G$2,'INDATA Fuel relations'!$D$14:$H$14,'INDATA Fuel relations'!$D$13:$H$13))</f>
        <v>2.8889247919864287</v>
      </c>
      <c r="P38" t="str">
        <f t="shared" si="7"/>
        <v>BFUSNG</v>
      </c>
      <c r="Q38" t="str">
        <f>IF(COUNTIF('INDATA Fuel relations'!$B$15:$B$34,P38)&gt;0,"ok","FALSE")</f>
        <v>ok</v>
      </c>
      <c r="R38" t="s">
        <v>178</v>
      </c>
      <c r="V38" s="32">
        <f>LOOKUP($G38,'INDATA prices'!$C$6:$I$6,'INDATA prices'!$C$7:$I$7)*LOOKUP(MID($H38,4,6),'INDATA Fuel relations'!$B$16:$B$34,'INDATA Fuel relations'!F$16:F$34)</f>
        <v>29.701383280708246</v>
      </c>
      <c r="W38" s="32">
        <f>LOOKUP($G38,'INDATA prices'!$C$6:$I$6,'INDATA prices'!$C$7:$I$7)*LOOKUP(MID($H38,4,6),'INDATA Fuel relations'!$B$16:$B$34,'INDATA Fuel relations'!H$16:H$34)</f>
        <v>27.001257527916586</v>
      </c>
    </row>
    <row r="39" spans="2:23" x14ac:dyDescent="0.3">
      <c r="B39" t="s">
        <v>101</v>
      </c>
      <c r="D39" t="s">
        <v>192</v>
      </c>
      <c r="F39" s="9" t="s">
        <v>7</v>
      </c>
      <c r="G39" s="10">
        <f t="shared" si="3"/>
        <v>2065</v>
      </c>
      <c r="H39" t="s">
        <v>250</v>
      </c>
      <c r="K39" s="3">
        <f>$K$38*O39</f>
        <v>27.001000000000001</v>
      </c>
      <c r="L39" s="3"/>
      <c r="M39" t="s">
        <v>267</v>
      </c>
      <c r="N39" t="s">
        <v>125</v>
      </c>
      <c r="O39" s="3">
        <f>'Prices (2019)'!O39</f>
        <v>1</v>
      </c>
      <c r="P39" t="str">
        <f t="shared" si="7"/>
        <v>BFUSNG</v>
      </c>
      <c r="Q39" t="str">
        <f>IF(COUNTIF('INDATA Fuel relations'!$B$15:$B$34,P39)&gt;0,"ok","FALSE")</f>
        <v>ok</v>
      </c>
      <c r="V39" s="32"/>
      <c r="W39" s="32"/>
    </row>
    <row r="40" spans="2:23" x14ac:dyDescent="0.3">
      <c r="B40" t="s">
        <v>101</v>
      </c>
      <c r="D40" t="s">
        <v>192</v>
      </c>
      <c r="F40" s="9" t="s">
        <v>7</v>
      </c>
      <c r="G40" s="10">
        <f t="shared" si="3"/>
        <v>2065</v>
      </c>
      <c r="H40" t="s">
        <v>251</v>
      </c>
      <c r="K40" s="3">
        <f t="shared" ref="K40:K41" si="12">$K$38*O40</f>
        <v>27.001000000000001</v>
      </c>
      <c r="L40" s="3"/>
      <c r="M40" t="s">
        <v>269</v>
      </c>
      <c r="N40" t="s">
        <v>125</v>
      </c>
      <c r="O40" s="3">
        <f>'Prices (2019)'!O40</f>
        <v>1</v>
      </c>
      <c r="P40" t="str">
        <f t="shared" si="7"/>
        <v>BFUSNG</v>
      </c>
      <c r="Q40" t="str">
        <f>IF(COUNTIF('INDATA Fuel relations'!$B$15:$B$34,P40)&gt;0,"ok","FALSE")</f>
        <v>ok</v>
      </c>
      <c r="V40" s="32"/>
      <c r="W40" s="32"/>
    </row>
    <row r="41" spans="2:23" x14ac:dyDescent="0.3">
      <c r="B41" t="s">
        <v>101</v>
      </c>
      <c r="D41" t="s">
        <v>192</v>
      </c>
      <c r="F41" s="9" t="s">
        <v>7</v>
      </c>
      <c r="G41" s="10">
        <f t="shared" si="3"/>
        <v>2065</v>
      </c>
      <c r="H41" t="s">
        <v>252</v>
      </c>
      <c r="K41" s="3">
        <f t="shared" si="12"/>
        <v>27.27101</v>
      </c>
      <c r="L41" s="3"/>
      <c r="M41" t="s">
        <v>268</v>
      </c>
      <c r="N41" t="s">
        <v>125</v>
      </c>
      <c r="O41" s="3">
        <f>'Prices (2019)'!O41</f>
        <v>1.01</v>
      </c>
      <c r="P41" t="str">
        <f t="shared" si="7"/>
        <v>BFUSNG</v>
      </c>
      <c r="Q41" t="str">
        <f>IF(COUNTIF('INDATA Fuel relations'!$B$15:$B$34,P41)&gt;0,"ok","FALSE")</f>
        <v>ok</v>
      </c>
      <c r="V41" s="32"/>
      <c r="W41" s="32"/>
    </row>
    <row r="42" spans="2:23" x14ac:dyDescent="0.3">
      <c r="B42" t="s">
        <v>101</v>
      </c>
      <c r="D42" t="s">
        <v>192</v>
      </c>
      <c r="F42" s="9" t="str">
        <f>'Prices (2019)'!F42</f>
        <v>COST</v>
      </c>
      <c r="G42" s="10">
        <f t="shared" si="3"/>
        <v>2065</v>
      </c>
      <c r="H42" t="s">
        <v>140</v>
      </c>
      <c r="K42" s="51">
        <f>LOOKUP($G42,'INDATA prices'!$C$6:$I$6,'INDATA prices'!$C$13:$I$13)</f>
        <v>7.839999999999999</v>
      </c>
      <c r="L42" s="3"/>
      <c r="M42" t="s">
        <v>142</v>
      </c>
      <c r="O42">
        <v>1</v>
      </c>
      <c r="V42">
        <f>LOOKUP($G42,'INDATA prices'!$C$6:$I$6,'INDATA prices'!$C$13:$I$13)</f>
        <v>7.839999999999999</v>
      </c>
      <c r="W42">
        <f>LOOKUP($G42,'INDATA prices'!$C$6:$I$6,'INDATA prices'!$C$13:$I$13)</f>
        <v>7.839999999999999</v>
      </c>
    </row>
    <row r="43" spans="2:23" x14ac:dyDescent="0.3">
      <c r="B43" t="s">
        <v>101</v>
      </c>
      <c r="D43" t="s">
        <v>192</v>
      </c>
      <c r="F43" s="9" t="str">
        <f>'Prices (2019)'!F43</f>
        <v>COST</v>
      </c>
      <c r="G43" s="10">
        <f t="shared" si="3"/>
        <v>2065</v>
      </c>
      <c r="H43" t="s">
        <v>143</v>
      </c>
      <c r="K43" s="52">
        <f>LOOKUP($G43,'INDATA prices'!$C$6:$I$6,'INDATA prices'!$C$13:$I$13)</f>
        <v>7.839999999999999</v>
      </c>
      <c r="L43" s="3"/>
      <c r="M43" t="s">
        <v>180</v>
      </c>
      <c r="N43" t="s">
        <v>173</v>
      </c>
      <c r="O43">
        <v>1</v>
      </c>
      <c r="R43" t="s">
        <v>177</v>
      </c>
    </row>
    <row r="44" spans="2:23" x14ac:dyDescent="0.3">
      <c r="B44" t="s">
        <v>101</v>
      </c>
      <c r="D44" t="s">
        <v>192</v>
      </c>
      <c r="F44" s="9" t="str">
        <f>'Prices (2019)'!F44</f>
        <v>COST</v>
      </c>
      <c r="G44" s="10">
        <f t="shared" si="3"/>
        <v>2065</v>
      </c>
      <c r="H44" t="s">
        <v>139</v>
      </c>
      <c r="K44" s="51">
        <f>LOOKUP($G44,'INDATA prices'!$C$6:$I$6,'INDATA prices'!$C$12:$I$12)</f>
        <v>5.04</v>
      </c>
      <c r="L44" s="3"/>
      <c r="M44" t="s">
        <v>181</v>
      </c>
      <c r="N44" t="s">
        <v>173</v>
      </c>
      <c r="O44">
        <v>1</v>
      </c>
      <c r="R44" t="s">
        <v>177</v>
      </c>
      <c r="V44">
        <f>LOOKUP($G44,'INDATA prices'!$C$6:$I$6,'INDATA prices'!$C$12:$I$12)</f>
        <v>5.04</v>
      </c>
      <c r="W44">
        <f>LOOKUP($G44,'INDATA prices'!$C$6:$I$6,'INDATA prices'!$C$12:$I$12)</f>
        <v>5.04</v>
      </c>
    </row>
    <row r="45" spans="2:23" x14ac:dyDescent="0.3">
      <c r="B45" t="s">
        <v>101</v>
      </c>
      <c r="D45" t="s">
        <v>192</v>
      </c>
      <c r="F45" s="9" t="str">
        <f>'Prices (2019)'!F45</f>
        <v>COST</v>
      </c>
      <c r="G45" s="10">
        <f t="shared" si="0"/>
        <v>2065</v>
      </c>
      <c r="H45" t="s">
        <v>138</v>
      </c>
      <c r="K45" s="51">
        <f>LOOKUP($G45,'INDATA prices'!$C$6:$I$6,'INDATA prices'!$C$11:$I$11)</f>
        <v>4.4799999999999995</v>
      </c>
      <c r="L45" s="3"/>
      <c r="M45" t="s">
        <v>182</v>
      </c>
      <c r="N45" t="s">
        <v>173</v>
      </c>
      <c r="O45">
        <v>1</v>
      </c>
      <c r="R45" t="s">
        <v>177</v>
      </c>
      <c r="V45">
        <f>LOOKUP($G45,'INDATA prices'!$C$6:$I$6,'INDATA prices'!$C$11:$I$11)</f>
        <v>4.4799999999999995</v>
      </c>
      <c r="W45">
        <f>LOOKUP($G45,'INDATA prices'!$C$6:$I$6,'INDATA prices'!$C$11:$I$11)</f>
        <v>4.4799999999999995</v>
      </c>
    </row>
    <row r="46" spans="2:23" x14ac:dyDescent="0.3">
      <c r="B46" t="s">
        <v>101</v>
      </c>
      <c r="D46" t="s">
        <v>192</v>
      </c>
      <c r="F46" s="9" t="s">
        <v>7</v>
      </c>
      <c r="G46" s="10">
        <f t="shared" si="0"/>
        <v>2065</v>
      </c>
      <c r="H46" t="s">
        <v>255</v>
      </c>
      <c r="K46" s="3">
        <f t="shared" ref="K46" si="13">ROUND(LOOKUP(N46,$J$2:$J$4,$K$2:$K$4)*O46,3)</f>
        <v>8.9629999999999992</v>
      </c>
      <c r="L46" s="3"/>
      <c r="M46" t="s">
        <v>256</v>
      </c>
      <c r="N46" t="s">
        <v>47</v>
      </c>
      <c r="O46">
        <v>1</v>
      </c>
    </row>
    <row r="47" spans="2:23" x14ac:dyDescent="0.3">
      <c r="B47" t="s">
        <v>101</v>
      </c>
      <c r="D47" t="s">
        <v>192</v>
      </c>
      <c r="F47" s="9" t="str">
        <f>'Prices (2019)'!F47</f>
        <v>COST</v>
      </c>
      <c r="G47" s="10">
        <f t="shared" si="0"/>
        <v>2065</v>
      </c>
      <c r="H47" t="s">
        <v>196</v>
      </c>
      <c r="K47" s="3">
        <f t="shared" ref="K47" si="14">ROUND(LOOKUP(N47,$J$2:$J$4,$K$2:$K$4)*O47,3)</f>
        <v>8.9629999999999992</v>
      </c>
      <c r="L47" s="3"/>
      <c r="M47" t="s">
        <v>8</v>
      </c>
      <c r="N47" t="s">
        <v>47</v>
      </c>
      <c r="O47">
        <v>1</v>
      </c>
      <c r="V47" s="3">
        <f>LOOKUP($G47,'INDATA prices'!$C$6:$I$6,'INDATA prices'!$C$8:$I$8)*'INDATA Fuel relations'!F$63</f>
        <v>19.718515796876463</v>
      </c>
      <c r="W47" s="3">
        <f>LOOKUP($G47,'INDATA prices'!$C$6:$I$6,'INDATA prices'!$C$8:$I$8)*'INDATA Fuel relations'!H$63</f>
        <v>17.925923451705874</v>
      </c>
    </row>
    <row r="48" spans="2:23" x14ac:dyDescent="0.3">
      <c r="B48" t="s">
        <v>102</v>
      </c>
      <c r="D48" t="s">
        <v>192</v>
      </c>
      <c r="F48" s="9" t="str">
        <f>'Prices (2019)'!F48</f>
        <v>COST</v>
      </c>
      <c r="G48" s="10">
        <f t="shared" si="0"/>
        <v>2065</v>
      </c>
      <c r="H48" t="s">
        <v>130</v>
      </c>
      <c r="K48" s="51">
        <f>K10*4</f>
        <v>43.024000000000001</v>
      </c>
      <c r="M48" t="s">
        <v>272</v>
      </c>
      <c r="N48" t="s">
        <v>271</v>
      </c>
      <c r="O48">
        <v>1</v>
      </c>
      <c r="R48" t="s">
        <v>177</v>
      </c>
      <c r="V48">
        <v>999</v>
      </c>
      <c r="W48">
        <v>999</v>
      </c>
    </row>
    <row r="49" spans="2:23" x14ac:dyDescent="0.3">
      <c r="B49" t="s">
        <v>102</v>
      </c>
      <c r="D49" t="s">
        <v>192</v>
      </c>
      <c r="F49" s="9" t="s">
        <v>7</v>
      </c>
      <c r="G49" s="10">
        <f t="shared" si="0"/>
        <v>2065</v>
      </c>
      <c r="H49" t="s">
        <v>247</v>
      </c>
      <c r="K49" s="51">
        <f>$K$48*O49</f>
        <v>43.454239999999999</v>
      </c>
      <c r="M49" t="s">
        <v>273</v>
      </c>
      <c r="N49" t="s">
        <v>130</v>
      </c>
      <c r="O49">
        <v>1.01</v>
      </c>
    </row>
    <row r="50" spans="2:23" x14ac:dyDescent="0.3">
      <c r="B50" t="s">
        <v>102</v>
      </c>
      <c r="D50" t="s">
        <v>192</v>
      </c>
      <c r="F50" s="9" t="s">
        <v>7</v>
      </c>
      <c r="G50" s="10">
        <f t="shared" si="0"/>
        <v>2065</v>
      </c>
      <c r="H50" t="s">
        <v>275</v>
      </c>
      <c r="K50" s="51">
        <f>$K$48*O50</f>
        <v>43.454239999999999</v>
      </c>
      <c r="M50" t="s">
        <v>276</v>
      </c>
      <c r="N50" t="s">
        <v>130</v>
      </c>
      <c r="O50">
        <v>1.01</v>
      </c>
    </row>
    <row r="51" spans="2:23" x14ac:dyDescent="0.3">
      <c r="B51" t="s">
        <v>102</v>
      </c>
      <c r="D51" t="s">
        <v>192</v>
      </c>
      <c r="F51" s="9" t="str">
        <f>'Prices (2019)'!F51</f>
        <v>COST</v>
      </c>
      <c r="G51" s="10">
        <f t="shared" si="0"/>
        <v>2065</v>
      </c>
      <c r="H51" t="s">
        <v>179</v>
      </c>
      <c r="K51" s="48">
        <v>999</v>
      </c>
      <c r="M51" t="s">
        <v>17</v>
      </c>
      <c r="N51" t="s">
        <v>174</v>
      </c>
      <c r="O51">
        <v>1</v>
      </c>
      <c r="R51" t="s">
        <v>177</v>
      </c>
      <c r="V51">
        <v>999</v>
      </c>
      <c r="W51">
        <v>999</v>
      </c>
    </row>
    <row r="52" spans="2:23" x14ac:dyDescent="0.3">
      <c r="B52" t="s">
        <v>102</v>
      </c>
      <c r="D52" t="s">
        <v>192</v>
      </c>
      <c r="F52" s="9" t="str">
        <f>'Prices (2019)'!F52</f>
        <v>COST</v>
      </c>
      <c r="G52" s="10">
        <f t="shared" si="0"/>
        <v>2065</v>
      </c>
      <c r="H52" t="s">
        <v>16</v>
      </c>
      <c r="K52" s="48">
        <v>999</v>
      </c>
      <c r="M52" t="s">
        <v>13</v>
      </c>
      <c r="N52" s="19" t="s">
        <v>62</v>
      </c>
      <c r="O52">
        <v>1</v>
      </c>
      <c r="V52">
        <v>999</v>
      </c>
      <c r="W52">
        <v>999</v>
      </c>
    </row>
    <row r="54" spans="2:23" x14ac:dyDescent="0.3">
      <c r="B54" t="s">
        <v>101</v>
      </c>
      <c r="D54" t="s">
        <v>192</v>
      </c>
      <c r="F54" s="9" t="str">
        <f>'Prices (2019)'!F54</f>
        <v>COST</v>
      </c>
      <c r="G54" s="10">
        <f t="shared" si="3"/>
        <v>2065</v>
      </c>
      <c r="H54" t="s">
        <v>132</v>
      </c>
      <c r="K54" s="32">
        <f>ROUND(LOOKUP(N54,$J$2:$J$4,$K$2:$K$4)*O54,3)</f>
        <v>27.001000000000001</v>
      </c>
      <c r="L54" s="3"/>
      <c r="M54" t="s">
        <v>248</v>
      </c>
      <c r="N54" t="s">
        <v>107</v>
      </c>
      <c r="O54" s="3">
        <f>VLOOKUP(P54,'INDATA Fuel relations'!$B$15:$H$34,LOOKUP($G$2,'INDATA Fuel relations'!$D$14:$H$14,'INDATA Fuel relations'!$D$13:$H$13))</f>
        <v>2.8889247919864287</v>
      </c>
      <c r="P54" t="str">
        <f>MID(H54,4,6)</f>
        <v>BFUDST</v>
      </c>
      <c r="Q54" t="str">
        <f>IF(COUNTIF('INDATA Fuel relations'!$B$15:$B$34,P54)&gt;0,"ok","FALSE")</f>
        <v>ok</v>
      </c>
      <c r="V54" s="3">
        <f>LOOKUP($G54,'INDATA prices'!$C$6:$I$6,'INDATA prices'!$C$7:$I$7)*LOOKUP(MID($H54,4,6),'INDATA Fuel relations'!$B$16:$B$34,'INDATA Fuel relations'!F$16:F$34)</f>
        <v>29.701383280708246</v>
      </c>
      <c r="W54" s="3">
        <f>LOOKUP($G54,'INDATA prices'!$C$6:$I$6,'INDATA prices'!$C$7:$I$7)*LOOKUP(MID($H54,4,6),'INDATA Fuel relations'!$B$16:$B$34,'INDATA Fuel relations'!H$16:H$34)</f>
        <v>27.001257527916586</v>
      </c>
    </row>
    <row r="55" spans="2:23" x14ac:dyDescent="0.3">
      <c r="B55" t="s">
        <v>101</v>
      </c>
      <c r="D55" t="s">
        <v>192</v>
      </c>
      <c r="F55" s="9" t="s">
        <v>7</v>
      </c>
      <c r="G55" s="10">
        <f t="shared" si="3"/>
        <v>2065</v>
      </c>
      <c r="H55" t="s">
        <v>237</v>
      </c>
      <c r="K55" s="32">
        <f>$K$54*O55</f>
        <v>27.001000000000001</v>
      </c>
      <c r="L55" s="3"/>
      <c r="M55" t="s">
        <v>248</v>
      </c>
      <c r="N55" t="s">
        <v>132</v>
      </c>
      <c r="O55" s="3">
        <f>'Prices (2019)'!O55</f>
        <v>1</v>
      </c>
      <c r="P55" t="str">
        <f>P54</f>
        <v>BFUDST</v>
      </c>
      <c r="Q55" t="str">
        <f>IF(COUNTIF('INDATA Fuel relations'!$B$15:$B$34,P55)&gt;0,"ok","FALSE")</f>
        <v>ok</v>
      </c>
      <c r="V55" s="3"/>
      <c r="W55" s="3"/>
    </row>
    <row r="56" spans="2:23" x14ac:dyDescent="0.3">
      <c r="B56" t="s">
        <v>101</v>
      </c>
      <c r="D56" t="s">
        <v>192</v>
      </c>
      <c r="F56" s="9" t="s">
        <v>7</v>
      </c>
      <c r="G56" s="10">
        <f t="shared" si="3"/>
        <v>2065</v>
      </c>
      <c r="H56" t="s">
        <v>238</v>
      </c>
      <c r="K56" s="32">
        <f>$K$54*O56</f>
        <v>27.001000000000001</v>
      </c>
      <c r="L56" s="3"/>
      <c r="M56" t="s">
        <v>248</v>
      </c>
      <c r="N56" t="s">
        <v>132</v>
      </c>
      <c r="O56" s="3">
        <f>'Prices (2019)'!O56</f>
        <v>1</v>
      </c>
      <c r="P56" t="str">
        <f>P55</f>
        <v>BFUDST</v>
      </c>
      <c r="Q56" t="str">
        <f>IF(COUNTIF('INDATA Fuel relations'!$B$15:$B$34,P56)&gt;0,"ok","FALSE")</f>
        <v>ok</v>
      </c>
      <c r="V56" s="3"/>
      <c r="W56" s="3"/>
    </row>
    <row r="57" spans="2:23" x14ac:dyDescent="0.3">
      <c r="B57" t="s">
        <v>101</v>
      </c>
      <c r="D57" t="s">
        <v>192</v>
      </c>
      <c r="F57" s="9" t="s">
        <v>7</v>
      </c>
      <c r="G57" s="10">
        <f t="shared" si="3"/>
        <v>2065</v>
      </c>
      <c r="H57" t="s">
        <v>239</v>
      </c>
      <c r="K57" s="32">
        <f>$K$54*O57</f>
        <v>27.001000000000001</v>
      </c>
      <c r="L57" s="3"/>
      <c r="M57" t="s">
        <v>248</v>
      </c>
      <c r="N57" t="s">
        <v>132</v>
      </c>
      <c r="O57" s="3">
        <f>'Prices (2019)'!O57</f>
        <v>1</v>
      </c>
      <c r="P57" t="str">
        <f>P56</f>
        <v>BFUDST</v>
      </c>
      <c r="Q57" t="str">
        <f>IF(COUNTIF('INDATA Fuel relations'!$B$15:$B$34,P57)&gt;0,"ok","FALSE")</f>
        <v>ok</v>
      </c>
      <c r="V57" s="3"/>
      <c r="W57" s="3"/>
    </row>
    <row r="60" spans="2:23" ht="15" thickBot="1" x14ac:dyDescent="0.35">
      <c r="K60" t="s">
        <v>162</v>
      </c>
    </row>
    <row r="61" spans="2:23" ht="15" thickBot="1" x14ac:dyDescent="0.35">
      <c r="D61" s="39" t="s">
        <v>161</v>
      </c>
      <c r="K61" s="124">
        <f>'Prices (2019)'!K61</f>
        <v>0.85</v>
      </c>
    </row>
    <row r="62" spans="2:23" s="136" customFormat="1" x14ac:dyDescent="0.3">
      <c r="D62" s="157"/>
      <c r="G62" s="158"/>
      <c r="K62" s="159"/>
    </row>
    <row r="63" spans="2:23" x14ac:dyDescent="0.3">
      <c r="D63" s="162" t="s">
        <v>0</v>
      </c>
    </row>
    <row r="64" spans="2:23" ht="15" thickBot="1" x14ac:dyDescent="0.35">
      <c r="D64" s="7" t="s">
        <v>1</v>
      </c>
      <c r="E64" s="7" t="s">
        <v>2</v>
      </c>
      <c r="F64" s="7" t="s">
        <v>3</v>
      </c>
      <c r="G64" s="8" t="s">
        <v>4</v>
      </c>
      <c r="H64" s="7" t="s">
        <v>41</v>
      </c>
      <c r="I64" s="7" t="s">
        <v>42</v>
      </c>
      <c r="J64" s="7" t="s">
        <v>6</v>
      </c>
      <c r="K64" s="7" t="s">
        <v>5</v>
      </c>
    </row>
    <row r="65" spans="2:11" x14ac:dyDescent="0.3">
      <c r="B65" t="s">
        <v>100</v>
      </c>
      <c r="D65" t="s">
        <v>192</v>
      </c>
      <c r="F65" s="9" t="str">
        <f t="shared" ref="F65:G88" si="15">F8</f>
        <v>COST</v>
      </c>
      <c r="G65" s="9">
        <f t="shared" si="15"/>
        <v>2065</v>
      </c>
      <c r="H65" t="str">
        <f t="shared" ref="H65:H91" si="16">REPLACE(H8,1,3,"EXP")</f>
        <v>EXPCOAHARY</v>
      </c>
      <c r="K65" s="3">
        <f t="shared" ref="K65:K109" si="17">ROUNDDOWN(K8*K$61,3)</f>
        <v>1.3320000000000001</v>
      </c>
    </row>
    <row r="66" spans="2:11" x14ac:dyDescent="0.3">
      <c r="B66" t="s">
        <v>100</v>
      </c>
      <c r="D66" t="s">
        <v>192</v>
      </c>
      <c r="F66" s="9" t="str">
        <f t="shared" si="15"/>
        <v>COST</v>
      </c>
      <c r="G66" s="9">
        <f t="shared" si="15"/>
        <v>2065</v>
      </c>
      <c r="H66" t="str">
        <f t="shared" si="16"/>
        <v>EXPCOAPEAY</v>
      </c>
      <c r="K66" s="3">
        <f t="shared" si="17"/>
        <v>1.3320000000000001</v>
      </c>
    </row>
    <row r="67" spans="2:11" x14ac:dyDescent="0.3">
      <c r="B67" t="s">
        <v>100</v>
      </c>
      <c r="D67" t="s">
        <v>192</v>
      </c>
      <c r="F67" s="9" t="str">
        <f t="shared" si="15"/>
        <v>COST</v>
      </c>
      <c r="G67" s="9">
        <f t="shared" si="15"/>
        <v>2065</v>
      </c>
      <c r="H67" t="str">
        <f t="shared" si="16"/>
        <v>EXPGASNATY</v>
      </c>
      <c r="K67" s="3">
        <f t="shared" si="17"/>
        <v>9.1419999999999995</v>
      </c>
    </row>
    <row r="68" spans="2:11" x14ac:dyDescent="0.3">
      <c r="B68" t="s">
        <v>100</v>
      </c>
      <c r="D68" t="s">
        <v>192</v>
      </c>
      <c r="F68" s="9" t="str">
        <f t="shared" si="15"/>
        <v>COST</v>
      </c>
      <c r="G68" s="9">
        <f t="shared" si="15"/>
        <v>2065</v>
      </c>
      <c r="H68" t="str">
        <f t="shared" si="16"/>
        <v>EXPOILCRDY</v>
      </c>
      <c r="K68" s="3">
        <f t="shared" si="17"/>
        <v>7.944</v>
      </c>
    </row>
    <row r="69" spans="2:11" x14ac:dyDescent="0.3">
      <c r="B69" t="s">
        <v>100</v>
      </c>
      <c r="D69" t="s">
        <v>192</v>
      </c>
      <c r="F69" s="9" t="str">
        <f t="shared" si="15"/>
        <v>COST</v>
      </c>
      <c r="G69" s="9">
        <f t="shared" si="15"/>
        <v>2065</v>
      </c>
      <c r="H69" t="str">
        <f t="shared" si="16"/>
        <v>EXPOILDSTY</v>
      </c>
      <c r="K69" s="3">
        <f t="shared" si="17"/>
        <v>11.475</v>
      </c>
    </row>
    <row r="70" spans="2:11" x14ac:dyDescent="0.3">
      <c r="B70" t="s">
        <v>100</v>
      </c>
      <c r="D70" t="s">
        <v>192</v>
      </c>
      <c r="F70" s="9" t="str">
        <f t="shared" si="15"/>
        <v>COST</v>
      </c>
      <c r="G70" s="9">
        <f t="shared" si="15"/>
        <v>2065</v>
      </c>
      <c r="H70" t="str">
        <f t="shared" si="16"/>
        <v>EXPOILGSLY</v>
      </c>
      <c r="K70" s="3">
        <f t="shared" si="17"/>
        <v>11.475</v>
      </c>
    </row>
    <row r="71" spans="2:11" x14ac:dyDescent="0.3">
      <c r="B71" t="s">
        <v>100</v>
      </c>
      <c r="D71" t="s">
        <v>192</v>
      </c>
      <c r="F71" s="9" t="str">
        <f t="shared" si="15"/>
        <v>COST</v>
      </c>
      <c r="G71" s="9">
        <f t="shared" si="15"/>
        <v>2065</v>
      </c>
      <c r="H71" t="str">
        <f t="shared" si="16"/>
        <v>EXPOILHFOY</v>
      </c>
      <c r="K71" s="3">
        <f t="shared" si="17"/>
        <v>6.4349999999999996</v>
      </c>
    </row>
    <row r="72" spans="2:11" x14ac:dyDescent="0.3">
      <c r="B72" t="s">
        <v>100</v>
      </c>
      <c r="D72" t="s">
        <v>192</v>
      </c>
      <c r="F72" s="9" t="str">
        <f t="shared" si="15"/>
        <v>COST</v>
      </c>
      <c r="G72" s="9">
        <f t="shared" si="15"/>
        <v>2065</v>
      </c>
      <c r="H72" t="str">
        <f t="shared" si="16"/>
        <v>EXPOILKERY</v>
      </c>
      <c r="K72" s="3">
        <f t="shared" si="17"/>
        <v>12.359</v>
      </c>
    </row>
    <row r="73" spans="2:11" x14ac:dyDescent="0.3">
      <c r="B73" t="s">
        <v>100</v>
      </c>
      <c r="D73" t="s">
        <v>192</v>
      </c>
      <c r="F73" s="9" t="str">
        <f t="shared" si="15"/>
        <v>COST</v>
      </c>
      <c r="G73" s="9">
        <f t="shared" si="15"/>
        <v>2065</v>
      </c>
      <c r="H73" t="str">
        <f t="shared" si="16"/>
        <v>EXPOILLFOY</v>
      </c>
      <c r="K73" s="3">
        <f t="shared" si="17"/>
        <v>8.827</v>
      </c>
    </row>
    <row r="74" spans="2:11" x14ac:dyDescent="0.3">
      <c r="B74" t="s">
        <v>100</v>
      </c>
      <c r="D74" t="s">
        <v>192</v>
      </c>
      <c r="F74" s="9" t="str">
        <f t="shared" si="15"/>
        <v>COST</v>
      </c>
      <c r="G74" s="9">
        <f t="shared" si="15"/>
        <v>2065</v>
      </c>
      <c r="H74" t="str">
        <f t="shared" si="16"/>
        <v>EXPOILLPGY</v>
      </c>
      <c r="K74" s="3">
        <f t="shared" si="17"/>
        <v>9.7100000000000009</v>
      </c>
    </row>
    <row r="75" spans="2:11" x14ac:dyDescent="0.3">
      <c r="B75" t="s">
        <v>101</v>
      </c>
      <c r="D75" t="s">
        <v>192</v>
      </c>
      <c r="F75" s="9" t="str">
        <f t="shared" si="15"/>
        <v>COST</v>
      </c>
      <c r="G75" s="9">
        <f t="shared" si="15"/>
        <v>2065</v>
      </c>
      <c r="H75" t="str">
        <f t="shared" si="16"/>
        <v>EXPBIOMFWY</v>
      </c>
      <c r="K75" s="3">
        <f t="shared" si="17"/>
        <v>0</v>
      </c>
    </row>
    <row r="76" spans="2:11" x14ac:dyDescent="0.3">
      <c r="B76" t="s">
        <v>101</v>
      </c>
      <c r="D76" t="s">
        <v>192</v>
      </c>
      <c r="F76" s="9" t="str">
        <f t="shared" si="15"/>
        <v>COST</v>
      </c>
      <c r="G76" s="9">
        <f t="shared" si="15"/>
        <v>2065</v>
      </c>
      <c r="H76" t="str">
        <f t="shared" si="16"/>
        <v>EXPBIOMSWY</v>
      </c>
      <c r="K76" s="3">
        <f t="shared" si="17"/>
        <v>0</v>
      </c>
    </row>
    <row r="77" spans="2:11" x14ac:dyDescent="0.3">
      <c r="B77" t="s">
        <v>101</v>
      </c>
      <c r="D77" t="s">
        <v>192</v>
      </c>
      <c r="F77" s="9" t="str">
        <f t="shared" si="15"/>
        <v>COST</v>
      </c>
      <c r="G77" s="9">
        <f t="shared" si="15"/>
        <v>2065</v>
      </c>
      <c r="H77" t="str">
        <f t="shared" si="16"/>
        <v>EXPBFUBJFY</v>
      </c>
      <c r="K77" s="3">
        <f t="shared" si="17"/>
        <v>37.076000000000001</v>
      </c>
    </row>
    <row r="78" spans="2:11" x14ac:dyDescent="0.3">
      <c r="B78" t="s">
        <v>101</v>
      </c>
      <c r="D78" t="s">
        <v>192</v>
      </c>
      <c r="F78" s="9" t="str">
        <f t="shared" si="15"/>
        <v>COST</v>
      </c>
      <c r="G78" s="9">
        <f t="shared" si="15"/>
        <v>2065</v>
      </c>
      <c r="H78" t="str">
        <f t="shared" si="16"/>
        <v>EXPBFUDMEY</v>
      </c>
      <c r="K78" s="3">
        <f t="shared" si="17"/>
        <v>22.95</v>
      </c>
    </row>
    <row r="79" spans="2:11" x14ac:dyDescent="0.3">
      <c r="B79" t="s">
        <v>101</v>
      </c>
      <c r="D79" t="s">
        <v>192</v>
      </c>
      <c r="F79" s="9" t="str">
        <f t="shared" si="15"/>
        <v>COST</v>
      </c>
      <c r="G79" s="9">
        <f t="shared" si="15"/>
        <v>2065</v>
      </c>
      <c r="H79" t="str">
        <f t="shared" si="16"/>
        <v>EXPBFUDST1</v>
      </c>
      <c r="K79" s="3">
        <f t="shared" si="17"/>
        <v>22.721</v>
      </c>
    </row>
    <row r="80" spans="2:11" x14ac:dyDescent="0.3">
      <c r="B80" t="s">
        <v>101</v>
      </c>
      <c r="D80" t="s">
        <v>192</v>
      </c>
      <c r="F80" s="9" t="str">
        <f t="shared" si="15"/>
        <v>COST</v>
      </c>
      <c r="G80" s="9">
        <f t="shared" si="15"/>
        <v>2065</v>
      </c>
      <c r="H80" t="str">
        <f t="shared" si="16"/>
        <v>EXPBFUDST4</v>
      </c>
      <c r="K80" s="3">
        <f t="shared" si="17"/>
        <v>22.95</v>
      </c>
    </row>
    <row r="81" spans="2:11" x14ac:dyDescent="0.3">
      <c r="B81" t="s">
        <v>101</v>
      </c>
      <c r="D81" t="s">
        <v>192</v>
      </c>
      <c r="F81" s="9" t="str">
        <f t="shared" si="15"/>
        <v>COST</v>
      </c>
      <c r="G81" s="9">
        <f t="shared" si="15"/>
        <v>2065</v>
      </c>
      <c r="H81" t="str">
        <f t="shared" si="16"/>
        <v>EXPBFUDST5</v>
      </c>
      <c r="K81" s="3">
        <f t="shared" si="17"/>
        <v>22.95</v>
      </c>
    </row>
    <row r="82" spans="2:11" x14ac:dyDescent="0.3">
      <c r="B82" t="s">
        <v>101</v>
      </c>
      <c r="D82" t="s">
        <v>192</v>
      </c>
      <c r="F82" s="9" t="str">
        <f t="shared" si="15"/>
        <v>COST</v>
      </c>
      <c r="G82" s="9">
        <f t="shared" si="15"/>
        <v>2065</v>
      </c>
      <c r="H82" t="str">
        <f t="shared" si="16"/>
        <v>EXPBFUDST6</v>
      </c>
      <c r="K82" s="3">
        <f t="shared" si="17"/>
        <v>22.95</v>
      </c>
    </row>
    <row r="83" spans="2:11" x14ac:dyDescent="0.3">
      <c r="B83" t="s">
        <v>101</v>
      </c>
      <c r="D83" t="s">
        <v>192</v>
      </c>
      <c r="F83" s="9" t="str">
        <f t="shared" si="15"/>
        <v>COST</v>
      </c>
      <c r="G83" s="9">
        <f t="shared" si="15"/>
        <v>2065</v>
      </c>
      <c r="H83" t="str">
        <f t="shared" si="16"/>
        <v>EXPBFUDST7</v>
      </c>
      <c r="K83" s="3">
        <f t="shared" si="17"/>
        <v>23.18</v>
      </c>
    </row>
    <row r="84" spans="2:11" x14ac:dyDescent="0.3">
      <c r="B84" t="s">
        <v>101</v>
      </c>
      <c r="D84" t="s">
        <v>192</v>
      </c>
      <c r="F84" s="9" t="str">
        <f t="shared" si="15"/>
        <v>COST</v>
      </c>
      <c r="G84" s="9">
        <f t="shared" si="15"/>
        <v>2065</v>
      </c>
      <c r="H84" t="str">
        <f t="shared" si="16"/>
        <v>EXPBFUETHY</v>
      </c>
      <c r="K84" s="3">
        <f t="shared" si="17"/>
        <v>22.95</v>
      </c>
    </row>
    <row r="85" spans="2:11" x14ac:dyDescent="0.3">
      <c r="B85" t="s">
        <v>101</v>
      </c>
      <c r="D85" t="s">
        <v>192</v>
      </c>
      <c r="F85" s="9" t="str">
        <f t="shared" si="15"/>
        <v>COST</v>
      </c>
      <c r="G85" s="9">
        <f t="shared" si="15"/>
        <v>2065</v>
      </c>
      <c r="H85" t="str">
        <f t="shared" si="16"/>
        <v>EXPBFUETH1</v>
      </c>
      <c r="K85" s="3">
        <f t="shared" si="17"/>
        <v>22.95</v>
      </c>
    </row>
    <row r="86" spans="2:11" x14ac:dyDescent="0.3">
      <c r="B86" t="s">
        <v>101</v>
      </c>
      <c r="D86" t="s">
        <v>192</v>
      </c>
      <c r="F86" s="9" t="str">
        <f t="shared" si="15"/>
        <v>COST</v>
      </c>
      <c r="G86" s="9">
        <f t="shared" si="15"/>
        <v>2065</v>
      </c>
      <c r="H86" t="str">
        <f t="shared" si="16"/>
        <v>EXPBFUETH2</v>
      </c>
      <c r="K86" s="3">
        <f t="shared" si="17"/>
        <v>22.95</v>
      </c>
    </row>
    <row r="87" spans="2:11" x14ac:dyDescent="0.3">
      <c r="B87" t="s">
        <v>101</v>
      </c>
      <c r="D87" t="s">
        <v>192</v>
      </c>
      <c r="F87" s="9" t="str">
        <f t="shared" si="15"/>
        <v>COST</v>
      </c>
      <c r="G87" s="9">
        <f t="shared" si="15"/>
        <v>2065</v>
      </c>
      <c r="H87" t="str">
        <f t="shared" si="16"/>
        <v>EXPBFUETH3</v>
      </c>
      <c r="K87" s="3">
        <f t="shared" si="17"/>
        <v>23.18</v>
      </c>
    </row>
    <row r="88" spans="2:11" x14ac:dyDescent="0.3">
      <c r="B88" t="s">
        <v>101</v>
      </c>
      <c r="D88" t="s">
        <v>192</v>
      </c>
      <c r="F88" s="9" t="str">
        <f t="shared" si="15"/>
        <v>COST</v>
      </c>
      <c r="G88" s="9">
        <f t="shared" si="15"/>
        <v>2065</v>
      </c>
      <c r="H88" t="str">
        <f t="shared" si="16"/>
        <v>EXPBFUFTDY</v>
      </c>
      <c r="K88" s="3">
        <f t="shared" si="17"/>
        <v>22.95</v>
      </c>
    </row>
    <row r="89" spans="2:11" x14ac:dyDescent="0.3">
      <c r="B89" t="s">
        <v>101</v>
      </c>
      <c r="D89" t="s">
        <v>192</v>
      </c>
      <c r="F89" s="9" t="str">
        <f t="shared" ref="F89:G89" si="18">F32</f>
        <v>COST</v>
      </c>
      <c r="G89" s="9">
        <f t="shared" si="18"/>
        <v>2065</v>
      </c>
      <c r="H89" t="str">
        <f t="shared" si="16"/>
        <v>EXPBFUGSL1</v>
      </c>
      <c r="K89" s="3">
        <f t="shared" si="17"/>
        <v>22.95</v>
      </c>
    </row>
    <row r="90" spans="2:11" x14ac:dyDescent="0.3">
      <c r="B90" t="s">
        <v>101</v>
      </c>
      <c r="D90" t="s">
        <v>192</v>
      </c>
      <c r="F90" s="9" t="str">
        <f t="shared" ref="F90:G90" si="19">F33</f>
        <v>COST</v>
      </c>
      <c r="G90" s="9">
        <f t="shared" si="19"/>
        <v>2065</v>
      </c>
      <c r="H90" t="str">
        <f t="shared" si="16"/>
        <v>EXPBFUGSL2</v>
      </c>
      <c r="K90" s="3">
        <f t="shared" si="17"/>
        <v>22.95</v>
      </c>
    </row>
    <row r="91" spans="2:11" x14ac:dyDescent="0.3">
      <c r="B91" t="s">
        <v>101</v>
      </c>
      <c r="D91" t="s">
        <v>192</v>
      </c>
      <c r="F91" s="9" t="str">
        <f t="shared" ref="F91:G91" si="20">F34</f>
        <v>COST</v>
      </c>
      <c r="G91" s="9">
        <f t="shared" si="20"/>
        <v>2065</v>
      </c>
      <c r="H91" t="str">
        <f t="shared" si="16"/>
        <v>EXPBFUGSL3</v>
      </c>
      <c r="K91" s="3">
        <f t="shared" si="17"/>
        <v>22.95</v>
      </c>
    </row>
    <row r="92" spans="2:11" x14ac:dyDescent="0.3">
      <c r="B92" t="s">
        <v>101</v>
      </c>
      <c r="D92" t="s">
        <v>192</v>
      </c>
      <c r="F92" s="9" t="str">
        <f t="shared" ref="F92:G93" si="21">F35</f>
        <v>COST</v>
      </c>
      <c r="G92" s="9">
        <f t="shared" si="21"/>
        <v>2065</v>
      </c>
      <c r="H92" t="str">
        <f t="shared" ref="H92:H93" si="22">REPLACE(H35,1,3,"EXP")</f>
        <v>EXPBFUGSL4</v>
      </c>
      <c r="K92" s="3">
        <f t="shared" si="17"/>
        <v>23.18</v>
      </c>
    </row>
    <row r="93" spans="2:11" x14ac:dyDescent="0.3">
      <c r="B93" t="s">
        <v>101</v>
      </c>
      <c r="D93" t="s">
        <v>192</v>
      </c>
      <c r="F93" s="9" t="str">
        <f t="shared" si="21"/>
        <v>COST</v>
      </c>
      <c r="G93" s="9">
        <f t="shared" si="21"/>
        <v>2065</v>
      </c>
      <c r="H93" t="str">
        <f t="shared" si="22"/>
        <v>EXPBFUGSLY</v>
      </c>
      <c r="K93" s="3">
        <f t="shared" si="17"/>
        <v>23.18</v>
      </c>
    </row>
    <row r="94" spans="2:11" x14ac:dyDescent="0.3">
      <c r="B94" t="s">
        <v>101</v>
      </c>
      <c r="D94" t="s">
        <v>192</v>
      </c>
      <c r="F94" s="9" t="str">
        <f t="shared" ref="F94:G105" si="23">F37</f>
        <v>COST</v>
      </c>
      <c r="G94" s="9">
        <f t="shared" si="23"/>
        <v>2065</v>
      </c>
      <c r="H94" t="str">
        <f t="shared" ref="H94:H105" si="24">REPLACE(H37,1,3,"EXP")</f>
        <v>EXPBFUMTHY</v>
      </c>
      <c r="K94" s="3">
        <f t="shared" si="17"/>
        <v>22.95</v>
      </c>
    </row>
    <row r="95" spans="2:11" x14ac:dyDescent="0.3">
      <c r="B95" t="s">
        <v>101</v>
      </c>
      <c r="D95" t="s">
        <v>192</v>
      </c>
      <c r="F95" s="9" t="str">
        <f t="shared" si="23"/>
        <v>COST</v>
      </c>
      <c r="G95" s="9">
        <f t="shared" si="23"/>
        <v>2065</v>
      </c>
      <c r="H95" t="str">
        <f t="shared" si="24"/>
        <v>EXPBFUSNGY</v>
      </c>
      <c r="K95" s="3">
        <f t="shared" si="17"/>
        <v>22.95</v>
      </c>
    </row>
    <row r="96" spans="2:11" x14ac:dyDescent="0.3">
      <c r="B96" t="s">
        <v>101</v>
      </c>
      <c r="D96" t="s">
        <v>192</v>
      </c>
      <c r="F96" s="9" t="str">
        <f t="shared" si="23"/>
        <v>COST</v>
      </c>
      <c r="G96" s="9">
        <f t="shared" si="23"/>
        <v>2065</v>
      </c>
      <c r="H96" t="str">
        <f t="shared" si="24"/>
        <v>EXPBFUSNG1</v>
      </c>
      <c r="K96" s="3">
        <f t="shared" si="17"/>
        <v>22.95</v>
      </c>
    </row>
    <row r="97" spans="2:11" x14ac:dyDescent="0.3">
      <c r="B97" t="s">
        <v>101</v>
      </c>
      <c r="D97" t="s">
        <v>192</v>
      </c>
      <c r="F97" s="9" t="str">
        <f t="shared" si="23"/>
        <v>COST</v>
      </c>
      <c r="G97" s="9">
        <f t="shared" si="23"/>
        <v>2065</v>
      </c>
      <c r="H97" t="str">
        <f t="shared" si="24"/>
        <v>EXPBFUSNG2</v>
      </c>
      <c r="K97" s="3">
        <f t="shared" si="17"/>
        <v>22.95</v>
      </c>
    </row>
    <row r="98" spans="2:11" x14ac:dyDescent="0.3">
      <c r="B98" t="s">
        <v>101</v>
      </c>
      <c r="D98" t="s">
        <v>192</v>
      </c>
      <c r="F98" s="9" t="str">
        <f t="shared" si="23"/>
        <v>COST</v>
      </c>
      <c r="G98" s="9">
        <f t="shared" si="23"/>
        <v>2065</v>
      </c>
      <c r="H98" t="str">
        <f t="shared" si="24"/>
        <v>EXPBFUSNG3</v>
      </c>
      <c r="K98" s="3">
        <f t="shared" si="17"/>
        <v>23.18</v>
      </c>
    </row>
    <row r="99" spans="2:11" x14ac:dyDescent="0.3">
      <c r="B99" t="s">
        <v>101</v>
      </c>
      <c r="D99" t="s">
        <v>192</v>
      </c>
      <c r="F99" s="9" t="str">
        <f t="shared" si="23"/>
        <v>COST</v>
      </c>
      <c r="G99" s="9">
        <f t="shared" si="23"/>
        <v>2065</v>
      </c>
      <c r="H99" t="str">
        <f t="shared" si="24"/>
        <v>EXPBFUPLTY</v>
      </c>
      <c r="K99" s="3">
        <f t="shared" si="17"/>
        <v>6.6639999999999997</v>
      </c>
    </row>
    <row r="100" spans="2:11" x14ac:dyDescent="0.3">
      <c r="B100" t="s">
        <v>101</v>
      </c>
      <c r="D100" t="s">
        <v>192</v>
      </c>
      <c r="F100" s="9" t="str">
        <f t="shared" si="23"/>
        <v>COST</v>
      </c>
      <c r="G100" s="9">
        <f t="shared" si="23"/>
        <v>2065</v>
      </c>
      <c r="H100" t="str">
        <f t="shared" si="24"/>
        <v>EXPBIOCRPY</v>
      </c>
      <c r="K100" s="3">
        <f t="shared" si="17"/>
        <v>6.6639999999999997</v>
      </c>
    </row>
    <row r="101" spans="2:11" x14ac:dyDescent="0.3">
      <c r="B101" t="s">
        <v>101</v>
      </c>
      <c r="D101" t="s">
        <v>192</v>
      </c>
      <c r="F101" s="9" t="str">
        <f t="shared" si="23"/>
        <v>COST</v>
      </c>
      <c r="G101" s="9">
        <f t="shared" si="23"/>
        <v>2065</v>
      </c>
      <c r="H101" t="str">
        <f t="shared" si="24"/>
        <v>EXPBIOWOFY</v>
      </c>
      <c r="K101" s="3">
        <f t="shared" si="17"/>
        <v>4.2839999999999998</v>
      </c>
    </row>
    <row r="102" spans="2:11" x14ac:dyDescent="0.3">
      <c r="B102" t="s">
        <v>101</v>
      </c>
      <c r="D102" t="s">
        <v>192</v>
      </c>
      <c r="F102" s="9" t="str">
        <f t="shared" si="23"/>
        <v>COST</v>
      </c>
      <c r="G102" s="9">
        <f t="shared" si="23"/>
        <v>2065</v>
      </c>
      <c r="H102" t="str">
        <f t="shared" si="24"/>
        <v>EXPBIOWOOY</v>
      </c>
      <c r="K102" s="3">
        <f t="shared" si="17"/>
        <v>3.8079999999999998</v>
      </c>
    </row>
    <row r="103" spans="2:11" x14ac:dyDescent="0.3">
      <c r="B103" t="s">
        <v>101</v>
      </c>
      <c r="D103" t="s">
        <v>192</v>
      </c>
      <c r="F103" s="9" t="str">
        <f t="shared" si="23"/>
        <v>COST</v>
      </c>
      <c r="G103" s="9">
        <f t="shared" si="23"/>
        <v>2065</v>
      </c>
      <c r="H103" t="str">
        <f t="shared" si="24"/>
        <v>EXPBIOGAS1</v>
      </c>
      <c r="K103" s="3">
        <f t="shared" si="17"/>
        <v>7.6180000000000003</v>
      </c>
    </row>
    <row r="104" spans="2:11" x14ac:dyDescent="0.3">
      <c r="B104" t="s">
        <v>101</v>
      </c>
      <c r="D104" t="s">
        <v>192</v>
      </c>
      <c r="F104" s="9" t="str">
        <f t="shared" si="23"/>
        <v>COST</v>
      </c>
      <c r="G104" s="9">
        <f t="shared" si="23"/>
        <v>2065</v>
      </c>
      <c r="H104" t="str">
        <f t="shared" si="24"/>
        <v>EXPBIOGASY</v>
      </c>
      <c r="K104" s="3">
        <f t="shared" si="17"/>
        <v>7.6180000000000003</v>
      </c>
    </row>
    <row r="105" spans="2:11" x14ac:dyDescent="0.3">
      <c r="B105" t="s">
        <v>102</v>
      </c>
      <c r="D105" t="s">
        <v>192</v>
      </c>
      <c r="F105" s="9" t="str">
        <f t="shared" si="23"/>
        <v>COST</v>
      </c>
      <c r="G105" s="9">
        <f t="shared" si="23"/>
        <v>2065</v>
      </c>
      <c r="H105" t="str">
        <f t="shared" si="24"/>
        <v>EXPH2GY</v>
      </c>
      <c r="K105" s="3">
        <f t="shared" si="17"/>
        <v>36.57</v>
      </c>
    </row>
    <row r="106" spans="2:11" x14ac:dyDescent="0.3">
      <c r="B106" t="s">
        <v>102</v>
      </c>
      <c r="D106" t="s">
        <v>192</v>
      </c>
      <c r="F106" s="9" t="str">
        <f t="shared" ref="F106:G107" si="25">F49</f>
        <v>COST</v>
      </c>
      <c r="G106" s="9">
        <f t="shared" si="25"/>
        <v>2065</v>
      </c>
      <c r="H106" t="str">
        <f t="shared" ref="H106:H107" si="26">REPLACE(H49,1,3,"EXP")</f>
        <v>EXPH2G1</v>
      </c>
      <c r="K106" s="3">
        <f t="shared" si="17"/>
        <v>36.936</v>
      </c>
    </row>
    <row r="107" spans="2:11" x14ac:dyDescent="0.3">
      <c r="B107" t="s">
        <v>102</v>
      </c>
      <c r="D107" t="s">
        <v>192</v>
      </c>
      <c r="F107" s="9" t="str">
        <f t="shared" si="25"/>
        <v>COST</v>
      </c>
      <c r="G107" s="9">
        <f t="shared" si="25"/>
        <v>2065</v>
      </c>
      <c r="H107" t="str">
        <f t="shared" si="26"/>
        <v>EXPH2G2</v>
      </c>
      <c r="K107" s="3">
        <f t="shared" si="17"/>
        <v>36.936</v>
      </c>
    </row>
    <row r="108" spans="2:11" x14ac:dyDescent="0.3">
      <c r="B108" t="s">
        <v>102</v>
      </c>
      <c r="D108" t="s">
        <v>192</v>
      </c>
      <c r="F108" s="9" t="str">
        <f t="shared" ref="F108:G109" si="27">F51</f>
        <v>COST</v>
      </c>
      <c r="G108" s="9">
        <f t="shared" si="27"/>
        <v>2065</v>
      </c>
      <c r="H108" t="str">
        <f t="shared" ref="H108:H109" si="28">REPLACE(H51,1,3,"EXP")</f>
        <v>EXPH2LY</v>
      </c>
      <c r="K108" s="3">
        <f t="shared" si="17"/>
        <v>849.15</v>
      </c>
    </row>
    <row r="109" spans="2:11" x14ac:dyDescent="0.3">
      <c r="B109" t="s">
        <v>102</v>
      </c>
      <c r="D109" t="s">
        <v>192</v>
      </c>
      <c r="F109" s="9" t="str">
        <f t="shared" si="27"/>
        <v>COST</v>
      </c>
      <c r="G109" s="9">
        <f t="shared" si="27"/>
        <v>2065</v>
      </c>
      <c r="H109" t="str">
        <f t="shared" si="28"/>
        <v>EXPNUCRSVY</v>
      </c>
      <c r="K109" s="3">
        <f t="shared" si="17"/>
        <v>849.15</v>
      </c>
    </row>
    <row r="111" spans="2:11" x14ac:dyDescent="0.3">
      <c r="B111" t="s">
        <v>101</v>
      </c>
      <c r="D111" t="s">
        <v>192</v>
      </c>
      <c r="F111" s="9" t="str">
        <f t="shared" ref="F111:G114" si="29">F54</f>
        <v>COST</v>
      </c>
      <c r="G111" s="9">
        <f t="shared" si="29"/>
        <v>2065</v>
      </c>
      <c r="H111" t="str">
        <f>REPLACE(H54,1,3,"EXP")</f>
        <v>EXPBFUDSTY</v>
      </c>
      <c r="K111" s="3">
        <f>ROUNDDOWN(K54*K$61,3)</f>
        <v>22.95</v>
      </c>
    </row>
    <row r="112" spans="2:11" x14ac:dyDescent="0.3">
      <c r="B112" t="s">
        <v>101</v>
      </c>
      <c r="D112" t="s">
        <v>192</v>
      </c>
      <c r="F112" s="9" t="str">
        <f t="shared" si="29"/>
        <v>COST</v>
      </c>
      <c r="G112" s="9">
        <f t="shared" si="29"/>
        <v>2065</v>
      </c>
      <c r="H112" t="str">
        <f>REPLACE(H55,1,3,"EXP")</f>
        <v>EXPBFUDST1</v>
      </c>
      <c r="K112" s="3">
        <f>ROUNDDOWN(K55*K$61,3)</f>
        <v>22.95</v>
      </c>
    </row>
    <row r="113" spans="2:11" x14ac:dyDescent="0.3">
      <c r="B113" t="s">
        <v>101</v>
      </c>
      <c r="D113" t="s">
        <v>192</v>
      </c>
      <c r="F113" s="9" t="str">
        <f t="shared" si="29"/>
        <v>COST</v>
      </c>
      <c r="G113" s="9">
        <f t="shared" si="29"/>
        <v>2065</v>
      </c>
      <c r="H113" t="str">
        <f>REPLACE(H56,1,3,"EXP")</f>
        <v>EXPBFUDST2</v>
      </c>
      <c r="K113" s="3">
        <f>ROUNDDOWN(K56*K$61,3)</f>
        <v>22.95</v>
      </c>
    </row>
    <row r="114" spans="2:11" x14ac:dyDescent="0.3">
      <c r="B114" t="s">
        <v>101</v>
      </c>
      <c r="D114" t="s">
        <v>192</v>
      </c>
      <c r="F114" s="9" t="str">
        <f t="shared" si="29"/>
        <v>COST</v>
      </c>
      <c r="G114" s="9">
        <f t="shared" si="29"/>
        <v>2065</v>
      </c>
      <c r="H114" t="str">
        <f>REPLACE(H57,1,3,"EXP")</f>
        <v>EXPBFUDST3</v>
      </c>
      <c r="K114" s="3">
        <f>ROUNDDOWN(K57*K$61,3)</f>
        <v>22.95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QUESTIONS</vt:lpstr>
      <vt:lpstr>INDATA Fuel relations</vt:lpstr>
      <vt:lpstr>INDATA prices</vt:lpstr>
      <vt:lpstr>Prices (2019)</vt:lpstr>
      <vt:lpstr>Prices (2020)</vt:lpstr>
      <vt:lpstr>Prices (2030)</vt:lpstr>
      <vt:lpstr>Prices (2040)</vt:lpstr>
      <vt:lpstr>Prices (2050)</vt:lpstr>
      <vt:lpstr>Prices (2065)</vt:lpstr>
      <vt:lpstr>Free 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2022-11-22T09:21:04Z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675531268119812</vt:r8>
  </property>
</Properties>
</file>